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8_{AFE79B1B-E13F-4518-B0C8-7AF1373C5FA9}" xr6:coauthVersionLast="47" xr6:coauthVersionMax="47" xr10:uidLastSave="{00000000-0000-0000-0000-000000000000}"/>
  <bookViews>
    <workbookView xWindow="-28920" yWindow="-120" windowWidth="29040" windowHeight="17520" xr2:uid="{00000000-000D-0000-FFFF-FFFF00000000}"/>
  </bookViews>
  <sheets>
    <sheet name="Titelblad" sheetId="9" r:id="rId1"/>
    <sheet name="Toelichting" sheetId="10" r:id="rId2"/>
    <sheet name="Bronnen en toepassingen" sheetId="11" r:id="rId3"/>
    <sheet name="Resultaat" sheetId="24" r:id="rId4"/>
    <sheet name="Bijlage 1" sheetId="25" r:id="rId5"/>
    <sheet name="Input --&gt;" sheetId="26" r:id="rId6"/>
    <sheet name="Gegevens inkoopcorrectie" sheetId="27" r:id="rId7"/>
    <sheet name="Gegevens nieuwe productieprijs" sheetId="28" r:id="rId8"/>
    <sheet name="Berekeningen --&gt;" sheetId="29" r:id="rId9"/>
    <sheet name="Inkoopcorrectie brandstof" sheetId="30" r:id="rId10"/>
    <sheet name="Schatting productieprijs" sheetId="31" r:id="rId11"/>
  </sheet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45" i="30" l="1"/>
  <c r="P45" i="30"/>
  <c r="N45" i="30"/>
  <c r="M45" i="30"/>
  <c r="L45" i="30"/>
  <c r="R23" i="27"/>
  <c r="H18" i="28"/>
  <c r="H31" i="31" l="1"/>
  <c r="H30" i="31"/>
  <c r="H24" i="31"/>
  <c r="H23" i="31"/>
  <c r="H22" i="31"/>
  <c r="H18" i="31"/>
  <c r="H17" i="31"/>
  <c r="H71" i="30"/>
  <c r="Q42" i="30"/>
  <c r="P42" i="30"/>
  <c r="O42" i="30"/>
  <c r="N42" i="30"/>
  <c r="M42" i="30"/>
  <c r="L42" i="30"/>
  <c r="Q41" i="30"/>
  <c r="P41" i="30"/>
  <c r="O41" i="30"/>
  <c r="N41" i="30"/>
  <c r="M41" i="30"/>
  <c r="L41" i="30"/>
  <c r="L60" i="30" s="1"/>
  <c r="Q37" i="30"/>
  <c r="P37" i="30"/>
  <c r="O37" i="30"/>
  <c r="N37" i="30"/>
  <c r="M37" i="30"/>
  <c r="L37" i="30"/>
  <c r="H31" i="30"/>
  <c r="H29" i="30"/>
  <c r="P38" i="30" s="1"/>
  <c r="H28" i="30"/>
  <c r="M38" i="30" s="1"/>
  <c r="H25" i="30"/>
  <c r="O50" i="30" s="1"/>
  <c r="H24" i="30"/>
  <c r="H21" i="30"/>
  <c r="P49" i="30" s="1"/>
  <c r="H20" i="30"/>
  <c r="M49" i="30" s="1"/>
  <c r="H19" i="30"/>
  <c r="O48" i="30" s="1"/>
  <c r="H18" i="30"/>
  <c r="M48" i="30" s="1"/>
  <c r="I16" i="25"/>
  <c r="H37" i="24"/>
  <c r="H36" i="24"/>
  <c r="H31" i="24"/>
  <c r="I18" i="25" s="1"/>
  <c r="H21" i="24"/>
  <c r="I25" i="25" s="1"/>
  <c r="Q60" i="30" l="1"/>
  <c r="P60" i="30"/>
  <c r="O60" i="30"/>
  <c r="H19" i="31"/>
  <c r="H37" i="31" s="1"/>
  <c r="H38" i="31" s="1"/>
  <c r="H44" i="31" s="1"/>
  <c r="H45" i="31" s="1"/>
  <c r="H29" i="24" s="1"/>
  <c r="M50" i="30"/>
  <c r="M52" i="30" s="1"/>
  <c r="M58" i="30" s="1"/>
  <c r="L50" i="30"/>
  <c r="N60" i="30"/>
  <c r="M60" i="30"/>
  <c r="N49" i="30"/>
  <c r="O49" i="30"/>
  <c r="O52" i="30" s="1"/>
  <c r="O58" i="30" s="1"/>
  <c r="Q49" i="30"/>
  <c r="Q38" i="30"/>
  <c r="Q43" i="30" s="1"/>
  <c r="O38" i="30"/>
  <c r="O43" i="30" s="1"/>
  <c r="O57" i="30" s="1"/>
  <c r="N38" i="30"/>
  <c r="N43" i="30" s="1"/>
  <c r="L48" i="30"/>
  <c r="P43" i="30"/>
  <c r="P57" i="30" s="1"/>
  <c r="M43" i="30"/>
  <c r="P48" i="30"/>
  <c r="P50" i="30"/>
  <c r="Q48" i="30"/>
  <c r="Q50" i="30"/>
  <c r="H70" i="30"/>
  <c r="H72" i="30" s="1"/>
  <c r="H14" i="24" s="1"/>
  <c r="I17" i="25" s="1"/>
  <c r="L38" i="30"/>
  <c r="L43" i="30" s="1"/>
  <c r="L57" i="30" s="1"/>
  <c r="N48" i="30"/>
  <c r="L49" i="30"/>
  <c r="N50" i="30"/>
  <c r="B18" i="10"/>
  <c r="B25" i="10" s="1"/>
  <c r="Q45" i="30" l="1"/>
  <c r="Q57" i="30" s="1"/>
  <c r="L52" i="30"/>
  <c r="N57" i="30"/>
  <c r="M57" i="30"/>
  <c r="M59" i="30" s="1"/>
  <c r="O59" i="30"/>
  <c r="O61" i="30" s="1"/>
  <c r="N52" i="30"/>
  <c r="N58" i="30" s="1"/>
  <c r="L58" i="30"/>
  <c r="L59" i="30" s="1"/>
  <c r="L61" i="30" s="1"/>
  <c r="P52" i="30"/>
  <c r="P58" i="30" s="1"/>
  <c r="P59" i="30" s="1"/>
  <c r="P61" i="30" s="1"/>
  <c r="Q52" i="30"/>
  <c r="Q58" i="30" s="1"/>
  <c r="I28" i="25"/>
  <c r="B19" i="10"/>
  <c r="Q59" i="30" l="1"/>
  <c r="Q61" i="30" s="1"/>
  <c r="N59" i="30"/>
  <c r="N61" i="30" s="1"/>
  <c r="H64" i="30" s="1"/>
  <c r="M61" i="30"/>
  <c r="H63" i="30" s="1"/>
  <c r="B20" i="10"/>
  <c r="B24" i="10" s="1"/>
  <c r="H65" i="30" l="1"/>
  <c r="H17" i="24" s="1"/>
  <c r="I21" i="25" s="1"/>
  <c r="H18" i="24" l="1"/>
  <c r="H23" i="24" s="1"/>
  <c r="H30" i="24" s="1"/>
  <c r="H32" i="24" s="1"/>
  <c r="H33" i="24" s="1"/>
  <c r="I22" i="25" l="1"/>
  <c r="I29" i="25"/>
  <c r="H38" i="24"/>
  <c r="I31" i="25" s="1"/>
  <c r="I3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4"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O19" authorId="0" shapeId="0" xr:uid="{39C36836-70FA-4AE9-AAAB-B54A6A6FE0D0}">
      <text>
        <r>
          <rPr>
            <sz val="9"/>
            <color indexed="81"/>
            <rFont val="Tahoma"/>
            <family val="2"/>
          </rPr>
          <t>De oorspronkelijke factuur was voor 13262,92 megawattuur. In een gecorrigeerde factuur is 900 megawattuur terugbetaald.</t>
        </r>
      </text>
    </comment>
  </commentList>
</comments>
</file>

<file path=xl/sharedStrings.xml><?xml version="1.0" encoding="utf-8"?>
<sst xmlns="http://schemas.openxmlformats.org/spreadsheetml/2006/main" count="441" uniqueCount="286">
  <si>
    <t>Overige opmerkingen</t>
  </si>
  <si>
    <t>Titelblad</t>
  </si>
  <si>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</si>
  <si>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</si>
  <si>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</si>
  <si>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</si>
  <si>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</si>
  <si>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</si>
  <si>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</si>
  <si>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</si>
  <si>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</si>
  <si>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</si>
  <si>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</si>
  <si>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</si>
  <si>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</si>
  <si>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</si>
  <si>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</si>
  <si>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</si>
  <si>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</si>
  <si>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</si>
  <si>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</si>
  <si>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Bronnenoverzicht en specifieke toepassingen</t>
  </si>
  <si>
    <t>Bronnenoverzicht</t>
  </si>
  <si>
    <t>Exacte bestandsnaam</t>
  </si>
  <si>
    <t>Eenheid</t>
  </si>
  <si>
    <t>Constante</t>
  </si>
  <si>
    <t>Beschrijving gegevens</t>
  </si>
  <si>
    <t>Toelichting bij bijzonderheden</t>
  </si>
  <si>
    <t>Data</t>
  </si>
  <si>
    <t>Berekening</t>
  </si>
  <si>
    <t>Resultaat</t>
  </si>
  <si>
    <t>Tabkleur</t>
  </si>
  <si>
    <t>Tabblad met input</t>
  </si>
  <si>
    <t>Tabblad met berekeningen</t>
  </si>
  <si>
    <t>Input --&gt;</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</si>
  <si>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</si>
  <si>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</si>
  <si>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</si>
  <si>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</si>
  <si>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</si>
  <si>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</si>
  <si>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</si>
  <si>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</si>
  <si>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</si>
  <si>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</si>
  <si>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</si>
  <si>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</si>
  <si>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</si>
  <si>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</si>
  <si>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</si>
  <si>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</si>
  <si>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</si>
  <si>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Beschrijving berekening</t>
  </si>
  <si>
    <t>Beschrijving resultaat</t>
  </si>
  <si>
    <t>Dit bestand is een concept, bedoeld ter verduidelijking van de berekeningen door ACM. Aan dit bestand kunnen geen rechten worden ontleend</t>
  </si>
  <si>
    <t xml:space="preserve">Bij inhoudelijke verschillen tussen de berekening in dit bestand en de berekening zoals die volgt uit het bijbehorende besluit, is het besluit leidend. </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</si>
  <si>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</si>
  <si>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</si>
  <si>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</si>
  <si>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</si>
  <si>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</si>
  <si>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Mogelijkheden van bezwaar en beroep staan open tegen het besluit waarbij dit bestand hoort (zie kenmerken hierboven)</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</si>
  <si>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</si>
  <si>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</si>
  <si>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</si>
  <si>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</si>
  <si>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</si>
  <si>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</si>
  <si>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</si>
  <si>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</si>
  <si>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</si>
  <si>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</si>
  <si>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</si>
  <si>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</si>
  <si>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</si>
  <si>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</si>
  <si>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</si>
  <si>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Energie, versie 5 (juni 2021)</t>
  </si>
  <si>
    <t>Tevens stelt de ACM een nieuw niveau van het Pagabontarief vast, dat gebaseerd is op dit variabele gebruikstarief.</t>
  </si>
  <si>
    <t>kWh</t>
  </si>
  <si>
    <t>Correctie voor brandstofnacalculatie distributeur in variabele gebruikstarief</t>
  </si>
  <si>
    <t>Correctie variabele gebruikstarief vanwege brandstofnacalculatie distributeur</t>
  </si>
  <si>
    <t>Brandstofcorrectie per kWh</t>
  </si>
  <si>
    <t>%</t>
  </si>
  <si>
    <t>Dit pagabontarief is het bruto tarief, vóór aftrek van eventueel beschikbare subsidies</t>
  </si>
  <si>
    <t>Dit blad wordt gebruikt om in Bijlage 1 van het besluit een overzicht van de belangrijkste gegevens te kunnen weergeven.</t>
  </si>
  <si>
    <t>Belangrijkste parameters</t>
  </si>
  <si>
    <t>Correctie voor brandstofnacalculatie distributeur</t>
  </si>
  <si>
    <t>Alle hier vastgestelde tarieven betreffen maximumtarieven vóór toepassing van eventueel beschikbare subsidies</t>
  </si>
  <si>
    <t>Gegevens over brandstofprijzen en productie</t>
  </si>
  <si>
    <t>Zie de genummerde brongegevens in het bronnenoverzicht voor de herkomst van de data.</t>
  </si>
  <si>
    <t>Omdat WEB per oktober 2019 niet langer met brandstof produceert, bevat de productieprijs van WEB vanaf 2020 geen brandstofcomponent meer. De nacalculatie van de brandstofcomponent ziet dus nog uitsluitend op gewijzigde inkoopkosten bij ContourGlobal.</t>
  </si>
  <si>
    <t>Data van CGB over productie</t>
  </si>
  <si>
    <t>Gerealiseerde productie en brandstofcomponent</t>
  </si>
  <si>
    <t>Gerealiseerde totale productie CGB (incl. hernieuwbaar)</t>
  </si>
  <si>
    <t>Gefactureerde productieprijs CGB</t>
  </si>
  <si>
    <t>USD/kWh</t>
  </si>
  <si>
    <t>Prijzen in 5 decimalen</t>
  </si>
  <si>
    <t>Vastgestelde gegevens over CGB (o.b.v. tarievenbeschikkingen)</t>
  </si>
  <si>
    <t>[2], tabblad 'Schatting productieprijs', cel H38</t>
  </si>
  <si>
    <t>Data van WEB over productie</t>
  </si>
  <si>
    <t>Gerealiseerde inkoop brandstof en productie WEB</t>
  </si>
  <si>
    <t>Gerealiseerde totale productie WEB (uitsluitend solar)</t>
  </si>
  <si>
    <t>Vastgestelde gegevens over WEB (o.b.v. tarievenbeschikkingen)</t>
  </si>
  <si>
    <t>[3], tabblad 'Resultaat', cel H17</t>
  </si>
  <si>
    <t>Overige gegevens</t>
  </si>
  <si>
    <t>Gegevens over WEB distributeur</t>
  </si>
  <si>
    <t>[3], tabblad 'Resultaat', cel H21</t>
  </si>
  <si>
    <t>[3], tabblad 'Resultaat', cel H22</t>
  </si>
  <si>
    <t xml:space="preserve">De schattingen voor productievolumes en brandstofrendement zijn gelijk aan het besluit voor 1 januari. </t>
  </si>
  <si>
    <t>Geschatte productie met brandstof</t>
  </si>
  <si>
    <t>Geschatte productie met wind en zon</t>
  </si>
  <si>
    <t>Geschat brandstofrendement productie met LSD</t>
  </si>
  <si>
    <t>liter / kWh</t>
  </si>
  <si>
    <t>Meeste recente brandstofprijzen</t>
  </si>
  <si>
    <t>USD/liter</t>
  </si>
  <si>
    <t>Overige gegevens voor vaststellen variabel gebruikstarief</t>
  </si>
  <si>
    <t>Wettelijke rente voor Caribisch Nederland</t>
  </si>
  <si>
    <t>[3], tabblad 'Variabel tarief elektriciteit', cel H35</t>
  </si>
  <si>
    <t>Voor WEB is geen brandstofcomponent vastgesteld, omdat WEB uitsluitend nog produceert met het zonnepark. Bij de berekening van de maandelijkse gewogen gemiddelde gerealiseerde brandstofcomponent, nemen we de waarde van 'nul' wel mee, omdat de aandelen van CGB en WEB in de productie per maand variëren.</t>
  </si>
  <si>
    <t>Geschatte productieniveaus WEB en CGB</t>
  </si>
  <si>
    <t>Geschatte brandstofcomponenten (o.b.v. tarievenbeschikkingen)</t>
  </si>
  <si>
    <t>Vastgestelde productieprijs CGB</t>
  </si>
  <si>
    <t>Berekening geschatte en gerealiseerde brandstofcomponenten</t>
  </si>
  <si>
    <t>Gegevens gerealiseerde brandstofcomponent CGB (= gefactureerd)</t>
  </si>
  <si>
    <t>Gefactureerde productieprijs</t>
  </si>
  <si>
    <t>Deel productieprijs exclusief brandstofcomponent CGB</t>
  </si>
  <si>
    <t>Berekening gerealiseerde gewogen gemiddelde brandstofcomponent</t>
  </si>
  <si>
    <t>Gerealiseerde totale productie CGB (per maand)</t>
  </si>
  <si>
    <t>Gerealiseerde totale productie WEB (per maand)</t>
  </si>
  <si>
    <t>Gefactureerde brandstofcomponent CGB</t>
  </si>
  <si>
    <t>Brandstofcomponent WEB is op nihil vastgesteld (uitsluitend productie met zon)</t>
  </si>
  <si>
    <t>We nemen de waarde 'nul' wel mee in de weging, omdat door wisselende productie de weging per maand verschilt.</t>
  </si>
  <si>
    <t>Gerealiseerde gewogen gemiddelde brandstofcomponent</t>
  </si>
  <si>
    <t>Berekening geschatte gewogen gemiddelde brandstofcomponent</t>
  </si>
  <si>
    <t>Geschatte totale productie CGB (jaartotaal voor deze maand)</t>
  </si>
  <si>
    <t>Geschatte totale productie WEB (jaartotaal voor deze maand)</t>
  </si>
  <si>
    <t>Geschatte brandstofcomponent CGB (o.b.v. tarievenbeschikking)</t>
  </si>
  <si>
    <t>Geschatte brandstofcomponent WEB (o.b.v. tarievenbeschikking)</t>
  </si>
  <si>
    <t>Geschatte gewogen gemiddelde brandstofcomponent</t>
  </si>
  <si>
    <t>Interpretatie: dit zijn de kosten geweest van WEB distributeur voor de inkoop van brandstof</t>
  </si>
  <si>
    <t>Interpretatie: dit zijn de opbrengsten geweest van WEB distributeur ter dekking van de brandstofkosten</t>
  </si>
  <si>
    <t>Verschil tussen gerealiseerde en geschatte brandstofcomponent</t>
  </si>
  <si>
    <t>positief bedrag = WEB heeft hogere inkoopkosten brandstofcomponent dan geschat, en krijgt hiervoor een bedrag vergoed, dus een positieve nacalculatie</t>
  </si>
  <si>
    <t>Gerealiseerde volumes (eigen productie + inkoop bij CGB)</t>
  </si>
  <si>
    <t>Bedrag inkoopcorrectie brandstofcomponent per maand</t>
  </si>
  <si>
    <t>USD</t>
  </si>
  <si>
    <t>Totaal bedrag nacalculatie</t>
  </si>
  <si>
    <t>De geschatte gewogen gemiddelde productieprijs is de gemiddelde productieprijs waarmee 'distributeur WEB' wordt geconfronteerd. Deze wordt vanaf 2021 iets anders berekend: we nemen nu het gewogen gemiddelde van de totale productieprijs voor CGB en voor WEB, i.p.v. een losse berekening van de brandstofcomponent.</t>
  </si>
  <si>
    <t>Ophalen gegevens van CGB voor berekening</t>
  </si>
  <si>
    <t>Gegevens ten behoeve van productieprijs CGB</t>
  </si>
  <si>
    <t>Ophalen gegevens van WEB voor berekening</t>
  </si>
  <si>
    <t>Gegevens over productie WEB</t>
  </si>
  <si>
    <t>Brandstofcomponent voor WEB is op nul gesteld, aangezien WEB uitsluitend nog met solar produceert</t>
  </si>
  <si>
    <t>Berekening nieuwe schatting brandstofcomponent</t>
  </si>
  <si>
    <t>Geschatte aandeel van productie met brandstof</t>
  </si>
  <si>
    <t>Brandstofprijs LSD mei CGB</t>
  </si>
  <si>
    <t>Wettelijke rente</t>
  </si>
  <si>
    <t>https://wetten.overheid.nl/BWBR0030649/2011-11-18</t>
  </si>
  <si>
    <t>nee</t>
  </si>
  <si>
    <t>ja</t>
  </si>
  <si>
    <t>- Er wordt een update gemaakt van de kosten die WEB heeft voor inkoop van elektriciteit bij ContourGlobal Bonaire, hierna CGB. De brandstofprijs kan veranderd zijn ten opzichte van het vorige besluit, en de ACM past het variabele gebruikstarief ieder half jaar aan op de nieuwe brandstofprijzen.</t>
  </si>
  <si>
    <t>De ACM berekent in dit bestand wat het variabele gebruikstarief wordt voor levering van elektriciteit door WEB, per 1 juli 2024.</t>
  </si>
  <si>
    <t>Het variabele gebruikstarief wordt bijgesteld ten opzichte van het tarief per 1 januari 2024, op basis van twee wijzigingen:</t>
  </si>
  <si>
    <t>- WEB ontvangt een vergoeding voor het verschil in betaalde en vergoede brandstofcomponent (aan CGB) over de periode november 2023 - april 2024.</t>
  </si>
  <si>
    <t>Waarde</t>
  </si>
  <si>
    <t>USD, pp 2025</t>
  </si>
  <si>
    <t>USD, pp 2025 / kWh</t>
  </si>
  <si>
    <t>Geschatte totale productie CGB voor 2025</t>
  </si>
  <si>
    <t>Deel productieprijs exclusief brandstofcomponent CGB voor 2025</t>
  </si>
  <si>
    <t>Geschatte totale productie WEB voor 2025</t>
  </si>
  <si>
    <t>Zoals opgenomen in productieprijsbeschikking voor CGB voor 2025</t>
  </si>
  <si>
    <t>Correctiebedrag van toepassing op heel 2025, betreft effecten van profit sharing en overige nacalculaties</t>
  </si>
  <si>
    <t>Geschatte totale productie CGB voor 2025 (geheel jaar)</t>
  </si>
  <si>
    <t>Geschatte totale productie WEB voor 2025 (geheel jaar)</t>
  </si>
  <si>
    <t>Tarieven WEB per 1 januari 2025</t>
  </si>
  <si>
    <t>Tarieven CGB per 1 januari 2025</t>
  </si>
  <si>
    <t>Tariefbesluit distributietarieven elektriciteit 2025 Bonaire WEB | ACM.nl</t>
  </si>
  <si>
    <t>Tariefbesluit productieprijs elektriciteit 2025 Bonaire ContourGlobal | ACM.nl</t>
  </si>
  <si>
    <t>[5], tabblad 'Total income 2026', cel H45</t>
  </si>
  <si>
    <t>[5], tabblad 'Est. Production and costs 2026', cel H13</t>
  </si>
  <si>
    <t>[5], tabblad 'Est. Production and costs 2026', cel H16</t>
  </si>
  <si>
    <t>Geschatte totale productie CGB voor 2026</t>
  </si>
  <si>
    <t>Gegevens over nieuwe productiesituatie per 1 juli 2026</t>
  </si>
  <si>
    <t>De brandstofprijs voor LSD wordt uiteraard geüpdated in deze berekening (wordt gebaseerd op de laatste factuur van mei 2026).</t>
  </si>
  <si>
    <t>Hieronder zijn alle brongegevens opgenomen die de ACM nodig heeft om een nieuwe hoogte van de productieprijs te bepalen, zoals CGB die mag rekenen vanaf juli 2026.</t>
  </si>
  <si>
    <t>Correctiebedrag van toepassing op juli - december 2026</t>
  </si>
  <si>
    <t>Geschatte totale productie CGB in 2026</t>
  </si>
  <si>
    <t>Gegevens over brandstofrendement CGB (verwachtingen voor 2026)</t>
  </si>
  <si>
    <t>Correctiebedrag voor variabel gebruikstarief 2026 per kWh (heel 2026)</t>
  </si>
  <si>
    <t>USD, pp 2026 / kWh</t>
  </si>
  <si>
    <t>Deel productieprijs exclusief brandstofcomponent CGB voor 2026</t>
  </si>
  <si>
    <t>Geschatte brandstofcomponent CGB voor jan - juni 2026</t>
  </si>
  <si>
    <t>[5], tabblad 'Production price 2026', cel H16</t>
  </si>
  <si>
    <t>[5], tabblad 'Production price 2026', cel H18</t>
  </si>
  <si>
    <t>NB: deze is uitsluitend vastgesteld i.h.k.v. tarief voor WEB per 1 juli 2025</t>
  </si>
  <si>
    <t>[5], tabblad 'Production price 2026', cel H20</t>
  </si>
  <si>
    <t>[4], tabblad 'Production price 2025', cel H18</t>
  </si>
  <si>
    <t>[4], tabblad 'Production price 2025', cel H16</t>
  </si>
  <si>
    <t>Geschatte brandstofcomponent CGB voor jul - dec 2025</t>
  </si>
  <si>
    <t xml:space="preserve">Hieronder zijn alle brongegevens opgenomen die de ACM nodig heeft om de inkoopcorrectie voor brandstof te bepalen over de periode november 2025 - april 2026. </t>
  </si>
  <si>
    <t>Geschatte totale productie WEB voor 2026</t>
  </si>
  <si>
    <t>Productieprijs (brandstofcomponent is nihil) WEB voor 2026</t>
  </si>
  <si>
    <t>[3], tabblad 'Gegevens raming 2026', cel L15</t>
  </si>
  <si>
    <t>[1], tabblad 'Gegevens raming 2025', cel L15</t>
  </si>
  <si>
    <t>Omdat WEB uitsluitend nog met solar produceert, is deze productieprijs niet meer afhankelijk van een brandstofcomponent, en geldt deze dus voor heel 2026.</t>
  </si>
  <si>
    <t>Variabel distributietarief  (jan - juni 2026)</t>
  </si>
  <si>
    <t>Pagabontarief elektriciteit  (jan - juni 2026)</t>
  </si>
  <si>
    <t>Geschatte aandeel eerste half jaar in totale eilandvraag Bonaire 2026</t>
  </si>
  <si>
    <t>Netverliespercentage voor WEB zoals vastgesteld in tarievenbeschikking 2026</t>
  </si>
  <si>
    <t>[3], tabblad 'Gegevens raming 2026', cel L21</t>
  </si>
  <si>
    <t>[3], tabblad 'Gegevens raming 2026', cel M35</t>
  </si>
  <si>
    <t>Dit bedrag betrekt de ACM bij het vaststellen van het nieuwe variabele gebruikstarief per 1 juli 2026. Dit betreft ook gegevens die afkomstig zijn van ContourGlobal Bonaire.</t>
  </si>
  <si>
    <t>november 2025</t>
  </si>
  <si>
    <t>december 2025</t>
  </si>
  <si>
    <t>januari 2026</t>
  </si>
  <si>
    <t>februari 2026</t>
  </si>
  <si>
    <t>maart 2026</t>
  </si>
  <si>
    <t>april 2026</t>
  </si>
  <si>
    <t>De werkelijke kosten die WEB distributeur heeft gehad voor de inkoop van elektriciteit in de maanden november 2025 tot en met april 2026 wijken af van de geschatte kosten, omdat de inkoop bij CGB afhangt van variërende brandstofprijzen, en omdat de productiehoeveelheden van CGB en WEB maandelijks variëren.</t>
  </si>
  <si>
    <t>Nacalculatie inkoop brandstofcomponent voor distributeur WEB (november 2025 - april 2026)</t>
  </si>
  <si>
    <t>De ACM calculeert het verschil na dat ontstaan is door de gewijzigde brandstofprijzen bij CGB in de periode november 2025 - april 2026, WEB distributeur krijgt dit verschil terug via de tarieven in juli tot en met december 2026.</t>
  </si>
  <si>
    <t>Geschatte totale productie CGB voor 2026 (geheel jaar)</t>
  </si>
  <si>
    <t>Geschatte totale productie WEB voor 2026 (geheel jaar)</t>
  </si>
  <si>
    <t>Geschatte brandstofcomponent CGB voor juli - dec 2025</t>
  </si>
  <si>
    <t>USD, pp 2026</t>
  </si>
  <si>
    <t>Berekening nacalculatiebedrag inkoopcorrectie brandstofcomponent voor distributeur WEB (november 2025 - april 2026)</t>
  </si>
  <si>
    <t>Bedrag nacalculatie voor november en december 2025</t>
  </si>
  <si>
    <t>Bedrag nacalculatie voor januari - april 2026</t>
  </si>
  <si>
    <t>Inschatting productie WEB en productie CGB periode 1 juli tot 31 december 2026</t>
  </si>
  <si>
    <t>Inschatting totale productie ContourGlobal en WEB in 2026</t>
  </si>
  <si>
    <t>Aandeel verwachte jaarproductie in jan - juni 2026</t>
  </si>
  <si>
    <t>Verwachting totale productie 1 juli tot 31 december 2026</t>
  </si>
  <si>
    <t>Op dit tabblad wordt op basis van de beschikbare gegevens een nieuwe schatting gemaakt van de brandstofcomponent per 1 juli 2026.</t>
  </si>
  <si>
    <t>Brandstofprijs LSD CGB mei 2026</t>
  </si>
  <si>
    <t>Deel productieprijs exclusief brandstofcomponent WEB voor 2026</t>
  </si>
  <si>
    <t>Schatting productieprijzen vanaf 1 juli 2026</t>
  </si>
  <si>
    <t>Schatting brandstofcomponent CGB voor tarief per 1 juli 2026</t>
  </si>
  <si>
    <t>Geschatte brandstofcomponent CGB voor tarief per 1 juli 2026</t>
  </si>
  <si>
    <t>Berekening geschatte productieprijs per 1 juli 2026</t>
  </si>
  <si>
    <t>Berekening geschatte gewogen gemiddelde productieprijs voor distributeur WEB voor juli - dec 2026</t>
  </si>
  <si>
    <t>Geschatte productieprijs (incl. brandstofcomponent) voor CGB per 1 juli 2026</t>
  </si>
  <si>
    <t>Geschatte gewogen gemiddelde productieprijs per 1 juli 2026</t>
  </si>
  <si>
    <t>Deze productieprijs is geen tarief dat door de ACM wordt vastgesteld, het dient uitsluitend voor de berekening van het nieuwe variabele gebruikstarief per 1 juli 2026.</t>
  </si>
  <si>
    <t>Belangrijkste gegevens variabel gebruikstarief WEB per 1 juli 2026</t>
  </si>
  <si>
    <t>Toegepaste wettelijke rente voor 2026</t>
  </si>
  <si>
    <t>Totale distributievolume 2e helft 2026</t>
  </si>
  <si>
    <t>Netverliespercentage (geschat voor 2026)</t>
  </si>
  <si>
    <t>Correctie voor profit sharing en nacalculaties (voor heel 2026)</t>
  </si>
  <si>
    <t>Opbouw variabel gebruikstarief per 1 juli 2026</t>
  </si>
  <si>
    <t>Nieuwe schatting gewogen gemiddelde productieprijs per 1 juli 2026</t>
  </si>
  <si>
    <t>Totale correctiebedrag per kWh in variabel gebruikstarief per 1 juli 2026</t>
  </si>
  <si>
    <t>Variabele gebruikstarief per 1 juli 2026 (inclusief kosten netverlies)</t>
  </si>
  <si>
    <t>Pagabontarief per 1 juli 2026</t>
  </si>
  <si>
    <t>Op dit blad stelt de ACM het nieuwe variabele gebruikstarief voor elektriciteit vast, dat geldt voor WEB per 1 juli 2026.</t>
  </si>
  <si>
    <t>Berekening correctiebedragen in variabel gebruikstarief WEB elektriciteit per 1 juli 2026</t>
  </si>
  <si>
    <t>Betreft nacalculatie over november 2025 - april 2026</t>
  </si>
  <si>
    <t>Correctie voor profit sharing en nacalculatie over heel 2026 in variabele gebruikstarief</t>
  </si>
  <si>
    <t>Berekening variabel gebruikstarief WEB elektriciteit per 1 juli 2026</t>
  </si>
  <si>
    <t>Berekening variabele gebruikstarief per 1 juli 2026</t>
  </si>
  <si>
    <t>Variabel gebruikstarief per 1 juli 2026</t>
  </si>
  <si>
    <t>Variabel gebruikstarief per 1 juli 2026 afgerond op 4 decimalen</t>
  </si>
  <si>
    <t>Berekening Pagabontarief per 1 juli 2026</t>
  </si>
  <si>
    <t>Variabel distributietarief vastgesteld per 1 jan 2026 (voor jan - juni 2026)</t>
  </si>
  <si>
    <t>Tarieven WEB per 1 juli 2025</t>
  </si>
  <si>
    <t>Tarieven WEB per 1 januari 2026</t>
  </si>
  <si>
    <t>Tarieven CGB per 1 januari 2026</t>
  </si>
  <si>
    <t>Tariefbesluit productieprijs elektriciteit 2026 Bonaire ContourGlobal | ACM</t>
  </si>
  <si>
    <t>Tariefbesluit distributietarieven elektriciteit 2026 Bonaire WEB | ACM</t>
  </si>
  <si>
    <t>Beschikking variabel tarief elektriciteit 1 juli 2025 Bonaire (Caribisch Nederland) | ACM</t>
  </si>
  <si>
    <t>Ontvangen van WEB per e-mail op 14 april 2026.</t>
  </si>
  <si>
    <t>Brandstofprijs CGB 31 mei 2026</t>
  </si>
  <si>
    <t>Ontvangen van CGB per e-mail op 3 Juni 2026.</t>
  </si>
  <si>
    <t>Maandelijkse facturen CGB aan WEB nov-mrt</t>
  </si>
  <si>
    <t>Gerealiseerde productie WEB nov-mrt</t>
  </si>
  <si>
    <t>Factuur CGB aan WEB april</t>
  </si>
  <si>
    <t>Gerealiseerde productie WEB april</t>
  </si>
  <si>
    <t>[6], [8]</t>
  </si>
  <si>
    <t>[7], [9]</t>
  </si>
  <si>
    <t>[11]</t>
  </si>
  <si>
    <t>[10]</t>
  </si>
  <si>
    <t>Ontvangen van WEB per e-mail op 13 mei 2026.</t>
  </si>
  <si>
    <t>Berekening variabel gebruikstarief elektriciteit WEB per 1 juli 2026</t>
  </si>
  <si>
    <t>ACM/26/201400</t>
  </si>
  <si>
    <t>Beschikking variabel tarief elektriciteit 1 juli 2026 Bonaire (Caribisch Nederland)</t>
  </si>
  <si>
    <t>ACM/UIT/681851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</si>
</sst>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 #,##0.0000_ ;_ * \-#,##0.0000_ ;_ * &quot;-&quot;??_ ;_ @_ "/>
    <numFmt numFmtId="166" formatCode="_ * #,##0.0000_ ;_ * \-#,##0.0000_ ;_ * &quot;-&quot;????_ ;_ @_ "/>
    <numFmt numFmtId="167" formatCode="_ * #,##0.00000_ ;_ * \-#,##0.00000_ ;_ * &quot;-&quot;??_ ;_ @_ "/>
    <numFmt numFmtId="168" formatCode="_ * #,##0.0000000_ ;_ * \-#,##0.0000000_ ;_ * &quot;-&quot;????_ ;_ @_ "/>
    <numFmt numFmtId="169" formatCode="_ * #,##0_ ;_ * \-#,##0_ ;_ * &quot;-&quot;????_ ;_ @_ "/>
    <numFmt numFmtId="170" formatCode="_ * #,##0.0000_ ;_ * \-#,##0.0000_ ;_ * &quot;-&quot;_ ;_ @_ "/>
  </numFmts>
  <fonts count="32"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8"/>
      <name val="Arial"/>
      <family val="2"/>
    </font>
    <font>
      <sz val="9"/>
      <color indexed="81"/>
      <name val="Tahoma"/>
      <family val="2"/>
    </font>
    <font>
      <sz val="9.5"/>
      <color theme="1"/>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theme="0"/>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7">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5" fillId="12" borderId="8" applyNumberFormat="0" applyAlignment="0" applyProtection="0"/>
    <xf numFmtId="0" fontId="16" fillId="13" borderId="9" applyNumberFormat="0" applyAlignment="0" applyProtection="0"/>
    <xf numFmtId="0" fontId="17" fillId="13" borderId="8" applyNumberFormat="0" applyAlignment="0" applyProtection="0"/>
    <xf numFmtId="0" fontId="18" fillId="0" borderId="10" applyNumberFormat="0" applyFill="0" applyAlignment="0" applyProtection="0"/>
    <xf numFmtId="0" fontId="12" fillId="14" borderId="11" applyNumberFormat="0" applyAlignment="0" applyProtection="0"/>
    <xf numFmtId="0" fontId="14" fillId="15"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40"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49" fontId="6" fillId="16" borderId="1">
      <alignment vertical="top"/>
    </xf>
  </cellStyleXfs>
  <cellXfs count="115">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1" fontId="5" fillId="0" borderId="0" xfId="4" applyNumberFormat="1" applyFill="1">
      <alignment vertical="top"/>
    </xf>
    <xf numFmtId="49" fontId="7" fillId="16" borderId="2" xfId="6" applyFont="1" applyBorder="1">
      <alignment vertical="top"/>
    </xf>
    <xf numFmtId="0" fontId="8" fillId="5" borderId="1" xfId="5" applyNumberFormat="1">
      <alignment vertical="top"/>
    </xf>
    <xf numFmtId="0" fontId="13" fillId="0" borderId="0" xfId="4" applyFont="1">
      <alignment vertical="top"/>
    </xf>
    <xf numFmtId="49" fontId="12" fillId="5" borderId="2" xfId="5" applyFont="1" applyBorder="1">
      <alignment vertical="top"/>
    </xf>
    <xf numFmtId="0" fontId="5" fillId="11" borderId="0" xfId="4" applyFill="1">
      <alignment vertical="top"/>
    </xf>
    <xf numFmtId="49" fontId="7" fillId="16" borderId="0" xfId="6" applyFont="1" applyBorder="1">
      <alignment vertical="top"/>
    </xf>
    <xf numFmtId="0" fontId="5" fillId="0" borderId="0" xfId="4" applyFont="1">
      <alignment vertical="top"/>
    </xf>
    <xf numFmtId="49" fontId="5" fillId="16" borderId="2" xfId="6" applyFont="1" applyBorder="1">
      <alignment vertical="top"/>
    </xf>
    <xf numFmtId="0" fontId="5" fillId="0" borderId="0" xfId="4" quotePrefix="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9" fontId="5" fillId="0" borderId="0" xfId="4" applyNumberFormat="1">
      <alignment vertical="top"/>
    </xf>
    <xf numFmtId="41" fontId="5" fillId="7" borderId="0" xfId="10">
      <alignment vertical="top"/>
    </xf>
    <xf numFmtId="41" fontId="5" fillId="6" borderId="0" xfId="12">
      <alignment vertical="top"/>
    </xf>
    <xf numFmtId="41" fontId="5" fillId="43" borderId="0" xfId="11">
      <alignment vertical="top"/>
    </xf>
    <xf numFmtId="49" fontId="20" fillId="0" borderId="0" xfId="61" applyAlignment="1">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9" fillId="11" borderId="0" xfId="4" applyFont="1" applyFill="1">
      <alignment vertical="top"/>
    </xf>
    <xf numFmtId="49" fontId="5" fillId="0" borderId="0" xfId="7" applyFont="1">
      <alignment vertical="top"/>
    </xf>
    <xf numFmtId="0" fontId="5" fillId="41" borderId="0" xfId="62" applyNumberFormat="1">
      <alignment vertical="top"/>
    </xf>
    <xf numFmtId="164" fontId="5" fillId="10" borderId="0" xfId="13" applyNumberFormat="1">
      <alignment vertical="top"/>
    </xf>
    <xf numFmtId="165" fontId="5" fillId="8" borderId="0" xfId="9" applyNumberFormat="1">
      <alignment vertical="top"/>
    </xf>
    <xf numFmtId="165" fontId="5" fillId="10" borderId="0" xfId="63" applyNumberFormat="1" applyFill="1">
      <alignment vertical="top"/>
    </xf>
    <xf numFmtId="165" fontId="5" fillId="8" borderId="0" xfId="63" applyNumberFormat="1">
      <alignment vertical="top"/>
    </xf>
    <xf numFmtId="10" fontId="5" fillId="10" borderId="0" xfId="64" applyFill="1">
      <alignment vertical="top"/>
    </xf>
    <xf numFmtId="165" fontId="5" fillId="9" borderId="0" xfId="63" applyNumberFormat="1" applyFill="1">
      <alignment vertical="top"/>
    </xf>
    <xf numFmtId="165" fontId="5" fillId="10" borderId="0" xfId="13" applyNumberFormat="1">
      <alignment vertical="top"/>
    </xf>
    <xf numFmtId="165" fontId="5" fillId="9" borderId="0" xfId="8" applyNumberFormat="1">
      <alignment vertical="top"/>
    </xf>
    <xf numFmtId="166" fontId="5" fillId="0" borderId="0" xfId="4" applyNumberFormat="1">
      <alignment vertical="top"/>
    </xf>
    <xf numFmtId="49" fontId="13" fillId="0" borderId="0" xfId="15" applyFont="1">
      <alignment vertical="top"/>
    </xf>
    <xf numFmtId="49" fontId="5" fillId="41" borderId="0" xfId="62" applyNumberFormat="1">
      <alignment vertical="top"/>
    </xf>
    <xf numFmtId="165" fontId="5" fillId="0" borderId="0" xfId="63" applyNumberFormat="1" applyFill="1">
      <alignment vertical="top"/>
    </xf>
    <xf numFmtId="164" fontId="5" fillId="43" borderId="0" xfId="11" applyNumberFormat="1">
      <alignment vertical="top"/>
    </xf>
    <xf numFmtId="167" fontId="5" fillId="43" borderId="0" xfId="11" applyNumberFormat="1">
      <alignment vertical="top"/>
    </xf>
    <xf numFmtId="164" fontId="5" fillId="0" borderId="0" xfId="4" applyNumberFormat="1">
      <alignment vertical="top"/>
    </xf>
    <xf numFmtId="165" fontId="5" fillId="43" borderId="0" xfId="11" applyNumberFormat="1">
      <alignment vertical="top"/>
    </xf>
    <xf numFmtId="10" fontId="5" fillId="43" borderId="0" xfId="64" applyFill="1">
      <alignment vertical="top"/>
    </xf>
    <xf numFmtId="0" fontId="26" fillId="0" borderId="0" xfId="0" applyFont="1" applyAlignment="1"/>
    <xf numFmtId="0" fontId="1" fillId="0" borderId="0" xfId="0" applyFont="1" applyAlignment="1"/>
    <xf numFmtId="0" fontId="0" fillId="0" borderId="0" xfId="0" applyAlignment="1"/>
    <xf numFmtId="164" fontId="5" fillId="8" borderId="0" xfId="9" applyNumberFormat="1">
      <alignment vertical="top"/>
    </xf>
    <xf numFmtId="165" fontId="5" fillId="43" borderId="0" xfId="63" applyNumberFormat="1" applyFill="1">
      <alignment vertical="top"/>
    </xf>
    <xf numFmtId="41" fontId="5" fillId="0" borderId="0" xfId="12" applyFill="1">
      <alignment vertical="top"/>
    </xf>
    <xf numFmtId="49" fontId="13" fillId="0" borderId="0" xfId="7" applyFont="1">
      <alignment vertical="top"/>
    </xf>
    <xf numFmtId="10" fontId="5" fillId="43" borderId="0" xfId="11" applyNumberFormat="1">
      <alignment vertical="top"/>
    </xf>
    <xf numFmtId="49" fontId="6" fillId="16" borderId="1" xfId="66">
      <alignment vertical="top"/>
    </xf>
    <xf numFmtId="164" fontId="5" fillId="10" borderId="0" xfId="63" applyNumberFormat="1" applyFill="1">
      <alignment vertical="top"/>
    </xf>
    <xf numFmtId="43" fontId="5" fillId="41" borderId="0" xfId="62">
      <alignment vertical="top"/>
    </xf>
    <xf numFmtId="165" fontId="5" fillId="8" borderId="0" xfId="63" applyNumberFormat="1" applyFill="1">
      <alignment vertical="top"/>
    </xf>
    <xf numFmtId="43" fontId="5" fillId="0" borderId="0" xfId="63" applyFill="1">
      <alignment vertical="top"/>
    </xf>
    <xf numFmtId="165" fontId="5" fillId="41" borderId="0" xfId="63" applyNumberFormat="1" applyFill="1">
      <alignment vertical="top"/>
    </xf>
    <xf numFmtId="43" fontId="6" fillId="16" borderId="1" xfId="63" applyFont="1" applyFill="1" applyBorder="1">
      <alignment vertical="top"/>
    </xf>
    <xf numFmtId="164" fontId="5" fillId="8" borderId="0" xfId="63" applyNumberFormat="1" applyFill="1">
      <alignment vertical="top"/>
    </xf>
    <xf numFmtId="164" fontId="5" fillId="0" borderId="0" xfId="63" applyNumberFormat="1" applyFill="1">
      <alignment vertical="top"/>
    </xf>
    <xf numFmtId="164" fontId="5" fillId="8" borderId="0" xfId="63" applyNumberFormat="1">
      <alignment vertical="top"/>
    </xf>
    <xf numFmtId="168" fontId="5" fillId="0" borderId="0" xfId="4" applyNumberFormat="1">
      <alignment vertical="top"/>
    </xf>
    <xf numFmtId="164" fontId="5" fillId="9" borderId="0" xfId="63" applyNumberFormat="1" applyFill="1">
      <alignment vertical="top"/>
    </xf>
    <xf numFmtId="169" fontId="5" fillId="8" borderId="0" xfId="4" applyNumberFormat="1" applyFill="1">
      <alignment vertical="top"/>
    </xf>
    <xf numFmtId="10" fontId="5" fillId="10" borderId="0" xfId="13" applyNumberFormat="1">
      <alignment vertical="top"/>
    </xf>
    <xf numFmtId="169" fontId="5" fillId="9" borderId="0" xfId="4" applyNumberFormat="1" applyFill="1">
      <alignment vertical="top"/>
    </xf>
    <xf numFmtId="165" fontId="6" fillId="16" borderId="1" xfId="63" applyNumberFormat="1" applyFont="1" applyFill="1" applyBorder="1">
      <alignment vertical="top"/>
    </xf>
    <xf numFmtId="2" fontId="1" fillId="0" borderId="0" xfId="0" applyNumberFormat="1" applyFont="1" applyAlignment="1">
      <alignment horizontal="center" vertical="center"/>
    </xf>
    <xf numFmtId="2" fontId="1" fillId="0" borderId="0" xfId="0" applyNumberFormat="1" applyFont="1" applyAlignment="1">
      <alignment horizontal="left" vertical="center"/>
    </xf>
    <xf numFmtId="0" fontId="1" fillId="0" borderId="0" xfId="0" applyFont="1" applyAlignment="1">
      <alignment horizontal="left"/>
    </xf>
    <xf numFmtId="10" fontId="5" fillId="8" borderId="0" xfId="64" applyFill="1">
      <alignment vertical="top"/>
    </xf>
    <xf numFmtId="49" fontId="20" fillId="0" borderId="2" xfId="61" applyBorder="1" applyAlignment="1">
      <alignment vertical="top"/>
    </xf>
    <xf numFmtId="169" fontId="5" fillId="0" borderId="0" xfId="4" applyNumberFormat="1">
      <alignment vertical="top"/>
    </xf>
    <xf numFmtId="0" fontId="1" fillId="0" borderId="2" xfId="4" applyFont="1" applyBorder="1">
      <alignment vertical="top"/>
    </xf>
    <xf numFmtId="165" fontId="5" fillId="0" borderId="0" xfId="4" applyNumberFormat="1">
      <alignment vertical="top"/>
    </xf>
    <xf numFmtId="4" fontId="5" fillId="0" borderId="0" xfId="4" applyNumberFormat="1">
      <alignment vertical="top"/>
    </xf>
    <xf numFmtId="3" fontId="5" fillId="0" borderId="0" xfId="4" applyNumberFormat="1">
      <alignment vertical="top"/>
    </xf>
    <xf numFmtId="0" fontId="5" fillId="44" borderId="0" xfId="4" applyFill="1">
      <alignment vertical="top"/>
    </xf>
    <xf numFmtId="170" fontId="5" fillId="43" borderId="0" xfId="11" applyNumberFormat="1">
      <alignment vertical="top"/>
    </xf>
    <xf numFmtId="0" fontId="5" fillId="0" borderId="5" xfId="4" applyBorder="1">
      <alignment vertical="top"/>
    </xf>
    <xf numFmtId="0" fontId="5" fillId="0" borderId="6" xfId="4" applyBorder="1">
      <alignment vertical="top"/>
    </xf>
    <xf numFmtId="0" fontId="5" fillId="0" borderId="7" xfId="4" applyBorder="1">
      <alignment vertical="top"/>
    </xf>
    <xf numFmtId="49" fontId="6" fillId="16" borderId="3" xfId="6" applyBorder="1">
      <alignment vertical="top"/>
    </xf>
    <xf numFmtId="49" fontId="6" fillId="16" borderId="1" xfId="6" applyBorder="1">
      <alignment vertical="top"/>
    </xf>
    <xf numFmtId="49" fontId="6" fillId="16" borderId="4" xfId="6" applyBorder="1">
      <alignment vertical="top"/>
    </xf>
    <xf numFmtId="0" fontId="5" fillId="0" borderId="17" xfId="4" applyBorder="1">
      <alignment vertical="top"/>
    </xf>
    <xf numFmtId="0" fontId="5" fillId="0" borderId="0" xfId="4" applyBorder="1">
      <alignment vertical="top"/>
    </xf>
    <xf numFmtId="0" fontId="5" fillId="0" borderId="18" xfId="4" applyBorder="1">
      <alignment vertical="top"/>
    </xf>
    <xf numFmtId="0" fontId="6" fillId="0" borderId="0" xfId="4" applyFont="1" applyBorder="1">
      <alignment vertical="top"/>
    </xf>
    <xf numFmtId="10" fontId="5" fillId="0" borderId="0" xfId="64" applyFill="1" applyBorder="1">
      <alignment vertical="top"/>
    </xf>
    <xf numFmtId="164" fontId="5" fillId="0" borderId="0" xfId="13" applyNumberFormat="1" applyFill="1" applyBorder="1">
      <alignment vertical="top"/>
    </xf>
    <xf numFmtId="165" fontId="5" fillId="0" borderId="0" xfId="9" applyNumberFormat="1" applyFill="1" applyBorder="1">
      <alignment vertical="top"/>
    </xf>
    <xf numFmtId="165" fontId="5" fillId="0" borderId="0" xfId="63" applyNumberFormat="1" applyFill="1" applyBorder="1">
      <alignment vertical="top"/>
    </xf>
    <xf numFmtId="165" fontId="5" fillId="0" borderId="0" xfId="8" applyNumberFormat="1" applyFill="1" applyBorder="1">
      <alignment vertical="top"/>
    </xf>
    <xf numFmtId="0" fontId="9" fillId="0" borderId="0" xfId="4" applyFont="1" applyBorder="1">
      <alignment vertical="top"/>
    </xf>
    <xf numFmtId="0" fontId="5" fillId="0" borderId="19" xfId="4" applyBorder="1">
      <alignment vertical="top"/>
    </xf>
    <xf numFmtId="0" fontId="5" fillId="0" borderId="20" xfId="4" applyBorder="1">
      <alignment vertical="top"/>
    </xf>
    <xf numFmtId="0" fontId="5" fillId="0" borderId="21" xfId="4" applyBorder="1">
      <alignment vertical="top"/>
    </xf>
    <xf numFmtId="0" fontId="31" fillId="0" borderId="0" xfId="0" applyFont="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7">
    <cellStyle name="_kop1 Bladtitel" xfId="5" xr:uid="{00000000-0005-0000-0000-000000000000}"/>
    <cellStyle name="_kop2 Bloktitel" xfId="6" xr:uid="{00000000-0005-0000-0000-000001000000}"/>
    <cellStyle name="_kop2 Bloktitel 2" xfId="66" xr:uid="{6325C1B6-2C80-49CE-AFF8-754B9CE44B88}"/>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CCFFFF"/>
      <color rgb="FFE1FFE1"/>
      <color rgb="FF99FF99"/>
      <color rgb="FFFFFFCC"/>
      <color rgb="FFCCC8D9"/>
      <color rgb="FFCC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tariefbesluit-productieprijs-elektriciteit-2025-bonaire-contourglobal" TargetMode="External"/><Relationship Id="rId7" Type="http://schemas.openxmlformats.org/officeDocument/2006/relationships/printerSettings" Target="../printerSettings/printerSettings3.bin"/><Relationship Id="rId2" Type="http://schemas.openxmlformats.org/officeDocument/2006/relationships/hyperlink" Target="https://www.acm.nl/nl/publicaties/tariefbesluit-distributietarieven-elektriciteit-2025-bonaire-web" TargetMode="External"/><Relationship Id="rId1" Type="http://schemas.openxmlformats.org/officeDocument/2006/relationships/hyperlink" Target="https://wetten.overheid.nl/BWBR0030649/2011-11-18" TargetMode="External"/><Relationship Id="rId6" Type="http://schemas.openxmlformats.org/officeDocument/2006/relationships/hyperlink" Target="https://www.acm.nl/nl/publicaties/beschikking-variabel-tarief-elektriciteit-1-juli-2025-bonaire-caribisch-nederland" TargetMode="External"/><Relationship Id="rId5" Type="http://schemas.openxmlformats.org/officeDocument/2006/relationships/hyperlink" Target="https://www.acm.nl/nl/publicaties/tariefbesluit-distributietarieven-elektriciteit-2026-bonaire-web" TargetMode="External"/><Relationship Id="rId4" Type="http://schemas.openxmlformats.org/officeDocument/2006/relationships/hyperlink" Target="https://www.acm.nl/nl/publicaties/tariefbesluit-productieprijs-elektriciteit-2026-bonaire-contourgloba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50"/>
  <sheetViews>
    <sheetView showGridLines="0" tabSelected="1" zoomScale="85" zoomScaleNormal="85" workbookViewId="0">
      <pane ySplit="3" topLeftCell="A4" activePane="bottomLeft" state="frozen"/>
      <selection activeCell="O39" sqref="O39"/>
      <selection pane="bottomLeft" activeCell="E32" sqref="E32"/>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5" s="7" customFormat="1" ht="18" x14ac:dyDescent="0.2">
      <c r="B2" s="7" t="s">
        <v>1</v>
      </c>
    </row>
    <row r="6" spans="2:5" x14ac:dyDescent="0.2">
      <c r="B6" s="3"/>
    </row>
    <row r="13" spans="2:5" s="8" customFormat="1" x14ac:dyDescent="0.2">
      <c r="B13" s="8" t="s">
        <v>2</v>
      </c>
    </row>
    <row r="14" spans="2:5" s="9" customFormat="1" x14ac:dyDescent="0.2"/>
    <row r="15" spans="2:5" x14ac:dyDescent="0.2">
      <c r="B15" s="10" t="s">
        <v>3</v>
      </c>
      <c r="C15" s="11" t="s">
        <v>283</v>
      </c>
      <c r="E15" s="25"/>
    </row>
    <row r="16" spans="2:5" x14ac:dyDescent="0.2">
      <c r="B16" s="10" t="s">
        <v>4</v>
      </c>
      <c r="C16" s="11" t="s">
        <v>282</v>
      </c>
    </row>
    <row r="17" spans="2:3" x14ac:dyDescent="0.2">
      <c r="B17" s="10" t="s">
        <v>5</v>
      </c>
      <c r="C17" s="11"/>
    </row>
    <row r="18" spans="2:3" x14ac:dyDescent="0.2">
      <c r="B18" s="10" t="s">
        <v>6</v>
      </c>
      <c r="C18" s="11" t="s">
        <v>284</v>
      </c>
    </row>
    <row r="19" spans="2:3" x14ac:dyDescent="0.2">
      <c r="B19" s="10" t="s">
        <v>7</v>
      </c>
      <c r="C19" s="11"/>
    </row>
    <row r="20" spans="2:3" x14ac:dyDescent="0.2">
      <c r="B20" s="10" t="s">
        <v>8</v>
      </c>
      <c r="C20" s="112" t="s">
        <v>285</v>
      </c>
    </row>
    <row r="21" spans="2:3" x14ac:dyDescent="0.2">
      <c r="B21" s="10" t="s">
        <v>9</v>
      </c>
      <c r="C21" s="11"/>
    </row>
    <row r="22" spans="2:3" x14ac:dyDescent="0.2">
      <c r="B22" s="10" t="s">
        <v>10</v>
      </c>
      <c r="C22" s="11"/>
    </row>
    <row r="24" spans="2:3" x14ac:dyDescent="0.2">
      <c r="B24" s="27" t="s">
        <v>77</v>
      </c>
    </row>
    <row r="27" spans="2:3" s="8" customFormat="1" x14ac:dyDescent="0.2">
      <c r="B27" s="8" t="s">
        <v>11</v>
      </c>
    </row>
    <row r="29" spans="2:3" x14ac:dyDescent="0.2">
      <c r="B29" s="34" t="s">
        <v>65</v>
      </c>
      <c r="C29" s="11" t="s">
        <v>160</v>
      </c>
    </row>
    <row r="30" spans="2:3" ht="25.5" x14ac:dyDescent="0.2">
      <c r="B30" s="34" t="s">
        <v>67</v>
      </c>
      <c r="C30" s="11" t="s">
        <v>160</v>
      </c>
    </row>
    <row r="31" spans="2:3" x14ac:dyDescent="0.2">
      <c r="B31" s="34" t="s">
        <v>66</v>
      </c>
      <c r="C31" s="11"/>
    </row>
    <row r="32" spans="2:3" ht="25.5" x14ac:dyDescent="0.2">
      <c r="B32" s="34" t="s">
        <v>68</v>
      </c>
      <c r="C32" s="11" t="s">
        <v>160</v>
      </c>
    </row>
    <row r="33" spans="2:4" ht="25.5" x14ac:dyDescent="0.2">
      <c r="B33" s="34" t="s">
        <v>69</v>
      </c>
      <c r="C33" s="11" t="s">
        <v>159</v>
      </c>
    </row>
    <row r="34" spans="2:4" x14ac:dyDescent="0.2">
      <c r="B34" s="10" t="s">
        <v>10</v>
      </c>
      <c r="C34" s="11"/>
    </row>
    <row r="36" spans="2:4" x14ac:dyDescent="0.2">
      <c r="B36" s="25"/>
    </row>
    <row r="37" spans="2:4" x14ac:dyDescent="0.2">
      <c r="B37" s="113" t="s">
        <v>61</v>
      </c>
      <c r="C37" s="114"/>
      <c r="D37" s="5"/>
    </row>
    <row r="38" spans="2:4" x14ac:dyDescent="0.2">
      <c r="B38" s="24"/>
      <c r="C38" s="24"/>
      <c r="D38" s="5"/>
    </row>
    <row r="40" spans="2:4" s="8" customFormat="1" x14ac:dyDescent="0.2">
      <c r="B40" s="8" t="s">
        <v>12</v>
      </c>
    </row>
    <row r="42" spans="2:4" x14ac:dyDescent="0.2">
      <c r="B42" s="2" t="s">
        <v>54</v>
      </c>
    </row>
    <row r="44" spans="2:4" x14ac:dyDescent="0.2">
      <c r="B44" s="2" t="s">
        <v>55</v>
      </c>
    </row>
    <row r="49" spans="2:2" x14ac:dyDescent="0.2">
      <c r="B49" s="4"/>
    </row>
    <row r="50" spans="2:2" x14ac:dyDescent="0.2">
      <c r="B50" s="27" t="s">
        <v>70</v>
      </c>
    </row>
  </sheetData>
  <mergeCells count="1">
    <mergeCell ref="B37:C37"/>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54D71-FB15-4A24-A91C-79E8DABA690F}">
  <sheetPr>
    <tabColor rgb="FFFFFFCC"/>
  </sheetPr>
  <dimension ref="B2:S78"/>
  <sheetViews>
    <sheetView showGridLines="0" zoomScale="85" zoomScaleNormal="85" workbookViewId="0">
      <pane xSplit="6" ySplit="13" topLeftCell="G14" activePane="bottomRight" state="frozen"/>
      <selection activeCell="F51" sqref="F51"/>
      <selection pane="topRight" activeCell="F51" sqref="F51"/>
      <selection pane="bottomLeft" activeCell="F51" sqref="F51"/>
      <selection pane="bottomRight" activeCell="G14" sqref="G14"/>
    </sheetView>
  </sheetViews>
  <sheetFormatPr defaultColWidth="9.140625" defaultRowHeight="12.75" x14ac:dyDescent="0.2"/>
  <cols>
    <col min="1" max="1" width="5.7109375" style="2" customWidth="1"/>
    <col min="2" max="2" width="66.42578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6.42578125" style="2" customWidth="1"/>
    <col min="18" max="18" width="2.7109375" style="2" customWidth="1"/>
    <col min="19" max="19" width="12.5703125" style="2" customWidth="1"/>
    <col min="20" max="33" width="13.7109375" style="2" customWidth="1"/>
    <col min="34" max="16384" width="9.140625" style="2"/>
  </cols>
  <sheetData>
    <row r="2" spans="2:19" s="15" customFormat="1" ht="18" x14ac:dyDescent="0.2">
      <c r="B2" s="15" t="s">
        <v>220</v>
      </c>
    </row>
    <row r="4" spans="2:19" x14ac:dyDescent="0.2">
      <c r="B4" s="1" t="s">
        <v>52</v>
      </c>
      <c r="C4" s="1"/>
      <c r="D4" s="1"/>
    </row>
    <row r="5" spans="2:19" x14ac:dyDescent="0.2">
      <c r="B5" s="2" t="s">
        <v>219</v>
      </c>
      <c r="H5" s="16"/>
    </row>
    <row r="6" spans="2:19" x14ac:dyDescent="0.2">
      <c r="B6" s="2" t="s">
        <v>221</v>
      </c>
      <c r="H6" s="16"/>
    </row>
    <row r="7" spans="2:19" x14ac:dyDescent="0.2">
      <c r="H7" s="16"/>
    </row>
    <row r="8" spans="2:19" x14ac:dyDescent="0.2">
      <c r="B8" s="27" t="s">
        <v>27</v>
      </c>
      <c r="H8" s="16"/>
    </row>
    <row r="9" spans="2:19" x14ac:dyDescent="0.2">
      <c r="B9" s="27" t="s">
        <v>119</v>
      </c>
      <c r="H9" s="16"/>
    </row>
    <row r="10" spans="2:19" x14ac:dyDescent="0.2">
      <c r="H10" s="16"/>
    </row>
    <row r="12" spans="2:19" s="8" customFormat="1" x14ac:dyDescent="0.2">
      <c r="B12" s="8" t="s">
        <v>41</v>
      </c>
      <c r="F12" s="8" t="s">
        <v>24</v>
      </c>
      <c r="H12" s="8" t="s">
        <v>25</v>
      </c>
      <c r="J12" s="8" t="s">
        <v>45</v>
      </c>
      <c r="L12" s="8" t="s">
        <v>213</v>
      </c>
      <c r="M12" s="8" t="s">
        <v>214</v>
      </c>
      <c r="N12" s="8" t="s">
        <v>215</v>
      </c>
      <c r="O12" s="8" t="s">
        <v>216</v>
      </c>
      <c r="P12" s="8" t="s">
        <v>217</v>
      </c>
      <c r="Q12" s="8" t="s">
        <v>218</v>
      </c>
      <c r="S12" s="8" t="s">
        <v>43</v>
      </c>
    </row>
    <row r="15" spans="2:19" s="65" customFormat="1" x14ac:dyDescent="0.2">
      <c r="B15" s="65" t="s">
        <v>44</v>
      </c>
    </row>
    <row r="17" spans="2:8" x14ac:dyDescent="0.2">
      <c r="B17" s="1" t="s">
        <v>120</v>
      </c>
    </row>
    <row r="18" spans="2:8" x14ac:dyDescent="0.2">
      <c r="B18" s="2" t="s">
        <v>173</v>
      </c>
      <c r="F18" s="2" t="s">
        <v>79</v>
      </c>
      <c r="H18" s="35">
        <f>'Gegevens inkoopcorrectie'!H23</f>
        <v>186183230.99999997</v>
      </c>
    </row>
    <row r="19" spans="2:8" x14ac:dyDescent="0.2">
      <c r="B19" s="2" t="s">
        <v>222</v>
      </c>
      <c r="F19" s="2" t="s">
        <v>79</v>
      </c>
      <c r="H19" s="35">
        <f>'Gegevens inkoopcorrectie'!H24</f>
        <v>171799335.30000007</v>
      </c>
    </row>
    <row r="20" spans="2:8" x14ac:dyDescent="0.2">
      <c r="B20" s="2" t="s">
        <v>174</v>
      </c>
      <c r="F20" s="2" t="s">
        <v>79</v>
      </c>
      <c r="H20" s="35">
        <f>'Gegevens inkoopcorrectie'!H37</f>
        <v>282924.66000000003</v>
      </c>
    </row>
    <row r="21" spans="2:8" x14ac:dyDescent="0.2">
      <c r="B21" s="2" t="s">
        <v>223</v>
      </c>
      <c r="F21" s="2" t="s">
        <v>79</v>
      </c>
      <c r="H21" s="35">
        <f>'Gegevens inkoopcorrectie'!H38</f>
        <v>176996</v>
      </c>
    </row>
    <row r="23" spans="2:8" x14ac:dyDescent="0.2">
      <c r="B23" s="1" t="s">
        <v>121</v>
      </c>
    </row>
    <row r="24" spans="2:8" x14ac:dyDescent="0.2">
      <c r="B24" s="2" t="s">
        <v>224</v>
      </c>
      <c r="F24" s="2" t="s">
        <v>166</v>
      </c>
      <c r="H24" s="46">
        <f>'Gegevens inkoopcorrectie'!H27</f>
        <v>0.17403666426331046</v>
      </c>
    </row>
    <row r="25" spans="2:8" x14ac:dyDescent="0.2">
      <c r="B25" s="2" t="s">
        <v>192</v>
      </c>
      <c r="F25" s="2" t="s">
        <v>225</v>
      </c>
      <c r="H25" s="46">
        <f>'Gegevens inkoopcorrectie'!H28</f>
        <v>0.18514493651145075</v>
      </c>
    </row>
    <row r="27" spans="2:8" x14ac:dyDescent="0.2">
      <c r="B27" s="1" t="s">
        <v>122</v>
      </c>
    </row>
    <row r="28" spans="2:8" x14ac:dyDescent="0.2">
      <c r="B28" s="2" t="s">
        <v>169</v>
      </c>
      <c r="F28" s="2" t="s">
        <v>166</v>
      </c>
      <c r="H28" s="46">
        <f>'Gegevens inkoopcorrectie'!H25</f>
        <v>0.12986</v>
      </c>
    </row>
    <row r="29" spans="2:8" x14ac:dyDescent="0.2">
      <c r="B29" s="2" t="s">
        <v>191</v>
      </c>
      <c r="F29" s="2" t="s">
        <v>225</v>
      </c>
      <c r="H29" s="46">
        <f>'Gegevens inkoopcorrectie'!H26</f>
        <v>0.16689999999999999</v>
      </c>
    </row>
    <row r="31" spans="2:8" x14ac:dyDescent="0.2">
      <c r="B31" s="2" t="s">
        <v>117</v>
      </c>
      <c r="F31" s="2" t="s">
        <v>83</v>
      </c>
      <c r="H31" s="44">
        <f>'Gegevens nieuwe productieprijs'!H29</f>
        <v>0.03</v>
      </c>
    </row>
    <row r="34" spans="2:19" s="65" customFormat="1" x14ac:dyDescent="0.2">
      <c r="B34" s="65" t="s">
        <v>123</v>
      </c>
    </row>
    <row r="36" spans="2:19" x14ac:dyDescent="0.2">
      <c r="B36" s="1" t="s">
        <v>124</v>
      </c>
    </row>
    <row r="37" spans="2:19" x14ac:dyDescent="0.2">
      <c r="B37" s="2" t="s">
        <v>125</v>
      </c>
      <c r="F37" s="2" t="s">
        <v>96</v>
      </c>
      <c r="L37" s="42">
        <f>'Gegevens inkoopcorrectie'!L20</f>
        <v>0.30113000000000001</v>
      </c>
      <c r="M37" s="42">
        <f>'Gegevens inkoopcorrectie'!M20</f>
        <v>0.30158000000000001</v>
      </c>
      <c r="N37" s="42">
        <f>'Gegevens inkoopcorrectie'!N20</f>
        <v>0.35204000000000002</v>
      </c>
      <c r="O37" s="42">
        <f>'Gegevens inkoopcorrectie'!O20</f>
        <v>0.34733000000000003</v>
      </c>
      <c r="P37" s="42">
        <f>'Gegevens inkoopcorrectie'!P20</f>
        <v>0.35776999999999998</v>
      </c>
      <c r="Q37" s="42">
        <f>'Gegevens inkoopcorrectie'!Q20</f>
        <v>0.33945999999999998</v>
      </c>
    </row>
    <row r="38" spans="2:19" x14ac:dyDescent="0.2">
      <c r="B38" s="2" t="s">
        <v>126</v>
      </c>
      <c r="F38" s="2" t="s">
        <v>96</v>
      </c>
      <c r="L38" s="42">
        <f>$H$28</f>
        <v>0.12986</v>
      </c>
      <c r="M38" s="42">
        <f>$H$28</f>
        <v>0.12986</v>
      </c>
      <c r="N38" s="42">
        <f>$H$29</f>
        <v>0.16689999999999999</v>
      </c>
      <c r="O38" s="42">
        <f>$H$29</f>
        <v>0.16689999999999999</v>
      </c>
      <c r="P38" s="42">
        <f>$H$29</f>
        <v>0.16689999999999999</v>
      </c>
      <c r="Q38" s="42">
        <f>$H$29</f>
        <v>0.16689999999999999</v>
      </c>
    </row>
    <row r="40" spans="2:19" x14ac:dyDescent="0.2">
      <c r="B40" s="1" t="s">
        <v>127</v>
      </c>
    </row>
    <row r="41" spans="2:19" x14ac:dyDescent="0.2">
      <c r="B41" s="2" t="s">
        <v>128</v>
      </c>
      <c r="F41" s="2" t="s">
        <v>79</v>
      </c>
      <c r="L41" s="66">
        <f>'Gegevens inkoopcorrectie'!L19</f>
        <v>14149760</v>
      </c>
      <c r="M41" s="66">
        <f>'Gegevens inkoopcorrectie'!M19</f>
        <v>13445300</v>
      </c>
      <c r="N41" s="66">
        <f>'Gegevens inkoopcorrectie'!N19</f>
        <v>13500280</v>
      </c>
      <c r="O41" s="66">
        <f>'Gegevens inkoopcorrectie'!O19</f>
        <v>12362920</v>
      </c>
      <c r="P41" s="66">
        <f>'Gegevens inkoopcorrectie'!P19</f>
        <v>13504840</v>
      </c>
      <c r="Q41" s="66">
        <f>'Gegevens inkoopcorrectie'!Q19</f>
        <v>13483970</v>
      </c>
    </row>
    <row r="42" spans="2:19" x14ac:dyDescent="0.2">
      <c r="B42" s="2" t="s">
        <v>129</v>
      </c>
      <c r="F42" s="2" t="s">
        <v>79</v>
      </c>
      <c r="L42" s="66">
        <f>'Gegevens inkoopcorrectie'!L34</f>
        <v>10607</v>
      </c>
      <c r="M42" s="66">
        <f>'Gegevens inkoopcorrectie'!M34</f>
        <v>16509</v>
      </c>
      <c r="N42" s="66">
        <f>'Gegevens inkoopcorrectie'!N34</f>
        <v>9440</v>
      </c>
      <c r="O42" s="66">
        <f>'Gegevens inkoopcorrectie'!O34</f>
        <v>17396</v>
      </c>
      <c r="P42" s="66">
        <f>'Gegevens inkoopcorrectie'!P34</f>
        <v>22841</v>
      </c>
      <c r="Q42" s="66">
        <f>'Gegevens inkoopcorrectie'!Q34</f>
        <v>20456</v>
      </c>
    </row>
    <row r="43" spans="2:19" x14ac:dyDescent="0.2">
      <c r="B43" s="2" t="s">
        <v>130</v>
      </c>
      <c r="F43" s="2" t="s">
        <v>96</v>
      </c>
      <c r="L43" s="41">
        <f t="shared" ref="L43:Q43" si="0">L37-L38</f>
        <v>0.17127000000000001</v>
      </c>
      <c r="M43" s="41">
        <f t="shared" si="0"/>
        <v>0.17172000000000001</v>
      </c>
      <c r="N43" s="41">
        <f t="shared" si="0"/>
        <v>0.18514000000000003</v>
      </c>
      <c r="O43" s="41">
        <f t="shared" si="0"/>
        <v>0.18043000000000003</v>
      </c>
      <c r="P43" s="41">
        <f t="shared" si="0"/>
        <v>0.19086999999999998</v>
      </c>
      <c r="Q43" s="41">
        <f t="shared" si="0"/>
        <v>0.17255999999999999</v>
      </c>
    </row>
    <row r="44" spans="2:19" x14ac:dyDescent="0.2">
      <c r="B44" s="2" t="s">
        <v>131</v>
      </c>
      <c r="F44" s="2" t="s">
        <v>96</v>
      </c>
      <c r="L44" s="67"/>
      <c r="M44" s="67"/>
      <c r="N44" s="67"/>
      <c r="O44" s="67"/>
      <c r="P44" s="67"/>
      <c r="Q44" s="67"/>
      <c r="S44" s="2" t="s">
        <v>132</v>
      </c>
    </row>
    <row r="45" spans="2:19" x14ac:dyDescent="0.2">
      <c r="B45" s="2" t="s">
        <v>133</v>
      </c>
      <c r="F45" s="2" t="s">
        <v>96</v>
      </c>
      <c r="L45" s="68">
        <f t="shared" ref="L45:Q45" si="1">IFERROR((L41*L43+L42*L44)/(L41+L42),0)</f>
        <v>0.17114170806448734</v>
      </c>
      <c r="M45" s="68">
        <f t="shared" si="1"/>
        <v>0.17150940976803342</v>
      </c>
      <c r="N45" s="68">
        <f t="shared" si="1"/>
        <v>0.18501063228549519</v>
      </c>
      <c r="O45" s="68">
        <f t="shared" si="1"/>
        <v>0.1801764717152616</v>
      </c>
      <c r="P45" s="68">
        <f t="shared" si="1"/>
        <v>0.19054772290978769</v>
      </c>
      <c r="Q45" s="68">
        <f t="shared" si="1"/>
        <v>0.17229861255857895</v>
      </c>
    </row>
    <row r="46" spans="2:19" x14ac:dyDescent="0.2">
      <c r="L46" s="69"/>
      <c r="M46" s="69"/>
      <c r="N46" s="69"/>
      <c r="O46" s="69"/>
      <c r="P46" s="69"/>
      <c r="Q46" s="69"/>
    </row>
    <row r="47" spans="2:19" x14ac:dyDescent="0.2">
      <c r="B47" s="1" t="s">
        <v>134</v>
      </c>
      <c r="L47" s="69"/>
      <c r="M47" s="69"/>
      <c r="N47" s="69"/>
      <c r="O47" s="69"/>
      <c r="P47" s="69"/>
      <c r="Q47" s="69"/>
    </row>
    <row r="48" spans="2:19" x14ac:dyDescent="0.2">
      <c r="B48" s="2" t="s">
        <v>135</v>
      </c>
      <c r="F48" s="2" t="s">
        <v>79</v>
      </c>
      <c r="L48" s="35">
        <f>$H$18</f>
        <v>186183230.99999997</v>
      </c>
      <c r="M48" s="35">
        <f>$H$18</f>
        <v>186183230.99999997</v>
      </c>
      <c r="N48" s="35">
        <f>$H$19</f>
        <v>171799335.30000007</v>
      </c>
      <c r="O48" s="35">
        <f>$H$19</f>
        <v>171799335.30000007</v>
      </c>
      <c r="P48" s="35">
        <f>$H$19</f>
        <v>171799335.30000007</v>
      </c>
      <c r="Q48" s="35">
        <f>$H$19</f>
        <v>171799335.30000007</v>
      </c>
    </row>
    <row r="49" spans="2:19" x14ac:dyDescent="0.2">
      <c r="B49" s="2" t="s">
        <v>136</v>
      </c>
      <c r="F49" s="2" t="s">
        <v>79</v>
      </c>
      <c r="L49" s="35">
        <f>$H$20</f>
        <v>282924.66000000003</v>
      </c>
      <c r="M49" s="35">
        <f>$H$20</f>
        <v>282924.66000000003</v>
      </c>
      <c r="N49" s="35">
        <f>$H$21</f>
        <v>176996</v>
      </c>
      <c r="O49" s="35">
        <f>$H$21</f>
        <v>176996</v>
      </c>
      <c r="P49" s="35">
        <f>$H$21</f>
        <v>176996</v>
      </c>
      <c r="Q49" s="35">
        <f>$H$21</f>
        <v>176996</v>
      </c>
    </row>
    <row r="50" spans="2:19" x14ac:dyDescent="0.2">
      <c r="B50" s="2" t="s">
        <v>137</v>
      </c>
      <c r="F50" s="2" t="s">
        <v>96</v>
      </c>
      <c r="L50" s="42">
        <f>$H$24</f>
        <v>0.17403666426331046</v>
      </c>
      <c r="M50" s="42">
        <f>$H$24</f>
        <v>0.17403666426331046</v>
      </c>
      <c r="N50" s="42">
        <f>$H$25</f>
        <v>0.18514493651145075</v>
      </c>
      <c r="O50" s="42">
        <f>$H$25</f>
        <v>0.18514493651145075</v>
      </c>
      <c r="P50" s="42">
        <f>$H$25</f>
        <v>0.18514493651145075</v>
      </c>
      <c r="Q50" s="42">
        <f>$H$25</f>
        <v>0.18514493651145075</v>
      </c>
    </row>
    <row r="51" spans="2:19" x14ac:dyDescent="0.2">
      <c r="B51" s="2" t="s">
        <v>138</v>
      </c>
      <c r="F51" s="2" t="s">
        <v>96</v>
      </c>
      <c r="L51" s="70"/>
      <c r="M51" s="70"/>
      <c r="N51" s="70"/>
      <c r="O51" s="70"/>
      <c r="P51" s="70"/>
      <c r="Q51" s="70"/>
    </row>
    <row r="52" spans="2:19" x14ac:dyDescent="0.2">
      <c r="B52" s="2" t="s">
        <v>139</v>
      </c>
      <c r="F52" s="2" t="s">
        <v>96</v>
      </c>
      <c r="L52" s="68">
        <f>(L48*L50+L49*L51)/(L48+L49)</f>
        <v>0.17377259884141152</v>
      </c>
      <c r="M52" s="68">
        <f t="shared" ref="M52:Q52" si="2">(M48*M50+M49*M51)/(M48+M49)</f>
        <v>0.17377259884141152</v>
      </c>
      <c r="N52" s="68">
        <f t="shared" si="2"/>
        <v>0.18495438753918772</v>
      </c>
      <c r="O52" s="68">
        <f t="shared" si="2"/>
        <v>0.18495438753918772</v>
      </c>
      <c r="P52" s="68">
        <f t="shared" si="2"/>
        <v>0.18495438753918772</v>
      </c>
      <c r="Q52" s="68">
        <f t="shared" si="2"/>
        <v>0.18495438753918772</v>
      </c>
    </row>
    <row r="53" spans="2:19" x14ac:dyDescent="0.2">
      <c r="H53" s="16"/>
      <c r="L53" s="69"/>
      <c r="M53" s="69"/>
      <c r="N53" s="69"/>
      <c r="O53" s="69"/>
      <c r="P53" s="69"/>
      <c r="Q53" s="69"/>
    </row>
    <row r="54" spans="2:19" x14ac:dyDescent="0.2">
      <c r="H54" s="16"/>
      <c r="L54" s="69"/>
      <c r="M54" s="69"/>
      <c r="N54" s="69"/>
      <c r="O54" s="69"/>
      <c r="P54" s="69"/>
      <c r="Q54" s="69"/>
    </row>
    <row r="55" spans="2:19" s="65" customFormat="1" x14ac:dyDescent="0.2">
      <c r="B55" s="65" t="s">
        <v>226</v>
      </c>
      <c r="L55" s="71"/>
      <c r="M55" s="71"/>
      <c r="N55" s="71"/>
      <c r="O55" s="71"/>
      <c r="P55" s="71"/>
      <c r="Q55" s="71"/>
    </row>
    <row r="56" spans="2:19" x14ac:dyDescent="0.2">
      <c r="L56" s="69"/>
      <c r="M56" s="69"/>
      <c r="N56" s="69"/>
      <c r="O56" s="69"/>
      <c r="P56" s="69"/>
      <c r="Q56" s="69"/>
    </row>
    <row r="57" spans="2:19" x14ac:dyDescent="0.2">
      <c r="B57" s="2" t="s">
        <v>133</v>
      </c>
      <c r="F57" s="2" t="s">
        <v>96</v>
      </c>
      <c r="L57" s="42">
        <f t="shared" ref="L57:Q57" si="3">L45</f>
        <v>0.17114170806448734</v>
      </c>
      <c r="M57" s="42">
        <f t="shared" si="3"/>
        <v>0.17150940976803342</v>
      </c>
      <c r="N57" s="42">
        <f t="shared" si="3"/>
        <v>0.18501063228549519</v>
      </c>
      <c r="O57" s="42">
        <f t="shared" si="3"/>
        <v>0.1801764717152616</v>
      </c>
      <c r="P57" s="42">
        <f t="shared" si="3"/>
        <v>0.19054772290978769</v>
      </c>
      <c r="Q57" s="42">
        <f t="shared" si="3"/>
        <v>0.17229861255857895</v>
      </c>
      <c r="S57" s="2" t="s">
        <v>140</v>
      </c>
    </row>
    <row r="58" spans="2:19" x14ac:dyDescent="0.2">
      <c r="B58" s="2" t="s">
        <v>139</v>
      </c>
      <c r="F58" s="2" t="s">
        <v>96</v>
      </c>
      <c r="L58" s="42">
        <f t="shared" ref="L58:Q58" si="4">L52</f>
        <v>0.17377259884141152</v>
      </c>
      <c r="M58" s="42">
        <f t="shared" si="4"/>
        <v>0.17377259884141152</v>
      </c>
      <c r="N58" s="42">
        <f t="shared" si="4"/>
        <v>0.18495438753918772</v>
      </c>
      <c r="O58" s="42">
        <f t="shared" si="4"/>
        <v>0.18495438753918772</v>
      </c>
      <c r="P58" s="42">
        <f t="shared" si="4"/>
        <v>0.18495438753918772</v>
      </c>
      <c r="Q58" s="42">
        <f t="shared" si="4"/>
        <v>0.18495438753918772</v>
      </c>
      <c r="S58" s="2" t="s">
        <v>141</v>
      </c>
    </row>
    <row r="59" spans="2:19" x14ac:dyDescent="0.2">
      <c r="B59" s="2" t="s">
        <v>142</v>
      </c>
      <c r="F59" s="2" t="s">
        <v>96</v>
      </c>
      <c r="H59" s="48"/>
      <c r="L59" s="68">
        <f>L57-L58</f>
        <v>-2.6308907769241885E-3</v>
      </c>
      <c r="M59" s="68">
        <f t="shared" ref="M59:Q59" si="5">M57-M58</f>
        <v>-2.2631890733781079E-3</v>
      </c>
      <c r="N59" s="68">
        <f t="shared" si="5"/>
        <v>5.6244746307471116E-5</v>
      </c>
      <c r="O59" s="68">
        <f t="shared" si="5"/>
        <v>-4.7779158239261155E-3</v>
      </c>
      <c r="P59" s="68">
        <f t="shared" si="5"/>
        <v>5.5933353705999722E-3</v>
      </c>
      <c r="Q59" s="68">
        <f t="shared" si="5"/>
        <v>-1.2655774980608769E-2</v>
      </c>
      <c r="S59" s="2" t="s">
        <v>143</v>
      </c>
    </row>
    <row r="60" spans="2:19" x14ac:dyDescent="0.2">
      <c r="B60" s="2" t="s">
        <v>144</v>
      </c>
      <c r="F60" s="2" t="s">
        <v>79</v>
      </c>
      <c r="H60" s="86"/>
      <c r="L60" s="72">
        <f t="shared" ref="L60:Q60" si="6">L41+L42</f>
        <v>14160367</v>
      </c>
      <c r="M60" s="72">
        <f t="shared" si="6"/>
        <v>13461809</v>
      </c>
      <c r="N60" s="72">
        <f t="shared" si="6"/>
        <v>13509720</v>
      </c>
      <c r="O60" s="72">
        <f t="shared" si="6"/>
        <v>12380316</v>
      </c>
      <c r="P60" s="72">
        <f t="shared" si="6"/>
        <v>13527681</v>
      </c>
      <c r="Q60" s="72">
        <f t="shared" si="6"/>
        <v>13504426</v>
      </c>
    </row>
    <row r="61" spans="2:19" x14ac:dyDescent="0.2">
      <c r="B61" s="2" t="s">
        <v>145</v>
      </c>
      <c r="F61" s="2" t="s">
        <v>146</v>
      </c>
      <c r="H61" s="86"/>
      <c r="L61" s="72">
        <f>L59*L60</f>
        <v>-37254.378938161637</v>
      </c>
      <c r="M61" s="72">
        <f t="shared" ref="M61:Q61" si="7">M59*M60</f>
        <v>-30466.619036703072</v>
      </c>
      <c r="N61" s="72">
        <f t="shared" si="7"/>
        <v>759.85077408496863</v>
      </c>
      <c r="O61" s="72">
        <f t="shared" si="7"/>
        <v>-59152.107721605673</v>
      </c>
      <c r="P61" s="72">
        <f t="shared" si="7"/>
        <v>75664.856619493206</v>
      </c>
      <c r="Q61" s="72">
        <f t="shared" si="7"/>
        <v>-170908.97669828255</v>
      </c>
    </row>
    <row r="62" spans="2:19" x14ac:dyDescent="0.2">
      <c r="L62" s="73"/>
      <c r="M62" s="73"/>
    </row>
    <row r="63" spans="2:19" x14ac:dyDescent="0.2">
      <c r="B63" s="2" t="s">
        <v>227</v>
      </c>
      <c r="F63" s="2" t="s">
        <v>166</v>
      </c>
      <c r="H63" s="74">
        <f>L61+M61</f>
        <v>-67720.997974864702</v>
      </c>
      <c r="L63" s="54"/>
      <c r="N63" s="25"/>
    </row>
    <row r="64" spans="2:19" x14ac:dyDescent="0.2">
      <c r="B64" s="2" t="s">
        <v>228</v>
      </c>
      <c r="F64" s="2" t="s">
        <v>225</v>
      </c>
      <c r="H64" s="74">
        <f>SUM(N61:Q61)</f>
        <v>-153636.37702631005</v>
      </c>
      <c r="L64" s="75"/>
      <c r="M64" s="75"/>
      <c r="N64" s="25"/>
      <c r="O64" s="75"/>
      <c r="P64" s="75"/>
      <c r="Q64" s="75"/>
    </row>
    <row r="65" spans="2:14" x14ac:dyDescent="0.2">
      <c r="B65" s="2" t="s">
        <v>147</v>
      </c>
      <c r="F65" s="2" t="s">
        <v>225</v>
      </c>
      <c r="H65" s="76">
        <f>H63*(1+H31)+H64</f>
        <v>-223389.00494042068</v>
      </c>
      <c r="L65" s="54"/>
      <c r="N65" s="25"/>
    </row>
    <row r="68" spans="2:14" s="65" customFormat="1" x14ac:dyDescent="0.2">
      <c r="B68" s="65" t="s">
        <v>229</v>
      </c>
    </row>
    <row r="70" spans="2:14" x14ac:dyDescent="0.2">
      <c r="B70" s="2" t="s">
        <v>230</v>
      </c>
      <c r="F70" s="2" t="s">
        <v>79</v>
      </c>
      <c r="H70" s="77">
        <f>H19+H21</f>
        <v>171976331.30000007</v>
      </c>
    </row>
    <row r="71" spans="2:14" x14ac:dyDescent="0.2">
      <c r="B71" s="2" t="s">
        <v>231</v>
      </c>
      <c r="F71" s="2" t="s">
        <v>83</v>
      </c>
      <c r="H71" s="78">
        <f>'Gegevens inkoopcorrectie'!H47</f>
        <v>0.47998193805785128</v>
      </c>
    </row>
    <row r="72" spans="2:14" x14ac:dyDescent="0.2">
      <c r="B72" s="2" t="s">
        <v>232</v>
      </c>
      <c r="F72" s="2" t="s">
        <v>79</v>
      </c>
      <c r="H72" s="79">
        <f>H70*(1-H71)</f>
        <v>89430798.502546921</v>
      </c>
    </row>
    <row r="78" spans="2:14" x14ac:dyDescent="0.2">
      <c r="B78" s="27" t="s">
        <v>70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BA7D-D961-4322-91E8-A15AFA07B4F0}">
  <sheetPr>
    <tabColor rgb="FFFFFFCC"/>
  </sheetPr>
  <dimension ref="B2:R51"/>
  <sheetViews>
    <sheetView showGridLines="0" zoomScale="85" zoomScaleNormal="85" workbookViewId="0">
      <pane xSplit="6" ySplit="12" topLeftCell="G13" activePane="bottomRight" state="frozen"/>
      <selection activeCell="F51" sqref="F51"/>
      <selection pane="topRight" activeCell="F51" sqref="F51"/>
      <selection pane="bottomLeft" activeCell="F51" sqref="F51"/>
      <selection pane="bottomRight" activeCell="G13" sqref="G13"/>
    </sheetView>
  </sheetViews>
  <sheetFormatPr defaultColWidth="9.140625" defaultRowHeight="12.75" x14ac:dyDescent="0.2"/>
  <cols>
    <col min="1" max="1" width="5.7109375" style="2" customWidth="1"/>
    <col min="2" max="2" width="62.42578125" style="2" customWidth="1"/>
    <col min="3" max="5" width="5.7109375" style="2" customWidth="1"/>
    <col min="6" max="6" width="20.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3" width="13.7109375" style="2" customWidth="1"/>
    <col min="24" max="16384" width="9.140625" style="2"/>
  </cols>
  <sheetData>
    <row r="2" spans="2:18" s="15" customFormat="1" ht="18" x14ac:dyDescent="0.2">
      <c r="B2" s="15" t="s">
        <v>236</v>
      </c>
    </row>
    <row r="4" spans="2:18" x14ac:dyDescent="0.2">
      <c r="B4" s="1" t="s">
        <v>52</v>
      </c>
      <c r="C4" s="1"/>
      <c r="D4" s="1"/>
    </row>
    <row r="5" spans="2:18" x14ac:dyDescent="0.2">
      <c r="B5" s="2" t="s">
        <v>233</v>
      </c>
      <c r="H5" s="16"/>
    </row>
    <row r="6" spans="2:18" x14ac:dyDescent="0.2">
      <c r="H6" s="16"/>
    </row>
    <row r="7" spans="2:18" x14ac:dyDescent="0.2">
      <c r="B7" s="27" t="s">
        <v>27</v>
      </c>
      <c r="H7" s="16"/>
    </row>
    <row r="8" spans="2:18" x14ac:dyDescent="0.2">
      <c r="B8" s="27" t="s">
        <v>148</v>
      </c>
      <c r="H8" s="16"/>
    </row>
    <row r="9" spans="2:18" x14ac:dyDescent="0.2">
      <c r="H9" s="16"/>
    </row>
    <row r="11" spans="2:18" s="8" customFormat="1" x14ac:dyDescent="0.2">
      <c r="B11" s="8" t="s">
        <v>41</v>
      </c>
      <c r="F11" s="8" t="s">
        <v>24</v>
      </c>
      <c r="H11" s="8" t="s">
        <v>25</v>
      </c>
      <c r="J11" s="8" t="s">
        <v>43</v>
      </c>
    </row>
    <row r="14" spans="2:18" s="65" customFormat="1" x14ac:dyDescent="0.2">
      <c r="B14" s="65" t="s">
        <v>149</v>
      </c>
      <c r="H14" s="80"/>
    </row>
    <row r="15" spans="2:18" x14ac:dyDescent="0.2">
      <c r="H15" s="51"/>
    </row>
    <row r="16" spans="2:18" s="58" customFormat="1" x14ac:dyDescent="0.2">
      <c r="B16" s="57" t="s">
        <v>182</v>
      </c>
      <c r="L16" s="81"/>
      <c r="M16" s="81"/>
      <c r="N16" s="81"/>
      <c r="O16" s="81"/>
      <c r="P16" s="81"/>
      <c r="Q16" s="81"/>
      <c r="R16" s="82"/>
    </row>
    <row r="17" spans="2:18" s="58" customFormat="1" x14ac:dyDescent="0.2">
      <c r="B17" s="38" t="s">
        <v>110</v>
      </c>
      <c r="F17" s="2" t="s">
        <v>79</v>
      </c>
      <c r="H17" s="35">
        <f>'Gegevens nieuwe productieprijs'!H16</f>
        <v>140557366.38000005</v>
      </c>
      <c r="J17" s="59"/>
      <c r="R17" s="83"/>
    </row>
    <row r="18" spans="2:18" s="58" customFormat="1" x14ac:dyDescent="0.2">
      <c r="B18" s="38" t="s">
        <v>111</v>
      </c>
      <c r="F18" s="2" t="s">
        <v>79</v>
      </c>
      <c r="H18" s="35">
        <f>'Gegevens nieuwe productieprijs'!H17</f>
        <v>31241968.920000002</v>
      </c>
      <c r="J18" s="59"/>
      <c r="R18" s="83"/>
    </row>
    <row r="19" spans="2:18" s="58" customFormat="1" x14ac:dyDescent="0.2">
      <c r="B19" s="59" t="s">
        <v>187</v>
      </c>
      <c r="F19" s="2" t="s">
        <v>79</v>
      </c>
      <c r="H19" s="60">
        <f>H17+H18</f>
        <v>171799335.30000007</v>
      </c>
      <c r="R19" s="83"/>
    </row>
    <row r="20" spans="2:18" s="58" customFormat="1" x14ac:dyDescent="0.2">
      <c r="R20" s="83"/>
    </row>
    <row r="21" spans="2:18" s="58" customFormat="1" x14ac:dyDescent="0.2">
      <c r="B21" s="57" t="s">
        <v>150</v>
      </c>
      <c r="R21" s="83"/>
    </row>
    <row r="22" spans="2:18" s="58" customFormat="1" x14ac:dyDescent="0.2">
      <c r="B22" s="2" t="s">
        <v>191</v>
      </c>
      <c r="F22" s="2" t="s">
        <v>190</v>
      </c>
      <c r="H22" s="42">
        <f>'Gegevens inkoopcorrectie'!H26</f>
        <v>0.16689999999999999</v>
      </c>
      <c r="R22" s="83"/>
    </row>
    <row r="23" spans="2:18" s="58" customFormat="1" x14ac:dyDescent="0.2">
      <c r="B23" s="59" t="s">
        <v>112</v>
      </c>
      <c r="F23" s="59" t="s">
        <v>113</v>
      </c>
      <c r="H23" s="42">
        <f>'Gegevens nieuwe productieprijs'!H21</f>
        <v>0.27934511103295734</v>
      </c>
      <c r="R23" s="83"/>
    </row>
    <row r="24" spans="2:18" s="58" customFormat="1" x14ac:dyDescent="0.2">
      <c r="B24" s="2" t="s">
        <v>234</v>
      </c>
      <c r="F24" s="2" t="s">
        <v>115</v>
      </c>
      <c r="H24" s="42">
        <f>'Gegevens nieuwe productieprijs'!H24</f>
        <v>1.2599</v>
      </c>
      <c r="R24" s="83"/>
    </row>
    <row r="25" spans="2:18" s="58" customFormat="1" x14ac:dyDescent="0.2">
      <c r="R25" s="83"/>
    </row>
    <row r="26" spans="2:18" x14ac:dyDescent="0.2">
      <c r="H26" s="51"/>
    </row>
    <row r="27" spans="2:18" s="65" customFormat="1" x14ac:dyDescent="0.2">
      <c r="B27" s="65" t="s">
        <v>151</v>
      </c>
    </row>
    <row r="28" spans="2:18" x14ac:dyDescent="0.2">
      <c r="H28" s="51"/>
    </row>
    <row r="29" spans="2:18" x14ac:dyDescent="0.2">
      <c r="B29" s="1" t="s">
        <v>152</v>
      </c>
      <c r="H29" s="51"/>
    </row>
    <row r="30" spans="2:18" x14ac:dyDescent="0.2">
      <c r="B30" s="2" t="s">
        <v>201</v>
      </c>
      <c r="F30" s="2" t="s">
        <v>79</v>
      </c>
      <c r="H30" s="35">
        <f>'Gegevens inkoopcorrectie'!H38</f>
        <v>176996</v>
      </c>
    </row>
    <row r="31" spans="2:18" x14ac:dyDescent="0.2">
      <c r="B31" s="2" t="s">
        <v>235</v>
      </c>
      <c r="F31" s="2" t="s">
        <v>190</v>
      </c>
      <c r="H31" s="42">
        <f>'Gegevens inkoopcorrectie'!H39</f>
        <v>0.63780000000000003</v>
      </c>
      <c r="J31" s="2" t="s">
        <v>153</v>
      </c>
    </row>
    <row r="32" spans="2:18" x14ac:dyDescent="0.2">
      <c r="H32" s="51"/>
    </row>
    <row r="33" spans="2:10" x14ac:dyDescent="0.2">
      <c r="H33" s="51"/>
    </row>
    <row r="34" spans="2:10" s="65" customFormat="1" x14ac:dyDescent="0.2">
      <c r="B34" s="65" t="s">
        <v>237</v>
      </c>
    </row>
    <row r="35" spans="2:10" x14ac:dyDescent="0.2">
      <c r="H35" s="51"/>
    </row>
    <row r="36" spans="2:10" x14ac:dyDescent="0.2">
      <c r="B36" s="1" t="s">
        <v>154</v>
      </c>
      <c r="H36" s="51"/>
    </row>
    <row r="37" spans="2:10" x14ac:dyDescent="0.2">
      <c r="B37" s="2" t="s">
        <v>155</v>
      </c>
      <c r="F37" s="2" t="s">
        <v>83</v>
      </c>
      <c r="H37" s="84">
        <f>H17/H19</f>
        <v>0.81814848779569171</v>
      </c>
    </row>
    <row r="38" spans="2:10" x14ac:dyDescent="0.2">
      <c r="B38" s="2" t="s">
        <v>238</v>
      </c>
      <c r="F38" s="2" t="s">
        <v>190</v>
      </c>
      <c r="H38" s="43">
        <f>H37*H24*H23</f>
        <v>0.28794482842954794</v>
      </c>
    </row>
    <row r="39" spans="2:10" x14ac:dyDescent="0.2">
      <c r="H39" s="51"/>
    </row>
    <row r="40" spans="2:10" x14ac:dyDescent="0.2">
      <c r="H40" s="51"/>
    </row>
    <row r="41" spans="2:10" s="65" customFormat="1" x14ac:dyDescent="0.2">
      <c r="B41" s="65" t="s">
        <v>240</v>
      </c>
    </row>
    <row r="42" spans="2:10" x14ac:dyDescent="0.2">
      <c r="H42" s="51"/>
    </row>
    <row r="43" spans="2:10" x14ac:dyDescent="0.2">
      <c r="B43" s="1" t="s">
        <v>239</v>
      </c>
      <c r="H43" s="51"/>
    </row>
    <row r="44" spans="2:10" x14ac:dyDescent="0.2">
      <c r="B44" s="2" t="s">
        <v>241</v>
      </c>
      <c r="F44" s="2" t="s">
        <v>190</v>
      </c>
      <c r="H44" s="68">
        <f>H22+H38</f>
        <v>0.45484482842954793</v>
      </c>
    </row>
    <row r="45" spans="2:10" x14ac:dyDescent="0.2">
      <c r="B45" s="2" t="s">
        <v>242</v>
      </c>
      <c r="F45" s="2" t="s">
        <v>190</v>
      </c>
      <c r="H45" s="45">
        <f>(H44*H19+H31*H30)/(H19+H30)</f>
        <v>0.45503312372171117</v>
      </c>
      <c r="J45" s="2" t="s">
        <v>243</v>
      </c>
    </row>
    <row r="46" spans="2:10" x14ac:dyDescent="0.2">
      <c r="H46" s="51"/>
    </row>
    <row r="51" spans="2:2" x14ac:dyDescent="0.2">
      <c r="B51" s="27" t="s">
        <v>70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H41"/>
  <sheetViews>
    <sheetView showGridLines="0"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5.7109375" style="2" customWidth="1"/>
    <col min="2" max="2" width="35.28515625" style="2" customWidth="1"/>
    <col min="3" max="3" width="2.7109375" style="2" customWidth="1"/>
    <col min="4" max="4" width="86.14062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49</v>
      </c>
    </row>
    <row r="5" spans="2:8" s="8" customFormat="1" x14ac:dyDescent="0.2">
      <c r="B5" s="8" t="s">
        <v>13</v>
      </c>
    </row>
    <row r="7" spans="2:8" x14ac:dyDescent="0.2">
      <c r="B7" s="20" t="s">
        <v>162</v>
      </c>
    </row>
    <row r="8" spans="2:8" x14ac:dyDescent="0.2">
      <c r="B8" s="2" t="s">
        <v>163</v>
      </c>
      <c r="H8" s="29"/>
    </row>
    <row r="9" spans="2:8" x14ac:dyDescent="0.2">
      <c r="B9" s="2" t="s">
        <v>161</v>
      </c>
    </row>
    <row r="10" spans="2:8" x14ac:dyDescent="0.2">
      <c r="B10" s="22" t="s">
        <v>164</v>
      </c>
    </row>
    <row r="13" spans="2:8" s="8" customFormat="1" x14ac:dyDescent="0.2">
      <c r="B13" s="8" t="s">
        <v>14</v>
      </c>
    </row>
    <row r="14" spans="2:8" x14ac:dyDescent="0.2">
      <c r="C14" s="9"/>
    </row>
    <row r="15" spans="2:8" x14ac:dyDescent="0.2">
      <c r="B15" s="26" t="s">
        <v>35</v>
      </c>
      <c r="C15" s="9"/>
      <c r="D15" s="26" t="s">
        <v>15</v>
      </c>
      <c r="F15" s="12"/>
    </row>
    <row r="16" spans="2:8" x14ac:dyDescent="0.2">
      <c r="C16" s="9"/>
    </row>
    <row r="17" spans="2:6" x14ac:dyDescent="0.2">
      <c r="B17" s="32">
        <v>123</v>
      </c>
      <c r="C17" s="9"/>
      <c r="D17" s="20" t="s">
        <v>62</v>
      </c>
    </row>
    <row r="18" spans="2:6" x14ac:dyDescent="0.2">
      <c r="B18" s="35">
        <f>B17</f>
        <v>123</v>
      </c>
      <c r="C18" s="9"/>
      <c r="D18" s="2" t="s">
        <v>16</v>
      </c>
    </row>
    <row r="19" spans="2:6" x14ac:dyDescent="0.2">
      <c r="B19" s="36">
        <f>B18+B17</f>
        <v>246</v>
      </c>
      <c r="C19" s="9"/>
      <c r="D19" s="2" t="s">
        <v>17</v>
      </c>
    </row>
    <row r="20" spans="2:6" x14ac:dyDescent="0.2">
      <c r="B20" s="28">
        <f>B18+B19</f>
        <v>369</v>
      </c>
      <c r="C20" s="9"/>
      <c r="D20" s="20" t="s">
        <v>63</v>
      </c>
      <c r="E20" s="12"/>
      <c r="F20" s="5"/>
    </row>
    <row r="21" spans="2:6" x14ac:dyDescent="0.2">
      <c r="B21" s="39"/>
      <c r="C21" s="9"/>
      <c r="D21" s="20" t="s">
        <v>18</v>
      </c>
      <c r="E21" s="12"/>
    </row>
    <row r="22" spans="2:6" x14ac:dyDescent="0.2">
      <c r="B22" s="9"/>
      <c r="C22" s="9"/>
    </row>
    <row r="23" spans="2:6" x14ac:dyDescent="0.2">
      <c r="B23" s="27" t="s">
        <v>19</v>
      </c>
      <c r="C23" s="9"/>
      <c r="E23" s="25"/>
    </row>
    <row r="24" spans="2:6" x14ac:dyDescent="0.2">
      <c r="B24" s="30">
        <f>B20+16</f>
        <v>385</v>
      </c>
      <c r="C24" s="9"/>
      <c r="D24" s="2" t="s">
        <v>76</v>
      </c>
    </row>
    <row r="25" spans="2:6" x14ac:dyDescent="0.2">
      <c r="B25" s="31">
        <f>B18*PI()</f>
        <v>386.41589639154455</v>
      </c>
      <c r="C25" s="13"/>
      <c r="D25" s="2" t="s">
        <v>20</v>
      </c>
    </row>
    <row r="26" spans="2:6" x14ac:dyDescent="0.2">
      <c r="B26" s="13"/>
      <c r="C26" s="13"/>
    </row>
    <row r="27" spans="2:6" x14ac:dyDescent="0.2">
      <c r="B27" s="13"/>
      <c r="C27" s="13"/>
    </row>
    <row r="28" spans="2:6" x14ac:dyDescent="0.2">
      <c r="B28" s="26" t="s">
        <v>31</v>
      </c>
    </row>
    <row r="29" spans="2:6" x14ac:dyDescent="0.2">
      <c r="B29" s="1"/>
    </row>
    <row r="30" spans="2:6" x14ac:dyDescent="0.2">
      <c r="B30" s="27" t="s">
        <v>36</v>
      </c>
    </row>
    <row r="31" spans="2:6" x14ac:dyDescent="0.2">
      <c r="B31" s="28" t="s">
        <v>30</v>
      </c>
      <c r="C31" s="9"/>
      <c r="D31" s="3" t="s">
        <v>39</v>
      </c>
    </row>
    <row r="32" spans="2:6" x14ac:dyDescent="0.2">
      <c r="B32" s="32" t="s">
        <v>28</v>
      </c>
      <c r="C32" s="9"/>
      <c r="D32" s="3" t="s">
        <v>32</v>
      </c>
    </row>
    <row r="33" spans="2:4" x14ac:dyDescent="0.2">
      <c r="B33" s="36" t="s">
        <v>29</v>
      </c>
      <c r="C33" s="9"/>
      <c r="D33" s="3" t="s">
        <v>33</v>
      </c>
    </row>
    <row r="34" spans="2:4" x14ac:dyDescent="0.2">
      <c r="C34" s="9"/>
      <c r="D34" s="3"/>
    </row>
    <row r="35" spans="2:4" x14ac:dyDescent="0.2">
      <c r="B35" s="27" t="s">
        <v>38</v>
      </c>
      <c r="C35" s="9"/>
      <c r="D35" s="3"/>
    </row>
    <row r="36" spans="2:4" x14ac:dyDescent="0.2">
      <c r="B36" s="18" t="s">
        <v>34</v>
      </c>
      <c r="C36" s="9"/>
      <c r="D36" s="3" t="s">
        <v>40</v>
      </c>
    </row>
    <row r="37" spans="2:4" x14ac:dyDescent="0.2">
      <c r="B37" s="19" t="s">
        <v>37</v>
      </c>
      <c r="D37" s="20" t="s">
        <v>64</v>
      </c>
    </row>
    <row r="41" spans="2:4" x14ac:dyDescent="0.2">
      <c r="B41" s="27" t="s">
        <v>70</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I34"/>
  <sheetViews>
    <sheetView showGridLines="0" zoomScale="85" zoomScaleNormal="85" workbookViewId="0">
      <pane ySplit="3" topLeftCell="A4" activePane="bottomLeft" state="frozen"/>
      <selection activeCell="B6" sqref="B6"/>
      <selection pane="bottomLeft" activeCell="A4" sqref="A4"/>
    </sheetView>
  </sheetViews>
  <sheetFormatPr defaultColWidth="9.140625" defaultRowHeight="12.75" x14ac:dyDescent="0.2"/>
  <cols>
    <col min="1" max="1" width="5.7109375" style="2" customWidth="1"/>
    <col min="2" max="2" width="7.5703125" style="2" customWidth="1"/>
    <col min="3" max="3" width="51.140625" style="2" customWidth="1"/>
    <col min="4" max="5" width="36.28515625" style="2" customWidth="1"/>
    <col min="6" max="6" width="40.7109375" style="2" customWidth="1"/>
    <col min="7" max="7" width="49.7109375" style="2" customWidth="1"/>
    <col min="8" max="8" width="5.7109375" style="2" customWidth="1"/>
    <col min="9" max="16384" width="9.140625" style="2"/>
  </cols>
  <sheetData>
    <row r="2" spans="2:9" s="7" customFormat="1" ht="18" x14ac:dyDescent="0.2">
      <c r="B2" s="7" t="s">
        <v>21</v>
      </c>
    </row>
    <row r="5" spans="2:9" s="8" customFormat="1" x14ac:dyDescent="0.2">
      <c r="B5" s="8" t="s">
        <v>22</v>
      </c>
    </row>
    <row r="7" spans="2:9" x14ac:dyDescent="0.2">
      <c r="B7" s="27" t="s">
        <v>58</v>
      </c>
    </row>
    <row r="8" spans="2:9" x14ac:dyDescent="0.2">
      <c r="B8" s="27" t="s">
        <v>59</v>
      </c>
    </row>
    <row r="10" spans="2:9" x14ac:dyDescent="0.2">
      <c r="B10" s="17" t="s">
        <v>50</v>
      </c>
      <c r="C10" s="17" t="s">
        <v>51</v>
      </c>
      <c r="D10" s="17" t="s">
        <v>71</v>
      </c>
      <c r="E10" s="17" t="s">
        <v>57</v>
      </c>
      <c r="F10" s="17" t="s">
        <v>72</v>
      </c>
      <c r="G10" s="17" t="s">
        <v>0</v>
      </c>
      <c r="I10" s="25"/>
    </row>
    <row r="11" spans="2:9" x14ac:dyDescent="0.2">
      <c r="B11" s="14"/>
      <c r="C11" s="21" t="s">
        <v>56</v>
      </c>
      <c r="D11" s="21" t="s">
        <v>23</v>
      </c>
      <c r="E11" s="21" t="s">
        <v>60</v>
      </c>
      <c r="F11" s="21" t="s">
        <v>73</v>
      </c>
      <c r="G11" s="21"/>
    </row>
    <row r="12" spans="2:9" x14ac:dyDescent="0.2">
      <c r="B12" s="23">
        <v>1</v>
      </c>
      <c r="C12" s="6" t="s">
        <v>175</v>
      </c>
      <c r="D12" s="6"/>
      <c r="E12" s="6"/>
      <c r="F12" s="33" t="s">
        <v>177</v>
      </c>
      <c r="G12" s="6"/>
    </row>
    <row r="13" spans="2:9" x14ac:dyDescent="0.2">
      <c r="B13" s="6">
        <v>2</v>
      </c>
      <c r="C13" s="6" t="s">
        <v>264</v>
      </c>
      <c r="D13" s="6"/>
      <c r="E13" s="6"/>
      <c r="F13" s="33" t="s">
        <v>269</v>
      </c>
      <c r="G13" s="6"/>
    </row>
    <row r="14" spans="2:9" x14ac:dyDescent="0.2">
      <c r="B14" s="6">
        <v>3</v>
      </c>
      <c r="C14" s="6" t="s">
        <v>265</v>
      </c>
      <c r="D14" s="6"/>
      <c r="E14" s="6"/>
      <c r="F14" s="33" t="s">
        <v>268</v>
      </c>
      <c r="G14" s="6"/>
    </row>
    <row r="15" spans="2:9" x14ac:dyDescent="0.2">
      <c r="B15" s="6">
        <v>4</v>
      </c>
      <c r="C15" s="6" t="s">
        <v>176</v>
      </c>
      <c r="D15" s="6"/>
      <c r="E15" s="6"/>
      <c r="F15" s="33" t="s">
        <v>178</v>
      </c>
      <c r="G15" s="6"/>
    </row>
    <row r="16" spans="2:9" x14ac:dyDescent="0.2">
      <c r="B16" s="6">
        <v>5</v>
      </c>
      <c r="C16" s="6" t="s">
        <v>266</v>
      </c>
      <c r="D16" s="6"/>
      <c r="E16" s="6"/>
      <c r="F16" s="33" t="s">
        <v>267</v>
      </c>
      <c r="G16" s="6"/>
    </row>
    <row r="17" spans="2:7" x14ac:dyDescent="0.2">
      <c r="B17" s="6">
        <v>6</v>
      </c>
      <c r="C17" s="6" t="s">
        <v>273</v>
      </c>
      <c r="D17" s="6"/>
      <c r="E17" s="6"/>
      <c r="F17" s="87" t="s">
        <v>270</v>
      </c>
      <c r="G17" s="6"/>
    </row>
    <row r="18" spans="2:7" x14ac:dyDescent="0.2">
      <c r="B18" s="6">
        <v>7</v>
      </c>
      <c r="C18" s="6" t="s">
        <v>274</v>
      </c>
      <c r="D18" s="6"/>
      <c r="E18" s="6"/>
      <c r="F18" s="87" t="s">
        <v>270</v>
      </c>
      <c r="G18" s="6"/>
    </row>
    <row r="19" spans="2:7" x14ac:dyDescent="0.2">
      <c r="B19" s="6">
        <v>8</v>
      </c>
      <c r="C19" s="6" t="s">
        <v>275</v>
      </c>
      <c r="D19" s="6"/>
      <c r="E19" s="6"/>
      <c r="F19" s="87" t="s">
        <v>281</v>
      </c>
      <c r="G19" s="6"/>
    </row>
    <row r="20" spans="2:7" x14ac:dyDescent="0.2">
      <c r="B20" s="6">
        <v>9</v>
      </c>
      <c r="C20" s="6" t="s">
        <v>276</v>
      </c>
      <c r="D20" s="6"/>
      <c r="E20" s="6"/>
      <c r="F20" s="87" t="s">
        <v>281</v>
      </c>
      <c r="G20" s="6"/>
    </row>
    <row r="21" spans="2:7" x14ac:dyDescent="0.2">
      <c r="B21" s="6">
        <v>10</v>
      </c>
      <c r="C21" s="6" t="s">
        <v>156</v>
      </c>
      <c r="D21" s="6"/>
      <c r="E21" s="6"/>
      <c r="F21" s="87" t="s">
        <v>272</v>
      </c>
      <c r="G21" s="6"/>
    </row>
    <row r="22" spans="2:7" x14ac:dyDescent="0.2">
      <c r="B22" s="6">
        <v>11</v>
      </c>
      <c r="C22" s="6" t="s">
        <v>157</v>
      </c>
      <c r="D22" s="6"/>
      <c r="E22" s="6"/>
      <c r="F22" s="85" t="s">
        <v>158</v>
      </c>
      <c r="G22" s="6"/>
    </row>
    <row r="25" spans="2:7" s="8" customFormat="1" x14ac:dyDescent="0.2">
      <c r="B25" s="8" t="s">
        <v>48</v>
      </c>
    </row>
    <row r="27" spans="2:7" x14ac:dyDescent="0.2">
      <c r="B27" s="27" t="s">
        <v>46</v>
      </c>
    </row>
    <row r="28" spans="2:7" x14ac:dyDescent="0.2">
      <c r="B28" s="27" t="s">
        <v>47</v>
      </c>
    </row>
    <row r="34" spans="2:2" x14ac:dyDescent="0.2">
      <c r="B34" s="27" t="s">
        <v>70</v>
      </c>
    </row>
  </sheetData>
  <hyperlinks>
    <hyperlink ref="F22" r:id="rId1" xr:uid="{85A42F44-E24B-4D16-BF66-49BDA58B3CC1}"/>
    <hyperlink ref="F12" r:id="rId2" display="https://www.acm.nl/nl/publicaties/tariefbesluit-distributietarieven-elektriciteit-2025-bonaire-web" xr:uid="{BF9205BD-950C-440C-BEB0-EFEEE120A476}"/>
    <hyperlink ref="F15" r:id="rId3" display="https://www.acm.nl/nl/publicaties/tariefbesluit-productieprijs-elektriciteit-2025-bonaire-contourglobal" xr:uid="{75A18811-3C04-403C-8B42-3BF17E2D3790}"/>
    <hyperlink ref="F16" r:id="rId4" display="https://www.acm.nl/nl/publicaties/tariefbesluit-productieprijs-elektriciteit-2026-bonaire-contourglobal" xr:uid="{1F416016-39D6-4FFE-B60B-455D8384D6E6}"/>
    <hyperlink ref="F14" r:id="rId5" display="https://www.acm.nl/nl/publicaties/tariefbesluit-distributietarieven-elektriciteit-2026-bonaire-web" xr:uid="{7360D131-4457-4307-98F0-9A0CDDAAB797}"/>
    <hyperlink ref="F13" r:id="rId6" display="https://www.acm.nl/nl/publicaties/beschikking-variabel-tarief-elektriciteit-1-juli-2025-bonaire-caribisch-nederland" xr:uid="{17ABF555-0AF0-41FB-A556-B670211E8445}"/>
  </hyperlinks>
  <pageMargins left="0.75" right="0.75" top="1" bottom="1" header="0.5" footer="0.5"/>
  <pageSetup paperSize="9" orientation="portrait" r:id="rId7"/>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AB553-847B-4EA2-B069-09B01138A81E}">
  <sheetPr>
    <tabColor rgb="FFCCFFFF"/>
  </sheetPr>
  <dimension ref="B2:K47"/>
  <sheetViews>
    <sheetView showGridLines="0" zoomScale="85" zoomScaleNormal="85" workbookViewId="0">
      <pane xSplit="6" ySplit="10" topLeftCell="G11" activePane="bottomRight" state="frozen"/>
      <selection activeCell="F51" sqref="F51"/>
      <selection pane="topRight" activeCell="F51" sqref="F51"/>
      <selection pane="bottomLeft" activeCell="F51" sqref="F51"/>
      <selection pane="bottomRight" activeCell="G11" sqref="G11"/>
    </sheetView>
  </sheetViews>
  <sheetFormatPr defaultColWidth="9.140625" defaultRowHeight="12.75" x14ac:dyDescent="0.2"/>
  <cols>
    <col min="1" max="1" width="5.7109375" style="2" customWidth="1"/>
    <col min="2" max="2" width="75.42578125" style="2" customWidth="1"/>
    <col min="3" max="5" width="5.7109375" style="2" customWidth="1"/>
    <col min="6" max="6" width="20.7109375" style="2" customWidth="1"/>
    <col min="7" max="7" width="2.7109375" style="2" customWidth="1"/>
    <col min="8" max="8" width="16" style="2" customWidth="1"/>
    <col min="9" max="9" width="2.7109375" style="2" customWidth="1"/>
    <col min="10" max="10" width="39.28515625" style="2" customWidth="1"/>
    <col min="11" max="24" width="13.7109375" style="2" customWidth="1"/>
    <col min="25" max="16384" width="9.140625" style="2"/>
  </cols>
  <sheetData>
    <row r="2" spans="2:10" s="15" customFormat="1" ht="18" x14ac:dyDescent="0.2">
      <c r="B2" s="15" t="s">
        <v>30</v>
      </c>
    </row>
    <row r="4" spans="2:10" x14ac:dyDescent="0.2">
      <c r="B4" s="26" t="s">
        <v>53</v>
      </c>
      <c r="C4" s="1"/>
      <c r="D4" s="1"/>
    </row>
    <row r="5" spans="2:10" x14ac:dyDescent="0.2">
      <c r="B5" s="2" t="s">
        <v>254</v>
      </c>
      <c r="H5" s="16"/>
    </row>
    <row r="6" spans="2:10" x14ac:dyDescent="0.2">
      <c r="B6" s="2" t="s">
        <v>78</v>
      </c>
      <c r="H6" s="16"/>
    </row>
    <row r="7" spans="2:10" x14ac:dyDescent="0.2">
      <c r="B7" s="4"/>
    </row>
    <row r="9" spans="2:10" s="8" customFormat="1" x14ac:dyDescent="0.2">
      <c r="B9" s="8" t="s">
        <v>41</v>
      </c>
      <c r="F9" s="8" t="s">
        <v>24</v>
      </c>
      <c r="H9" s="8" t="s">
        <v>25</v>
      </c>
      <c r="J9" s="8" t="s">
        <v>43</v>
      </c>
    </row>
    <row r="12" spans="2:10" s="8" customFormat="1" x14ac:dyDescent="0.2">
      <c r="B12" s="8" t="s">
        <v>255</v>
      </c>
    </row>
    <row r="14" spans="2:10" x14ac:dyDescent="0.2">
      <c r="B14" s="2" t="s">
        <v>232</v>
      </c>
      <c r="F14" s="2" t="s">
        <v>79</v>
      </c>
      <c r="H14" s="40">
        <f>'Inkoopcorrectie brandstof'!H72</f>
        <v>89430798.502546921</v>
      </c>
    </row>
    <row r="16" spans="2:10" x14ac:dyDescent="0.2">
      <c r="B16" s="1" t="s">
        <v>80</v>
      </c>
    </row>
    <row r="17" spans="2:10" x14ac:dyDescent="0.2">
      <c r="B17" s="2" t="s">
        <v>81</v>
      </c>
      <c r="F17" s="2" t="s">
        <v>225</v>
      </c>
      <c r="H17" s="40">
        <f>'Inkoopcorrectie brandstof'!H65</f>
        <v>-223389.00494042068</v>
      </c>
      <c r="J17" s="2" t="s">
        <v>256</v>
      </c>
    </row>
    <row r="18" spans="2:10" x14ac:dyDescent="0.2">
      <c r="B18" s="2" t="s">
        <v>82</v>
      </c>
      <c r="F18" s="2" t="s">
        <v>190</v>
      </c>
      <c r="H18" s="41">
        <f>H17/H14</f>
        <v>-2.49789791303338E-3</v>
      </c>
    </row>
    <row r="20" spans="2:10" x14ac:dyDescent="0.2">
      <c r="B20" s="1" t="s">
        <v>257</v>
      </c>
    </row>
    <row r="21" spans="2:10" x14ac:dyDescent="0.2">
      <c r="B21" s="2" t="s">
        <v>189</v>
      </c>
      <c r="F21" s="2" t="s">
        <v>190</v>
      </c>
      <c r="H21" s="42">
        <f>'Gegevens nieuwe productieprijs'!H32</f>
        <v>1.0842301107352561E-3</v>
      </c>
    </row>
    <row r="23" spans="2:10" x14ac:dyDescent="0.2">
      <c r="B23" s="2" t="s">
        <v>251</v>
      </c>
      <c r="F23" s="2" t="s">
        <v>190</v>
      </c>
      <c r="H23" s="43">
        <f>H18+H21</f>
        <v>-1.4136678022981239E-3</v>
      </c>
    </row>
    <row r="26" spans="2:10" s="8" customFormat="1" x14ac:dyDescent="0.2">
      <c r="B26" s="8" t="s">
        <v>258</v>
      </c>
    </row>
    <row r="28" spans="2:10" x14ac:dyDescent="0.2">
      <c r="B28" s="1" t="s">
        <v>259</v>
      </c>
    </row>
    <row r="29" spans="2:10" x14ac:dyDescent="0.2">
      <c r="B29" s="2" t="s">
        <v>250</v>
      </c>
      <c r="F29" s="2" t="s">
        <v>190</v>
      </c>
      <c r="H29" s="42">
        <f>'Schatting productieprijs'!H45</f>
        <v>0.45503312372171117</v>
      </c>
    </row>
    <row r="30" spans="2:10" x14ac:dyDescent="0.2">
      <c r="B30" s="2" t="s">
        <v>251</v>
      </c>
      <c r="F30" s="2" t="s">
        <v>190</v>
      </c>
      <c r="H30" s="42">
        <f>H23</f>
        <v>-1.4136678022981239E-3</v>
      </c>
    </row>
    <row r="31" spans="2:10" x14ac:dyDescent="0.2">
      <c r="B31" s="2" t="s">
        <v>247</v>
      </c>
      <c r="F31" s="2" t="s">
        <v>83</v>
      </c>
      <c r="H31" s="44">
        <f>'Gegevens inkoopcorrectie'!H48</f>
        <v>9.6617059290677931E-2</v>
      </c>
    </row>
    <row r="32" spans="2:10" x14ac:dyDescent="0.2">
      <c r="B32" s="2" t="s">
        <v>260</v>
      </c>
      <c r="F32" s="2" t="s">
        <v>190</v>
      </c>
      <c r="H32" s="43">
        <f>(H29+H30)/(1-H31)</f>
        <v>0.50213418416251931</v>
      </c>
    </row>
    <row r="33" spans="2:11" x14ac:dyDescent="0.2">
      <c r="B33" s="2" t="s">
        <v>261</v>
      </c>
      <c r="F33" s="2" t="s">
        <v>190</v>
      </c>
      <c r="H33" s="45">
        <f>ROUND(H32,4)</f>
        <v>0.50209999999999999</v>
      </c>
      <c r="K33" s="48"/>
    </row>
    <row r="35" spans="2:11" x14ac:dyDescent="0.2">
      <c r="B35" s="1" t="s">
        <v>262</v>
      </c>
    </row>
    <row r="36" spans="2:11" x14ac:dyDescent="0.2">
      <c r="B36" s="2" t="s">
        <v>263</v>
      </c>
      <c r="F36" s="2" t="s">
        <v>190</v>
      </c>
      <c r="H36" s="46">
        <f>'Gegevens inkoopcorrectie'!H45</f>
        <v>0.38679999999999998</v>
      </c>
    </row>
    <row r="37" spans="2:11" x14ac:dyDescent="0.2">
      <c r="B37" s="2" t="s">
        <v>207</v>
      </c>
      <c r="F37" s="2" t="s">
        <v>190</v>
      </c>
      <c r="H37" s="46">
        <f>'Gegevens inkoopcorrectie'!H46</f>
        <v>0.73650000000000004</v>
      </c>
    </row>
    <row r="38" spans="2:11" x14ac:dyDescent="0.2">
      <c r="B38" s="2" t="s">
        <v>253</v>
      </c>
      <c r="F38" s="2" t="s">
        <v>190</v>
      </c>
      <c r="H38" s="47">
        <f>H37+(H33-H36)</f>
        <v>0.85180000000000011</v>
      </c>
      <c r="J38" s="2" t="s">
        <v>84</v>
      </c>
    </row>
    <row r="41" spans="2:11" x14ac:dyDescent="0.2">
      <c r="H41" s="48"/>
    </row>
    <row r="42" spans="2:11" x14ac:dyDescent="0.2">
      <c r="B42" s="5"/>
      <c r="H42" s="48"/>
    </row>
    <row r="43" spans="2:11" x14ac:dyDescent="0.2">
      <c r="B43" s="27" t="s">
        <v>70</v>
      </c>
    </row>
    <row r="44" spans="2:11" x14ac:dyDescent="0.2">
      <c r="H44" s="48"/>
    </row>
    <row r="47" spans="2:11" x14ac:dyDescent="0.2">
      <c r="H47" s="48"/>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1BA3-C35F-491F-81CB-9EBF277730D9}">
  <sheetPr>
    <tabColor rgb="FFCCFFFF"/>
  </sheetPr>
  <dimension ref="A2:L45"/>
  <sheetViews>
    <sheetView showGridLines="0" zoomScale="85" zoomScaleNormal="85" workbookViewId="0"/>
  </sheetViews>
  <sheetFormatPr defaultColWidth="9.140625" defaultRowHeight="12.75" x14ac:dyDescent="0.2"/>
  <cols>
    <col min="1" max="1" width="3.42578125" style="2" customWidth="1"/>
    <col min="2" max="2" width="4.28515625" style="2" customWidth="1"/>
    <col min="3" max="3" width="64.85546875" style="2" customWidth="1"/>
    <col min="4" max="5" width="3.7109375" style="2" customWidth="1"/>
    <col min="6" max="6" width="1.85546875" style="2" customWidth="1"/>
    <col min="7" max="7" width="18" style="2" customWidth="1"/>
    <col min="8" max="8" width="3.140625" style="2" customWidth="1"/>
    <col min="9" max="9" width="12" style="2" customWidth="1"/>
    <col min="10" max="10" width="5.85546875" style="2" customWidth="1"/>
    <col min="11" max="11" width="5" style="2" customWidth="1"/>
    <col min="12" max="24" width="13.7109375" style="2" customWidth="1"/>
    <col min="25" max="16384" width="9.140625" style="2"/>
  </cols>
  <sheetData>
    <row r="2" spans="1:11" s="15" customFormat="1" ht="18" x14ac:dyDescent="0.2">
      <c r="B2" s="15" t="s">
        <v>30</v>
      </c>
    </row>
    <row r="4" spans="1:11" x14ac:dyDescent="0.2">
      <c r="C4" s="26" t="s">
        <v>53</v>
      </c>
      <c r="D4" s="1"/>
      <c r="E4" s="1"/>
    </row>
    <row r="5" spans="1:11" x14ac:dyDescent="0.2">
      <c r="C5" s="2" t="s">
        <v>85</v>
      </c>
      <c r="I5" s="16"/>
    </row>
    <row r="6" spans="1:11" x14ac:dyDescent="0.2">
      <c r="C6" s="49"/>
      <c r="I6" s="16"/>
    </row>
    <row r="8" spans="1:11" s="8" customFormat="1" x14ac:dyDescent="0.2">
      <c r="C8" s="8" t="s">
        <v>41</v>
      </c>
    </row>
    <row r="11" spans="1:11" x14ac:dyDescent="0.2">
      <c r="A11" s="39"/>
      <c r="B11" s="39"/>
      <c r="C11" s="39"/>
      <c r="D11" s="39"/>
      <c r="E11" s="39"/>
      <c r="F11" s="39"/>
      <c r="G11" s="39"/>
      <c r="H11" s="39"/>
      <c r="I11" s="39"/>
      <c r="J11" s="39"/>
      <c r="K11" s="39"/>
    </row>
    <row r="12" spans="1:11" x14ac:dyDescent="0.2">
      <c r="A12" s="39"/>
      <c r="B12" s="93"/>
      <c r="C12" s="94"/>
      <c r="D12" s="94"/>
      <c r="E12" s="94"/>
      <c r="F12" s="94"/>
      <c r="G12" s="94"/>
      <c r="H12" s="94"/>
      <c r="I12" s="94"/>
      <c r="J12" s="95"/>
      <c r="K12" s="39"/>
    </row>
    <row r="13" spans="1:11" s="8" customFormat="1" x14ac:dyDescent="0.2">
      <c r="A13" s="50"/>
      <c r="B13" s="96"/>
      <c r="C13" s="97" t="s">
        <v>244</v>
      </c>
      <c r="D13" s="97"/>
      <c r="E13" s="97"/>
      <c r="F13" s="97"/>
      <c r="G13" s="97" t="s">
        <v>24</v>
      </c>
      <c r="H13" s="97"/>
      <c r="I13" s="97" t="s">
        <v>165</v>
      </c>
      <c r="J13" s="98"/>
      <c r="K13" s="39"/>
    </row>
    <row r="14" spans="1:11" x14ac:dyDescent="0.2">
      <c r="A14" s="39"/>
      <c r="B14" s="99"/>
      <c r="C14" s="100"/>
      <c r="D14" s="100"/>
      <c r="E14" s="100"/>
      <c r="F14" s="100"/>
      <c r="G14" s="100"/>
      <c r="H14" s="100"/>
      <c r="I14" s="100"/>
      <c r="J14" s="101"/>
      <c r="K14" s="39"/>
    </row>
    <row r="15" spans="1:11" x14ac:dyDescent="0.2">
      <c r="A15" s="39"/>
      <c r="B15" s="99"/>
      <c r="C15" s="102" t="s">
        <v>86</v>
      </c>
      <c r="D15" s="100"/>
      <c r="E15" s="100"/>
      <c r="F15" s="100"/>
      <c r="G15" s="100"/>
      <c r="H15" s="100"/>
      <c r="I15" s="100"/>
      <c r="J15" s="101"/>
      <c r="K15" s="39"/>
    </row>
    <row r="16" spans="1:11" x14ac:dyDescent="0.2">
      <c r="A16" s="39"/>
      <c r="B16" s="99"/>
      <c r="C16" s="100" t="s">
        <v>245</v>
      </c>
      <c r="D16" s="100"/>
      <c r="E16" s="100"/>
      <c r="F16" s="100"/>
      <c r="G16" s="100" t="s">
        <v>83</v>
      </c>
      <c r="H16" s="100"/>
      <c r="I16" s="103">
        <f>'Gegevens nieuwe productieprijs'!H29</f>
        <v>0.03</v>
      </c>
      <c r="J16" s="101"/>
      <c r="K16" s="39"/>
    </row>
    <row r="17" spans="1:12" x14ac:dyDescent="0.2">
      <c r="A17" s="39"/>
      <c r="B17" s="99"/>
      <c r="C17" s="100" t="s">
        <v>246</v>
      </c>
      <c r="D17" s="100"/>
      <c r="E17" s="100"/>
      <c r="F17" s="100"/>
      <c r="G17" s="100" t="s">
        <v>79</v>
      </c>
      <c r="H17" s="100"/>
      <c r="I17" s="104">
        <f>Resultaat!H14</f>
        <v>89430798.502546921</v>
      </c>
      <c r="J17" s="101"/>
      <c r="K17" s="39"/>
    </row>
    <row r="18" spans="1:12" x14ac:dyDescent="0.2">
      <c r="A18" s="39"/>
      <c r="B18" s="99"/>
      <c r="C18" s="100" t="s">
        <v>247</v>
      </c>
      <c r="D18" s="100"/>
      <c r="E18" s="100"/>
      <c r="F18" s="100"/>
      <c r="G18" s="100" t="s">
        <v>83</v>
      </c>
      <c r="H18" s="100"/>
      <c r="I18" s="103">
        <f>Resultaat!H31</f>
        <v>9.6617059290677931E-2</v>
      </c>
      <c r="J18" s="101"/>
      <c r="K18" s="39"/>
    </row>
    <row r="19" spans="1:12" x14ac:dyDescent="0.2">
      <c r="A19" s="39"/>
      <c r="B19" s="99"/>
      <c r="C19" s="100"/>
      <c r="D19" s="100"/>
      <c r="E19" s="100"/>
      <c r="F19" s="100"/>
      <c r="G19" s="100"/>
      <c r="H19" s="100"/>
      <c r="I19" s="100"/>
      <c r="J19" s="101"/>
      <c r="K19" s="39"/>
    </row>
    <row r="20" spans="1:12" x14ac:dyDescent="0.2">
      <c r="A20" s="39"/>
      <c r="B20" s="99"/>
      <c r="C20" s="102" t="s">
        <v>87</v>
      </c>
      <c r="D20" s="100"/>
      <c r="E20" s="100"/>
      <c r="F20" s="100"/>
      <c r="G20" s="100"/>
      <c r="H20" s="100"/>
      <c r="I20" s="100"/>
      <c r="J20" s="101"/>
      <c r="K20" s="39"/>
    </row>
    <row r="21" spans="1:12" x14ac:dyDescent="0.2">
      <c r="A21" s="39"/>
      <c r="B21" s="99"/>
      <c r="C21" s="100" t="s">
        <v>81</v>
      </c>
      <c r="D21" s="100"/>
      <c r="E21" s="100"/>
      <c r="F21" s="100"/>
      <c r="G21" s="100" t="s">
        <v>225</v>
      </c>
      <c r="H21" s="100"/>
      <c r="I21" s="104">
        <f>Resultaat!H17</f>
        <v>-223389.00494042068</v>
      </c>
      <c r="J21" s="101"/>
      <c r="K21" s="39"/>
    </row>
    <row r="22" spans="1:12" x14ac:dyDescent="0.2">
      <c r="A22" s="39"/>
      <c r="B22" s="99"/>
      <c r="C22" s="100" t="s">
        <v>82</v>
      </c>
      <c r="D22" s="100"/>
      <c r="E22" s="100"/>
      <c r="F22" s="100"/>
      <c r="G22" s="100" t="s">
        <v>190</v>
      </c>
      <c r="H22" s="100"/>
      <c r="I22" s="105">
        <f>Resultaat!H18</f>
        <v>-2.49789791303338E-3</v>
      </c>
      <c r="J22" s="101"/>
      <c r="K22" s="39"/>
    </row>
    <row r="23" spans="1:12" x14ac:dyDescent="0.2">
      <c r="A23" s="39"/>
      <c r="B23" s="99"/>
      <c r="C23" s="100"/>
      <c r="D23" s="100"/>
      <c r="E23" s="100"/>
      <c r="F23" s="100"/>
      <c r="G23" s="100"/>
      <c r="H23" s="100"/>
      <c r="I23" s="100"/>
      <c r="J23" s="101"/>
      <c r="K23" s="39"/>
    </row>
    <row r="24" spans="1:12" x14ac:dyDescent="0.2">
      <c r="A24" s="39"/>
      <c r="B24" s="99"/>
      <c r="C24" s="102" t="s">
        <v>248</v>
      </c>
      <c r="D24" s="100"/>
      <c r="E24" s="100"/>
      <c r="F24" s="100"/>
      <c r="G24" s="100"/>
      <c r="H24" s="100"/>
      <c r="I24" s="100"/>
      <c r="J24" s="101"/>
      <c r="K24" s="39"/>
    </row>
    <row r="25" spans="1:12" x14ac:dyDescent="0.2">
      <c r="A25" s="39"/>
      <c r="B25" s="99"/>
      <c r="C25" s="100" t="s">
        <v>189</v>
      </c>
      <c r="D25" s="100"/>
      <c r="E25" s="100"/>
      <c r="F25" s="100"/>
      <c r="G25" s="100" t="s">
        <v>190</v>
      </c>
      <c r="H25" s="100"/>
      <c r="I25" s="106">
        <f>Resultaat!H21</f>
        <v>1.0842301107352561E-3</v>
      </c>
      <c r="J25" s="101"/>
      <c r="K25" s="39"/>
    </row>
    <row r="26" spans="1:12" x14ac:dyDescent="0.2">
      <c r="A26" s="39"/>
      <c r="B26" s="99"/>
      <c r="C26" s="100"/>
      <c r="D26" s="100"/>
      <c r="E26" s="100"/>
      <c r="F26" s="100"/>
      <c r="G26" s="100"/>
      <c r="H26" s="100"/>
      <c r="I26" s="100"/>
      <c r="J26" s="101"/>
      <c r="K26" s="39"/>
    </row>
    <row r="27" spans="1:12" x14ac:dyDescent="0.2">
      <c r="A27" s="39"/>
      <c r="B27" s="99"/>
      <c r="C27" s="102" t="s">
        <v>249</v>
      </c>
      <c r="D27" s="100"/>
      <c r="E27" s="100"/>
      <c r="F27" s="100"/>
      <c r="G27" s="100"/>
      <c r="H27" s="100"/>
      <c r="I27" s="100"/>
      <c r="J27" s="101"/>
      <c r="K27" s="39"/>
    </row>
    <row r="28" spans="1:12" x14ac:dyDescent="0.2">
      <c r="A28" s="39"/>
      <c r="B28" s="99"/>
      <c r="C28" s="100" t="s">
        <v>250</v>
      </c>
      <c r="D28" s="100"/>
      <c r="E28" s="100"/>
      <c r="F28" s="100"/>
      <c r="G28" s="100" t="s">
        <v>190</v>
      </c>
      <c r="H28" s="100"/>
      <c r="I28" s="106">
        <f>Resultaat!H29</f>
        <v>0.45503312372171117</v>
      </c>
      <c r="J28" s="101"/>
      <c r="K28" s="39"/>
    </row>
    <row r="29" spans="1:12" x14ac:dyDescent="0.2">
      <c r="A29" s="39"/>
      <c r="B29" s="99"/>
      <c r="C29" s="100" t="s">
        <v>251</v>
      </c>
      <c r="D29" s="100"/>
      <c r="E29" s="100"/>
      <c r="F29" s="100"/>
      <c r="G29" s="100" t="s">
        <v>190</v>
      </c>
      <c r="H29" s="100"/>
      <c r="I29" s="106">
        <f>Resultaat!H30</f>
        <v>-1.4136678022981239E-3</v>
      </c>
      <c r="J29" s="101"/>
      <c r="K29" s="39"/>
    </row>
    <row r="30" spans="1:12" x14ac:dyDescent="0.2">
      <c r="A30" s="39"/>
      <c r="B30" s="99"/>
      <c r="C30" s="100" t="s">
        <v>252</v>
      </c>
      <c r="D30" s="100"/>
      <c r="E30" s="100"/>
      <c r="F30" s="100"/>
      <c r="G30" s="100" t="s">
        <v>190</v>
      </c>
      <c r="H30" s="100"/>
      <c r="I30" s="106">
        <f>Resultaat!H33</f>
        <v>0.50209999999999999</v>
      </c>
      <c r="J30" s="101"/>
      <c r="K30" s="39"/>
      <c r="L30" s="48"/>
    </row>
    <row r="31" spans="1:12" x14ac:dyDescent="0.2">
      <c r="A31" s="39"/>
      <c r="B31" s="99"/>
      <c r="C31" s="100" t="s">
        <v>253</v>
      </c>
      <c r="D31" s="100"/>
      <c r="E31" s="100"/>
      <c r="F31" s="100"/>
      <c r="G31" s="100" t="s">
        <v>190</v>
      </c>
      <c r="H31" s="100"/>
      <c r="I31" s="107">
        <f>Resultaat!H38</f>
        <v>0.85180000000000011</v>
      </c>
      <c r="J31" s="101"/>
      <c r="K31" s="39"/>
    </row>
    <row r="32" spans="1:12" x14ac:dyDescent="0.2">
      <c r="A32" s="39"/>
      <c r="B32" s="99"/>
      <c r="C32" s="100"/>
      <c r="D32" s="100"/>
      <c r="E32" s="100"/>
      <c r="F32" s="100"/>
      <c r="G32" s="100"/>
      <c r="H32" s="100"/>
      <c r="I32" s="107"/>
      <c r="J32" s="101"/>
      <c r="K32" s="39"/>
    </row>
    <row r="33" spans="1:11" x14ac:dyDescent="0.2">
      <c r="A33" s="39"/>
      <c r="B33" s="99"/>
      <c r="C33" s="108" t="s">
        <v>88</v>
      </c>
      <c r="D33" s="100"/>
      <c r="E33" s="100"/>
      <c r="F33" s="100"/>
      <c r="G33" s="100"/>
      <c r="H33" s="100"/>
      <c r="I33" s="107"/>
      <c r="J33" s="101"/>
      <c r="K33" s="39"/>
    </row>
    <row r="34" spans="1:11" x14ac:dyDescent="0.2">
      <c r="A34" s="39"/>
      <c r="B34" s="99"/>
      <c r="C34" s="100"/>
      <c r="D34" s="100"/>
      <c r="E34" s="100"/>
      <c r="F34" s="100"/>
      <c r="G34" s="100"/>
      <c r="H34" s="100"/>
      <c r="I34" s="107"/>
      <c r="J34" s="101"/>
      <c r="K34" s="39"/>
    </row>
    <row r="35" spans="1:11" x14ac:dyDescent="0.2">
      <c r="A35" s="39"/>
      <c r="B35" s="109"/>
      <c r="C35" s="110"/>
      <c r="D35" s="110"/>
      <c r="E35" s="110"/>
      <c r="F35" s="110"/>
      <c r="G35" s="110"/>
      <c r="H35" s="110"/>
      <c r="I35" s="110"/>
      <c r="J35" s="111"/>
      <c r="K35" s="39"/>
    </row>
    <row r="36" spans="1:11" x14ac:dyDescent="0.2">
      <c r="A36" s="39"/>
      <c r="B36" s="39"/>
      <c r="C36" s="39"/>
      <c r="D36" s="39"/>
      <c r="E36" s="39"/>
      <c r="F36" s="39"/>
      <c r="G36" s="39"/>
      <c r="H36" s="39"/>
      <c r="I36" s="39"/>
      <c r="J36" s="39"/>
      <c r="K36" s="39"/>
    </row>
    <row r="41" spans="1:11" x14ac:dyDescent="0.2">
      <c r="B41" s="27" t="s">
        <v>70</v>
      </c>
    </row>
    <row r="42" spans="1:11" x14ac:dyDescent="0.2">
      <c r="H42" s="48"/>
    </row>
    <row r="45" spans="1:11" x14ac:dyDescent="0.2">
      <c r="H45" s="4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043E-DD21-4C7A-8A77-E3D02551794E}">
  <sheetPr>
    <tabColor theme="0" tint="-4.9989318521683403E-2"/>
  </sheetPr>
  <dimension ref="B2:B3"/>
  <sheetViews>
    <sheetView showGridLines="0" zoomScale="85" zoomScaleNormal="85" workbookViewId="0">
      <selection activeCell="F51" sqref="F51"/>
    </sheetView>
  </sheetViews>
  <sheetFormatPr defaultColWidth="9.140625" defaultRowHeight="12.75" x14ac:dyDescent="0.2"/>
  <cols>
    <col min="1" max="1" width="5.7109375" style="18" customWidth="1"/>
    <col min="2" max="16384" width="9.140625" style="18"/>
  </cols>
  <sheetData>
    <row r="2" spans="2:2" x14ac:dyDescent="0.2">
      <c r="B2" s="37" t="s">
        <v>74</v>
      </c>
    </row>
    <row r="3" spans="2:2" x14ac:dyDescent="0.2">
      <c r="B3" s="37" t="s">
        <v>75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8634-10B3-4AE0-BEBF-FB5DBAD6D288}">
  <sheetPr>
    <tabColor rgb="FFE1FFE1"/>
  </sheetPr>
  <dimension ref="B2:U53"/>
  <sheetViews>
    <sheetView showGridLines="0" zoomScale="80" zoomScaleNormal="80" workbookViewId="0">
      <pane xSplit="6" ySplit="14" topLeftCell="G15" activePane="bottomRight" state="frozen"/>
      <selection activeCell="F51" sqref="F51"/>
      <selection pane="topRight" activeCell="F51" sqref="F51"/>
      <selection pane="bottomLeft" activeCell="F51" sqref="F51"/>
      <selection pane="bottomRight" activeCell="G15" sqref="G15"/>
    </sheetView>
  </sheetViews>
  <sheetFormatPr defaultColWidth="9.140625" defaultRowHeight="12.75" x14ac:dyDescent="0.2"/>
  <cols>
    <col min="1" max="1" width="5.7109375" style="2" customWidth="1"/>
    <col min="2" max="2" width="56.5703125" style="2" customWidth="1"/>
    <col min="3" max="5" width="5.7109375" style="2" customWidth="1"/>
    <col min="6" max="6" width="24.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6.85546875" style="2" customWidth="1"/>
    <col min="18" max="18" width="2.7109375" style="2" customWidth="1"/>
    <col min="19" max="19" width="39" style="2" customWidth="1"/>
    <col min="20" max="20" width="2.7109375" style="2" customWidth="1"/>
    <col min="21" max="21" width="30.7109375" style="2" customWidth="1"/>
    <col min="22" max="22" width="2.7109375" style="2" customWidth="1"/>
    <col min="23" max="37" width="13.7109375" style="2" customWidth="1"/>
    <col min="38" max="16384" width="9.140625" style="2"/>
  </cols>
  <sheetData>
    <row r="2" spans="2:21" s="15" customFormat="1" ht="18" x14ac:dyDescent="0.2">
      <c r="B2" s="15" t="s">
        <v>89</v>
      </c>
    </row>
    <row r="4" spans="2:21" x14ac:dyDescent="0.2">
      <c r="B4" s="26" t="s">
        <v>26</v>
      </c>
      <c r="C4" s="1"/>
      <c r="D4" s="1"/>
      <c r="L4"/>
    </row>
    <row r="5" spans="2:21" x14ac:dyDescent="0.2">
      <c r="B5" s="2" t="s">
        <v>200</v>
      </c>
      <c r="H5" s="16"/>
    </row>
    <row r="6" spans="2:21" x14ac:dyDescent="0.2">
      <c r="B6" s="2" t="s">
        <v>212</v>
      </c>
      <c r="H6" s="16"/>
    </row>
    <row r="7" spans="2:21" x14ac:dyDescent="0.2">
      <c r="B7" s="2" t="s">
        <v>90</v>
      </c>
      <c r="H7" s="16"/>
    </row>
    <row r="9" spans="2:21" x14ac:dyDescent="0.2">
      <c r="B9" s="27" t="s">
        <v>27</v>
      </c>
    </row>
    <row r="10" spans="2:21" x14ac:dyDescent="0.2">
      <c r="B10" s="4" t="s">
        <v>91</v>
      </c>
    </row>
    <row r="13" spans="2:21" s="8" customFormat="1" x14ac:dyDescent="0.2">
      <c r="B13" s="8" t="s">
        <v>41</v>
      </c>
      <c r="F13" s="8" t="s">
        <v>24</v>
      </c>
      <c r="H13" s="8" t="s">
        <v>25</v>
      </c>
      <c r="J13" s="8" t="s">
        <v>45</v>
      </c>
      <c r="L13" s="8" t="s">
        <v>213</v>
      </c>
      <c r="M13" s="8" t="s">
        <v>214</v>
      </c>
      <c r="N13" s="8" t="s">
        <v>215</v>
      </c>
      <c r="O13" s="8" t="s">
        <v>216</v>
      </c>
      <c r="P13" s="8" t="s">
        <v>217</v>
      </c>
      <c r="Q13" s="8" t="s">
        <v>218</v>
      </c>
      <c r="S13" s="8" t="s">
        <v>42</v>
      </c>
      <c r="U13" s="8" t="s">
        <v>43</v>
      </c>
    </row>
    <row r="16" spans="2:21" s="8" customFormat="1" x14ac:dyDescent="0.2">
      <c r="B16" s="8" t="s">
        <v>92</v>
      </c>
    </row>
    <row r="18" spans="2:21" x14ac:dyDescent="0.2">
      <c r="B18" s="1" t="s">
        <v>93</v>
      </c>
      <c r="L18" s="89"/>
      <c r="M18" s="89"/>
      <c r="N18" s="89"/>
      <c r="O18" s="90"/>
      <c r="P18" s="89"/>
      <c r="Q18" s="89"/>
    </row>
    <row r="19" spans="2:21" x14ac:dyDescent="0.2">
      <c r="B19" s="2" t="s">
        <v>94</v>
      </c>
      <c r="F19" s="2" t="s">
        <v>79</v>
      </c>
      <c r="L19" s="52">
        <v>14149760</v>
      </c>
      <c r="M19" s="52">
        <v>13445300</v>
      </c>
      <c r="N19" s="52">
        <v>13500280</v>
      </c>
      <c r="O19" s="30">
        <v>12362920</v>
      </c>
      <c r="P19" s="52">
        <v>13504840</v>
      </c>
      <c r="Q19" s="52">
        <v>13483970</v>
      </c>
      <c r="S19" s="2" t="s">
        <v>277</v>
      </c>
    </row>
    <row r="20" spans="2:21" x14ac:dyDescent="0.2">
      <c r="B20" s="2" t="s">
        <v>95</v>
      </c>
      <c r="F20" s="2" t="s">
        <v>96</v>
      </c>
      <c r="L20" s="53">
        <v>0.30113000000000001</v>
      </c>
      <c r="M20" s="53">
        <v>0.30158000000000001</v>
      </c>
      <c r="N20" s="53">
        <v>0.35204000000000002</v>
      </c>
      <c r="O20" s="53">
        <v>0.34733000000000003</v>
      </c>
      <c r="P20" s="53">
        <v>0.35776999999999998</v>
      </c>
      <c r="Q20" s="53">
        <v>0.33945999999999998</v>
      </c>
      <c r="S20" s="2" t="s">
        <v>277</v>
      </c>
      <c r="U20" s="2" t="s">
        <v>97</v>
      </c>
    </row>
    <row r="21" spans="2:21" x14ac:dyDescent="0.2">
      <c r="S21" s="16"/>
    </row>
    <row r="22" spans="2:21" x14ac:dyDescent="0.2">
      <c r="B22" s="1" t="s">
        <v>98</v>
      </c>
      <c r="L22" s="88"/>
      <c r="M22" s="88"/>
      <c r="N22" s="88"/>
      <c r="O22" s="88"/>
      <c r="P22" s="88"/>
      <c r="Q22" s="88"/>
      <c r="S22" s="16"/>
    </row>
    <row r="23" spans="2:21" x14ac:dyDescent="0.2">
      <c r="B23" s="2" t="s">
        <v>168</v>
      </c>
      <c r="F23" s="2" t="s">
        <v>79</v>
      </c>
      <c r="H23" s="52">
        <v>186183230.99999997</v>
      </c>
      <c r="L23" s="86"/>
      <c r="M23" s="86"/>
      <c r="N23" s="86"/>
      <c r="O23" s="86"/>
      <c r="P23" s="86"/>
      <c r="Q23" s="86"/>
      <c r="R23" s="48">
        <f t="shared" ref="R23" si="0">R17*R22</f>
        <v>0</v>
      </c>
      <c r="S23" s="2" t="s">
        <v>198</v>
      </c>
    </row>
    <row r="24" spans="2:21" x14ac:dyDescent="0.2">
      <c r="B24" s="2" t="s">
        <v>182</v>
      </c>
      <c r="F24" s="2" t="s">
        <v>79</v>
      </c>
      <c r="H24" s="52">
        <v>171799335.30000007</v>
      </c>
      <c r="S24" s="2" t="s">
        <v>193</v>
      </c>
    </row>
    <row r="25" spans="2:21" x14ac:dyDescent="0.2">
      <c r="B25" s="2" t="s">
        <v>169</v>
      </c>
      <c r="F25" s="2" t="s">
        <v>167</v>
      </c>
      <c r="H25" s="53">
        <v>0.12986</v>
      </c>
      <c r="S25" s="2" t="s">
        <v>197</v>
      </c>
    </row>
    <row r="26" spans="2:21" x14ac:dyDescent="0.2">
      <c r="B26" s="2" t="s">
        <v>191</v>
      </c>
      <c r="F26" s="2" t="s">
        <v>190</v>
      </c>
      <c r="H26" s="53">
        <v>0.16689999999999999</v>
      </c>
      <c r="S26" s="2" t="s">
        <v>194</v>
      </c>
    </row>
    <row r="27" spans="2:21" x14ac:dyDescent="0.2">
      <c r="B27" s="2" t="s">
        <v>199</v>
      </c>
      <c r="F27" s="2" t="s">
        <v>167</v>
      </c>
      <c r="H27" s="55">
        <v>0.17403666426331046</v>
      </c>
      <c r="S27" s="2" t="s">
        <v>99</v>
      </c>
      <c r="U27" s="2" t="s">
        <v>195</v>
      </c>
    </row>
    <row r="28" spans="2:21" x14ac:dyDescent="0.2">
      <c r="B28" s="2" t="s">
        <v>192</v>
      </c>
      <c r="F28" s="2" t="s">
        <v>190</v>
      </c>
      <c r="H28" s="55">
        <v>0.18514493651145075</v>
      </c>
      <c r="S28" s="2" t="s">
        <v>196</v>
      </c>
    </row>
    <row r="31" spans="2:21" s="8" customFormat="1" x14ac:dyDescent="0.2">
      <c r="B31" s="8" t="s">
        <v>100</v>
      </c>
    </row>
    <row r="33" spans="2:21" x14ac:dyDescent="0.2">
      <c r="B33" s="1" t="s">
        <v>101</v>
      </c>
    </row>
    <row r="34" spans="2:21" x14ac:dyDescent="0.2">
      <c r="B34" s="2" t="s">
        <v>102</v>
      </c>
      <c r="F34" s="2" t="s">
        <v>79</v>
      </c>
      <c r="L34" s="52">
        <v>10607</v>
      </c>
      <c r="M34" s="52">
        <v>16509</v>
      </c>
      <c r="N34" s="52">
        <v>9440</v>
      </c>
      <c r="O34" s="52">
        <v>17396</v>
      </c>
      <c r="P34" s="52">
        <v>22841</v>
      </c>
      <c r="Q34" s="52">
        <v>20456</v>
      </c>
      <c r="S34" s="2" t="s">
        <v>278</v>
      </c>
    </row>
    <row r="35" spans="2:21" x14ac:dyDescent="0.2">
      <c r="S35" s="16"/>
    </row>
    <row r="36" spans="2:21" x14ac:dyDescent="0.2">
      <c r="B36" s="1" t="s">
        <v>103</v>
      </c>
      <c r="S36" s="16"/>
    </row>
    <row r="37" spans="2:21" x14ac:dyDescent="0.2">
      <c r="B37" s="2" t="s">
        <v>170</v>
      </c>
      <c r="F37" s="2" t="s">
        <v>79</v>
      </c>
      <c r="H37" s="52">
        <v>282924.66000000003</v>
      </c>
      <c r="S37" s="2" t="s">
        <v>204</v>
      </c>
    </row>
    <row r="38" spans="2:21" x14ac:dyDescent="0.2">
      <c r="B38" s="2" t="s">
        <v>201</v>
      </c>
      <c r="F38" s="2" t="s">
        <v>79</v>
      </c>
      <c r="H38" s="52">
        <v>176996</v>
      </c>
      <c r="S38" s="2" t="s">
        <v>203</v>
      </c>
    </row>
    <row r="39" spans="2:21" x14ac:dyDescent="0.2">
      <c r="B39" s="2" t="s">
        <v>202</v>
      </c>
      <c r="F39" s="2" t="s">
        <v>190</v>
      </c>
      <c r="H39" s="55">
        <v>0.63780000000000003</v>
      </c>
      <c r="S39" s="2" t="s">
        <v>104</v>
      </c>
      <c r="U39" s="2" t="s">
        <v>205</v>
      </c>
    </row>
    <row r="42" spans="2:21" s="8" customFormat="1" x14ac:dyDescent="0.2">
      <c r="B42" s="8" t="s">
        <v>105</v>
      </c>
    </row>
    <row r="44" spans="2:21" x14ac:dyDescent="0.2">
      <c r="B44" s="1" t="s">
        <v>106</v>
      </c>
    </row>
    <row r="45" spans="2:21" x14ac:dyDescent="0.2">
      <c r="B45" s="2" t="s">
        <v>206</v>
      </c>
      <c r="F45" s="2" t="s">
        <v>190</v>
      </c>
      <c r="H45" s="55">
        <v>0.38679999999999998</v>
      </c>
      <c r="S45" s="2" t="s">
        <v>107</v>
      </c>
      <c r="T45" s="16"/>
      <c r="U45" s="16"/>
    </row>
    <row r="46" spans="2:21" x14ac:dyDescent="0.2">
      <c r="B46" s="2" t="s">
        <v>207</v>
      </c>
      <c r="F46" s="2" t="s">
        <v>190</v>
      </c>
      <c r="H46" s="55">
        <v>0.73650000000000004</v>
      </c>
      <c r="S46" s="2" t="s">
        <v>108</v>
      </c>
      <c r="T46" s="16"/>
      <c r="U46" s="16"/>
    </row>
    <row r="47" spans="2:21" x14ac:dyDescent="0.2">
      <c r="B47" s="2" t="s">
        <v>208</v>
      </c>
      <c r="F47" s="2" t="s">
        <v>83</v>
      </c>
      <c r="H47" s="56">
        <v>0.47998193805785128</v>
      </c>
      <c r="S47" s="2" t="s">
        <v>210</v>
      </c>
      <c r="T47" s="16"/>
      <c r="U47" s="16"/>
    </row>
    <row r="48" spans="2:21" x14ac:dyDescent="0.2">
      <c r="B48" s="2" t="s">
        <v>209</v>
      </c>
      <c r="F48" s="2" t="s">
        <v>83</v>
      </c>
      <c r="H48" s="56">
        <v>9.6617059290677931E-2</v>
      </c>
      <c r="S48" s="2" t="s">
        <v>211</v>
      </c>
      <c r="T48" s="16"/>
      <c r="U48" s="16"/>
    </row>
    <row r="49" spans="2:21" x14ac:dyDescent="0.2">
      <c r="B49" s="1"/>
      <c r="S49" s="16"/>
      <c r="T49" s="16"/>
      <c r="U49" s="16"/>
    </row>
    <row r="53" spans="2:21" x14ac:dyDescent="0.2">
      <c r="B53" s="27" t="s">
        <v>70</v>
      </c>
    </row>
  </sheetData>
  <phoneticPr fontId="29" type="noConversion"/>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4939-4D5E-48C8-A06F-C370CF2FE686}">
  <sheetPr>
    <tabColor rgb="FFE1FFE1"/>
  </sheetPr>
  <dimension ref="A2:L36"/>
  <sheetViews>
    <sheetView showGridLines="0" zoomScale="85" zoomScaleNormal="85" workbookViewId="0">
      <pane xSplit="6" ySplit="11" topLeftCell="G12" activePane="bottomRight" state="frozen"/>
      <selection activeCell="F51" sqref="F51"/>
      <selection pane="topRight" activeCell="F51" sqref="F51"/>
      <selection pane="bottomLeft" activeCell="F51" sqref="F51"/>
      <selection pane="bottomRight" activeCell="G12" sqref="G12"/>
    </sheetView>
  </sheetViews>
  <sheetFormatPr defaultColWidth="9.140625" defaultRowHeight="12.75" x14ac:dyDescent="0.2"/>
  <cols>
    <col min="1" max="1" width="5.7109375" style="2" customWidth="1"/>
    <col min="2" max="2" width="56.5703125" style="2" customWidth="1"/>
    <col min="3" max="5" width="5.7109375" style="2" customWidth="1"/>
    <col min="6" max="6" width="24.28515625" style="2" customWidth="1"/>
    <col min="7" max="7" width="2.7109375" style="2" customWidth="1"/>
    <col min="8" max="8" width="13.7109375" style="2" customWidth="1"/>
    <col min="9" max="9" width="2.7109375" style="2" customWidth="1"/>
    <col min="10" max="10" width="46" style="2" customWidth="1"/>
    <col min="11" max="11" width="2.7109375" style="2" customWidth="1"/>
    <col min="12" max="12" width="18.85546875" style="2" customWidth="1"/>
    <col min="13" max="18" width="13.7109375" style="2" customWidth="1"/>
    <col min="19" max="16384" width="9.140625" style="2"/>
  </cols>
  <sheetData>
    <row r="2" spans="2:12" s="15" customFormat="1" ht="18" x14ac:dyDescent="0.2">
      <c r="B2" s="15" t="s">
        <v>183</v>
      </c>
    </row>
    <row r="4" spans="2:12" x14ac:dyDescent="0.2">
      <c r="B4" s="26" t="s">
        <v>26</v>
      </c>
      <c r="C4" s="1"/>
      <c r="D4" s="1"/>
      <c r="L4"/>
    </row>
    <row r="5" spans="2:12" x14ac:dyDescent="0.2">
      <c r="B5" s="2" t="s">
        <v>185</v>
      </c>
      <c r="H5" s="16"/>
    </row>
    <row r="6" spans="2:12" x14ac:dyDescent="0.2">
      <c r="B6" s="2" t="s">
        <v>109</v>
      </c>
      <c r="H6" s="16"/>
    </row>
    <row r="7" spans="2:12" x14ac:dyDescent="0.2">
      <c r="B7" s="2" t="s">
        <v>184</v>
      </c>
      <c r="H7" s="16"/>
    </row>
    <row r="10" spans="2:12" s="8" customFormat="1" x14ac:dyDescent="0.2">
      <c r="B10" s="8" t="s">
        <v>41</v>
      </c>
      <c r="F10" s="8" t="s">
        <v>24</v>
      </c>
      <c r="H10" s="8" t="s">
        <v>25</v>
      </c>
      <c r="J10" s="8" t="s">
        <v>42</v>
      </c>
      <c r="L10" s="8" t="s">
        <v>43</v>
      </c>
    </row>
    <row r="13" spans="2:12" s="8" customFormat="1" x14ac:dyDescent="0.2">
      <c r="B13" s="8" t="s">
        <v>92</v>
      </c>
    </row>
    <row r="15" spans="2:12" x14ac:dyDescent="0.2">
      <c r="B15" s="57" t="s">
        <v>182</v>
      </c>
      <c r="C15" s="58"/>
      <c r="D15" s="58"/>
      <c r="E15" s="58"/>
      <c r="F15" s="58"/>
      <c r="G15" s="58"/>
      <c r="H15" s="58"/>
      <c r="I15" s="58"/>
      <c r="J15" s="58"/>
      <c r="K15" s="58"/>
      <c r="L15" s="58"/>
    </row>
    <row r="16" spans="2:12" x14ac:dyDescent="0.2">
      <c r="B16" s="38" t="s">
        <v>110</v>
      </c>
      <c r="C16" s="58"/>
      <c r="D16" s="58"/>
      <c r="E16" s="58"/>
      <c r="F16" s="2" t="s">
        <v>79</v>
      </c>
      <c r="G16" s="58"/>
      <c r="H16" s="32">
        <v>140557366.38000005</v>
      </c>
      <c r="I16" s="58"/>
      <c r="J16" s="59" t="s">
        <v>180</v>
      </c>
      <c r="K16" s="58"/>
      <c r="L16" s="58"/>
    </row>
    <row r="17" spans="1:12" x14ac:dyDescent="0.2">
      <c r="B17" s="38" t="s">
        <v>111</v>
      </c>
      <c r="C17" s="58"/>
      <c r="D17" s="58"/>
      <c r="E17" s="58"/>
      <c r="F17" s="2" t="s">
        <v>79</v>
      </c>
      <c r="G17" s="58"/>
      <c r="H17" s="32">
        <v>31241968.920000002</v>
      </c>
      <c r="I17" s="58"/>
      <c r="J17" s="59" t="s">
        <v>181</v>
      </c>
      <c r="K17" s="58"/>
      <c r="L17" s="58"/>
    </row>
    <row r="18" spans="1:12" x14ac:dyDescent="0.2">
      <c r="B18" s="59" t="s">
        <v>187</v>
      </c>
      <c r="C18" s="58"/>
      <c r="D18" s="58"/>
      <c r="E18" s="58"/>
      <c r="F18" s="2" t="s">
        <v>79</v>
      </c>
      <c r="G18" s="58"/>
      <c r="H18" s="60">
        <f>H16+H17</f>
        <v>171799335.30000007</v>
      </c>
      <c r="I18" s="58"/>
      <c r="J18" s="58"/>
      <c r="K18" s="58"/>
      <c r="L18" s="59"/>
    </row>
    <row r="19" spans="1:12" x14ac:dyDescent="0.2">
      <c r="B19" s="58"/>
      <c r="C19" s="58"/>
      <c r="D19" s="58"/>
      <c r="E19" s="58"/>
      <c r="F19" s="58"/>
      <c r="G19" s="58"/>
      <c r="H19" s="58"/>
      <c r="I19" s="58"/>
      <c r="J19" s="58"/>
      <c r="K19" s="58"/>
      <c r="L19" s="58"/>
    </row>
    <row r="20" spans="1:12" x14ac:dyDescent="0.2">
      <c r="B20" s="57" t="s">
        <v>188</v>
      </c>
      <c r="C20" s="58"/>
      <c r="D20" s="58"/>
      <c r="E20" s="58"/>
      <c r="F20" s="58"/>
      <c r="G20" s="58"/>
      <c r="H20" s="58"/>
      <c r="I20" s="58"/>
      <c r="J20" s="58"/>
      <c r="K20" s="58"/>
      <c r="L20" s="58"/>
    </row>
    <row r="21" spans="1:12" x14ac:dyDescent="0.2">
      <c r="B21" s="59" t="s">
        <v>112</v>
      </c>
      <c r="C21" s="58"/>
      <c r="D21" s="58"/>
      <c r="E21" s="58"/>
      <c r="F21" s="59" t="s">
        <v>113</v>
      </c>
      <c r="G21" s="58"/>
      <c r="H21" s="61">
        <v>0.27934511103295734</v>
      </c>
      <c r="I21" s="58"/>
      <c r="J21" s="59" t="s">
        <v>179</v>
      </c>
      <c r="K21" s="58"/>
      <c r="L21" s="58" t="s">
        <v>171</v>
      </c>
    </row>
    <row r="22" spans="1:12" x14ac:dyDescent="0.2">
      <c r="B22" s="58"/>
      <c r="C22" s="58"/>
      <c r="D22" s="58"/>
      <c r="E22" s="58"/>
      <c r="F22" s="58"/>
      <c r="G22" s="58"/>
      <c r="H22" s="58"/>
      <c r="I22" s="58"/>
      <c r="J22" s="58"/>
      <c r="K22" s="58"/>
      <c r="L22" s="58"/>
    </row>
    <row r="23" spans="1:12" s="26" customFormat="1" x14ac:dyDescent="0.2">
      <c r="A23" s="2"/>
      <c r="B23" s="26" t="s">
        <v>114</v>
      </c>
    </row>
    <row r="24" spans="1:12" x14ac:dyDescent="0.2">
      <c r="B24" s="2" t="s">
        <v>271</v>
      </c>
      <c r="F24" s="2" t="s">
        <v>115</v>
      </c>
      <c r="G24" s="62"/>
      <c r="H24" s="92">
        <v>1.2599</v>
      </c>
      <c r="I24" s="58"/>
      <c r="J24" s="2" t="s">
        <v>280</v>
      </c>
      <c r="K24" s="58"/>
      <c r="L24" s="63"/>
    </row>
    <row r="25" spans="1:12" x14ac:dyDescent="0.2">
      <c r="B25" s="58"/>
      <c r="C25" s="58"/>
      <c r="D25" s="58"/>
      <c r="E25" s="58"/>
      <c r="F25" s="58"/>
      <c r="G25" s="58"/>
      <c r="H25" s="58"/>
      <c r="I25" s="58"/>
      <c r="J25" s="58"/>
      <c r="K25" s="58"/>
      <c r="L25" s="58"/>
    </row>
    <row r="27" spans="1:12" s="8" customFormat="1" x14ac:dyDescent="0.2">
      <c r="B27" s="8" t="s">
        <v>116</v>
      </c>
    </row>
    <row r="29" spans="1:12" x14ac:dyDescent="0.2">
      <c r="A29" s="91"/>
      <c r="B29" s="2" t="s">
        <v>117</v>
      </c>
      <c r="F29" s="2" t="s">
        <v>83</v>
      </c>
      <c r="H29" s="64">
        <v>0.03</v>
      </c>
      <c r="J29" s="2" t="s">
        <v>279</v>
      </c>
    </row>
    <row r="31" spans="1:12" x14ac:dyDescent="0.2">
      <c r="B31" s="57" t="s">
        <v>186</v>
      </c>
      <c r="C31" s="58"/>
      <c r="D31" s="58"/>
      <c r="E31" s="58"/>
      <c r="F31" s="58"/>
      <c r="G31" s="58"/>
      <c r="H31" s="58"/>
      <c r="I31" s="58"/>
      <c r="J31" s="58"/>
      <c r="K31" s="58"/>
      <c r="L31" s="58"/>
    </row>
    <row r="32" spans="1:12" x14ac:dyDescent="0.2">
      <c r="B32" s="2" t="s">
        <v>189</v>
      </c>
      <c r="F32" s="2" t="s">
        <v>190</v>
      </c>
      <c r="G32" s="58"/>
      <c r="H32" s="61">
        <v>1.0842301107352561E-3</v>
      </c>
      <c r="I32" s="58"/>
      <c r="J32" s="2" t="s">
        <v>118</v>
      </c>
      <c r="L32" t="s">
        <v>172</v>
      </c>
    </row>
    <row r="36" spans="2:2" x14ac:dyDescent="0.2">
      <c r="B36" s="27" t="s">
        <v>70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32C-224F-4F86-AB39-65A802269982}">
  <sheetPr>
    <tabColor theme="0" tint="-4.9989318521683403E-2"/>
  </sheetPr>
  <dimension ref="B2:B3"/>
  <sheetViews>
    <sheetView showGridLines="0" zoomScale="85" zoomScaleNormal="85" workbookViewId="0">
      <selection activeCell="AA60" sqref="AA60"/>
    </sheetView>
  </sheetViews>
  <sheetFormatPr defaultColWidth="9.140625" defaultRowHeight="12.75" x14ac:dyDescent="0.2"/>
  <cols>
    <col min="1" max="1" width="5.7109375" style="18" customWidth="1"/>
    <col min="2" max="16384" width="9.140625" style="18"/>
  </cols>
  <sheetData>
    <row r="2" spans="2:2" x14ac:dyDescent="0.2">
      <c r="B2" s="37" t="s">
        <v>74</v>
      </c>
    </row>
    <row r="3" spans="2:2" x14ac:dyDescent="0.2">
      <c r="B3" s="37" t="s">
        <v>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ECT67VDXDTCW-640230012-21</_dlc_DocId>
    <_dlc_DocIdUrl xmlns="5e7bef76-b888-41a2-a261-5f525b37d47e">
      <Url>https://intranet.acm.local/project/excellent-in-excel/_layouts/15/DocIdRedir.aspx?ID=ECT67VDXDTCW-640230012-21</Url>
      <Description>ECT67VDXDTCW-640230012-21</Description>
    </_dlc_DocIdUrl>
    <Status xmlns="94b38974-1436-4631-a0be-797faa579778">Actueel</Statu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file>

<file path=customXml/itemProps1.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2.xml><?xml version="1.0" encoding="utf-8"?>
<ds:datastoreItem xmlns:ds="http://schemas.openxmlformats.org/officeDocument/2006/customXml" ds:itemID="{46DC4B28-42FD-4275-AD39-0DAE99CBE63F}">
  <ds:schemaRefs>
    <ds:schemaRef ds:uri="http://schemas.microsoft.com/office/2006/metadata/properties"/>
    <ds:schemaRef ds:uri="http://schemas.microsoft.com/office/infopath/2007/PartnerControls"/>
    <ds:schemaRef ds:uri="5e7bef76-b888-41a2-a261-5f525b37d47e"/>
    <ds:schemaRef ds:uri="94b38974-1436-4631-a0be-797faa579778"/>
  </ds:schemaRefs>
</ds:datastoreItem>
</file>

<file path=customXml/itemProps3.xml><?xml version="1.0" encoding="utf-8"?>
<ds:datastoreItem xmlns:ds="http://schemas.openxmlformats.org/officeDocument/2006/customXml" ds:itemID="{84B26A16-E41F-4D2C-9F04-7F70992E0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B1C9F-CCF9-4E38-862A-1CB92CDDD7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Titelblad</vt:lpstr>
      <vt:lpstr>Toelichting</vt:lpstr>
      <vt:lpstr>Bronnen en toepassingen</vt:lpstr>
      <vt:lpstr>Resultaat</vt:lpstr>
      <vt:lpstr>Bijlage 1</vt:lpstr>
      <vt:lpstr>Input --&gt;</vt:lpstr>
      <vt:lpstr>Gegevens inkoopcorrectie</vt:lpstr>
      <vt:lpstr>Gegevens nieuwe productieprijs</vt:lpstr>
      <vt:lpstr>Berekeningen --&gt;</vt:lpstr>
      <vt:lpstr>Inkoopcorrectie brandstof</vt:lpstr>
      <vt:lpstr>Schatting productieprijs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2026-06-25T09:03:35Z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7b9a7e49-6114-4146-8cc6-356e1063ad5d</vt:lpwstr>
  </property>
</Properties>
</file>