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8_{B8621750-5508-457E-B92B-906B7B241FC7}" xr6:coauthVersionLast="47" xr6:coauthVersionMax="47" xr10:uidLastSave="{00000000-0000-0000-0000-000000000000}"/>
  <bookViews>
    <workbookView xWindow="-120" yWindow="-120" windowWidth="29040" windowHeight="17520" tabRatio="789" xr2:uid="{00000000-000D-0000-FFFF-FFFF00000000}"/>
  </bookViews>
  <sheets>
    <sheet name="Cover sheet" sheetId="9" r:id="rId1"/>
    <sheet name="Explanation" sheetId="10" r:id="rId2"/>
    <sheet name="Sources and specifics" sheetId="11" r:id="rId3"/>
    <sheet name="Result" sheetId="24" r:id="rId4"/>
    <sheet name="Input --&gt;" sheetId="13" r:id="rId5"/>
    <sheet name="Fuel prices" sheetId="25" r:id="rId6"/>
    <sheet name="Production data" sheetId="26" r:id="rId7"/>
    <sheet name="Parameters in tariff decisions" sheetId="27" r:id="rId8"/>
    <sheet name="Calculations --&gt;" sheetId="15" r:id="rId9"/>
    <sheet name="Fuel component correction" sheetId="28" r:id="rId10"/>
    <sheet name="Dictum &amp; Annex" sheetId="29"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25" l="1"/>
  <c r="H38" i="24" l="1"/>
  <c r="H36" i="24"/>
  <c r="H31" i="24"/>
  <c r="H27" i="24"/>
  <c r="H26" i="24"/>
  <c r="H25" i="24"/>
  <c r="H21" i="24"/>
  <c r="H20" i="24"/>
  <c r="R39" i="28"/>
  <c r="Q39" i="28"/>
  <c r="P39" i="28"/>
  <c r="O39" i="28"/>
  <c r="L38" i="28"/>
  <c r="L39" i="28" s="1"/>
  <c r="R37" i="28"/>
  <c r="Q37" i="28"/>
  <c r="P37" i="28"/>
  <c r="O37" i="28"/>
  <c r="N37" i="28"/>
  <c r="L37" i="28"/>
  <c r="O32" i="25" l="1"/>
  <c r="Q32" i="25" s="1"/>
  <c r="W32" i="25" s="1"/>
  <c r="Q32" i="28" s="1"/>
  <c r="M32" i="25"/>
  <c r="O30" i="25"/>
  <c r="M30" i="25"/>
  <c r="O26" i="25"/>
  <c r="L25" i="28" l="1"/>
  <c r="L26" i="28"/>
  <c r="L29" i="28"/>
  <c r="L42" i="28" s="1"/>
  <c r="Q38" i="25" l="1"/>
  <c r="M38" i="25"/>
  <c r="S38" i="25" l="1"/>
  <c r="E16" i="29"/>
  <c r="H19" i="24"/>
  <c r="M34" i="25"/>
  <c r="Q24" i="25"/>
  <c r="W24" i="25" s="1"/>
  <c r="M32" i="28" s="1"/>
  <c r="M37" i="28" s="1"/>
  <c r="Q26" i="25"/>
  <c r="W26" i="25" s="1"/>
  <c r="N32" i="28" s="1"/>
  <c r="M24" i="25"/>
  <c r="M26" i="25"/>
  <c r="Q22" i="25"/>
  <c r="W22" i="25" s="1"/>
  <c r="L32" i="28" s="1"/>
  <c r="M22" i="25"/>
  <c r="S22" i="25" l="1"/>
  <c r="Q28" i="25" l="1"/>
  <c r="W28" i="25" s="1"/>
  <c r="O32" i="28" s="1"/>
  <c r="M28" i="25"/>
  <c r="S28" i="25" l="1"/>
  <c r="E13" i="29" l="1"/>
  <c r="R38" i="28"/>
  <c r="Q38" i="28"/>
  <c r="P38" i="28"/>
  <c r="O38" i="28"/>
  <c r="N38" i="28"/>
  <c r="N39" i="28" s="1"/>
  <c r="M38" i="28"/>
  <c r="M39" i="28" s="1"/>
  <c r="R29" i="28"/>
  <c r="R42" i="28" s="1"/>
  <c r="Q29" i="28"/>
  <c r="Q42" i="28" s="1"/>
  <c r="P29" i="28"/>
  <c r="P42" i="28" s="1"/>
  <c r="O29" i="28"/>
  <c r="O42" i="28" s="1"/>
  <c r="N29" i="28"/>
  <c r="N42" i="28" s="1"/>
  <c r="M29" i="28"/>
  <c r="M42" i="28" s="1"/>
  <c r="R26" i="28"/>
  <c r="Q26" i="28"/>
  <c r="P26" i="28"/>
  <c r="O26" i="28"/>
  <c r="N26" i="28"/>
  <c r="M26" i="28"/>
  <c r="R25" i="28"/>
  <c r="Q25" i="28"/>
  <c r="P25" i="28"/>
  <c r="O25" i="28"/>
  <c r="N25" i="28"/>
  <c r="M25" i="28"/>
  <c r="H20" i="28"/>
  <c r="H28" i="27"/>
  <c r="E32" i="29"/>
  <c r="E27" i="29"/>
  <c r="H18" i="24"/>
  <c r="H17" i="24"/>
  <c r="H16" i="24"/>
  <c r="H44" i="28" l="1"/>
  <c r="H43" i="28"/>
  <c r="H46" i="28" s="1"/>
  <c r="E23" i="29"/>
  <c r="E20" i="29" l="1"/>
  <c r="E17" i="29"/>
  <c r="E30" i="29" l="1"/>
  <c r="B30" i="10" l="1"/>
  <c r="B18" i="10" l="1"/>
  <c r="B25" i="10" s="1"/>
  <c r="B19" i="10" l="1"/>
  <c r="B20" i="10" l="1"/>
  <c r="B24" i="10" s="1"/>
  <c r="Q30" i="25"/>
  <c r="W30" i="25" s="1"/>
  <c r="O34" i="25"/>
  <c r="Q34" i="25" s="1"/>
  <c r="P32" i="28" l="1"/>
  <c r="W34" i="25"/>
  <c r="R32" i="28" s="1"/>
  <c r="E21" i="29" l="1"/>
  <c r="H24" i="24" l="1"/>
  <c r="H28" i="24" s="1"/>
  <c r="H37" i="24" s="1"/>
  <c r="H40" i="24" s="1"/>
  <c r="E24" i="29" l="1"/>
  <c r="E22" i="29"/>
  <c r="E34" i="29"/>
  <c r="E31"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24" authorId="0" shapeId="0" xr:uid="{00000000-0006-0000-0400-000001000000}">
      <text>
        <r>
          <rPr>
            <sz val="8"/>
            <color indexed="81"/>
            <rFont val="Tahoma"/>
            <family val="2"/>
          </rPr>
          <t>At all times a (group of) pink cell(s) needs an explanantion on its special nature. This explanation will be added through this remark box.</t>
        </r>
      </text>
    </comment>
  </commentList>
</comments>
</file>

<file path=xl/sharedStrings.xml><?xml version="1.0" encoding="utf-8"?>
<sst xmlns="http://schemas.openxmlformats.org/spreadsheetml/2006/main" count="372" uniqueCount="255">
  <si>
    <t>Disclaimer</t>
  </si>
  <si>
    <t>Data</t>
  </si>
  <si>
    <t>Input --&gt;</t>
  </si>
  <si>
    <t>About this file</t>
  </si>
  <si>
    <t>Case number</t>
  </si>
  <si>
    <t>File title</t>
  </si>
  <si>
    <t>Subtitle</t>
  </si>
  <si>
    <t>Other remarks</t>
  </si>
  <si>
    <t>About the status of this file</t>
  </si>
  <si>
    <t>Final version? (y/n)</t>
  </si>
  <si>
    <t>Is this file legally part of the decision(s) listed above? (y/n)</t>
  </si>
  <si>
    <t>Cell colors (for numbers)</t>
  </si>
  <si>
    <t>Description</t>
  </si>
  <si>
    <t>Data and input (source required)</t>
  </si>
  <si>
    <t>Calculated value</t>
  </si>
  <si>
    <t>Empty cell (not zero) used in a formula range</t>
  </si>
  <si>
    <t>Value or calculation that needs special attention or explanation</t>
  </si>
  <si>
    <t>Use in specific cases:</t>
  </si>
  <si>
    <t>Sheet tab colors</t>
  </si>
  <si>
    <t>Sheet with result/output</t>
  </si>
  <si>
    <t>Sheet with input</t>
  </si>
  <si>
    <t>Sheet with calculations</t>
  </si>
  <si>
    <t>Model sheets</t>
  </si>
  <si>
    <t>Result</t>
  </si>
  <si>
    <t>Calculation</t>
  </si>
  <si>
    <t>Explanatory sheets</t>
  </si>
  <si>
    <t>Explanation</t>
  </si>
  <si>
    <t>Special attention:</t>
  </si>
  <si>
    <t>Source overview and specific applications</t>
  </si>
  <si>
    <t>Source overview</t>
  </si>
  <si>
    <t>Each input sheet contains a column 'Source', in which the sources are referred to by their shortened name. These sources are further explained in the table below.</t>
  </si>
  <si>
    <t>No.</t>
  </si>
  <si>
    <t>Shortened name</t>
  </si>
  <si>
    <t>External file name</t>
  </si>
  <si>
    <t>As referred to in Source column</t>
  </si>
  <si>
    <t>Exact file name</t>
  </si>
  <si>
    <t>Date received, email, URL, file location</t>
  </si>
  <si>
    <t>Unit</t>
  </si>
  <si>
    <t>Constant</t>
  </si>
  <si>
    <t>Remarks</t>
  </si>
  <si>
    <t>Source</t>
  </si>
  <si>
    <t>Cover sheet</t>
  </si>
  <si>
    <t>Belongs to decision(s):</t>
  </si>
  <si>
    <t>Belongs to ACM study/investigation/publication:</t>
  </si>
  <si>
    <t>Reference number of decision(s)</t>
  </si>
  <si>
    <t>If applicable</t>
  </si>
  <si>
    <t>Objections and appeals can be filed against the decision to which this file belongs.</t>
  </si>
  <si>
    <t>Contact details of ACM</t>
  </si>
  <si>
    <t xml:space="preserve">If there are any substantive differences between the calculation in this file and the calculation that follows from the relevant decision, the decision's calculation is authentic. </t>
  </si>
  <si>
    <t>Explanatory notes to this file</t>
  </si>
  <si>
    <t xml:space="preserve">Explanation about how this file works </t>
  </si>
  <si>
    <t>Legend for the cell and sheet colors</t>
  </si>
  <si>
    <t>Value that is taken from another sheet or cell without calculation</t>
  </si>
  <si>
    <t>Result/calculated value that is used in another sheet</t>
  </si>
  <si>
    <t>Input or calculation that is not yet up-to-date or work in progress</t>
  </si>
  <si>
    <t>This color is only used in requests for information: the recipient of the request for data must enter data into these cells</t>
  </si>
  <si>
    <t>Cell borders can be used to indicate that a certain cell contains input, but that this input is generated automatically, for example, through a macro  (please do not enter data manually)</t>
  </si>
  <si>
    <t>Gray numbers represent the result of a check calculation; this is not a result that is used in other calculations.</t>
  </si>
  <si>
    <t>Sheet that is not yet up-to-date/work in progress</t>
  </si>
  <si>
    <t xml:space="preserve">Empty sheet used for indexing </t>
  </si>
  <si>
    <t>Additional information about this source</t>
  </si>
  <si>
    <t xml:space="preserve">If ACM does use cell or range references, macros, or other more complex functions in Excel, these will be explained on this sheet. </t>
  </si>
  <si>
    <t>Relationship to other calculation files</t>
  </si>
  <si>
    <t>in the overview below, ACM lists the sources that are used for data and calculations in this file.</t>
  </si>
  <si>
    <t>Explanation of the use of specific Excel-applications and other details</t>
  </si>
  <si>
    <t xml:space="preserve">In its calculation files, ACM seeks to use simple and easy-to-follow calculations as much as possible, and seeks to avoid the use of complex formulas or specific applications. </t>
  </si>
  <si>
    <t>When final, will this file be published?</t>
  </si>
  <si>
    <t>[ END OF SHEET ]</t>
  </si>
  <si>
    <t>ACM case number and/or reference</t>
  </si>
  <si>
    <t>liter/kWh</t>
  </si>
  <si>
    <t>%</t>
  </si>
  <si>
    <t>Calculation of correction for fuel price differences</t>
  </si>
  <si>
    <t>kWh</t>
  </si>
  <si>
    <t>New variable usage tariff</t>
  </si>
  <si>
    <t>Input data on fuel prices</t>
  </si>
  <si>
    <t>The monthly fuel prices are the basis for the correction of the fuel component.</t>
  </si>
  <si>
    <t>The sources for this data are the fuel invoices from STUCO. Every invoice forms a row in the calculation below.</t>
  </si>
  <si>
    <t>Date of invoice</t>
  </si>
  <si>
    <t>Volume 
(liters)</t>
  </si>
  <si>
    <t>Unit price
(USD/liter)</t>
  </si>
  <si>
    <t>Line total
(USD)</t>
  </si>
  <si>
    <t>Most recent fuel price</t>
  </si>
  <si>
    <t>File name invoice</t>
  </si>
  <si>
    <t>Fuel invoices</t>
  </si>
  <si>
    <t>Input data on production</t>
  </si>
  <si>
    <t>Monthly production</t>
  </si>
  <si>
    <t>Realized production of electricity</t>
  </si>
  <si>
    <t>Total monthly production</t>
  </si>
  <si>
    <t>Parameters in ACM tariff decisions</t>
  </si>
  <si>
    <t>Parameters on production and distribution</t>
  </si>
  <si>
    <t>Production parameters</t>
  </si>
  <si>
    <t>Estimated fuel efficiency</t>
  </si>
  <si>
    <t>Estimations in usage tariff decisions</t>
  </si>
  <si>
    <t>USD/kWh</t>
  </si>
  <si>
    <t>Other parameters</t>
  </si>
  <si>
    <t>Wettelijke rente CNL ('legal fixed interest rate')</t>
  </si>
  <si>
    <t>Calculation of difference between estimated and realized fuel component</t>
  </si>
  <si>
    <t xml:space="preserve">For the production price decisions, ACM makes an estimate of what the fuel costs will be for the producer based on the most recent fuel price. </t>
  </si>
  <si>
    <t>It uses this estimate to determine what monthly remuneration the producer will receive from the distributor. This is the estimated fuel component.</t>
  </si>
  <si>
    <t>The realized fuel component can vary monthly, due to variations in the fuel price. The difference between the estimated and realized fuel component is calculated here.</t>
  </si>
  <si>
    <t>Fuel component = estimated fuel efficiency x estimated share production by fuel x fuel price.</t>
  </si>
  <si>
    <t>For the estimated fuel component, the most recent fuel price at the time of the usage tariff decision is used. For the realized fuel component the most recent fuel price at that month is used. Regularly this is the corresponding month t-2.</t>
  </si>
  <si>
    <t xml:space="preserve">Year: 
Month: </t>
  </si>
  <si>
    <t>Parameters</t>
  </si>
  <si>
    <t>Legal fixed interest rate</t>
  </si>
  <si>
    <t>Data on fuel and production</t>
  </si>
  <si>
    <t>Production price decision input</t>
  </si>
  <si>
    <t>Estimated share production by fuel</t>
  </si>
  <si>
    <t>Realized production</t>
  </si>
  <si>
    <t>Total realized monthly production</t>
  </si>
  <si>
    <t>Fuel price</t>
  </si>
  <si>
    <t>USD/liter</t>
  </si>
  <si>
    <t>The most recent fuel price in month t is assumed to be the weighted average fuel price of month t-2.</t>
  </si>
  <si>
    <t>Calculation fuel correction</t>
  </si>
  <si>
    <t>Difference in monthly fuel component</t>
  </si>
  <si>
    <t>Realized fuel component</t>
  </si>
  <si>
    <t>Estimated fuel component</t>
  </si>
  <si>
    <t>Difference in fuel component</t>
  </si>
  <si>
    <t>Positive number indicates STUCO has had higher purchasing costs than estimated, so STUCO receives a positive reimbursement from the fuel correction.</t>
  </si>
  <si>
    <t>Calculation of fuel component correction</t>
  </si>
  <si>
    <t>Monthly difference to be reimbursed</t>
  </si>
  <si>
    <t>USD</t>
  </si>
  <si>
    <t>Total amount fuel component correction</t>
  </si>
  <si>
    <t xml:space="preserve">Description </t>
  </si>
  <si>
    <t xml:space="preserve">Key Parameters </t>
  </si>
  <si>
    <t>Updated estimation production price</t>
  </si>
  <si>
    <t>Correction for fuel price differences</t>
  </si>
  <si>
    <t xml:space="preserve">Adjusted variable usage tariff </t>
  </si>
  <si>
    <t xml:space="preserve">Note: 'pl' represents price level </t>
  </si>
  <si>
    <t>Explanatory notes</t>
  </si>
  <si>
    <t>No</t>
  </si>
  <si>
    <t>Yes</t>
  </si>
  <si>
    <t xml:space="preserve">The variable usage tariff is adapted by making two corrections: </t>
  </si>
  <si>
    <t>Wettelijke rente CNL</t>
  </si>
  <si>
    <t>This calculation is developed in the standardized format used by the Energy Department of ACM (based on version 5, June 2021)</t>
  </si>
  <si>
    <t xml:space="preserve"> </t>
  </si>
  <si>
    <t>https://wetten.overheid.nl/BWBR0030649/2011-11-18</t>
  </si>
  <si>
    <t>This sheet seperates different types of sheets and is intentionally left blank</t>
  </si>
  <si>
    <t>No text, data or calculations may be included on this sheet</t>
  </si>
  <si>
    <t>When published, does this file contain business-confidential information? (y/n)</t>
  </si>
  <si>
    <t>Standardized sheets with general information about this file</t>
  </si>
  <si>
    <t>Unit price
(USD/gallon)</t>
  </si>
  <si>
    <t>Converting volume units</t>
  </si>
  <si>
    <t>US gallon to liter</t>
  </si>
  <si>
    <t>Relevant month</t>
  </si>
  <si>
    <t>Volume 
(gallons)</t>
  </si>
  <si>
    <t>Production price decision STUCO 2024</t>
  </si>
  <si>
    <t>https://www.acm.nl/nl/publicaties/beschikking-distributietarieven-elektriciteit-2024-sint-eustatius-stuco</t>
  </si>
  <si>
    <t>USD, pl 2024</t>
  </si>
  <si>
    <t>Add-on per kWh for fuel component correction</t>
  </si>
  <si>
    <t>Key figures decision for variable usage tariff 1 July - 31 December 2024</t>
  </si>
  <si>
    <t>1. The fuel component is updated. This means that the production price as set in the tariff decision as of January 1, 2024 is updated to match the actual fuel prices more closely.</t>
  </si>
  <si>
    <t>Weighted average fuel price for relevant month (USD/liter)</t>
  </si>
  <si>
    <t>Total fuel component correction</t>
  </si>
  <si>
    <t>Berekening variabel gebruikstarief elektriciteit STUCO per 1 juli 2025</t>
  </si>
  <si>
    <t>ACM/25/195257</t>
  </si>
  <si>
    <t>Beschikking variabel tarief elektriciteit 1 juli 2025 St. Eustatius (Caribisch Nederland)</t>
  </si>
  <si>
    <t>This file is based on the fuel calculation that was used for STUCO for the tariff per 1 January 2025</t>
  </si>
  <si>
    <t>On this sheet, two corrections are applied to calculate the new variable usage tariff of STUCO for the period July to December 2025:</t>
  </si>
  <si>
    <t>First, the ACM presents an updated estimation of the production price per 1 July 2025;</t>
  </si>
  <si>
    <t>New variable usage tariff per 1 July 2025</t>
  </si>
  <si>
    <t>Updated estimation of production price per 1 July 2025</t>
  </si>
  <si>
    <t>Production price excluding fuel 2025</t>
  </si>
  <si>
    <t>USD/kWh, pl 2025</t>
  </si>
  <si>
    <t>Estimated fuel efficiency for 2025</t>
  </si>
  <si>
    <t>Estimated share production by fuel for 2025</t>
  </si>
  <si>
    <t>USD/liter, pl 2025</t>
  </si>
  <si>
    <t>Estimate for fuel component per 1 July 2025</t>
  </si>
  <si>
    <t>Estimation of production price per 1 July 2025</t>
  </si>
  <si>
    <t>USD, pl 2025</t>
  </si>
  <si>
    <t>Estimated production volume 2025</t>
  </si>
  <si>
    <t>Part of electricity distribution first half of 2025</t>
  </si>
  <si>
    <t>Estimated production volume July to December 2025</t>
  </si>
  <si>
    <t>Correction on variable usage tariff 2025</t>
  </si>
  <si>
    <t>Calculation new variable usage tariff per 1 July 2025</t>
  </si>
  <si>
    <t>Total corrections per kWh in variable usage tariff per 1 July 2025</t>
  </si>
  <si>
    <t>Estimated network losses 2025</t>
  </si>
  <si>
    <t>October 2024</t>
  </si>
  <si>
    <t>November 2024</t>
  </si>
  <si>
    <t>December 2024</t>
  </si>
  <si>
    <t>January 2025</t>
  </si>
  <si>
    <t>February 2025</t>
  </si>
  <si>
    <t>March 2025</t>
  </si>
  <si>
    <t>April 2025</t>
  </si>
  <si>
    <t>Production price decision STUCO 2025</t>
  </si>
  <si>
    <t>Estimated total production 2025</t>
  </si>
  <si>
    <t>Estimated total production first half 2025</t>
  </si>
  <si>
    <t>Correction per kWh - Profit sharing: network losses 2023</t>
  </si>
  <si>
    <t>Corrections per kWh apply to January-December 2025.</t>
  </si>
  <si>
    <t>2024
October</t>
  </si>
  <si>
    <t>2024
November</t>
  </si>
  <si>
    <t>2024
December</t>
  </si>
  <si>
    <t>2025
February</t>
  </si>
  <si>
    <t>2025
January</t>
  </si>
  <si>
    <t>2025
March</t>
  </si>
  <si>
    <t>2025
April</t>
  </si>
  <si>
    <t>STUCO Invoice 20240827 Final invoice</t>
  </si>
  <si>
    <t>STUCO Invoice 20240903</t>
  </si>
  <si>
    <t>STUCO Invoice 20241030</t>
  </si>
  <si>
    <t>STUCO Invoice 20231118</t>
  </si>
  <si>
    <t>STUCO Invoice 20241207</t>
  </si>
  <si>
    <t>STUCO Invoice 20250113</t>
  </si>
  <si>
    <t>STUCO Invoice 20250204</t>
  </si>
  <si>
    <t>STUCO Invoice 20250513 (1)</t>
  </si>
  <si>
    <t>Price per gallon calculated by dividing the line total by the amount of gallons</t>
  </si>
  <si>
    <t>On this sheet ACM imports the realized electricity production of STUCO for the period October 2024 to April 2025.</t>
  </si>
  <si>
    <t>The ACM corrects for one more month than usual (October 2024)</t>
  </si>
  <si>
    <t>Correction amount for October - December 2024</t>
  </si>
  <si>
    <t>Correction amount for January - April 2025</t>
  </si>
  <si>
    <t>Estimated fuel efficiency 2024</t>
  </si>
  <si>
    <t>Estimated fuel efficiency 2025</t>
  </si>
  <si>
    <t>Estimated share of production by fuel 2024</t>
  </si>
  <si>
    <t>Estimated share of production by fuel 2025</t>
  </si>
  <si>
    <t>Estimated fuel component STUCO July-Dec 2024</t>
  </si>
  <si>
    <t>Estimated fuel component STUCO 2025</t>
  </si>
  <si>
    <t>ACM/23/181663</t>
  </si>
  <si>
    <t>[1] Tabblad 'Estimates for 2024', cel L35</t>
  </si>
  <si>
    <t>[1] Tabblad 'Estimates for 2024', cel L24</t>
  </si>
  <si>
    <t>Rekenmodel STUCO 2024</t>
  </si>
  <si>
    <t>Rekenmodel STUCO 2025</t>
  </si>
  <si>
    <t>ACM/23/181660</t>
  </si>
  <si>
    <t>https://www.acm.nl/nl/publicaties/tariefbesluit-distributietarieven-elektriciteit-2025-sint-eustatius-stuco</t>
  </si>
  <si>
    <t>[2] Tabblad 'Estimates for 2025', cel L35</t>
  </si>
  <si>
    <t>[2] Tabblad 'Result', cel H15</t>
  </si>
  <si>
    <t>[2] Tabblad 'Result', cel H14</t>
  </si>
  <si>
    <t>[2] Tabblad 'Estimates for 2025', cel L24</t>
  </si>
  <si>
    <t>[2] Tabblad 'Estimates for 2025', cel L22</t>
  </si>
  <si>
    <t>[2] Tabblad 'Estimates for 2025', cel L23</t>
  </si>
  <si>
    <t>[2], Tabblad 'Overview corrections',  cel M49</t>
  </si>
  <si>
    <t>[2] Tabblad 'Estimates for 2025', cel M17</t>
  </si>
  <si>
    <t xml:space="preserve">In this sheet ACM imports the data from the tariff decisions for 2024 and 2025 (both production price decisions and usage tariff decisions). </t>
  </si>
  <si>
    <t>Most recent fuel price (12 May 2025)</t>
  </si>
  <si>
    <t>Second, the ACM calculates the effect (per kWh) of the correction for fuel price differences over the period October 2024 - April 2025.</t>
  </si>
  <si>
    <t>This document contains the model that the Authority for Consumers &amp; Markets (ACM) uses to calculate the adjustment of the variable usage tariff for electricity of St. Eustatius Utility Company (STUCO) per July 1, 2025.</t>
  </si>
  <si>
    <t>2. The difference between the realized fuel component paid by the distributor and the estimated fuel component for October 2024 to April 2025 will be corrected in the tariff for July-December 2025.</t>
  </si>
  <si>
    <t>For both corrections mentioned above, other values and parameters will remain as were determined in the tariff decision for 2025.</t>
  </si>
  <si>
    <t>Fuel invoices August 2024 through May 2025</t>
  </si>
  <si>
    <t>STUCO Invoice #xxxxxxxxxx</t>
  </si>
  <si>
    <t>ACM/IN/996345</t>
  </si>
  <si>
    <t>E-mail from STUCO to ACM on June 8, 2025</t>
  </si>
  <si>
    <t>WP 8150 B PROD STUCO Overview Prod of Elec p.m. in 2025 (EY PBC #36 UA)</t>
  </si>
  <si>
    <t xml:space="preserve">The production price decisions for 2024 and 2025 and the tariff decisions for July 2024 and January 2025 are used as the basis for the correction for the period October 2024 to April 2025. </t>
  </si>
  <si>
    <t>Dictum &amp; Annex 1 tariff decision STUCO July, 1 2025</t>
  </si>
  <si>
    <t>This sheet summarizes the relevant information to include in the annex of the decision on the tariffs per July 1, 205.</t>
  </si>
  <si>
    <t>Correction per kWh - Profit sharing: network losses 203</t>
  </si>
  <si>
    <t>Variable usage tariff for the period 1 July - 31 December 2025</t>
  </si>
  <si>
    <t>https://www.acm.nl/nl/publicaties/beschikking-variabel-tarief-elektriciteit-1-juli-2024-st-eustatius-caribisch-nederland</t>
  </si>
  <si>
    <t>Usage tariffs decision STUCO July - Dec 2024</t>
  </si>
  <si>
    <t>ACM/23/181654</t>
  </si>
  <si>
    <t>Berekening variabel gebruikerstarief elektriciteit STUCO 1 juli 2024</t>
  </si>
  <si>
    <t xml:space="preserve">[4] </t>
  </si>
  <si>
    <t>[6] Monthly production</t>
  </si>
  <si>
    <t>This correction reimburses fuel price differences over the period October 2024 - April 2025.</t>
  </si>
  <si>
    <t>[3] Tabblad "Result", cel H20</t>
  </si>
  <si>
    <t>ACM/UIT/651420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</si>
</sst>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0000_ ;_ * \-#,##0.0000_ ;_ * &quot;-&quot;_ ;_ @_ "/>
    <numFmt numFmtId="165" formatCode="0.0000"/>
  </numFmts>
  <fonts count="33"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sz val="8"/>
      <color indexed="81"/>
      <name val="Tahoma"/>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10"/>
      <color rgb="FF00B0F0"/>
      <name val="Arial"/>
      <family val="2"/>
    </font>
    <font>
      <sz val="10"/>
      <color rgb="FF00B0F0"/>
      <name val="Arial"/>
      <family val="2"/>
    </font>
    <font>
      <sz val="8"/>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theme="0" tint="-0.14999847407452621"/>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s>
  <borders count="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6">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7" borderId="1">
      <alignment vertical="top"/>
    </xf>
    <xf numFmtId="49" fontId="6" fillId="0" borderId="0">
      <alignment vertical="top"/>
    </xf>
    <xf numFmtId="41" fontId="5" fillId="10" borderId="0">
      <alignment vertical="top"/>
    </xf>
    <xf numFmtId="41" fontId="5" fillId="9" borderId="0">
      <alignment vertical="top"/>
    </xf>
    <xf numFmtId="41" fontId="5" fillId="8" borderId="0">
      <alignment vertical="top"/>
    </xf>
    <xf numFmtId="41" fontId="5" fillId="44" borderId="0">
      <alignment vertical="top"/>
    </xf>
    <xf numFmtId="41" fontId="5" fillId="7" borderId="0">
      <alignment vertical="top"/>
    </xf>
    <xf numFmtId="41" fontId="5" fillId="11" borderId="0">
      <alignment vertical="top"/>
    </xf>
    <xf numFmtId="49" fontId="10" fillId="0" borderId="0">
      <alignment vertical="top"/>
    </xf>
    <xf numFmtId="49" fontId="9" fillId="0" borderId="0">
      <alignment vertical="top"/>
    </xf>
    <xf numFmtId="0" fontId="16" fillId="13" borderId="8" applyNumberFormat="0" applyAlignment="0" applyProtection="0"/>
    <xf numFmtId="0" fontId="17" fillId="14" borderId="9" applyNumberFormat="0" applyAlignment="0" applyProtection="0"/>
    <xf numFmtId="0" fontId="18" fillId="14" borderId="8" applyNumberFormat="0" applyAlignment="0" applyProtection="0"/>
    <xf numFmtId="0" fontId="19" fillId="0" borderId="10" applyNumberFormat="0" applyFill="0" applyAlignment="0" applyProtection="0"/>
    <xf numFmtId="0" fontId="13" fillId="15" borderId="11" applyNumberFormat="0" applyAlignment="0" applyProtection="0"/>
    <xf numFmtId="0" fontId="15" fillId="16" borderId="12"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2" fillId="0" borderId="0" applyNumberFormat="0" applyFill="0" applyBorder="0" applyAlignment="0" applyProtection="0"/>
    <xf numFmtId="0" fontId="23" fillId="0" borderId="13" applyNumberFormat="0" applyFill="0" applyAlignment="0" applyProtection="0"/>
    <xf numFmtId="0" fontId="24" fillId="0" borderId="14" applyNumberFormat="0" applyFill="0" applyAlignment="0" applyProtection="0"/>
    <xf numFmtId="0" fontId="25" fillId="0" borderId="15" applyNumberFormat="0" applyFill="0" applyAlignment="0" applyProtection="0"/>
    <xf numFmtId="0" fontId="25" fillId="0" borderId="0" applyNumberFormat="0" applyFill="0" applyBorder="0" applyAlignment="0" applyProtection="0"/>
    <xf numFmtId="0" fontId="14" fillId="0" borderId="0" applyNumberFormat="0" applyFill="0" applyBorder="0" applyAlignment="0" applyProtection="0"/>
    <xf numFmtId="0" fontId="26" fillId="0" borderId="0" applyNumberFormat="0" applyFill="0" applyBorder="0" applyAlignment="0" applyProtection="0"/>
    <xf numFmtId="0" fontId="27" fillId="0" borderId="16" applyNumberFormat="0" applyFill="0" applyAlignment="0" applyProtection="0"/>
    <xf numFmtId="0" fontId="2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28" fillId="41" borderId="0" applyNumberFormat="0" applyBorder="0" applyAlignment="0" applyProtection="0"/>
    <xf numFmtId="0" fontId="29" fillId="0" borderId="0" applyNumberFormat="0" applyFill="0" applyBorder="0" applyAlignment="0" applyProtection="0"/>
    <xf numFmtId="49" fontId="21" fillId="0" borderId="0" applyFill="0" applyBorder="0" applyAlignment="0" applyProtection="0"/>
    <xf numFmtId="43" fontId="5" fillId="42" borderId="0" applyNumberFormat="0">
      <alignment vertical="top"/>
    </xf>
    <xf numFmtId="43" fontId="5" fillId="9" borderId="0" applyFont="0" applyFill="0" applyBorder="0" applyAlignment="0" applyProtection="0">
      <alignment vertical="top"/>
    </xf>
    <xf numFmtId="10" fontId="5" fillId="0" borderId="0" applyFont="0" applyFill="0" applyBorder="0" applyAlignment="0" applyProtection="0">
      <alignment vertical="top"/>
    </xf>
    <xf numFmtId="41" fontId="5" fillId="43" borderId="0">
      <alignment vertical="top"/>
    </xf>
  </cellStyleXfs>
  <cellXfs count="7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7" borderId="1" xfId="6">
      <alignment vertical="top"/>
    </xf>
    <xf numFmtId="0" fontId="5" fillId="0" borderId="0" xfId="4" applyFill="1">
      <alignment vertical="top"/>
    </xf>
    <xf numFmtId="0" fontId="5" fillId="0" borderId="2" xfId="4" applyBorder="1" applyAlignment="1">
      <alignment horizontal="left" vertical="top" wrapText="1"/>
    </xf>
    <xf numFmtId="0" fontId="10" fillId="0" borderId="0" xfId="4" applyFont="1" applyFill="1">
      <alignment vertical="top"/>
    </xf>
    <xf numFmtId="0" fontId="5" fillId="6" borderId="0" xfId="4" applyFill="1">
      <alignment vertical="top"/>
    </xf>
    <xf numFmtId="1" fontId="5" fillId="0" borderId="0" xfId="4" applyNumberFormat="1" applyFill="1">
      <alignment vertical="top"/>
    </xf>
    <xf numFmtId="1" fontId="9" fillId="0" borderId="0" xfId="4" applyNumberFormat="1" applyFont="1" applyFill="1">
      <alignment vertical="top"/>
    </xf>
    <xf numFmtId="0" fontId="12" fillId="0" borderId="0" xfId="4" applyFont="1" applyFill="1">
      <alignment vertical="top"/>
    </xf>
    <xf numFmtId="49" fontId="7" fillId="17" borderId="2" xfId="6" applyFont="1" applyBorder="1">
      <alignment vertical="top"/>
    </xf>
    <xf numFmtId="0" fontId="8" fillId="5" borderId="1" xfId="5" applyNumberFormat="1">
      <alignment vertical="top"/>
    </xf>
    <xf numFmtId="0" fontId="14" fillId="0" borderId="0" xfId="4" applyFont="1">
      <alignment vertical="top"/>
    </xf>
    <xf numFmtId="0" fontId="5" fillId="12" borderId="0" xfId="4" applyFill="1">
      <alignment vertical="top"/>
    </xf>
    <xf numFmtId="0" fontId="5" fillId="0" borderId="0" xfId="4" applyFont="1">
      <alignment vertical="top"/>
    </xf>
    <xf numFmtId="49" fontId="5" fillId="17" borderId="2" xfId="6" applyFont="1" applyBorder="1">
      <alignment vertical="top"/>
    </xf>
    <xf numFmtId="0" fontId="5" fillId="0" borderId="2" xfId="4" applyFont="1" applyBorder="1">
      <alignment vertical="top"/>
    </xf>
    <xf numFmtId="0" fontId="7" fillId="0" borderId="0" xfId="4" applyFont="1" applyFill="1" applyBorder="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10" borderId="0" xfId="8">
      <alignment vertical="top"/>
    </xf>
    <xf numFmtId="41" fontId="5" fillId="8" borderId="0" xfId="10">
      <alignment vertical="top"/>
    </xf>
    <xf numFmtId="41" fontId="5" fillId="7" borderId="0" xfId="12">
      <alignment vertical="top"/>
    </xf>
    <xf numFmtId="41" fontId="5" fillId="44" borderId="0" xfId="11">
      <alignment vertical="top"/>
    </xf>
    <xf numFmtId="41" fontId="5" fillId="44" borderId="2" xfId="11" applyBorder="1">
      <alignment vertical="top"/>
    </xf>
    <xf numFmtId="43" fontId="12" fillId="0" borderId="0" xfId="63" applyFont="1" applyFill="1">
      <alignment vertical="top"/>
    </xf>
    <xf numFmtId="41" fontId="5" fillId="43" borderId="0" xfId="65">
      <alignment vertical="top"/>
    </xf>
    <xf numFmtId="0" fontId="5" fillId="0" borderId="2" xfId="4" applyFont="1" applyBorder="1" applyAlignment="1">
      <alignment horizontal="left" vertical="top" wrapText="1"/>
    </xf>
    <xf numFmtId="41" fontId="5" fillId="11" borderId="0" xfId="13">
      <alignment vertical="top"/>
    </xf>
    <xf numFmtId="41" fontId="5" fillId="9" borderId="0" xfId="9">
      <alignment vertical="top"/>
    </xf>
    <xf numFmtId="49" fontId="30" fillId="0" borderId="0" xfId="14" applyFont="1">
      <alignment vertical="top"/>
    </xf>
    <xf numFmtId="0" fontId="31" fillId="0" borderId="0" xfId="4" applyFont="1">
      <alignment vertical="top"/>
    </xf>
    <xf numFmtId="49" fontId="5" fillId="17" borderId="0" xfId="6" applyFont="1" applyBorder="1">
      <alignment vertical="top"/>
    </xf>
    <xf numFmtId="49" fontId="13" fillId="5" borderId="1" xfId="5" applyFont="1">
      <alignment vertical="top"/>
    </xf>
    <xf numFmtId="0" fontId="9" fillId="12" borderId="0" xfId="4" applyFont="1" applyFill="1">
      <alignment vertical="top"/>
    </xf>
    <xf numFmtId="164" fontId="5" fillId="11" borderId="0" xfId="13" applyNumberFormat="1">
      <alignment vertical="top"/>
    </xf>
    <xf numFmtId="10" fontId="5" fillId="11" borderId="0" xfId="13" applyNumberFormat="1">
      <alignment vertical="top"/>
    </xf>
    <xf numFmtId="164" fontId="5" fillId="9" borderId="0" xfId="9" applyNumberFormat="1">
      <alignment vertical="top"/>
    </xf>
    <xf numFmtId="164" fontId="5" fillId="10" borderId="0" xfId="8" applyNumberFormat="1">
      <alignment vertical="top"/>
    </xf>
    <xf numFmtId="49" fontId="6" fillId="17" borderId="1" xfId="6" applyAlignment="1">
      <alignment vertical="top" wrapText="1"/>
    </xf>
    <xf numFmtId="14" fontId="5" fillId="44" borderId="0" xfId="11" applyNumberFormat="1">
      <alignment vertical="top"/>
    </xf>
    <xf numFmtId="164" fontId="5" fillId="44" borderId="0" xfId="11" applyNumberFormat="1">
      <alignment vertical="top"/>
    </xf>
    <xf numFmtId="10" fontId="5" fillId="44" borderId="0" xfId="64" applyFill="1">
      <alignment vertical="top"/>
    </xf>
    <xf numFmtId="10" fontId="5" fillId="9" borderId="0" xfId="64" applyFill="1">
      <alignment vertical="top"/>
    </xf>
    <xf numFmtId="10" fontId="5" fillId="44" borderId="0" xfId="11" applyNumberFormat="1">
      <alignment vertical="top"/>
    </xf>
    <xf numFmtId="0" fontId="5" fillId="0" borderId="5" xfId="4" applyBorder="1">
      <alignment vertical="top"/>
    </xf>
    <xf numFmtId="0" fontId="5" fillId="0" borderId="6" xfId="4" applyBorder="1">
      <alignment vertical="top"/>
    </xf>
    <xf numFmtId="0" fontId="5" fillId="0" borderId="7" xfId="4" applyBorder="1">
      <alignment vertical="top"/>
    </xf>
    <xf numFmtId="49" fontId="6" fillId="17" borderId="3" xfId="6" applyBorder="1">
      <alignment vertical="top"/>
    </xf>
    <xf numFmtId="49" fontId="6" fillId="17" borderId="4" xfId="6" applyBorder="1">
      <alignment vertical="top"/>
    </xf>
    <xf numFmtId="0" fontId="5" fillId="0" borderId="17" xfId="4" applyBorder="1">
      <alignment vertical="top"/>
    </xf>
    <xf numFmtId="0" fontId="5" fillId="0" borderId="18" xfId="4" applyBorder="1">
      <alignment vertical="top"/>
    </xf>
    <xf numFmtId="10" fontId="5" fillId="0" borderId="0" xfId="4" applyNumberFormat="1">
      <alignment vertical="top"/>
    </xf>
    <xf numFmtId="165" fontId="5" fillId="0" borderId="0" xfId="4" applyNumberFormat="1">
      <alignment vertical="top"/>
    </xf>
    <xf numFmtId="3" fontId="5" fillId="0" borderId="0" xfId="4" applyNumberFormat="1">
      <alignment vertical="top"/>
    </xf>
    <xf numFmtId="0" fontId="5" fillId="0" borderId="19" xfId="4" applyBorder="1">
      <alignment vertical="top"/>
    </xf>
    <xf numFmtId="0" fontId="5" fillId="0" borderId="20" xfId="4" applyBorder="1">
      <alignment vertical="top"/>
    </xf>
    <xf numFmtId="0" fontId="5" fillId="0" borderId="21" xfId="4" applyBorder="1">
      <alignment vertical="top"/>
    </xf>
    <xf numFmtId="0" fontId="5" fillId="0" borderId="2" xfId="4" applyBorder="1" applyAlignment="1">
      <alignment vertical="top" wrapText="1"/>
    </xf>
    <xf numFmtId="49" fontId="21" fillId="0" borderId="2" xfId="61" applyBorder="1" applyAlignment="1">
      <alignment vertical="top"/>
    </xf>
    <xf numFmtId="17" fontId="5" fillId="44" borderId="0" xfId="11" applyNumberFormat="1">
      <alignment vertical="top"/>
    </xf>
    <xf numFmtId="41" fontId="5" fillId="9" borderId="0" xfId="9" applyNumberFormat="1">
      <alignment vertical="top"/>
    </xf>
    <xf numFmtId="41" fontId="5" fillId="44" borderId="0" xfId="9" applyFill="1">
      <alignment vertical="top"/>
    </xf>
    <xf numFmtId="164" fontId="5" fillId="8" borderId="0" xfId="11" applyNumberFormat="1" applyFill="1">
      <alignment vertical="top"/>
    </xf>
    <xf numFmtId="0" fontId="5" fillId="0" borderId="0" xfId="4" applyFont="1" applyAlignment="1">
      <alignment vertical="top" wrapText="1"/>
    </xf>
    <xf numFmtId="0" fontId="5" fillId="0" borderId="0" xfId="4" applyFont="1" applyFill="1" applyBorder="1" applyAlignment="1">
      <alignment horizontal="left" vertical="top" wrapText="1"/>
    </xf>
    <xf numFmtId="0" fontId="7" fillId="0" borderId="0" xfId="4" applyFont="1" applyFill="1" applyBorder="1" applyAlignment="1">
      <alignment horizontal="left" vertical="top" wrapText="1"/>
    </xf>
  </cellXfs>
  <cellStyles count="66">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5" xr:uid="{00000000-0005-0000-0000-00001F000000}"/>
    <cellStyle name="Cel Input" xfId="11" xr:uid="{00000000-0005-0000-0000-000020000000}"/>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xfId="63" builtinId="3"/>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4" builtinId="5"/>
    <cellStyle name="Standaard" xfId="0" builtinId="0" customBuiltin="1"/>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CCFF"/>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cm.nl/nl/publicaties/tariefbesluit-distributietarieven-elektriciteit-2025-sint-eustatius-stuco" TargetMode="External"/><Relationship Id="rId2" Type="http://schemas.openxmlformats.org/officeDocument/2006/relationships/hyperlink" Target="https://www.acm.nl/nl/publicaties/beschikking-distributietarieven-elektriciteit-2024-sint-eustatius-stuco" TargetMode="External"/><Relationship Id="rId1" Type="http://schemas.openxmlformats.org/officeDocument/2006/relationships/hyperlink" Target="https://wetten.overheid.nl/BWBR0030649/2011-11-18" TargetMode="External"/><Relationship Id="rId5" Type="http://schemas.openxmlformats.org/officeDocument/2006/relationships/printerSettings" Target="../printerSettings/printerSettings3.bin"/><Relationship Id="rId4" Type="http://schemas.openxmlformats.org/officeDocument/2006/relationships/hyperlink" Target="https://www.acm.nl/nl/publicaties/beschikking-variabel-tarief-elektriciteit-1-juli-2024-st-eustatius-caribisch-nederlan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E47"/>
  <sheetViews>
    <sheetView showGridLines="0" tabSelected="1" zoomScale="85" zoomScaleNormal="85" workbookViewId="0">
      <pane ySplit="3" topLeftCell="A11" activePane="bottomLeft" state="frozen"/>
      <selection activeCell="O39" sqref="O39"/>
      <selection pane="bottomLeft" activeCell="B39" sqref="B39"/>
    </sheetView>
  </sheetViews>
  <sheetFormatPr defaultColWidth="9.140625" defaultRowHeight="12.75" x14ac:dyDescent="0.2"/>
  <cols>
    <col min="1" max="1" width="4.5703125" style="2" customWidth="1"/>
    <col min="2" max="2" width="44.5703125" style="2" customWidth="1"/>
    <col min="3" max="3" width="91.85546875" style="2" customWidth="1"/>
    <col min="4" max="16384" width="9.140625" style="2"/>
  </cols>
  <sheetData>
    <row r="2" spans="2:5" s="7" customFormat="1" ht="18" x14ac:dyDescent="0.2">
      <c r="B2" s="7" t="s">
        <v>41</v>
      </c>
    </row>
    <row r="6" spans="2:5" x14ac:dyDescent="0.2">
      <c r="B6" s="3"/>
    </row>
    <row r="13" spans="2:5" s="8" customFormat="1" x14ac:dyDescent="0.2">
      <c r="B13" s="8" t="s">
        <v>3</v>
      </c>
    </row>
    <row r="14" spans="2:5" s="9" customFormat="1" x14ac:dyDescent="0.2"/>
    <row r="15" spans="2:5" x14ac:dyDescent="0.2">
      <c r="B15" s="34" t="s">
        <v>4</v>
      </c>
      <c r="C15" s="10" t="s">
        <v>155</v>
      </c>
      <c r="E15" s="24"/>
    </row>
    <row r="16" spans="2:5" x14ac:dyDescent="0.2">
      <c r="B16" s="34" t="s">
        <v>5</v>
      </c>
      <c r="C16" s="10" t="s">
        <v>154</v>
      </c>
    </row>
    <row r="17" spans="2:3" x14ac:dyDescent="0.2">
      <c r="B17" s="34" t="s">
        <v>6</v>
      </c>
      <c r="C17" s="10"/>
    </row>
    <row r="18" spans="2:3" x14ac:dyDescent="0.2">
      <c r="B18" s="34" t="s">
        <v>42</v>
      </c>
      <c r="C18" s="34" t="s">
        <v>156</v>
      </c>
    </row>
    <row r="19" spans="2:3" x14ac:dyDescent="0.2">
      <c r="B19" s="34" t="s">
        <v>43</v>
      </c>
      <c r="C19" s="10" t="s">
        <v>254</v>
      </c>
    </row>
    <row r="20" spans="2:3" x14ac:dyDescent="0.2">
      <c r="B20" s="34" t="s">
        <v>44</v>
      </c>
      <c r="C20" s="34"/>
    </row>
    <row r="21" spans="2:3" x14ac:dyDescent="0.2">
      <c r="B21" s="34" t="s">
        <v>62</v>
      </c>
      <c r="C21" s="34" t="s">
        <v>157</v>
      </c>
    </row>
    <row r="22" spans="2:3" x14ac:dyDescent="0.2">
      <c r="B22" s="34" t="s">
        <v>7</v>
      </c>
      <c r="C22" s="10"/>
    </row>
    <row r="24" spans="2:3" x14ac:dyDescent="0.2">
      <c r="B24" s="26" t="s">
        <v>134</v>
      </c>
    </row>
    <row r="26" spans="2:3" s="8" customFormat="1" x14ac:dyDescent="0.2">
      <c r="B26" s="8" t="s">
        <v>8</v>
      </c>
    </row>
    <row r="28" spans="2:3" x14ac:dyDescent="0.2">
      <c r="B28" s="34" t="s">
        <v>9</v>
      </c>
      <c r="C28" s="10" t="s">
        <v>131</v>
      </c>
    </row>
    <row r="29" spans="2:3" x14ac:dyDescent="0.2">
      <c r="B29" s="34" t="s">
        <v>66</v>
      </c>
      <c r="C29" s="10" t="s">
        <v>131</v>
      </c>
    </row>
    <row r="30" spans="2:3" ht="25.5" x14ac:dyDescent="0.2">
      <c r="B30" s="34" t="s">
        <v>10</v>
      </c>
      <c r="C30" s="10" t="s">
        <v>131</v>
      </c>
    </row>
    <row r="31" spans="2:3" ht="25.5" x14ac:dyDescent="0.2">
      <c r="B31" s="34" t="s">
        <v>139</v>
      </c>
      <c r="C31" s="34" t="s">
        <v>130</v>
      </c>
    </row>
    <row r="32" spans="2:3" x14ac:dyDescent="0.2">
      <c r="B32" s="34" t="s">
        <v>7</v>
      </c>
      <c r="C32" s="10"/>
    </row>
    <row r="34" spans="2:4" x14ac:dyDescent="0.2">
      <c r="B34" s="72" t="s">
        <v>46</v>
      </c>
      <c r="C34" s="73"/>
      <c r="D34" s="5"/>
    </row>
    <row r="35" spans="2:4" x14ac:dyDescent="0.2">
      <c r="B35" s="23"/>
      <c r="C35" s="23"/>
      <c r="D35" s="5"/>
    </row>
    <row r="37" spans="2:4" s="8" customFormat="1" x14ac:dyDescent="0.2">
      <c r="B37" s="8" t="s">
        <v>47</v>
      </c>
    </row>
    <row r="42" spans="2:4" s="8" customFormat="1" x14ac:dyDescent="0.2">
      <c r="B42" s="8" t="s">
        <v>0</v>
      </c>
    </row>
    <row r="44" spans="2:4" x14ac:dyDescent="0.2">
      <c r="B44" s="2" t="s">
        <v>48</v>
      </c>
    </row>
    <row r="46" spans="2:4" x14ac:dyDescent="0.2">
      <c r="C46" s="37"/>
    </row>
    <row r="47" spans="2:4" x14ac:dyDescent="0.2">
      <c r="B47" s="4" t="s">
        <v>67</v>
      </c>
    </row>
  </sheetData>
  <mergeCells count="1">
    <mergeCell ref="B34:C34"/>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3CF4-DE87-4757-8CB7-CF1C41DDC929}">
  <sheetPr>
    <tabColor rgb="FFFFFFCC"/>
  </sheetPr>
  <dimension ref="B2:T50"/>
  <sheetViews>
    <sheetView showGridLines="0" zoomScale="85" zoomScaleNormal="85" workbookViewId="0">
      <pane xSplit="6" ySplit="15" topLeftCell="G16" activePane="bottomRight" state="frozen"/>
      <selection activeCell="G12" sqref="G12"/>
      <selection pane="topRight" activeCell="G12" sqref="G12"/>
      <selection pane="bottomLeft" activeCell="G12" sqref="G12"/>
      <selection pane="bottomRight" activeCell="M55" sqref="M55"/>
    </sheetView>
  </sheetViews>
  <sheetFormatPr defaultColWidth="9.140625" defaultRowHeight="12.75" x14ac:dyDescent="0.2"/>
  <cols>
    <col min="1" max="1" width="4.5703125" style="2" customWidth="1"/>
    <col min="2" max="2" width="41.42578125" style="2" customWidth="1"/>
    <col min="3" max="5" width="4.5703125" style="2" customWidth="1"/>
    <col min="6" max="6" width="13.5703125" style="2" customWidth="1"/>
    <col min="7" max="7" width="2.5703125" style="2" customWidth="1"/>
    <col min="8" max="8" width="13.5703125" style="2" customWidth="1"/>
    <col min="9" max="9" width="2.5703125" style="2" customWidth="1"/>
    <col min="10" max="10" width="13.5703125" style="2" customWidth="1"/>
    <col min="11" max="11" width="2.5703125" style="2" customWidth="1"/>
    <col min="12" max="18" width="12.140625" style="2" customWidth="1"/>
    <col min="19" max="19" width="2.5703125" style="2" customWidth="1"/>
    <col min="20" max="34" width="13.5703125" style="2" customWidth="1"/>
    <col min="35" max="16384" width="9.140625" style="2"/>
  </cols>
  <sheetData>
    <row r="2" spans="2:20" s="17" customFormat="1" ht="18" x14ac:dyDescent="0.2">
      <c r="B2" s="17" t="s">
        <v>96</v>
      </c>
    </row>
    <row r="4" spans="2:20" x14ac:dyDescent="0.2">
      <c r="B4" s="25" t="s">
        <v>12</v>
      </c>
      <c r="C4" s="1"/>
      <c r="D4" s="1"/>
    </row>
    <row r="5" spans="2:20" x14ac:dyDescent="0.2">
      <c r="B5" s="2" t="s">
        <v>97</v>
      </c>
      <c r="H5" s="18"/>
    </row>
    <row r="6" spans="2:20" x14ac:dyDescent="0.2">
      <c r="B6" s="2" t="s">
        <v>98</v>
      </c>
      <c r="H6" s="18"/>
    </row>
    <row r="7" spans="2:20" x14ac:dyDescent="0.2">
      <c r="B7" s="2" t="s">
        <v>99</v>
      </c>
      <c r="H7" s="18"/>
    </row>
    <row r="8" spans="2:20" x14ac:dyDescent="0.2">
      <c r="H8" s="18"/>
    </row>
    <row r="9" spans="2:20" x14ac:dyDescent="0.2">
      <c r="B9" s="26" t="s">
        <v>129</v>
      </c>
      <c r="H9" s="18"/>
    </row>
    <row r="10" spans="2:20" x14ac:dyDescent="0.2">
      <c r="B10" s="4" t="s">
        <v>100</v>
      </c>
    </row>
    <row r="11" spans="2:20" x14ac:dyDescent="0.2">
      <c r="B11" s="4" t="s">
        <v>101</v>
      </c>
    </row>
    <row r="14" spans="2:20" s="8" customFormat="1" ht="25.5" x14ac:dyDescent="0.2">
      <c r="B14" s="8" t="s">
        <v>12</v>
      </c>
      <c r="F14" s="8" t="s">
        <v>37</v>
      </c>
      <c r="H14" s="8" t="s">
        <v>38</v>
      </c>
      <c r="J14" s="46" t="s">
        <v>102</v>
      </c>
      <c r="L14" s="46" t="s">
        <v>189</v>
      </c>
      <c r="M14" s="46" t="s">
        <v>190</v>
      </c>
      <c r="N14" s="46" t="s">
        <v>191</v>
      </c>
      <c r="O14" s="46" t="s">
        <v>193</v>
      </c>
      <c r="P14" s="46" t="s">
        <v>192</v>
      </c>
      <c r="Q14" s="46" t="s">
        <v>194</v>
      </c>
      <c r="R14" s="46" t="s">
        <v>195</v>
      </c>
      <c r="T14" s="8" t="s">
        <v>39</v>
      </c>
    </row>
    <row r="17" spans="2:20" s="8" customFormat="1" x14ac:dyDescent="0.2">
      <c r="B17" s="8" t="s">
        <v>103</v>
      </c>
    </row>
    <row r="19" spans="2:20" x14ac:dyDescent="0.2">
      <c r="B19" s="25" t="s">
        <v>104</v>
      </c>
    </row>
    <row r="20" spans="2:20" x14ac:dyDescent="0.2">
      <c r="B20" s="2" t="s">
        <v>95</v>
      </c>
      <c r="F20" s="2" t="s">
        <v>70</v>
      </c>
      <c r="H20" s="43">
        <f>'Parameters in tariff decisions'!H35</f>
        <v>0.03</v>
      </c>
    </row>
    <row r="22" spans="2:20" s="8" customFormat="1" x14ac:dyDescent="0.2">
      <c r="B22" s="8" t="s">
        <v>105</v>
      </c>
    </row>
    <row r="24" spans="2:20" x14ac:dyDescent="0.2">
      <c r="B24" s="25" t="s">
        <v>106</v>
      </c>
    </row>
    <row r="25" spans="2:20" x14ac:dyDescent="0.2">
      <c r="B25" s="2" t="s">
        <v>91</v>
      </c>
      <c r="F25" s="2" t="s">
        <v>69</v>
      </c>
      <c r="L25" s="42">
        <f>'Parameters in tariff decisions'!$H$17</f>
        <v>0.27626522408947457</v>
      </c>
      <c r="M25" s="42">
        <f>'Parameters in tariff decisions'!$H$17</f>
        <v>0.27626522408947457</v>
      </c>
      <c r="N25" s="42">
        <f>'Parameters in tariff decisions'!$H$17</f>
        <v>0.27626522408947457</v>
      </c>
      <c r="O25" s="42">
        <f>'Parameters in tariff decisions'!$H$18</f>
        <v>0.27643631968153609</v>
      </c>
      <c r="P25" s="42">
        <f>'Parameters in tariff decisions'!$H$18</f>
        <v>0.27643631968153609</v>
      </c>
      <c r="Q25" s="42">
        <f>'Parameters in tariff decisions'!$H$18</f>
        <v>0.27643631968153609</v>
      </c>
      <c r="R25" s="42">
        <f>'Parameters in tariff decisions'!$H$18</f>
        <v>0.27643631968153609</v>
      </c>
    </row>
    <row r="26" spans="2:20" x14ac:dyDescent="0.2">
      <c r="B26" s="2" t="s">
        <v>107</v>
      </c>
      <c r="F26" s="2" t="s">
        <v>70</v>
      </c>
      <c r="L26" s="43">
        <f>'Parameters in tariff decisions'!$H$19</f>
        <v>0.51666683778875944</v>
      </c>
      <c r="M26" s="43">
        <f>'Parameters in tariff decisions'!$H$19</f>
        <v>0.51666683778875944</v>
      </c>
      <c r="N26" s="43">
        <f>'Parameters in tariff decisions'!$H$19</f>
        <v>0.51666683778875944</v>
      </c>
      <c r="O26" s="43">
        <f>'Parameters in tariff decisions'!$H$20</f>
        <v>0.52279614559569609</v>
      </c>
      <c r="P26" s="43">
        <f>'Parameters in tariff decisions'!$H$20</f>
        <v>0.52279614559569609</v>
      </c>
      <c r="Q26" s="43">
        <f>'Parameters in tariff decisions'!$H$20</f>
        <v>0.52279614559569609</v>
      </c>
      <c r="R26" s="43">
        <f>'Parameters in tariff decisions'!$H$20</f>
        <v>0.52279614559569609</v>
      </c>
    </row>
    <row r="28" spans="2:20" x14ac:dyDescent="0.2">
      <c r="B28" s="1" t="s">
        <v>108</v>
      </c>
    </row>
    <row r="29" spans="2:20" x14ac:dyDescent="0.2">
      <c r="B29" s="2" t="s">
        <v>109</v>
      </c>
      <c r="F29" s="2" t="s">
        <v>72</v>
      </c>
      <c r="L29" s="35">
        <f>'Production data'!H16</f>
        <v>1720864.59</v>
      </c>
      <c r="M29" s="35">
        <f>'Production data'!I16</f>
        <v>1525164.39</v>
      </c>
      <c r="N29" s="35">
        <f>'Production data'!J16</f>
        <v>1243943.3500000001</v>
      </c>
      <c r="O29" s="35">
        <f>'Production data'!K16</f>
        <v>1260572.53</v>
      </c>
      <c r="P29" s="35">
        <f>'Production data'!L16</f>
        <v>1242148.48</v>
      </c>
      <c r="Q29" s="35">
        <f>'Production data'!M16</f>
        <v>1243216.25</v>
      </c>
      <c r="R29" s="35">
        <f>'Production data'!N16</f>
        <v>1362248.2</v>
      </c>
    </row>
    <row r="31" spans="2:20" x14ac:dyDescent="0.2">
      <c r="B31" s="1" t="s">
        <v>110</v>
      </c>
    </row>
    <row r="32" spans="2:20" x14ac:dyDescent="0.2">
      <c r="B32" s="2" t="s">
        <v>81</v>
      </c>
      <c r="F32" s="2" t="s">
        <v>111</v>
      </c>
      <c r="L32" s="42">
        <f>'Fuel prices'!W22</f>
        <v>0.74940327812959551</v>
      </c>
      <c r="M32" s="42">
        <f>'Fuel prices'!W24</f>
        <v>0.72294574269039635</v>
      </c>
      <c r="N32" s="42">
        <f>'Fuel prices'!W26</f>
        <v>0.71391614931108027</v>
      </c>
      <c r="O32" s="42">
        <f>'Fuel prices'!W28</f>
        <v>0.73558707979126425</v>
      </c>
      <c r="P32" s="42">
        <f>'Fuel prices'!W30</f>
        <v>0.71192489534656578</v>
      </c>
      <c r="Q32" s="42">
        <f>'Fuel prices'!W32</f>
        <v>0.80579522542248305</v>
      </c>
      <c r="R32" s="42">
        <f>'Fuel prices'!W34</f>
        <v>0.7849960551517895</v>
      </c>
      <c r="T32" s="2" t="s">
        <v>112</v>
      </c>
    </row>
    <row r="34" spans="2:20" s="8" customFormat="1" x14ac:dyDescent="0.2">
      <c r="B34" s="8" t="s">
        <v>113</v>
      </c>
    </row>
    <row r="36" spans="2:20" x14ac:dyDescent="0.2">
      <c r="B36" s="1" t="s">
        <v>114</v>
      </c>
    </row>
    <row r="37" spans="2:20" x14ac:dyDescent="0.2">
      <c r="B37" s="2" t="s">
        <v>115</v>
      </c>
      <c r="F37" s="2" t="s">
        <v>93</v>
      </c>
      <c r="L37" s="44">
        <f t="shared" ref="L37:R37" si="0">L25*L26*L32</f>
        <v>0.10696763545379649</v>
      </c>
      <c r="M37" s="44">
        <f t="shared" si="0"/>
        <v>0.10319116410858209</v>
      </c>
      <c r="N37" s="44">
        <f t="shared" si="0"/>
        <v>0.10190230631854763</v>
      </c>
      <c r="O37" s="44">
        <f t="shared" si="0"/>
        <v>0.10630692886657117</v>
      </c>
      <c r="P37" s="44">
        <f t="shared" si="0"/>
        <v>0.10288727369902248</v>
      </c>
      <c r="Q37" s="44">
        <f t="shared" si="0"/>
        <v>0.11645339901064952</v>
      </c>
      <c r="R37" s="44">
        <f t="shared" si="0"/>
        <v>0.11344750620040908</v>
      </c>
    </row>
    <row r="38" spans="2:20" x14ac:dyDescent="0.2">
      <c r="B38" s="2" t="s">
        <v>116</v>
      </c>
      <c r="F38" s="2" t="s">
        <v>93</v>
      </c>
      <c r="L38" s="42">
        <f>'Parameters in tariff decisions'!$H$23</f>
        <v>0.11396231127749898</v>
      </c>
      <c r="M38" s="42">
        <f>'Parameters in tariff decisions'!$H$23</f>
        <v>0.11396231127749898</v>
      </c>
      <c r="N38" s="42">
        <f>'Parameters in tariff decisions'!$H$23</f>
        <v>0.11396231127749898</v>
      </c>
      <c r="O38" s="42">
        <f>'Parameters in tariff decisions'!$H$24</f>
        <v>0.11165568126834402</v>
      </c>
      <c r="P38" s="42">
        <f>'Parameters in tariff decisions'!$H$24</f>
        <v>0.11165568126834402</v>
      </c>
      <c r="Q38" s="42">
        <f>'Parameters in tariff decisions'!$H$24</f>
        <v>0.11165568126834402</v>
      </c>
      <c r="R38" s="42">
        <f>'Parameters in tariff decisions'!$H$24</f>
        <v>0.11165568126834402</v>
      </c>
    </row>
    <row r="39" spans="2:20" x14ac:dyDescent="0.2">
      <c r="B39" s="2" t="s">
        <v>117</v>
      </c>
      <c r="F39" s="2" t="s">
        <v>93</v>
      </c>
      <c r="L39" s="44">
        <f t="shared" ref="L39:R39" si="1">L37-L38</f>
        <v>-6.994675823702487E-3</v>
      </c>
      <c r="M39" s="44">
        <f t="shared" si="1"/>
        <v>-1.0771147168916889E-2</v>
      </c>
      <c r="N39" s="44">
        <f t="shared" si="1"/>
        <v>-1.2060004958951348E-2</v>
      </c>
      <c r="O39" s="44">
        <f t="shared" si="1"/>
        <v>-5.3487524017728494E-3</v>
      </c>
      <c r="P39" s="44">
        <f t="shared" si="1"/>
        <v>-8.7684075693215402E-3</v>
      </c>
      <c r="Q39" s="44">
        <f t="shared" si="1"/>
        <v>4.7977177423055017E-3</v>
      </c>
      <c r="R39" s="44">
        <f t="shared" si="1"/>
        <v>1.7918249320650614E-3</v>
      </c>
      <c r="T39" s="2" t="s">
        <v>118</v>
      </c>
    </row>
    <row r="41" spans="2:20" x14ac:dyDescent="0.2">
      <c r="B41" s="1" t="s">
        <v>119</v>
      </c>
    </row>
    <row r="42" spans="2:20" x14ac:dyDescent="0.2">
      <c r="B42" s="2" t="s">
        <v>120</v>
      </c>
      <c r="F42" s="2" t="s">
        <v>121</v>
      </c>
      <c r="L42" s="36">
        <f t="shared" ref="L42:R42" si="2">L39*L29</f>
        <v>-12036.889943538694</v>
      </c>
      <c r="M42" s="36">
        <f t="shared" si="2"/>
        <v>-16427.770101481354</v>
      </c>
      <c r="N42" s="36">
        <f t="shared" si="2"/>
        <v>-15001.962969654554</v>
      </c>
      <c r="O42" s="36">
        <f t="shared" si="2"/>
        <v>-6742.4903474463772</v>
      </c>
      <c r="P42" s="36">
        <f t="shared" si="2"/>
        <v>-10891.664134253246</v>
      </c>
      <c r="Q42" s="36">
        <f t="shared" si="2"/>
        <v>5964.6006601475119</v>
      </c>
      <c r="R42" s="36">
        <f t="shared" si="2"/>
        <v>2440.9102884207523</v>
      </c>
    </row>
    <row r="43" spans="2:20" x14ac:dyDescent="0.2">
      <c r="B43" s="2" t="s">
        <v>207</v>
      </c>
      <c r="F43" s="2" t="s">
        <v>148</v>
      </c>
      <c r="H43" s="36">
        <f>SUM(L42:N42)</f>
        <v>-43466.623014674602</v>
      </c>
    </row>
    <row r="44" spans="2:20" x14ac:dyDescent="0.2">
      <c r="B44" s="2" t="s">
        <v>208</v>
      </c>
      <c r="F44" s="2" t="s">
        <v>169</v>
      </c>
      <c r="H44" s="36">
        <f>SUM(O42:R42)</f>
        <v>-9228.6435331313587</v>
      </c>
    </row>
    <row r="46" spans="2:20" x14ac:dyDescent="0.2">
      <c r="B46" s="1" t="s">
        <v>122</v>
      </c>
      <c r="F46" s="2" t="s">
        <v>169</v>
      </c>
      <c r="H46" s="27">
        <f>H43*(1+H20)+H44</f>
        <v>-53999.265238246197</v>
      </c>
    </row>
    <row r="50" spans="2:2" x14ac:dyDescent="0.2">
      <c r="B50" s="4" t="s">
        <v>67</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7631B-3472-48DD-A320-2DD09381A0E1}">
  <sheetPr>
    <tabColor rgb="FFCCFFFF"/>
  </sheetPr>
  <dimension ref="B2:F38"/>
  <sheetViews>
    <sheetView showGridLines="0" zoomScale="85" zoomScaleNormal="85" workbookViewId="0">
      <selection activeCell="I46" sqref="I46"/>
    </sheetView>
  </sheetViews>
  <sheetFormatPr defaultColWidth="9.140625" defaultRowHeight="12.75" x14ac:dyDescent="0.2"/>
  <cols>
    <col min="1" max="1" width="9.140625" style="2"/>
    <col min="2" max="2" width="4.5703125" style="2" customWidth="1"/>
    <col min="3" max="3" width="71.42578125" style="2" customWidth="1"/>
    <col min="4" max="4" width="17.5703125" style="2" customWidth="1"/>
    <col min="5" max="5" width="11.42578125" style="2" customWidth="1"/>
    <col min="6" max="6" width="4.5703125" style="2" customWidth="1"/>
    <col min="7" max="15" width="12.5703125" style="2" customWidth="1"/>
    <col min="16" max="18" width="2.5703125" style="2" customWidth="1"/>
    <col min="19" max="33" width="13.5703125" style="2" customWidth="1"/>
    <col min="34" max="16384" width="9.140625" style="2"/>
  </cols>
  <sheetData>
    <row r="2" spans="2:6" s="17" customFormat="1" ht="18" x14ac:dyDescent="0.2">
      <c r="C2" s="17" t="s">
        <v>242</v>
      </c>
    </row>
    <row r="4" spans="2:6" x14ac:dyDescent="0.2">
      <c r="C4" s="25" t="s">
        <v>123</v>
      </c>
    </row>
    <row r="5" spans="2:6" x14ac:dyDescent="0.2">
      <c r="C5" s="2" t="s">
        <v>243</v>
      </c>
      <c r="E5" s="18"/>
    </row>
    <row r="6" spans="2:6" x14ac:dyDescent="0.2">
      <c r="C6" s="4"/>
    </row>
    <row r="7" spans="2:6" x14ac:dyDescent="0.2">
      <c r="C7" s="4"/>
    </row>
    <row r="8" spans="2:6" x14ac:dyDescent="0.2">
      <c r="C8" s="4"/>
    </row>
    <row r="9" spans="2:6" x14ac:dyDescent="0.2">
      <c r="B9" s="52"/>
      <c r="C9" s="53"/>
      <c r="D9" s="53"/>
      <c r="E9" s="53"/>
      <c r="F9" s="54"/>
    </row>
    <row r="10" spans="2:6" s="8" customFormat="1" x14ac:dyDescent="0.2">
      <c r="B10" s="55"/>
      <c r="C10" s="8" t="s">
        <v>150</v>
      </c>
      <c r="F10" s="56"/>
    </row>
    <row r="11" spans="2:6" x14ac:dyDescent="0.2">
      <c r="B11" s="57"/>
      <c r="F11" s="58"/>
    </row>
    <row r="12" spans="2:6" x14ac:dyDescent="0.2">
      <c r="B12" s="57"/>
      <c r="C12" s="1" t="s">
        <v>124</v>
      </c>
      <c r="F12" s="58"/>
    </row>
    <row r="13" spans="2:6" x14ac:dyDescent="0.2">
      <c r="B13" s="57"/>
      <c r="C13" s="2" t="s">
        <v>95</v>
      </c>
      <c r="D13" s="2" t="s">
        <v>70</v>
      </c>
      <c r="E13" s="59">
        <f>'Parameters in tariff decisions'!H35</f>
        <v>0.03</v>
      </c>
      <c r="F13" s="58"/>
    </row>
    <row r="14" spans="2:6" x14ac:dyDescent="0.2">
      <c r="B14" s="57"/>
      <c r="F14" s="58"/>
    </row>
    <row r="15" spans="2:6" x14ac:dyDescent="0.2">
      <c r="B15" s="57"/>
      <c r="C15" s="25" t="s">
        <v>125</v>
      </c>
      <c r="F15" s="58"/>
    </row>
    <row r="16" spans="2:6" x14ac:dyDescent="0.2">
      <c r="B16" s="57"/>
      <c r="C16" s="20" t="s">
        <v>231</v>
      </c>
      <c r="D16" s="2" t="s">
        <v>111</v>
      </c>
      <c r="E16" s="60">
        <f>'Fuel prices'!Q38</f>
        <v>0.68394144355524622</v>
      </c>
      <c r="F16" s="58"/>
    </row>
    <row r="17" spans="2:6" x14ac:dyDescent="0.2">
      <c r="B17" s="57"/>
      <c r="C17" s="2" t="s">
        <v>161</v>
      </c>
      <c r="D17" s="2" t="s">
        <v>163</v>
      </c>
      <c r="E17" s="60">
        <f>Result!H21</f>
        <v>0.26304310965543287</v>
      </c>
      <c r="F17" s="58"/>
    </row>
    <row r="18" spans="2:6" x14ac:dyDescent="0.2">
      <c r="B18" s="57"/>
      <c r="F18" s="58"/>
    </row>
    <row r="19" spans="2:6" x14ac:dyDescent="0.2">
      <c r="B19" s="57"/>
      <c r="C19" s="1" t="s">
        <v>126</v>
      </c>
      <c r="F19" s="58"/>
    </row>
    <row r="20" spans="2:6" x14ac:dyDescent="0.2">
      <c r="B20" s="57"/>
      <c r="C20" s="2" t="s">
        <v>207</v>
      </c>
      <c r="D20" s="2" t="s">
        <v>148</v>
      </c>
      <c r="E20" s="61">
        <f>'Fuel component correction'!H43</f>
        <v>-43466.623014674602</v>
      </c>
      <c r="F20" s="58"/>
    </row>
    <row r="21" spans="2:6" x14ac:dyDescent="0.2">
      <c r="B21" s="57"/>
      <c r="C21" s="2" t="s">
        <v>208</v>
      </c>
      <c r="D21" s="2" t="s">
        <v>169</v>
      </c>
      <c r="E21" s="61">
        <f>'Fuel component correction'!H44</f>
        <v>-9228.6435331313587</v>
      </c>
      <c r="F21" s="58"/>
    </row>
    <row r="22" spans="2:6" x14ac:dyDescent="0.2">
      <c r="B22" s="57"/>
      <c r="C22" s="2" t="s">
        <v>122</v>
      </c>
      <c r="D22" s="2" t="s">
        <v>169</v>
      </c>
      <c r="E22" s="61">
        <f>'Fuel component correction'!H46</f>
        <v>-53999.265238246197</v>
      </c>
      <c r="F22" s="58"/>
    </row>
    <row r="23" spans="2:6" x14ac:dyDescent="0.2">
      <c r="B23" s="57"/>
      <c r="C23" s="2" t="s">
        <v>172</v>
      </c>
      <c r="D23" s="2" t="s">
        <v>72</v>
      </c>
      <c r="E23" s="61">
        <f>Result!H27</f>
        <v>9339342</v>
      </c>
      <c r="F23" s="58"/>
    </row>
    <row r="24" spans="2:6" x14ac:dyDescent="0.2">
      <c r="B24" s="57"/>
      <c r="C24" s="2" t="s">
        <v>149</v>
      </c>
      <c r="D24" s="2" t="s">
        <v>163</v>
      </c>
      <c r="E24" s="60">
        <f>Result!H28</f>
        <v>-5.781913248090304E-3</v>
      </c>
      <c r="F24" s="58"/>
    </row>
    <row r="25" spans="2:6" x14ac:dyDescent="0.2">
      <c r="B25" s="57"/>
      <c r="E25" s="60"/>
      <c r="F25" s="58"/>
    </row>
    <row r="26" spans="2:6" x14ac:dyDescent="0.2">
      <c r="B26" s="57"/>
      <c r="C26" s="1" t="s">
        <v>173</v>
      </c>
      <c r="E26" s="60"/>
      <c r="F26" s="58"/>
    </row>
    <row r="27" spans="2:6" x14ac:dyDescent="0.2">
      <c r="B27" s="57"/>
      <c r="C27" s="2" t="s">
        <v>244</v>
      </c>
      <c r="D27" s="2" t="s">
        <v>163</v>
      </c>
      <c r="E27" s="60">
        <f>Result!H31</f>
        <v>-4.7237561635553055E-3</v>
      </c>
      <c r="F27" s="58"/>
    </row>
    <row r="28" spans="2:6" x14ac:dyDescent="0.2">
      <c r="B28" s="57"/>
      <c r="E28" s="60"/>
      <c r="F28" s="58"/>
    </row>
    <row r="29" spans="2:6" x14ac:dyDescent="0.2">
      <c r="B29" s="57"/>
      <c r="C29" s="1" t="s">
        <v>127</v>
      </c>
      <c r="F29" s="58"/>
    </row>
    <row r="30" spans="2:6" x14ac:dyDescent="0.2">
      <c r="B30" s="57"/>
      <c r="C30" s="2" t="s">
        <v>161</v>
      </c>
      <c r="D30" s="2" t="s">
        <v>163</v>
      </c>
      <c r="E30" s="60">
        <f>Result!H36</f>
        <v>0.26304310965543287</v>
      </c>
      <c r="F30" s="58"/>
    </row>
    <row r="31" spans="2:6" x14ac:dyDescent="0.2">
      <c r="B31" s="57"/>
      <c r="C31" s="2" t="s">
        <v>175</v>
      </c>
      <c r="D31" s="2" t="s">
        <v>163</v>
      </c>
      <c r="E31" s="60">
        <f>Result!H37</f>
        <v>-1.0505669411645609E-2</v>
      </c>
      <c r="F31" s="58"/>
    </row>
    <row r="32" spans="2:6" x14ac:dyDescent="0.2">
      <c r="B32" s="57"/>
      <c r="C32" s="2" t="s">
        <v>176</v>
      </c>
      <c r="D32" s="2" t="s">
        <v>70</v>
      </c>
      <c r="E32" s="59">
        <f>Result!H38</f>
        <v>0.11</v>
      </c>
      <c r="F32" s="58"/>
    </row>
    <row r="33" spans="2:6" x14ac:dyDescent="0.2">
      <c r="B33" s="57"/>
      <c r="E33" s="59"/>
      <c r="F33" s="58"/>
    </row>
    <row r="34" spans="2:6" x14ac:dyDescent="0.2">
      <c r="B34" s="57"/>
      <c r="C34" s="2" t="s">
        <v>245</v>
      </c>
      <c r="D34" s="2" t="s">
        <v>163</v>
      </c>
      <c r="E34" s="60">
        <f>Result!H40</f>
        <v>0.28374993285818795</v>
      </c>
      <c r="F34" s="58"/>
    </row>
    <row r="35" spans="2:6" x14ac:dyDescent="0.2">
      <c r="B35" s="57"/>
      <c r="F35" s="58"/>
    </row>
    <row r="36" spans="2:6" x14ac:dyDescent="0.2">
      <c r="B36" s="57"/>
      <c r="F36" s="58"/>
    </row>
    <row r="37" spans="2:6" x14ac:dyDescent="0.2">
      <c r="B37" s="57"/>
      <c r="C37" s="2" t="s">
        <v>128</v>
      </c>
      <c r="F37" s="58"/>
    </row>
    <row r="38" spans="2:6" x14ac:dyDescent="0.2">
      <c r="B38" s="62"/>
      <c r="C38" s="63"/>
      <c r="D38" s="63"/>
      <c r="E38" s="63"/>
      <c r="F38" s="6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G51"/>
  <sheetViews>
    <sheetView showGridLines="0" zoomScale="85" zoomScaleNormal="85" workbookViewId="0">
      <pane ySplit="3" topLeftCell="A4" activePane="bottomLeft" state="frozen"/>
      <selection activeCell="O39" sqref="O39"/>
      <selection pane="bottomLeft" activeCell="E77" sqref="E77"/>
    </sheetView>
  </sheetViews>
  <sheetFormatPr defaultColWidth="9.140625" defaultRowHeight="12.75" x14ac:dyDescent="0.2"/>
  <cols>
    <col min="1" max="1" width="4.5703125" style="2" customWidth="1"/>
    <col min="2" max="2" width="27.85546875" style="2" customWidth="1"/>
    <col min="3" max="3" width="7.140625" style="2" customWidth="1"/>
    <col min="4" max="4" width="56.85546875" style="2" customWidth="1"/>
    <col min="5" max="5" width="29.85546875" style="2" customWidth="1"/>
    <col min="6" max="6" width="24.5703125" style="2" customWidth="1"/>
    <col min="7" max="7" width="37.42578125" style="2" customWidth="1"/>
    <col min="8" max="16384" width="9.140625" style="2"/>
  </cols>
  <sheetData>
    <row r="2" spans="2:6" s="7" customFormat="1" ht="18" x14ac:dyDescent="0.2">
      <c r="B2" s="7" t="s">
        <v>49</v>
      </c>
    </row>
    <row r="3" spans="2:6" x14ac:dyDescent="0.2">
      <c r="B3" s="38"/>
    </row>
    <row r="4" spans="2:6" x14ac:dyDescent="0.2">
      <c r="B4" s="38"/>
    </row>
    <row r="5" spans="2:6" s="8" customFormat="1" x14ac:dyDescent="0.2">
      <c r="B5" s="8" t="s">
        <v>50</v>
      </c>
    </row>
    <row r="7" spans="2:6" x14ac:dyDescent="0.2">
      <c r="B7" s="20" t="s">
        <v>233</v>
      </c>
    </row>
    <row r="8" spans="2:6" x14ac:dyDescent="0.2">
      <c r="B8" s="2" t="s">
        <v>132</v>
      </c>
    </row>
    <row r="9" spans="2:6" x14ac:dyDescent="0.2">
      <c r="B9" s="2" t="s">
        <v>151</v>
      </c>
    </row>
    <row r="10" spans="2:6" x14ac:dyDescent="0.2">
      <c r="B10" s="2" t="s">
        <v>234</v>
      </c>
    </row>
    <row r="11" spans="2:6" x14ac:dyDescent="0.2">
      <c r="B11" s="2" t="s">
        <v>235</v>
      </c>
    </row>
    <row r="13" spans="2:6" s="8" customFormat="1" x14ac:dyDescent="0.2">
      <c r="B13" s="8" t="s">
        <v>51</v>
      </c>
    </row>
    <row r="14" spans="2:6" x14ac:dyDescent="0.2">
      <c r="C14" s="9"/>
    </row>
    <row r="15" spans="2:6" x14ac:dyDescent="0.2">
      <c r="B15" s="25" t="s">
        <v>11</v>
      </c>
      <c r="C15" s="9"/>
      <c r="D15" s="25" t="s">
        <v>12</v>
      </c>
      <c r="F15" s="11"/>
    </row>
    <row r="16" spans="2:6" x14ac:dyDescent="0.2">
      <c r="C16" s="9"/>
    </row>
    <row r="17" spans="2:7" x14ac:dyDescent="0.2">
      <c r="B17" s="30">
        <v>123</v>
      </c>
      <c r="C17" s="9"/>
      <c r="D17" s="20" t="s">
        <v>13</v>
      </c>
    </row>
    <row r="18" spans="2:7" x14ac:dyDescent="0.2">
      <c r="B18" s="35">
        <f>B17</f>
        <v>123</v>
      </c>
      <c r="C18" s="9"/>
      <c r="D18" s="2" t="s">
        <v>52</v>
      </c>
    </row>
    <row r="19" spans="2:7" x14ac:dyDescent="0.2">
      <c r="B19" s="36">
        <f>B18+B17</f>
        <v>246</v>
      </c>
      <c r="C19" s="9"/>
      <c r="D19" s="2" t="s">
        <v>14</v>
      </c>
    </row>
    <row r="20" spans="2:7" x14ac:dyDescent="0.2">
      <c r="B20" s="27">
        <f>B18+B19</f>
        <v>369</v>
      </c>
      <c r="C20" s="9"/>
      <c r="D20" s="20" t="s">
        <v>53</v>
      </c>
      <c r="E20" s="11"/>
      <c r="F20" s="5"/>
    </row>
    <row r="21" spans="2:7" x14ac:dyDescent="0.2">
      <c r="B21" s="12"/>
      <c r="C21" s="9"/>
      <c r="D21" s="20" t="s">
        <v>15</v>
      </c>
      <c r="E21" s="11"/>
    </row>
    <row r="22" spans="2:7" x14ac:dyDescent="0.2">
      <c r="B22" s="9"/>
      <c r="C22" s="9"/>
    </row>
    <row r="23" spans="2:7" x14ac:dyDescent="0.2">
      <c r="B23" s="26" t="s">
        <v>27</v>
      </c>
      <c r="C23" s="9"/>
    </row>
    <row r="24" spans="2:7" x14ac:dyDescent="0.2">
      <c r="B24" s="28">
        <f>B20+16</f>
        <v>385</v>
      </c>
      <c r="C24" s="9"/>
      <c r="D24" s="2" t="s">
        <v>16</v>
      </c>
    </row>
    <row r="25" spans="2:7" x14ac:dyDescent="0.2">
      <c r="B25" s="29">
        <f>B18*PI()</f>
        <v>386.41589639154455</v>
      </c>
      <c r="C25" s="13"/>
      <c r="D25" s="2" t="s">
        <v>54</v>
      </c>
    </row>
    <row r="26" spans="2:7" x14ac:dyDescent="0.2">
      <c r="B26" s="13"/>
      <c r="C26" s="13"/>
    </row>
    <row r="27" spans="2:7" x14ac:dyDescent="0.2">
      <c r="B27" s="26" t="s">
        <v>17</v>
      </c>
      <c r="C27" s="14"/>
      <c r="D27" s="37"/>
    </row>
    <row r="28" spans="2:7" x14ac:dyDescent="0.2">
      <c r="B28" s="33">
        <v>123</v>
      </c>
      <c r="C28" s="14"/>
      <c r="D28" s="20" t="s">
        <v>55</v>
      </c>
      <c r="G28" s="11"/>
    </row>
    <row r="29" spans="2:7" x14ac:dyDescent="0.2">
      <c r="B29" s="31">
        <v>124</v>
      </c>
      <c r="C29" s="14"/>
      <c r="D29" s="20" t="s">
        <v>56</v>
      </c>
    </row>
    <row r="30" spans="2:7" x14ac:dyDescent="0.2">
      <c r="B30" s="32">
        <f>B28-B29</f>
        <v>-1</v>
      </c>
      <c r="C30" s="15"/>
      <c r="D30" s="2" t="s">
        <v>57</v>
      </c>
    </row>
    <row r="33" spans="2:4" x14ac:dyDescent="0.2">
      <c r="B33" s="25" t="s">
        <v>18</v>
      </c>
    </row>
    <row r="34" spans="2:4" x14ac:dyDescent="0.2">
      <c r="B34" s="1"/>
    </row>
    <row r="35" spans="2:4" x14ac:dyDescent="0.2">
      <c r="B35" s="26" t="s">
        <v>22</v>
      </c>
    </row>
    <row r="36" spans="2:4" x14ac:dyDescent="0.2">
      <c r="B36" s="27" t="s">
        <v>23</v>
      </c>
      <c r="C36" s="9"/>
      <c r="D36" s="20" t="s">
        <v>19</v>
      </c>
    </row>
    <row r="37" spans="2:4" x14ac:dyDescent="0.2">
      <c r="B37" s="30" t="s">
        <v>1</v>
      </c>
      <c r="C37" s="9"/>
      <c r="D37" s="20" t="s">
        <v>20</v>
      </c>
    </row>
    <row r="38" spans="2:4" x14ac:dyDescent="0.2">
      <c r="B38" s="36" t="s">
        <v>24</v>
      </c>
      <c r="C38" s="9"/>
      <c r="D38" s="20" t="s">
        <v>21</v>
      </c>
    </row>
    <row r="39" spans="2:4" x14ac:dyDescent="0.2">
      <c r="B39" s="29" t="s">
        <v>24</v>
      </c>
      <c r="C39" s="9"/>
      <c r="D39" s="20" t="s">
        <v>58</v>
      </c>
    </row>
    <row r="40" spans="2:4" x14ac:dyDescent="0.2">
      <c r="C40" s="9"/>
      <c r="D40" s="3"/>
    </row>
    <row r="41" spans="2:4" x14ac:dyDescent="0.2">
      <c r="B41" s="26" t="s">
        <v>25</v>
      </c>
      <c r="C41" s="9"/>
      <c r="D41" s="3"/>
    </row>
    <row r="42" spans="2:4" x14ac:dyDescent="0.2">
      <c r="B42" s="19" t="s">
        <v>2</v>
      </c>
      <c r="C42" s="9"/>
      <c r="D42" s="20" t="s">
        <v>59</v>
      </c>
    </row>
    <row r="43" spans="2:4" x14ac:dyDescent="0.2">
      <c r="B43" s="39" t="s">
        <v>26</v>
      </c>
      <c r="D43" s="20" t="s">
        <v>140</v>
      </c>
    </row>
    <row r="51" spans="2:2" x14ac:dyDescent="0.2">
      <c r="B51" s="4" t="s">
        <v>67</v>
      </c>
    </row>
  </sheetData>
  <pageMargins left="0.75" right="0.75" top="1" bottom="1" header="0.5" footer="0.5"/>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8D9"/>
  </sheetPr>
  <dimension ref="B2:I26"/>
  <sheetViews>
    <sheetView showGridLines="0" zoomScale="85" zoomScaleNormal="85" workbookViewId="0">
      <pane ySplit="3" topLeftCell="A4" activePane="bottomLeft" state="frozen"/>
      <selection activeCell="O39" sqref="O39"/>
      <selection pane="bottomLeft" activeCell="F13" sqref="F13"/>
    </sheetView>
  </sheetViews>
  <sheetFormatPr defaultColWidth="9.140625" defaultRowHeight="12.75" x14ac:dyDescent="0.2"/>
  <cols>
    <col min="1" max="1" width="4.5703125" style="2" customWidth="1"/>
    <col min="2" max="2" width="7.5703125" style="2" customWidth="1"/>
    <col min="3" max="3" width="45.42578125" style="2" customWidth="1"/>
    <col min="4" max="4" width="67.5703125" style="2" bestFit="1" customWidth="1"/>
    <col min="5" max="5" width="36.42578125" style="2" customWidth="1"/>
    <col min="6" max="6" width="109.5703125" style="2" customWidth="1"/>
    <col min="7" max="7" width="34.140625" style="2" customWidth="1"/>
    <col min="8" max="8" width="11.85546875" style="2" customWidth="1"/>
    <col min="9" max="9" width="28.5703125" style="2" customWidth="1"/>
    <col min="10" max="10" width="18.42578125" style="2" customWidth="1"/>
    <col min="11" max="12" width="58.42578125" style="2" customWidth="1"/>
    <col min="13" max="16384" width="9.140625" style="2"/>
  </cols>
  <sheetData>
    <row r="2" spans="2:9" s="7" customFormat="1" ht="18" x14ac:dyDescent="0.2">
      <c r="B2" s="7" t="s">
        <v>28</v>
      </c>
    </row>
    <row r="5" spans="2:9" s="8" customFormat="1" x14ac:dyDescent="0.2">
      <c r="B5" s="8" t="s">
        <v>29</v>
      </c>
    </row>
    <row r="7" spans="2:9" x14ac:dyDescent="0.2">
      <c r="B7" s="4" t="s">
        <v>63</v>
      </c>
    </row>
    <row r="8" spans="2:9" x14ac:dyDescent="0.2">
      <c r="B8" s="4" t="s">
        <v>30</v>
      </c>
    </row>
    <row r="10" spans="2:9" x14ac:dyDescent="0.2">
      <c r="B10" s="40" t="s">
        <v>31</v>
      </c>
      <c r="C10" s="40" t="s">
        <v>32</v>
      </c>
      <c r="D10" s="40" t="s">
        <v>33</v>
      </c>
      <c r="E10" s="40" t="s">
        <v>68</v>
      </c>
      <c r="F10" s="40" t="s">
        <v>60</v>
      </c>
      <c r="G10" s="40" t="s">
        <v>7</v>
      </c>
      <c r="I10" s="24"/>
    </row>
    <row r="11" spans="2:9" x14ac:dyDescent="0.2">
      <c r="B11" s="16"/>
      <c r="C11" s="21" t="s">
        <v>34</v>
      </c>
      <c r="D11" s="21" t="s">
        <v>35</v>
      </c>
      <c r="E11" s="21" t="s">
        <v>45</v>
      </c>
      <c r="F11" s="21" t="s">
        <v>36</v>
      </c>
      <c r="G11" s="21"/>
    </row>
    <row r="12" spans="2:9" x14ac:dyDescent="0.2">
      <c r="B12" s="22">
        <v>1</v>
      </c>
      <c r="C12" s="6" t="s">
        <v>146</v>
      </c>
      <c r="D12" s="6" t="s">
        <v>218</v>
      </c>
      <c r="E12" t="s">
        <v>215</v>
      </c>
      <c r="F12" s="66" t="s">
        <v>147</v>
      </c>
      <c r="G12" s="6" t="s">
        <v>135</v>
      </c>
    </row>
    <row r="13" spans="2:9" x14ac:dyDescent="0.2">
      <c r="B13" s="6">
        <v>2</v>
      </c>
      <c r="C13" s="65" t="s">
        <v>184</v>
      </c>
      <c r="D13" s="6" t="s">
        <v>219</v>
      </c>
      <c r="E13" s="6" t="s">
        <v>220</v>
      </c>
      <c r="F13" s="66" t="s">
        <v>221</v>
      </c>
      <c r="G13" s="6" t="s">
        <v>135</v>
      </c>
    </row>
    <row r="14" spans="2:9" x14ac:dyDescent="0.2">
      <c r="B14" s="6">
        <v>3</v>
      </c>
      <c r="C14" s="6" t="s">
        <v>247</v>
      </c>
      <c r="D14" s="6" t="s">
        <v>249</v>
      </c>
      <c r="E14" s="6" t="s">
        <v>248</v>
      </c>
      <c r="F14" s="66" t="s">
        <v>246</v>
      </c>
      <c r="G14" s="6"/>
    </row>
    <row r="15" spans="2:9" x14ac:dyDescent="0.2">
      <c r="B15" s="6">
        <v>4</v>
      </c>
      <c r="C15" s="6" t="s">
        <v>133</v>
      </c>
      <c r="D15" s="6"/>
      <c r="E15" s="6"/>
      <c r="F15" s="66" t="s">
        <v>136</v>
      </c>
      <c r="G15" s="6" t="s">
        <v>135</v>
      </c>
    </row>
    <row r="16" spans="2:9" x14ac:dyDescent="0.2">
      <c r="B16" s="6">
        <v>5</v>
      </c>
      <c r="C16" s="6" t="s">
        <v>236</v>
      </c>
      <c r="D16" s="71" t="s">
        <v>237</v>
      </c>
      <c r="E16" s="6" t="s">
        <v>238</v>
      </c>
      <c r="F16" s="6" t="s">
        <v>239</v>
      </c>
      <c r="G16" s="6" t="s">
        <v>135</v>
      </c>
    </row>
    <row r="17" spans="2:7" ht="12" customHeight="1" x14ac:dyDescent="0.2">
      <c r="B17" s="6">
        <v>6</v>
      </c>
      <c r="C17" s="6" t="s">
        <v>85</v>
      </c>
      <c r="D17" s="22" t="s">
        <v>240</v>
      </c>
      <c r="E17" s="6" t="s">
        <v>238</v>
      </c>
      <c r="F17" s="6" t="s">
        <v>239</v>
      </c>
      <c r="G17" s="6"/>
    </row>
    <row r="20" spans="2:7" s="8" customFormat="1" x14ac:dyDescent="0.2">
      <c r="B20" s="8" t="s">
        <v>64</v>
      </c>
    </row>
    <row r="22" spans="2:7" x14ac:dyDescent="0.2">
      <c r="B22" s="26" t="s">
        <v>65</v>
      </c>
    </row>
    <row r="23" spans="2:7" x14ac:dyDescent="0.2">
      <c r="B23" s="26" t="s">
        <v>61</v>
      </c>
    </row>
    <row r="24" spans="2:7" x14ac:dyDescent="0.2">
      <c r="B24" s="26"/>
    </row>
    <row r="26" spans="2:7" x14ac:dyDescent="0.2">
      <c r="B26" s="4" t="s">
        <v>67</v>
      </c>
    </row>
  </sheetData>
  <phoneticPr fontId="32" type="noConversion"/>
  <hyperlinks>
    <hyperlink ref="F15" r:id="rId1" xr:uid="{F2908C96-1C3F-4FA1-83BE-7D83C572F66D}"/>
    <hyperlink ref="F12" r:id="rId2" xr:uid="{86FD7B48-D58A-4AD9-99EB-21C766CF1E03}"/>
    <hyperlink ref="F13" r:id="rId3" xr:uid="{CA15414C-08F2-4A99-A5DF-A75E4455789B}"/>
    <hyperlink ref="F14" r:id="rId4" xr:uid="{03627D64-7FB9-49EE-AB7F-F40F988046EE}"/>
  </hyperlinks>
  <pageMargins left="0.75" right="0.75" top="1" bottom="1" header="0.5" footer="0.5"/>
  <pageSetup paperSize="9"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4ECCD-7C60-4158-BBAC-46A1C2D741F6}">
  <sheetPr>
    <tabColor rgb="FFCCFFFF"/>
  </sheetPr>
  <dimension ref="B2:J43"/>
  <sheetViews>
    <sheetView showGridLines="0" zoomScale="85" zoomScaleNormal="85" workbookViewId="0">
      <pane xSplit="6" ySplit="11" topLeftCell="G12" activePane="bottomRight" state="frozen"/>
      <selection activeCell="G12" sqref="G12"/>
      <selection pane="topRight" activeCell="G12" sqref="G12"/>
      <selection pane="bottomLeft" activeCell="G12" sqref="G12"/>
      <selection pane="bottomRight" activeCell="L44" sqref="L44"/>
    </sheetView>
  </sheetViews>
  <sheetFormatPr defaultColWidth="9.140625" defaultRowHeight="12.75" x14ac:dyDescent="0.2"/>
  <cols>
    <col min="1" max="1" width="4.5703125" style="2" customWidth="1"/>
    <col min="2" max="2" width="49.140625" style="2" customWidth="1"/>
    <col min="3" max="5" width="4.5703125" style="2" customWidth="1"/>
    <col min="6" max="6" width="16.5703125" style="2" bestFit="1" customWidth="1"/>
    <col min="7" max="7" width="2.5703125" style="2" customWidth="1"/>
    <col min="8" max="8" width="16.85546875" style="2" bestFit="1" customWidth="1"/>
    <col min="9" max="9" width="6.42578125" style="2" customWidth="1"/>
    <col min="10" max="24" width="13.5703125" style="2" customWidth="1"/>
    <col min="25" max="16384" width="9.140625" style="2"/>
  </cols>
  <sheetData>
    <row r="2" spans="2:10" s="17" customFormat="1" ht="18" x14ac:dyDescent="0.2">
      <c r="B2" s="17" t="s">
        <v>23</v>
      </c>
    </row>
    <row r="4" spans="2:10" x14ac:dyDescent="0.2">
      <c r="B4" s="25" t="s">
        <v>12</v>
      </c>
      <c r="C4" s="1"/>
      <c r="D4" s="1"/>
    </row>
    <row r="5" spans="2:10" x14ac:dyDescent="0.2">
      <c r="B5" s="2" t="s">
        <v>158</v>
      </c>
      <c r="H5" s="18"/>
    </row>
    <row r="6" spans="2:10" x14ac:dyDescent="0.2">
      <c r="B6" s="2" t="s">
        <v>159</v>
      </c>
      <c r="H6" s="18"/>
    </row>
    <row r="7" spans="2:10" x14ac:dyDescent="0.2">
      <c r="B7" s="2" t="s">
        <v>232</v>
      </c>
      <c r="H7" s="18"/>
    </row>
    <row r="8" spans="2:10" x14ac:dyDescent="0.2">
      <c r="B8" s="4"/>
    </row>
    <row r="10" spans="2:10" s="8" customFormat="1" x14ac:dyDescent="0.2">
      <c r="B10" s="8" t="s">
        <v>12</v>
      </c>
      <c r="F10" s="8" t="s">
        <v>37</v>
      </c>
      <c r="H10" s="8" t="s">
        <v>38</v>
      </c>
      <c r="J10" s="8" t="s">
        <v>39</v>
      </c>
    </row>
    <row r="13" spans="2:10" s="8" customFormat="1" x14ac:dyDescent="0.2">
      <c r="B13" s="8" t="s">
        <v>160</v>
      </c>
    </row>
    <row r="15" spans="2:10" x14ac:dyDescent="0.2">
      <c r="B15" s="25" t="s">
        <v>161</v>
      </c>
    </row>
    <row r="16" spans="2:10" x14ac:dyDescent="0.2">
      <c r="B16" s="2" t="s">
        <v>162</v>
      </c>
      <c r="F16" s="2" t="s">
        <v>163</v>
      </c>
      <c r="H16" s="42">
        <f>'Parameters in tariff decisions'!H25</f>
        <v>0.16420000000000001</v>
      </c>
    </row>
    <row r="17" spans="2:10" x14ac:dyDescent="0.2">
      <c r="B17" s="2" t="s">
        <v>164</v>
      </c>
      <c r="F17" s="2" t="s">
        <v>69</v>
      </c>
      <c r="H17" s="42">
        <f>'Parameters in tariff decisions'!H18</f>
        <v>0.27643631968153609</v>
      </c>
    </row>
    <row r="18" spans="2:10" x14ac:dyDescent="0.2">
      <c r="B18" s="2" t="s">
        <v>165</v>
      </c>
      <c r="F18" s="2" t="s">
        <v>70</v>
      </c>
      <c r="H18" s="43">
        <f>'Parameters in tariff decisions'!H20</f>
        <v>0.52279614559569609</v>
      </c>
    </row>
    <row r="19" spans="2:10" x14ac:dyDescent="0.2">
      <c r="B19" s="20" t="s">
        <v>231</v>
      </c>
      <c r="F19" s="2" t="s">
        <v>166</v>
      </c>
      <c r="H19" s="42">
        <f>'Fuel prices'!Q38</f>
        <v>0.68394144355524622</v>
      </c>
      <c r="J19" s="18"/>
    </row>
    <row r="20" spans="2:10" x14ac:dyDescent="0.2">
      <c r="B20" s="2" t="s">
        <v>167</v>
      </c>
      <c r="F20" s="2" t="s">
        <v>163</v>
      </c>
      <c r="H20" s="44">
        <f>H17*H18*H19</f>
        <v>9.8843109655432831E-2</v>
      </c>
    </row>
    <row r="21" spans="2:10" x14ac:dyDescent="0.2">
      <c r="B21" s="2" t="s">
        <v>168</v>
      </c>
      <c r="F21" s="2" t="s">
        <v>163</v>
      </c>
      <c r="H21" s="44">
        <f>H16+H20</f>
        <v>0.26304310965543287</v>
      </c>
    </row>
    <row r="22" spans="2:10" x14ac:dyDescent="0.2">
      <c r="B22" s="5"/>
    </row>
    <row r="23" spans="2:10" x14ac:dyDescent="0.2">
      <c r="B23" s="1" t="s">
        <v>71</v>
      </c>
    </row>
    <row r="24" spans="2:10" x14ac:dyDescent="0.2">
      <c r="B24" s="2" t="s">
        <v>153</v>
      </c>
      <c r="F24" s="2" t="s">
        <v>169</v>
      </c>
      <c r="H24" s="35">
        <f>'Fuel component correction'!H46</f>
        <v>-53999.265238246197</v>
      </c>
      <c r="J24" s="2" t="s">
        <v>252</v>
      </c>
    </row>
    <row r="25" spans="2:10" x14ac:dyDescent="0.2">
      <c r="B25" s="2" t="s">
        <v>170</v>
      </c>
      <c r="F25" s="2" t="s">
        <v>72</v>
      </c>
      <c r="H25" s="35">
        <f>'Parameters in tariff decisions'!H26</f>
        <v>17621400</v>
      </c>
    </row>
    <row r="26" spans="2:10" x14ac:dyDescent="0.2">
      <c r="B26" s="2" t="s">
        <v>171</v>
      </c>
      <c r="F26" s="2" t="s">
        <v>70</v>
      </c>
      <c r="H26" s="43">
        <f>'Parameters in tariff decisions'!H28</f>
        <v>0.47</v>
      </c>
    </row>
    <row r="27" spans="2:10" x14ac:dyDescent="0.2">
      <c r="B27" s="2" t="s">
        <v>172</v>
      </c>
      <c r="F27" s="2" t="s">
        <v>72</v>
      </c>
      <c r="H27" s="36">
        <f>H25*(1-H26)</f>
        <v>9339342</v>
      </c>
    </row>
    <row r="28" spans="2:10" x14ac:dyDescent="0.2">
      <c r="B28" s="2" t="s">
        <v>149</v>
      </c>
      <c r="F28" s="2" t="s">
        <v>163</v>
      </c>
      <c r="H28" s="44">
        <f>H24/H27</f>
        <v>-5.781913248090304E-3</v>
      </c>
    </row>
    <row r="30" spans="2:10" x14ac:dyDescent="0.2">
      <c r="B30" s="1" t="s">
        <v>173</v>
      </c>
    </row>
    <row r="31" spans="2:10" x14ac:dyDescent="0.2">
      <c r="B31" s="2" t="s">
        <v>187</v>
      </c>
      <c r="F31" s="2" t="s">
        <v>163</v>
      </c>
      <c r="H31" s="42">
        <f>'Parameters in tariff decisions'!H31</f>
        <v>-4.7237561635553055E-3</v>
      </c>
    </row>
    <row r="33" spans="2:8" s="8" customFormat="1" x14ac:dyDescent="0.2">
      <c r="B33" s="8" t="s">
        <v>174</v>
      </c>
    </row>
    <row r="35" spans="2:8" x14ac:dyDescent="0.2">
      <c r="B35" s="1" t="s">
        <v>73</v>
      </c>
    </row>
    <row r="36" spans="2:8" x14ac:dyDescent="0.2">
      <c r="B36" s="2" t="s">
        <v>161</v>
      </c>
      <c r="F36" s="2" t="s">
        <v>163</v>
      </c>
      <c r="H36" s="42">
        <f>H21</f>
        <v>0.26304310965543287</v>
      </c>
    </row>
    <row r="37" spans="2:8" x14ac:dyDescent="0.2">
      <c r="B37" s="2" t="s">
        <v>175</v>
      </c>
      <c r="F37" s="2" t="s">
        <v>163</v>
      </c>
      <c r="H37" s="44">
        <f>H28+H31</f>
        <v>-1.0505669411645609E-2</v>
      </c>
    </row>
    <row r="38" spans="2:8" x14ac:dyDescent="0.2">
      <c r="B38" s="2" t="s">
        <v>176</v>
      </c>
      <c r="F38" s="2" t="s">
        <v>70</v>
      </c>
      <c r="H38" s="43">
        <f>'Parameters in tariff decisions'!H34</f>
        <v>0.11</v>
      </c>
    </row>
    <row r="40" spans="2:8" x14ac:dyDescent="0.2">
      <c r="B40" s="2" t="s">
        <v>160</v>
      </c>
      <c r="F40" s="2" t="s">
        <v>163</v>
      </c>
      <c r="H40" s="45">
        <f>(H36+H37)/(1-H38)</f>
        <v>0.28374993285818795</v>
      </c>
    </row>
    <row r="43" spans="2:8" x14ac:dyDescent="0.2">
      <c r="B43" s="4" t="s">
        <v>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B2:B8"/>
  <sheetViews>
    <sheetView showGridLines="0" zoomScale="85" zoomScaleNormal="85" workbookViewId="0"/>
  </sheetViews>
  <sheetFormatPr defaultColWidth="9.140625" defaultRowHeight="12.75" x14ac:dyDescent="0.2"/>
  <cols>
    <col min="1" max="16384" width="9.140625" style="19"/>
  </cols>
  <sheetData>
    <row r="2" spans="2:2" x14ac:dyDescent="0.2">
      <c r="B2" s="41" t="s">
        <v>137</v>
      </c>
    </row>
    <row r="3" spans="2:2" x14ac:dyDescent="0.2">
      <c r="B3" s="41" t="s">
        <v>138</v>
      </c>
    </row>
    <row r="7" spans="2:2" x14ac:dyDescent="0.2">
      <c r="B7" s="41"/>
    </row>
    <row r="8" spans="2:2" x14ac:dyDescent="0.2">
      <c r="B8" s="4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02563-F83E-4C09-9FD9-5506A1ED5F4D}">
  <sheetPr>
    <tabColor rgb="FFE1FFE1"/>
  </sheetPr>
  <dimension ref="B2:Y41"/>
  <sheetViews>
    <sheetView showGridLines="0" zoomScale="85" zoomScaleNormal="85" workbookViewId="0">
      <pane xSplit="7" ySplit="12" topLeftCell="H13" activePane="bottomRight" state="frozen"/>
      <selection activeCell="G12" sqref="G12"/>
      <selection pane="topRight" activeCell="G12" sqref="G12"/>
      <selection pane="bottomLeft" activeCell="G12" sqref="G12"/>
      <selection pane="bottomRight" activeCell="P56" sqref="P56"/>
    </sheetView>
  </sheetViews>
  <sheetFormatPr defaultColWidth="9.140625" defaultRowHeight="12.75" x14ac:dyDescent="0.2"/>
  <cols>
    <col min="1" max="1" width="4.5703125" style="2" customWidth="1"/>
    <col min="2" max="2" width="44.42578125" style="2" customWidth="1"/>
    <col min="3" max="5" width="4.5703125" style="2" customWidth="1"/>
    <col min="6" max="6" width="14.5703125" style="2" bestFit="1" customWidth="1"/>
    <col min="7" max="8" width="2.5703125" style="2" customWidth="1"/>
    <col min="9" max="9" width="13.5703125" style="2" customWidth="1"/>
    <col min="10" max="10" width="2.5703125" style="2" customWidth="1"/>
    <col min="11" max="11" width="13.5703125" style="2" customWidth="1"/>
    <col min="12" max="12" width="2.5703125" style="2" customWidth="1"/>
    <col min="13" max="13" width="13.5703125" style="2" customWidth="1"/>
    <col min="14" max="14" width="2.5703125" style="2" customWidth="1"/>
    <col min="15" max="15" width="13.5703125" style="2" customWidth="1"/>
    <col min="16" max="16" width="2.5703125" style="2" customWidth="1"/>
    <col min="17" max="17" width="13.5703125" style="2" customWidth="1"/>
    <col min="18" max="18" width="2.5703125" style="2" customWidth="1"/>
    <col min="19" max="19" width="12.85546875" style="2" customWidth="1"/>
    <col min="20" max="20" width="2.5703125" style="2" customWidth="1"/>
    <col min="21" max="21" width="13.5703125" style="2" customWidth="1"/>
    <col min="22" max="22" width="2.5703125" style="2" customWidth="1"/>
    <col min="23" max="23" width="25.5703125" style="2" customWidth="1"/>
    <col min="24" max="24" width="2.5703125" style="2" customWidth="1"/>
    <col min="25" max="25" width="13.5703125" style="2" customWidth="1"/>
    <col min="26" max="26" width="2.5703125" style="2" customWidth="1"/>
    <col min="27" max="41" width="13.5703125" style="2" customWidth="1"/>
    <col min="42" max="16384" width="9.140625" style="2"/>
  </cols>
  <sheetData>
    <row r="2" spans="2:25" s="17" customFormat="1" ht="18" x14ac:dyDescent="0.2">
      <c r="B2" s="17" t="s">
        <v>74</v>
      </c>
    </row>
    <row r="4" spans="2:25" x14ac:dyDescent="0.2">
      <c r="B4" s="25" t="s">
        <v>12</v>
      </c>
      <c r="C4" s="1"/>
      <c r="D4" s="1"/>
    </row>
    <row r="5" spans="2:25" x14ac:dyDescent="0.2">
      <c r="B5" s="2" t="s">
        <v>75</v>
      </c>
      <c r="K5" s="18"/>
    </row>
    <row r="6" spans="2:25" x14ac:dyDescent="0.2">
      <c r="K6" s="18"/>
    </row>
    <row r="7" spans="2:25" x14ac:dyDescent="0.2">
      <c r="B7" s="26" t="s">
        <v>129</v>
      </c>
      <c r="K7" s="18"/>
    </row>
    <row r="8" spans="2:25" x14ac:dyDescent="0.2">
      <c r="B8" s="4" t="s">
        <v>76</v>
      </c>
    </row>
    <row r="9" spans="2:25" x14ac:dyDescent="0.2">
      <c r="B9" s="4"/>
    </row>
    <row r="11" spans="2:25" s="8" customFormat="1" ht="38.25" x14ac:dyDescent="0.2">
      <c r="B11" s="8" t="s">
        <v>12</v>
      </c>
      <c r="F11" s="8" t="s">
        <v>77</v>
      </c>
      <c r="I11" s="8" t="s">
        <v>38</v>
      </c>
      <c r="K11" s="46" t="s">
        <v>145</v>
      </c>
      <c r="M11" s="46" t="s">
        <v>78</v>
      </c>
      <c r="O11" s="46" t="s">
        <v>141</v>
      </c>
      <c r="Q11" s="46" t="s">
        <v>79</v>
      </c>
      <c r="S11" s="46" t="s">
        <v>80</v>
      </c>
      <c r="T11" s="46"/>
      <c r="U11" s="46" t="s">
        <v>144</v>
      </c>
      <c r="V11" s="46"/>
      <c r="W11" s="46" t="s">
        <v>152</v>
      </c>
      <c r="Y11" s="8" t="s">
        <v>39</v>
      </c>
    </row>
    <row r="14" spans="2:25" s="8" customFormat="1" x14ac:dyDescent="0.2">
      <c r="B14" s="8" t="s">
        <v>103</v>
      </c>
    </row>
    <row r="16" spans="2:25" x14ac:dyDescent="0.2">
      <c r="B16" s="1" t="s">
        <v>142</v>
      </c>
    </row>
    <row r="17" spans="2:25" x14ac:dyDescent="0.2">
      <c r="B17" s="2" t="s">
        <v>143</v>
      </c>
      <c r="I17" s="48">
        <v>3.7854117839999999</v>
      </c>
    </row>
    <row r="19" spans="2:25" s="8" customFormat="1" x14ac:dyDescent="0.2">
      <c r="B19" s="8" t="s">
        <v>83</v>
      </c>
    </row>
    <row r="21" spans="2:25" x14ac:dyDescent="0.2">
      <c r="B21" s="1" t="s">
        <v>82</v>
      </c>
      <c r="F21" s="1" t="s">
        <v>77</v>
      </c>
    </row>
    <row r="22" spans="2:25" x14ac:dyDescent="0.2">
      <c r="B22" s="30" t="s">
        <v>196</v>
      </c>
      <c r="F22" s="47">
        <v>45531</v>
      </c>
      <c r="K22" s="30">
        <v>12000</v>
      </c>
      <c r="M22" s="36">
        <f>K22*$I$17</f>
        <v>45424.941407999999</v>
      </c>
      <c r="O22" s="48">
        <v>2.8368000000000002</v>
      </c>
      <c r="Q22" s="44">
        <f>O22/$I$17</f>
        <v>0.74940327812959551</v>
      </c>
      <c r="S22" s="36">
        <f>M22*Q22</f>
        <v>34041.600000000006</v>
      </c>
      <c r="U22" s="67">
        <v>45566</v>
      </c>
      <c r="W22" s="44">
        <f>Q22</f>
        <v>0.74940327812959551</v>
      </c>
    </row>
    <row r="24" spans="2:25" x14ac:dyDescent="0.2">
      <c r="B24" s="30" t="s">
        <v>197</v>
      </c>
      <c r="F24" s="47">
        <v>45538</v>
      </c>
      <c r="K24" s="30">
        <v>58449</v>
      </c>
      <c r="M24" s="36">
        <f t="shared" ref="M24:M26" si="0">K24*$I$17</f>
        <v>221253.533363016</v>
      </c>
      <c r="O24" s="70">
        <f>S24/K24</f>
        <v>2.7366473335728583</v>
      </c>
      <c r="Q24" s="44">
        <f t="shared" ref="Q24:Q26" si="1">O24/$I$17</f>
        <v>0.72294574269039635</v>
      </c>
      <c r="S24" s="69">
        <v>159954.29999999999</v>
      </c>
      <c r="U24" s="67">
        <v>45597</v>
      </c>
      <c r="W24" s="44">
        <f>Q24</f>
        <v>0.72294574269039635</v>
      </c>
      <c r="Y24" s="2" t="s">
        <v>204</v>
      </c>
    </row>
    <row r="26" spans="2:25" x14ac:dyDescent="0.2">
      <c r="B26" s="30" t="s">
        <v>198</v>
      </c>
      <c r="F26" s="47">
        <v>45595</v>
      </c>
      <c r="K26" s="30">
        <v>46116.84</v>
      </c>
      <c r="M26" s="36">
        <f t="shared" si="0"/>
        <v>174571.22957684254</v>
      </c>
      <c r="O26" s="70">
        <f>S26/K26</f>
        <v>2.7024666043900667</v>
      </c>
      <c r="Q26" s="44">
        <f t="shared" si="1"/>
        <v>0.71391614931108027</v>
      </c>
      <c r="S26" s="69">
        <v>124629.22</v>
      </c>
      <c r="U26" s="67">
        <v>45627</v>
      </c>
      <c r="W26" s="44">
        <f>Q26</f>
        <v>0.71391614931108027</v>
      </c>
      <c r="Y26" s="2" t="s">
        <v>204</v>
      </c>
    </row>
    <row r="28" spans="2:25" x14ac:dyDescent="0.2">
      <c r="B28" s="30" t="s">
        <v>199</v>
      </c>
      <c r="F28" s="47">
        <v>45614</v>
      </c>
      <c r="K28" s="30">
        <v>46520</v>
      </c>
      <c r="M28" s="36">
        <f>K28*$I$17</f>
        <v>176097.35619167998</v>
      </c>
      <c r="O28" s="48">
        <v>2.7845</v>
      </c>
      <c r="Q28" s="44">
        <f>O28/$I$17</f>
        <v>0.73558707979126425</v>
      </c>
      <c r="S28" s="36">
        <f>M28*Q28</f>
        <v>129534.93999999999</v>
      </c>
      <c r="U28" s="67">
        <v>45658</v>
      </c>
      <c r="W28" s="44">
        <f>Q28</f>
        <v>0.73558707979126425</v>
      </c>
    </row>
    <row r="30" spans="2:25" x14ac:dyDescent="0.2">
      <c r="B30" s="30" t="s">
        <v>200</v>
      </c>
      <c r="F30" s="47">
        <v>45633</v>
      </c>
      <c r="K30" s="30">
        <v>36984</v>
      </c>
      <c r="M30" s="36">
        <f>K30*$I$17</f>
        <v>139999.66941945598</v>
      </c>
      <c r="O30" s="70">
        <f>S30/K30</f>
        <v>2.6949288881678566</v>
      </c>
      <c r="Q30" s="44">
        <f>O30/$I$17</f>
        <v>0.71192489534656578</v>
      </c>
      <c r="S30" s="69">
        <v>99669.25</v>
      </c>
      <c r="U30" s="67">
        <v>45689</v>
      </c>
      <c r="W30" s="44">
        <f>Q30</f>
        <v>0.71192489534656578</v>
      </c>
      <c r="Y30" s="2" t="s">
        <v>204</v>
      </c>
    </row>
    <row r="32" spans="2:25" x14ac:dyDescent="0.2">
      <c r="B32" s="30" t="s">
        <v>201</v>
      </c>
      <c r="F32" s="47">
        <v>45670</v>
      </c>
      <c r="K32" s="30">
        <v>63882</v>
      </c>
      <c r="M32" s="36">
        <f>K32*$I$17</f>
        <v>241819.675585488</v>
      </c>
      <c r="O32" s="70">
        <f>S32/K32</f>
        <v>3.0502667418052036</v>
      </c>
      <c r="Q32" s="44">
        <f>O32/$I$17</f>
        <v>0.80579522542248305</v>
      </c>
      <c r="S32" s="69">
        <v>194857.14</v>
      </c>
      <c r="U32" s="67">
        <v>45717</v>
      </c>
      <c r="W32" s="44">
        <f>Q32</f>
        <v>0.80579522542248305</v>
      </c>
      <c r="Y32" s="2" t="s">
        <v>204</v>
      </c>
    </row>
    <row r="34" spans="2:25" x14ac:dyDescent="0.2">
      <c r="B34" s="30" t="s">
        <v>202</v>
      </c>
      <c r="F34" s="47">
        <v>45692</v>
      </c>
      <c r="K34" s="30">
        <v>46507</v>
      </c>
      <c r="M34" s="36">
        <f t="shared" ref="M34" si="2">K34*$I$17</f>
        <v>176048.14583848798</v>
      </c>
      <c r="O34" s="70">
        <f>S34/K34</f>
        <v>2.9715333175650978</v>
      </c>
      <c r="Q34" s="44">
        <f t="shared" ref="Q34" si="3">O34/$I$17</f>
        <v>0.7849960551517895</v>
      </c>
      <c r="S34" s="69">
        <v>138197.1</v>
      </c>
      <c r="U34" s="67">
        <v>45748</v>
      </c>
      <c r="W34" s="44">
        <f>Q34</f>
        <v>0.7849960551517895</v>
      </c>
      <c r="Y34" s="2" t="s">
        <v>204</v>
      </c>
    </row>
    <row r="36" spans="2:25" s="8" customFormat="1" x14ac:dyDescent="0.2">
      <c r="B36" s="8" t="s">
        <v>81</v>
      </c>
    </row>
    <row r="38" spans="2:25" x14ac:dyDescent="0.2">
      <c r="B38" s="30" t="s">
        <v>203</v>
      </c>
      <c r="F38" s="47">
        <v>45789</v>
      </c>
      <c r="K38" s="30">
        <v>38146</v>
      </c>
      <c r="M38" s="36">
        <f t="shared" ref="M38" si="4">K38*$I$17</f>
        <v>144398.317912464</v>
      </c>
      <c r="O38" s="48">
        <v>2.589</v>
      </c>
      <c r="Q38" s="44">
        <f t="shared" ref="Q38" si="5">O38/$I$17</f>
        <v>0.68394144355524622</v>
      </c>
      <c r="S38" s="68">
        <f t="shared" ref="S38" si="6">M38*Q38</f>
        <v>98759.993999999992</v>
      </c>
    </row>
    <row r="41" spans="2:25" x14ac:dyDescent="0.2">
      <c r="B41" s="4" t="s">
        <v>67</v>
      </c>
    </row>
  </sheetData>
  <phoneticPr fontId="3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4216-78D1-405A-9F5C-7B8A6DF25563}">
  <sheetPr>
    <tabColor rgb="FFE1FFE1"/>
  </sheetPr>
  <dimension ref="B2:R20"/>
  <sheetViews>
    <sheetView showGridLines="0" zoomScale="85" zoomScaleNormal="85" workbookViewId="0">
      <pane xSplit="6" ySplit="11" topLeftCell="G12" activePane="bottomRight" state="frozen"/>
      <selection activeCell="G12" sqref="G12"/>
      <selection pane="topRight" activeCell="G12" sqref="G12"/>
      <selection pane="bottomLeft" activeCell="G12" sqref="G12"/>
      <selection pane="bottomRight" activeCell="L54" sqref="L54"/>
    </sheetView>
  </sheetViews>
  <sheetFormatPr defaultColWidth="9.140625" defaultRowHeight="12.75" x14ac:dyDescent="0.2"/>
  <cols>
    <col min="1" max="1" width="4.5703125" style="2" customWidth="1"/>
    <col min="2" max="2" width="41.42578125" style="2" customWidth="1"/>
    <col min="3" max="5" width="4.5703125" style="2" customWidth="1"/>
    <col min="6" max="6" width="13.5703125" style="2" customWidth="1"/>
    <col min="7" max="7" width="2.5703125" style="2" customWidth="1"/>
    <col min="8" max="14" width="15.5703125" style="2" customWidth="1"/>
    <col min="15" max="15" width="2.5703125" style="2" customWidth="1"/>
    <col min="16" max="16" width="17.140625" style="2" customWidth="1"/>
    <col min="17" max="17" width="2.5703125" style="2" customWidth="1"/>
    <col min="18" max="18" width="13.5703125" style="2" customWidth="1"/>
    <col min="19" max="19" width="2.5703125" style="2" customWidth="1"/>
    <col min="20" max="34" width="13.5703125" style="2" customWidth="1"/>
    <col min="35" max="16384" width="9.140625" style="2"/>
  </cols>
  <sheetData>
    <row r="2" spans="2:18" s="17" customFormat="1" ht="18" x14ac:dyDescent="0.2">
      <c r="B2" s="17" t="s">
        <v>84</v>
      </c>
    </row>
    <row r="4" spans="2:18" x14ac:dyDescent="0.2">
      <c r="B4" s="25" t="s">
        <v>12</v>
      </c>
      <c r="C4" s="1"/>
      <c r="D4" s="1"/>
    </row>
    <row r="5" spans="2:18" x14ac:dyDescent="0.2">
      <c r="B5" s="2" t="s">
        <v>205</v>
      </c>
    </row>
    <row r="7" spans="2:18" x14ac:dyDescent="0.2">
      <c r="B7" s="26" t="s">
        <v>129</v>
      </c>
      <c r="K7" s="18"/>
    </row>
    <row r="8" spans="2:18" x14ac:dyDescent="0.2">
      <c r="B8" s="4" t="s">
        <v>206</v>
      </c>
    </row>
    <row r="10" spans="2:18" s="8" customFormat="1" x14ac:dyDescent="0.2">
      <c r="B10" s="8" t="s">
        <v>12</v>
      </c>
      <c r="F10" s="8" t="s">
        <v>37</v>
      </c>
      <c r="H10" s="8" t="s">
        <v>177</v>
      </c>
      <c r="I10" s="8" t="s">
        <v>178</v>
      </c>
      <c r="J10" s="8" t="s">
        <v>179</v>
      </c>
      <c r="K10" s="8" t="s">
        <v>180</v>
      </c>
      <c r="L10" s="8" t="s">
        <v>181</v>
      </c>
      <c r="M10" s="8" t="s">
        <v>182</v>
      </c>
      <c r="N10" s="8" t="s">
        <v>183</v>
      </c>
      <c r="P10" s="8" t="s">
        <v>40</v>
      </c>
      <c r="R10" s="8" t="s">
        <v>39</v>
      </c>
    </row>
    <row r="13" spans="2:18" s="8" customFormat="1" x14ac:dyDescent="0.2">
      <c r="B13" s="8" t="s">
        <v>85</v>
      </c>
    </row>
    <row r="15" spans="2:18" x14ac:dyDescent="0.2">
      <c r="B15" s="25" t="s">
        <v>86</v>
      </c>
    </row>
    <row r="16" spans="2:18" x14ac:dyDescent="0.2">
      <c r="B16" s="2" t="s">
        <v>87</v>
      </c>
      <c r="F16" s="2" t="s">
        <v>72</v>
      </c>
      <c r="H16" s="30">
        <v>1720864.59</v>
      </c>
      <c r="I16" s="30">
        <v>1525164.39</v>
      </c>
      <c r="J16" s="30">
        <v>1243943.3500000001</v>
      </c>
      <c r="K16" s="30">
        <v>1260572.53</v>
      </c>
      <c r="L16" s="30">
        <v>1242148.48</v>
      </c>
      <c r="M16" s="30">
        <v>1243216.25</v>
      </c>
      <c r="N16" s="30">
        <v>1362248.2</v>
      </c>
      <c r="P16" s="2" t="s">
        <v>251</v>
      </c>
      <c r="R16" s="18"/>
    </row>
    <row r="20" spans="2:2" x14ac:dyDescent="0.2">
      <c r="B20" s="4" t="s">
        <v>67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8C8E-2BAE-44E4-8C9E-CE16D248F930}">
  <sheetPr>
    <tabColor rgb="FFE1FFE1"/>
  </sheetPr>
  <dimension ref="B2:L39"/>
  <sheetViews>
    <sheetView showGridLines="0" zoomScaleNormal="100" workbookViewId="0">
      <pane xSplit="6" ySplit="12" topLeftCell="G13" activePane="bottomRight" state="frozen"/>
      <selection activeCell="G12" sqref="G12"/>
      <selection pane="topRight" activeCell="G12" sqref="G12"/>
      <selection pane="bottomLeft" activeCell="G12" sqref="G12"/>
      <selection pane="bottomRight" activeCell="J40" sqref="J40"/>
    </sheetView>
  </sheetViews>
  <sheetFormatPr defaultColWidth="9.140625" defaultRowHeight="12.75" x14ac:dyDescent="0.2"/>
  <cols>
    <col min="1" max="1" width="4.5703125" style="2" customWidth="1"/>
    <col min="2" max="2" width="41.42578125" style="2" customWidth="1"/>
    <col min="3" max="5" width="4.5703125" style="2" customWidth="1"/>
    <col min="6" max="6" width="16.5703125" style="2" bestFit="1" customWidth="1"/>
    <col min="7" max="7" width="2.5703125" style="2" customWidth="1"/>
    <col min="8" max="8" width="13.5703125" style="2" customWidth="1"/>
    <col min="9" max="9" width="2.5703125" style="2" customWidth="1"/>
    <col min="10" max="10" width="39.85546875" style="2" bestFit="1" customWidth="1"/>
    <col min="11" max="11" width="2.5703125" style="2" customWidth="1"/>
    <col min="12" max="26" width="13.5703125" style="2" customWidth="1"/>
    <col min="27" max="16384" width="9.140625" style="2"/>
  </cols>
  <sheetData>
    <row r="2" spans="2:12" s="17" customFormat="1" ht="18" x14ac:dyDescent="0.2">
      <c r="B2" s="17" t="s">
        <v>88</v>
      </c>
    </row>
    <row r="4" spans="2:12" x14ac:dyDescent="0.2">
      <c r="B4" s="25" t="s">
        <v>12</v>
      </c>
      <c r="C4" s="1"/>
      <c r="D4" s="1"/>
    </row>
    <row r="5" spans="2:12" x14ac:dyDescent="0.2">
      <c r="B5" s="2" t="s">
        <v>230</v>
      </c>
      <c r="H5" s="18"/>
    </row>
    <row r="6" spans="2:12" x14ac:dyDescent="0.2">
      <c r="H6" s="18"/>
    </row>
    <row r="7" spans="2:12" x14ac:dyDescent="0.2">
      <c r="B7" s="26" t="s">
        <v>129</v>
      </c>
      <c r="H7" s="18"/>
    </row>
    <row r="8" spans="2:12" x14ac:dyDescent="0.2">
      <c r="B8" s="4" t="s">
        <v>241</v>
      </c>
    </row>
    <row r="9" spans="2:12" x14ac:dyDescent="0.2">
      <c r="B9" s="4"/>
    </row>
    <row r="11" spans="2:12" s="8" customFormat="1" x14ac:dyDescent="0.2">
      <c r="B11" s="8" t="s">
        <v>12</v>
      </c>
      <c r="F11" s="8" t="s">
        <v>37</v>
      </c>
      <c r="H11" s="8" t="s">
        <v>38</v>
      </c>
      <c r="J11" s="8" t="s">
        <v>40</v>
      </c>
      <c r="L11" s="8" t="s">
        <v>39</v>
      </c>
    </row>
    <row r="14" spans="2:12" s="8" customFormat="1" x14ac:dyDescent="0.2">
      <c r="B14" s="8" t="s">
        <v>89</v>
      </c>
    </row>
    <row r="16" spans="2:12" x14ac:dyDescent="0.2">
      <c r="B16" s="25" t="s">
        <v>90</v>
      </c>
    </row>
    <row r="17" spans="2:12" x14ac:dyDescent="0.2">
      <c r="B17" s="2" t="s">
        <v>209</v>
      </c>
      <c r="F17" s="2" t="s">
        <v>69</v>
      </c>
      <c r="H17" s="48">
        <v>0.27626522408947457</v>
      </c>
      <c r="J17" s="2" t="s">
        <v>216</v>
      </c>
    </row>
    <row r="18" spans="2:12" x14ac:dyDescent="0.2">
      <c r="B18" s="2" t="s">
        <v>210</v>
      </c>
      <c r="F18" s="2" t="s">
        <v>69</v>
      </c>
      <c r="H18" s="48">
        <v>0.27643631968153609</v>
      </c>
      <c r="J18" s="2" t="s">
        <v>222</v>
      </c>
    </row>
    <row r="19" spans="2:12" x14ac:dyDescent="0.2">
      <c r="B19" s="2" t="s">
        <v>211</v>
      </c>
      <c r="F19" s="2" t="s">
        <v>70</v>
      </c>
      <c r="H19" s="49">
        <v>0.51666683778875944</v>
      </c>
      <c r="J19" s="2" t="s">
        <v>217</v>
      </c>
    </row>
    <row r="20" spans="2:12" x14ac:dyDescent="0.2">
      <c r="B20" s="2" t="s">
        <v>212</v>
      </c>
      <c r="F20" s="2" t="s">
        <v>70</v>
      </c>
      <c r="H20" s="49">
        <v>0.52279614559569609</v>
      </c>
      <c r="J20" s="2" t="s">
        <v>225</v>
      </c>
    </row>
    <row r="22" spans="2:12" x14ac:dyDescent="0.2">
      <c r="B22" s="1" t="s">
        <v>92</v>
      </c>
    </row>
    <row r="23" spans="2:12" x14ac:dyDescent="0.2">
      <c r="B23" s="2" t="s">
        <v>213</v>
      </c>
      <c r="F23" s="2" t="s">
        <v>93</v>
      </c>
      <c r="H23" s="48">
        <v>0.11396231127749898</v>
      </c>
      <c r="J23" s="2" t="s">
        <v>253</v>
      </c>
    </row>
    <row r="24" spans="2:12" x14ac:dyDescent="0.2">
      <c r="B24" s="2" t="s">
        <v>214</v>
      </c>
      <c r="F24" s="2" t="s">
        <v>93</v>
      </c>
      <c r="H24" s="48">
        <v>0.11165568126834402</v>
      </c>
      <c r="J24" s="2" t="s">
        <v>223</v>
      </c>
    </row>
    <row r="25" spans="2:12" x14ac:dyDescent="0.2">
      <c r="B25" s="2" t="s">
        <v>162</v>
      </c>
      <c r="F25" s="2" t="s">
        <v>163</v>
      </c>
      <c r="H25" s="48">
        <v>0.16420000000000001</v>
      </c>
      <c r="J25" s="2" t="s">
        <v>224</v>
      </c>
    </row>
    <row r="26" spans="2:12" x14ac:dyDescent="0.2">
      <c r="B26" s="2" t="s">
        <v>185</v>
      </c>
      <c r="F26" s="2" t="s">
        <v>72</v>
      </c>
      <c r="H26" s="30">
        <v>17621400</v>
      </c>
      <c r="J26" s="2" t="s">
        <v>226</v>
      </c>
    </row>
    <row r="27" spans="2:12" x14ac:dyDescent="0.2">
      <c r="B27" s="2" t="s">
        <v>186</v>
      </c>
      <c r="F27" s="2" t="s">
        <v>72</v>
      </c>
      <c r="H27" s="30">
        <v>8282058</v>
      </c>
      <c r="J27" s="2" t="s">
        <v>227</v>
      </c>
    </row>
    <row r="28" spans="2:12" x14ac:dyDescent="0.2">
      <c r="B28" s="2" t="s">
        <v>171</v>
      </c>
      <c r="F28" s="2" t="s">
        <v>70</v>
      </c>
      <c r="H28" s="50">
        <f>H27/H26</f>
        <v>0.47</v>
      </c>
    </row>
    <row r="30" spans="2:12" x14ac:dyDescent="0.2">
      <c r="B30" s="1" t="s">
        <v>173</v>
      </c>
    </row>
    <row r="31" spans="2:12" x14ac:dyDescent="0.2">
      <c r="B31" s="2" t="s">
        <v>187</v>
      </c>
      <c r="F31" s="2" t="s">
        <v>163</v>
      </c>
      <c r="H31" s="48">
        <v>-4.7237561635553055E-3</v>
      </c>
      <c r="J31" s="2" t="s">
        <v>228</v>
      </c>
      <c r="L31" s="2" t="s">
        <v>188</v>
      </c>
    </row>
    <row r="33" spans="2:10" x14ac:dyDescent="0.2">
      <c r="B33" s="1" t="s">
        <v>94</v>
      </c>
    </row>
    <row r="34" spans="2:10" x14ac:dyDescent="0.2">
      <c r="B34" s="2" t="s">
        <v>176</v>
      </c>
      <c r="F34" s="2" t="s">
        <v>70</v>
      </c>
      <c r="H34" s="49">
        <v>0.11</v>
      </c>
      <c r="J34" s="2" t="s">
        <v>229</v>
      </c>
    </row>
    <row r="35" spans="2:10" x14ac:dyDescent="0.2">
      <c r="B35" s="2" t="s">
        <v>95</v>
      </c>
      <c r="F35" s="2" t="s">
        <v>70</v>
      </c>
      <c r="H35" s="51">
        <v>0.03</v>
      </c>
      <c r="J35" s="2" t="s">
        <v>250</v>
      </c>
    </row>
    <row r="39" spans="2:10" x14ac:dyDescent="0.2">
      <c r="B39" s="4" t="s">
        <v>67</v>
      </c>
    </row>
  </sheetData>
  <phoneticPr fontId="32"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2:B3"/>
  <sheetViews>
    <sheetView showGridLines="0" zoomScale="85" zoomScaleNormal="85" workbookViewId="0"/>
  </sheetViews>
  <sheetFormatPr defaultColWidth="9.140625" defaultRowHeight="12.75" x14ac:dyDescent="0.2"/>
  <cols>
    <col min="1" max="16384" width="9.140625" style="19"/>
  </cols>
  <sheetData>
    <row r="2" spans="2:2" x14ac:dyDescent="0.2">
      <c r="B2" s="41" t="s">
        <v>137</v>
      </c>
    </row>
    <row r="3" spans="2:2" x14ac:dyDescent="0.2">
      <c r="B3" s="41" t="s">
        <v>138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F459BCFB3BA7984093AF6B5FDACCE3FF" ma:contentTypeVersion="3" ma:contentTypeDescription="Een nieuw document maken." ma:contentTypeScope="" ma:versionID="5ca2a2452ccfef2a6add69ec11766239">
  <xsd:schema xmlns:xsd="http://www.w3.org/2001/XMLSchema" xmlns:xs="http://www.w3.org/2001/XMLSchema" xmlns:p="http://schemas.microsoft.com/office/2006/metadata/properties" xmlns:ns2="5e7bef76-b888-41a2-a261-5f525b37d47e" xmlns:ns3="94b38974-1436-4631-a0be-797faa579778" targetNamespace="http://schemas.microsoft.com/office/2006/metadata/properties" ma:root="true" ma:fieldsID="5142b64c9d09e650d70bec54211324f3" ns2:_="" ns3:_="">
    <xsd:import namespace="5e7bef76-b888-41a2-a261-5f525b37d47e"/>
    <xsd:import namespace="94b38974-1436-4631-a0be-797faa579778"/>
    <xsd:element name="properties">
      <xsd:complexType>
        <xsd:sequence>
          <xsd:element name="documentManagement">
            <xsd:complexType>
              <xsd:all>
                <xsd:element ref="ns2:_dlc_DocId" minOccurs="0"/>
                <xsd:element ref="ns2:_dlc_DocIdUrl" minOccurs="0"/>
                <xsd:element ref="ns2:_dlc_DocIdPersistId"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b38974-1436-4631-a0be-797faa579778" elementFormDefault="qualified">
    <xsd:import namespace="http://schemas.microsoft.com/office/2006/documentManagement/types"/>
    <xsd:import namespace="http://schemas.microsoft.com/office/infopath/2007/PartnerControls"/>
    <xsd:element name="Status" ma:index="11" nillable="true" ma:displayName="Status" ma:default="Actueel" ma:format="RadioButtons" ma:internalName="Status">
      <xsd:simpleType>
        <xsd:restriction base="dms:Choice">
          <xsd:enumeration value="Actueel"/>
          <xsd:enumeration value="Arch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ECT67VDXDTCW-640230012-2</_dlc_DocId>
    <_dlc_DocIdUrl xmlns="5e7bef76-b888-41a2-a261-5f525b37d47e">
      <Url>https://intranet.acm.local/project/excellent-in-excel/_layouts/15/DocIdRedir.aspx?ID=ECT67VDXDTCW-640230012-2</Url>
      <Description>ECT67VDXDTCW-640230012-2</Description>
    </_dlc_DocIdUrl>
    <Status xmlns="94b38974-1436-4631-a0be-797faa579778">Actueel</Status>
  </documentManagement>
</p:properties>
</file>

<file path=customXml/itemProps1.xml><?xml version="1.0" encoding="utf-8"?>
<ds:datastoreItem xmlns:ds="http://schemas.openxmlformats.org/officeDocument/2006/customXml" ds:itemID="{29821432-9D6D-4FB8-B669-75517133F53E}">
  <ds:schemaRefs>
    <ds:schemaRef ds:uri="http://schemas.microsoft.com/sharepoint/events"/>
  </ds:schemaRefs>
</ds:datastoreItem>
</file>

<file path=customXml/itemProps2.xml><?xml version="1.0" encoding="utf-8"?>
<ds:datastoreItem xmlns:ds="http://schemas.openxmlformats.org/officeDocument/2006/customXml" ds:itemID="{82835401-F49D-4D00-8F07-BF5788AC8903}">
  <ds:schemaRefs>
    <ds:schemaRef ds:uri="http://schemas.microsoft.com/sharepoint/v3/contenttype/forms"/>
  </ds:schemaRefs>
</ds:datastoreItem>
</file>

<file path=customXml/itemProps3.xml><?xml version="1.0" encoding="utf-8"?>
<ds:datastoreItem xmlns:ds="http://schemas.openxmlformats.org/officeDocument/2006/customXml" ds:itemID="{BDF34196-3C60-4FBD-A6D7-F3FCE358B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bef76-b888-41a2-a261-5f525b37d47e"/>
    <ds:schemaRef ds:uri="94b38974-1436-4631-a0be-797faa579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DAB9D1-B815-4B0E-93E7-4496A7FE99F6}">
  <ds:schemaRefs>
    <ds:schemaRef ds:uri="http://schemas.microsoft.com/office/2006/metadata/properties"/>
    <ds:schemaRef ds:uri="http://schemas.microsoft.com/office/infopath/2007/PartnerControls"/>
    <ds:schemaRef ds:uri="5e7bef76-b888-41a2-a261-5f525b37d47e"/>
    <ds:schemaRef ds:uri="94b38974-1436-4631-a0be-797faa5797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Cover sheet</vt:lpstr>
      <vt:lpstr>Explanation</vt:lpstr>
      <vt:lpstr>Sources and specifics</vt:lpstr>
      <vt:lpstr>Result</vt:lpstr>
      <vt:lpstr>Input --&gt;</vt:lpstr>
      <vt:lpstr>Fuel prices</vt:lpstr>
      <vt:lpstr>Production data</vt:lpstr>
      <vt:lpstr>Parameters in tariff decisions</vt:lpstr>
      <vt:lpstr>Calculations --&gt;</vt:lpstr>
      <vt:lpstr>Fuel component correction</vt:lpstr>
      <vt:lpstr>Dictum &amp; Annex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2018-05-15T11:27:11Z</dcterms:created>
  <dcterms:modified xsi:type="dcterms:W3CDTF">2025-06-30T11:08:16Z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0x010100F459BCFB3BA7984093AF6B5FDACCE3FF</vt:lpwstr>
  </property>
  <property fmtid="{D5CDD505-2E9C-101B-9397-08002B2CF9AE}" pid="3" name="_dlc_DocIdItemGuid">
    <vt:lpwstr>e0efd16f-45ee-4b9d-aa02-521177c04c12</vt:lpwstr>
  </property>
</Properties>
</file>