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8_{1327CDD3-00B3-4D57-99CB-D32579E65F46}" xr6:coauthVersionLast="47" xr6:coauthVersionMax="47" xr10:uidLastSave="{00000000-0000-0000-0000-000000000000}"/>
  <bookViews>
    <workbookView xWindow="1950" yWindow="1950" windowWidth="21600" windowHeight="12735" tabRatio="858" xr2:uid="{00000000-000D-0000-FFFF-FFFF00000000}"/>
  </bookViews>
  <sheets>
    <sheet name="Cover sheet" sheetId="9" r:id="rId1"/>
    <sheet name="Explanation" sheetId="10" r:id="rId2"/>
    <sheet name="Sources and specifics" sheetId="11" r:id="rId3"/>
    <sheet name="Result" sheetId="21" r:id="rId4"/>
    <sheet name="Input --&gt;" sheetId="13" r:id="rId5"/>
    <sheet name="Fuel prices" sheetId="18" r:id="rId6"/>
    <sheet name="Production data" sheetId="24" r:id="rId7"/>
    <sheet name="Parameters in tariff decisions" sheetId="25" r:id="rId8"/>
    <sheet name="Calculations --&gt;" sheetId="15" r:id="rId9"/>
    <sheet name="Fuel component correction" sheetId="22" r:id="rId10"/>
    <sheet name="Dictum &amp; Annex" sheetId="27"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22" l="1"/>
  <c r="P25" i="22"/>
  <c r="Q25" i="22"/>
  <c r="O26" i="22"/>
  <c r="P26" i="22"/>
  <c r="Q26" i="22"/>
  <c r="N26" i="22"/>
  <c r="N25" i="22"/>
  <c r="M26" i="22"/>
  <c r="M25" i="22"/>
  <c r="L26" i="22"/>
  <c r="L25" i="22"/>
  <c r="W25" i="18" l="1"/>
  <c r="W27" i="18"/>
  <c r="Q39" i="18" l="1"/>
  <c r="L17" i="24"/>
  <c r="E13" i="27" l="1"/>
  <c r="H31" i="21" l="1"/>
  <c r="E27" i="27" s="1"/>
  <c r="H38" i="21" l="1"/>
  <c r="E32" i="27" s="1"/>
  <c r="H26" i="21"/>
  <c r="H25" i="21"/>
  <c r="H18" i="21"/>
  <c r="H17" i="21"/>
  <c r="H16" i="21"/>
  <c r="O38" i="22"/>
  <c r="P38" i="22"/>
  <c r="Q38" i="22"/>
  <c r="N38" i="22"/>
  <c r="M38" i="22"/>
  <c r="L38" i="22"/>
  <c r="H20" i="22"/>
  <c r="H27" i="21" l="1"/>
  <c r="E23" i="27" s="1"/>
  <c r="L29" i="22"/>
  <c r="M17" i="24"/>
  <c r="M29" i="22" s="1"/>
  <c r="N17" i="24"/>
  <c r="N29" i="22" s="1"/>
  <c r="O17" i="24"/>
  <c r="O29" i="22" s="1"/>
  <c r="P17" i="24"/>
  <c r="P29" i="22" s="1"/>
  <c r="Q17" i="24"/>
  <c r="Q29" i="22" s="1"/>
  <c r="Q33" i="18"/>
  <c r="Q31" i="18"/>
  <c r="Q29" i="18"/>
  <c r="Q27" i="18"/>
  <c r="Q25" i="18"/>
  <c r="Q23" i="18"/>
  <c r="M33" i="18"/>
  <c r="M31" i="18"/>
  <c r="M29" i="18"/>
  <c r="M27" i="18"/>
  <c r="M25" i="18"/>
  <c r="M23" i="18"/>
  <c r="W23" i="18" s="1"/>
  <c r="W33" i="18" l="1"/>
  <c r="Q32" i="22" s="1"/>
  <c r="Q37" i="22" s="1"/>
  <c r="Q39" i="22" s="1"/>
  <c r="Q42" i="22" s="1"/>
  <c r="S23" i="18"/>
  <c r="H19" i="21"/>
  <c r="H20" i="21" s="1"/>
  <c r="H21" i="21" s="1"/>
  <c r="H36" i="21" s="1"/>
  <c r="E16" i="27"/>
  <c r="S31" i="18"/>
  <c r="S29" i="18"/>
  <c r="S27" i="18"/>
  <c r="S25" i="18"/>
  <c r="S33" i="18"/>
  <c r="W31" i="18" l="1"/>
  <c r="W29" i="18"/>
  <c r="O32" i="22" s="1"/>
  <c r="O37" i="22" s="1"/>
  <c r="O39" i="22" s="1"/>
  <c r="O42" i="22" s="1"/>
  <c r="N32" i="22"/>
  <c r="N37" i="22" s="1"/>
  <c r="N39" i="22" s="1"/>
  <c r="N42" i="22" s="1"/>
  <c r="E17" i="27"/>
  <c r="L32" i="22"/>
  <c r="L37" i="22" s="1"/>
  <c r="L39" i="22" s="1"/>
  <c r="L42" i="22" s="1"/>
  <c r="P32" i="22"/>
  <c r="P37" i="22" s="1"/>
  <c r="P39" i="22" s="1"/>
  <c r="P42" i="22" s="1"/>
  <c r="M32" i="22"/>
  <c r="M37" i="22" s="1"/>
  <c r="M39" i="22" s="1"/>
  <c r="M42" i="22" s="1"/>
  <c r="E30" i="27"/>
  <c r="B18" i="10"/>
  <c r="H43" i="22" l="1"/>
  <c r="E20" i="27" s="1"/>
  <c r="H44" i="22"/>
  <c r="B19" i="10"/>
  <c r="H46" i="22" l="1"/>
  <c r="E22" i="27" s="1"/>
  <c r="E21" i="27"/>
  <c r="B20" i="10"/>
  <c r="H24" i="21" l="1"/>
  <c r="H28" i="21" s="1"/>
  <c r="H37" i="21" s="1"/>
  <c r="E24" i="27" l="1"/>
  <c r="E31" i="27"/>
  <c r="H40" i="21"/>
  <c r="E34"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23" authorId="0" shapeId="0" xr:uid="{302784F6-FB32-43DE-BF90-3043990E33E2}">
      <text>
        <r>
          <rPr>
            <b/>
            <sz val="9"/>
            <color indexed="81"/>
            <rFont val="Tahoma"/>
            <family val="2"/>
          </rPr>
          <t>Line total divided by quantity. Differs slightly from stated fuel price on the invoice.</t>
        </r>
        <r>
          <rPr>
            <b/>
            <sz val="9"/>
            <color indexed="81"/>
            <rFont val="Tahoma"/>
            <charset val="1"/>
          </rPr>
          <t xml:space="preserve">
</t>
        </r>
      </text>
    </comment>
  </commentList>
</comments>
</file>

<file path=xl/sharedStrings.xml><?xml version="1.0" encoding="utf-8"?>
<sst xmlns="http://schemas.openxmlformats.org/spreadsheetml/2006/main" count="370" uniqueCount="249">
  <si>
    <t>Disclaimer</t>
  </si>
  <si>
    <t>Data</t>
  </si>
  <si>
    <t>Input --&gt;</t>
  </si>
  <si>
    <t>About this file</t>
  </si>
  <si>
    <t>Case number</t>
  </si>
  <si>
    <t>File title</t>
  </si>
  <si>
    <t>Subtitle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</si>
  <si>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</si>
  <si>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</si>
  <si>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</si>
  <si>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</si>
  <si>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</si>
  <si>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</si>
  <si>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</si>
  <si>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</si>
  <si>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</si>
  <si>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Sheet tab colors</t>
  </si>
  <si>
    <t>Sheet with result/output</t>
  </si>
  <si>
    <t>Sheet with input</t>
  </si>
  <si>
    <t>Sheet with calculations</t>
  </si>
  <si>
    <t>Model sheets</t>
  </si>
  <si>
    <t>Result</t>
  </si>
  <si>
    <t>Calculation</t>
  </si>
  <si>
    <t>Explanatory sheets</t>
  </si>
  <si>
    <t>Explanation</t>
  </si>
  <si>
    <t>Source overview and specific applications</t>
  </si>
  <si>
    <t>Source overview</t>
  </si>
  <si>
    <t>Each input sheet contains a column 'Source', in which the sources are referred to by their shortened name. These sources are further explained in the table below.</t>
  </si>
  <si>
    <t>No.</t>
  </si>
  <si>
    <t>Shortened name</t>
  </si>
  <si>
    <t>External file name</t>
  </si>
  <si>
    <t>As referred to in Source column</t>
  </si>
  <si>
    <t>Exact file name</t>
  </si>
  <si>
    <t>Date received, email, URL, file location</t>
  </si>
  <si>
    <t>Unit</t>
  </si>
  <si>
    <t>Constant</t>
  </si>
  <si>
    <t>Row total</t>
  </si>
  <si>
    <t>Remarks</t>
  </si>
  <si>
    <t>Source</t>
  </si>
  <si>
    <t>Cover sheet</t>
  </si>
  <si>
    <t>Belongs to decision(s):</t>
  </si>
  <si>
    <t>Belongs to ACM study/investigation/publication:</t>
  </si>
  <si>
    <t>Reference number of decision(s)</t>
  </si>
  <si>
    <t>If applicable</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</si>
  <si>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</si>
  <si>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</si>
  <si>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</si>
  <si>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 xml:space="preserve">Explanation about how this file works </t>
  </si>
  <si>
    <t>Legend for the cell and sheet colors</t>
  </si>
  <si>
    <t>Value that is taken from another sheet or cell without calculation</t>
  </si>
  <si>
    <t>Result/calculated value that is used in another sheet</t>
  </si>
  <si>
    <t xml:space="preserve">Empty sheet used for indexing </t>
  </si>
  <si>
    <t>Additional information about this source</t>
  </si>
  <si>
    <t xml:space="preserve">If ACM does use cell or range references, macros, or other more complex functions in Excel, these will be explained on this sheet. </t>
  </si>
  <si>
    <t>Relationship to other calculation files</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</si>
  <si>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</si>
  <si>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</si>
  <si>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When final, will this file be published?</t>
  </si>
  <si>
    <t>[ END OF SHEET ]</t>
  </si>
  <si>
    <t>ACM case number and/or reference</t>
  </si>
  <si>
    <t xml:space="preserve"> </t>
  </si>
  <si>
    <t>Yes</t>
  </si>
  <si>
    <t xml:space="preserve">The variable usage tariff is adapted by making two corrections: </t>
  </si>
  <si>
    <t>Monthly production</t>
  </si>
  <si>
    <t>Fuel invoices</t>
  </si>
  <si>
    <t>Input data on fuel prices</t>
  </si>
  <si>
    <t>The monthly fuel prices are the basis for the correction of the fuel component.</t>
  </si>
  <si>
    <t>Volume 
(liters)</t>
  </si>
  <si>
    <t>Unit price
(USD/liter)</t>
  </si>
  <si>
    <t>Line total
(USD)</t>
  </si>
  <si>
    <t>Relevant month</t>
  </si>
  <si>
    <t>Weighted average fuel price for relevant month (USD/unit)</t>
  </si>
  <si>
    <t>Volume 
(gallons)</t>
  </si>
  <si>
    <t>US gallon to liter</t>
  </si>
  <si>
    <t>Parameters</t>
  </si>
  <si>
    <t>File name invoice</t>
  </si>
  <si>
    <t>Date of invoice</t>
  </si>
  <si>
    <t>Unit price 
(USD/gallon)</t>
  </si>
  <si>
    <t>Most recent fuel price</t>
  </si>
  <si>
    <t>Input data on production</t>
  </si>
  <si>
    <t>Realized production of electricity</t>
  </si>
  <si>
    <t>Production by solar</t>
  </si>
  <si>
    <t>Production by fuel</t>
  </si>
  <si>
    <t>Total monthly production</t>
  </si>
  <si>
    <t>kWh</t>
  </si>
  <si>
    <t>Parameters in ACM tariff decisions</t>
  </si>
  <si>
    <t xml:space="preserve">Decision &amp; period: </t>
  </si>
  <si>
    <t>Sources</t>
  </si>
  <si>
    <t>[1]</t>
  </si>
  <si>
    <t>[2]</t>
  </si>
  <si>
    <t>[3]</t>
  </si>
  <si>
    <t>[4]</t>
  </si>
  <si>
    <t>Parameters on production and distribution</t>
  </si>
  <si>
    <t>Production parameters</t>
  </si>
  <si>
    <t>Estimated fuel efficiency</t>
  </si>
  <si>
    <t>liter/kWh</t>
  </si>
  <si>
    <t>Estimated share of production by fuel</t>
  </si>
  <si>
    <t>%</t>
  </si>
  <si>
    <t>Estimated fuel component SEC</t>
  </si>
  <si>
    <t>USD/kWh</t>
  </si>
  <si>
    <t>For SEC, ACM assumed an even distribution of production between the first and second half of the year.</t>
  </si>
  <si>
    <t>Estimations in usage tariff decisions</t>
  </si>
  <si>
    <t>Calculation of difference between estimated and realized fuel component</t>
  </si>
  <si>
    <t>The realized fuel component can vary monthly, due to variations in the fuel price. The difference between the estimated and realized fuel component is calculated here.</t>
  </si>
  <si>
    <t>For the estimated fuel component, the most recent fuel price at the time of the usage tariff decision is used. For the realized fuel component the most recent fuel price at that month is used. Regularly this is the corresponding month t-2.</t>
  </si>
  <si>
    <t xml:space="preserve">Year: 
Month: </t>
  </si>
  <si>
    <t>Data on fuel and production</t>
  </si>
  <si>
    <t>Production price decision input</t>
  </si>
  <si>
    <t>Estimated share production by fuel</t>
  </si>
  <si>
    <t>Realized production</t>
  </si>
  <si>
    <t>Total realized monthly production</t>
  </si>
  <si>
    <t>Fuel price</t>
  </si>
  <si>
    <t>The most recent fuel price in month t is assumed to be the weighted average fuel price of month t-2.</t>
  </si>
  <si>
    <t>Calculation fuel correction</t>
  </si>
  <si>
    <t>Difference in monthly fuel component</t>
  </si>
  <si>
    <t>Realized fuel component</t>
  </si>
  <si>
    <t>Estimated fuel component</t>
  </si>
  <si>
    <t>Difference in fuel component</t>
  </si>
  <si>
    <t>Calculation of fuel component correction</t>
  </si>
  <si>
    <t>Monthly difference to be reimbursed</t>
  </si>
  <si>
    <t>Total amount fuel component correction</t>
  </si>
  <si>
    <t>USD</t>
  </si>
  <si>
    <t>USD/liter</t>
  </si>
  <si>
    <t>Positive number indicates SEC has had higher purchasing costs than estimated, so SEC receives a positive reimbursement from the fuel correction.</t>
  </si>
  <si>
    <t>Calculation of correction for fuel price differences</t>
  </si>
  <si>
    <t>New variable usage tariff</t>
  </si>
  <si>
    <t>Converting volume units</t>
  </si>
  <si>
    <t>Fuel component = estimated fuel efficiency x estimated share production by fuel x fuel price.</t>
  </si>
  <si>
    <t>Wettelijke rente CNL ('legal fixed interest rate')</t>
  </si>
  <si>
    <t>Wettelijke rente CNL</t>
  </si>
  <si>
    <t>https://wetten.overheid.nl/BWBR0030649/2011-11-18</t>
  </si>
  <si>
    <t xml:space="preserve">Description </t>
  </si>
  <si>
    <t xml:space="preserve">Key Parameters </t>
  </si>
  <si>
    <t>Updated estimation production price</t>
  </si>
  <si>
    <t>Correction for fuel price differences</t>
  </si>
  <si>
    <t xml:space="preserve">Adjusted variable usage tariff </t>
  </si>
  <si>
    <t xml:space="preserve">Note: 'pl' represents price level </t>
  </si>
  <si>
    <t>This calculation is developed in the standardized format used by the Energy Department of ACM (based on version 5, June 2021)</t>
  </si>
  <si>
    <t>Other parameters</t>
  </si>
  <si>
    <t>Legal fixed interest rate</t>
  </si>
  <si>
    <t>It uses this estimate to determine what monthly remuneration the producer will receive from the distributor. This is the estimated fuel component.</t>
  </si>
  <si>
    <t>Explanatory notes</t>
  </si>
  <si>
    <t>ACM/23/181652</t>
  </si>
  <si>
    <t>Berekening variabel gebruikstarief elektriciteit SEC per 1 juli 2023</t>
  </si>
  <si>
    <t>Beschikking variabel tarief elektriciteit 1 juli 2023 Saba (Caribisch Nederland)</t>
  </si>
  <si>
    <t>USD, pl 2023</t>
  </si>
  <si>
    <t>Production price decision SEC 2023</t>
  </si>
  <si>
    <t>ACM/22/176894, ACM/UIT/589007</t>
  </si>
  <si>
    <t>Berekening tarieven SEC 2023</t>
  </si>
  <si>
    <t>https://www.acm.nl/nl/publicaties/beschikking-productieprijs-elektriciteit-2023-saba-sec</t>
  </si>
  <si>
    <t>Monthly production 2023</t>
  </si>
  <si>
    <t>1- Power Facilities Production Result 2023</t>
  </si>
  <si>
    <t>Source: Wettelijke rente CNL</t>
  </si>
  <si>
    <t>This sheet seperates different types of sheets and is intentionally left blank</t>
  </si>
  <si>
    <t>No text, data or calculations may be included on this sheet</t>
  </si>
  <si>
    <t>When published, does this file contain business-confidential information? (y/n)</t>
  </si>
  <si>
    <t>Standardized sheets with general information about this file</t>
  </si>
  <si>
    <t>The sources for the data on this sheet are the fuel invoices from SEC. Every invoice forms a row in the calculation below.</t>
  </si>
  <si>
    <t>in the overview below, ACM lists the sources for the data and calculations in this file.</t>
  </si>
  <si>
    <t xml:space="preserve">For the production price decisions, ACM estimates the fuel costs for the producer based on the most recent fuel price. </t>
  </si>
  <si>
    <t>ACM/UIT/593989</t>
  </si>
  <si>
    <t>October 2023</t>
  </si>
  <si>
    <t>September 2023</t>
  </si>
  <si>
    <t>November 2023</t>
  </si>
  <si>
    <t>December 2023</t>
  </si>
  <si>
    <t>January 2024</t>
  </si>
  <si>
    <t>February 2024</t>
  </si>
  <si>
    <t>Weighted average fuel price in February 2024, basis for fuel component in April 2024.</t>
  </si>
  <si>
    <t>Weighted average fuel price in September 2023, basis for fuel component in November 2023.</t>
  </si>
  <si>
    <t>March 2024</t>
  </si>
  <si>
    <t>Monthly production 2023 and 2024</t>
  </si>
  <si>
    <t>April 2024</t>
  </si>
  <si>
    <t>Usage tariffs decision SEC July - Dec 2023</t>
  </si>
  <si>
    <t>Usage tariffs decision SEC 2024</t>
  </si>
  <si>
    <t>Production price decision SEC 2024</t>
  </si>
  <si>
    <t>Production price excluding fuel 2024</t>
  </si>
  <si>
    <t>Estimated total production 2024</t>
  </si>
  <si>
    <t>Part of electricity distribution first half of 2024</t>
  </si>
  <si>
    <t>Correction on variable usage tariff 2024</t>
  </si>
  <si>
    <t>Estimated network losses 2024</t>
  </si>
  <si>
    <t>2023
November</t>
  </si>
  <si>
    <t>2023
December</t>
  </si>
  <si>
    <t>2024
January</t>
  </si>
  <si>
    <t>2024
February</t>
  </si>
  <si>
    <t>2024
March</t>
  </si>
  <si>
    <t>2024
April</t>
  </si>
  <si>
    <t>Royal Petroleum Corporation $ 570679.20_03142024134604</t>
  </si>
  <si>
    <t>Royal Petroleum Corporation $ 651800.00_10182023093126</t>
  </si>
  <si>
    <t>SEC did not purchase any fuel in October 2023. Therefore, the fuel price of September 2023 is used for October 2023. This fuel price is the basis for the fuel component in December 2023.</t>
  </si>
  <si>
    <t>SEC did not purchase any fuel in November 2023. Therefore, the fuel price of September 2023 is used for November 2023. This fuel price is the basis for the fuel component in January 2024.</t>
  </si>
  <si>
    <t>SEC did not purchase any fuel in December 2023. Therefore, the fuel price of September 2023 is used for December 2023. This fuel price is the basis for the fuel component in February 2024.</t>
  </si>
  <si>
    <t>SEC did not purchase any fuel in January 2024. Therefore, the fuel price of September 2023 is used for January 2024. This fuel price is the basis for the fuel component in March 2024.</t>
  </si>
  <si>
    <t>Monthly production 2024</t>
  </si>
  <si>
    <t>1- Power Facilities Production Result 2024</t>
  </si>
  <si>
    <t>Fuel invoice 2-2-2024</t>
  </si>
  <si>
    <t>Fuel invoice 29-9-2023</t>
  </si>
  <si>
    <t>Attachment in e-mail from SEC to ACM, dated May 21, 2024.</t>
  </si>
  <si>
    <t>Berekening tarieven SEC 2024</t>
  </si>
  <si>
    <t>Usage tariffs decision SEC Jan - Jun 2024</t>
  </si>
  <si>
    <t>ACM/23/181652, ACM/UIT/599147</t>
  </si>
  <si>
    <t>Beschikking variabel tarief elektriciteit 1 juli 2023 Saba | ACM.nl</t>
  </si>
  <si>
    <t>Beschikking productieprijs elektriciteit 2024 Saba SEC | ACM.nl</t>
  </si>
  <si>
    <t>ACM/23/181661, ACM/UIT/611026</t>
  </si>
  <si>
    <t>ACM/23/181661, ACM/UIT/611023</t>
  </si>
  <si>
    <t>https://www.acm.nl/nl/publicaties/beschikking-distributietarieven-elektriciteit-2024-saba-sec</t>
  </si>
  <si>
    <t>Correction per kWh - Profit sharing: network losses 2022</t>
  </si>
  <si>
    <t>USD/kWh, pl 2024</t>
  </si>
  <si>
    <t>USD, pl 2024</t>
  </si>
  <si>
    <t xml:space="preserve">Corrections per kWh apply to January-December 2024. </t>
  </si>
  <si>
    <t>Correction amount for November - December 2023</t>
  </si>
  <si>
    <t>Correction amount for January - April 2024</t>
  </si>
  <si>
    <t>Fuel invoice 24-5-2024</t>
  </si>
  <si>
    <t>SABA ELECTRIC.........</t>
  </si>
  <si>
    <t>Royal Petroleum Corportation invoice no. 000126</t>
  </si>
  <si>
    <t>Berekening variabel gebruikstarief elektriciteit SEC per 1 juli 2024</t>
  </si>
  <si>
    <t>Dictum &amp; Annex 1 tariff decision SEC July, 1 2024</t>
  </si>
  <si>
    <t>Key figures decision for variable usage tariff 1 July - 31 December 2024</t>
  </si>
  <si>
    <t>Most recent fuel price (24 may 2024)</t>
  </si>
  <si>
    <t>Updated estimate of production price per 1 July 2024</t>
  </si>
  <si>
    <t>New variable usage tariff per 1 July 2024</t>
  </si>
  <si>
    <t>On this sheet, two corrections are applied to calculate the new variable usage tariff of SEC for the period July to December 2024:</t>
  </si>
  <si>
    <t>First, the ACM presents an updated estimation of the production price per 1 July 2024;</t>
  </si>
  <si>
    <t>Second, the ACM calculates the effect (per kWh) of the correction for fuel price differences over November 2023 - April 2024.</t>
  </si>
  <si>
    <t>Updated estimation of production price per 1 July 2024</t>
  </si>
  <si>
    <t>Estimated fuel efficiency for 2024</t>
  </si>
  <si>
    <t>Estimated share production by fuel for 2024</t>
  </si>
  <si>
    <t>USD/liter, pl 2024</t>
  </si>
  <si>
    <t>Estimate for fuel component per 1 July 2024</t>
  </si>
  <si>
    <t>Estimate of production price per 1 July 2024</t>
  </si>
  <si>
    <t>Estimated production volume 2024</t>
  </si>
  <si>
    <t>Estimated production volume July to December 2024</t>
  </si>
  <si>
    <t>Calculation new variable usage tariff per 1 July 2024</t>
  </si>
  <si>
    <t>Total corrections per kWh in variable usage tariff per 1 July 2024</t>
  </si>
  <si>
    <t>Most recent fuel price (24 May 2024)</t>
  </si>
  <si>
    <t>This sheet summarizes the relevant information to include in the annex of the decision on the tariffs per July 1, 2024.</t>
  </si>
  <si>
    <t>Variable usage tariff for the period 1 July - 31 December 2024</t>
  </si>
  <si>
    <t>This correction reimburses fuel price differences over the period November 2023 - April 2024.</t>
  </si>
  <si>
    <t>Total fuel component correction</t>
  </si>
  <si>
    <t>Add-on per kWh for fuel component correction</t>
  </si>
  <si>
    <t>Attachment in e-mail from SEC to ACM, dated May 28, 2024.</t>
  </si>
  <si>
    <t>This document contains the model that the Authority for Consumers &amp; Markets (ACM) uses to calculate the adjustment of the variable usage tariff for electricity of Saba Electric Company N.V. (SEC) per July 1, 2024.</t>
  </si>
  <si>
    <t>1. The fuel component is updated. This means that the production price as set in the tariff decision as of January 1, 2024 is updated to match the actual fuel prices more closely.</t>
  </si>
  <si>
    <t>2. The difference between the realized fuel component paid by the distributor and the estimated fuel component for November 2022 to April 2024 will be corrected in the tariff for July-December 2024.</t>
  </si>
  <si>
    <t>For both abovementioned corrections, other values and parameters will remain as were determined in the tariff decision for 2024.</t>
  </si>
  <si>
    <t xml:space="preserve">In this sheet ACM imports the data from the tariff decisions for 2023 and 2024 (both production price decisions and usage tariff decisions). </t>
  </si>
  <si>
    <t>The production price decisions for 2023 and 2024 and the tariff decisions for July 2023 and January 2024 are used as the basis for the correction for the period November 2023 to April 2024. Sources are indicated in row 14.</t>
  </si>
  <si>
    <t>In this sheet ACM imports the realized production of SEC for the period November 2023 to April 2024.</t>
  </si>
  <si>
    <t>No</t>
  </si>
  <si>
    <t>This file is based on the fuel calculation for SEC for the tariff per January 1st,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</si>
</sst>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00_ ;_ * \-#,##0.0000_ ;_ * &quot;-&quot;_ ;_ @_ "/>
    <numFmt numFmtId="165" formatCode="0.0000"/>
    <numFmt numFmtId="166" formatCode="_ * #,##0_ ;_ * \-#,##0_ ;_ * &quot;-&quot;??_ ;_ @_ "/>
    <numFmt numFmtId="167" formatCode="_ * #,##0.0000_ ;_ * \-#,##0.0000_ ;_ * &quot;-&quot;??_ ;_ @_ "/>
  </numFmts>
  <fonts count="32"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rgb="FF00B0F0"/>
      <name val="Arial"/>
      <family val="2"/>
    </font>
    <font>
      <b/>
      <sz val="9"/>
      <color indexed="81"/>
      <name val="Tahoma"/>
      <charset val="1"/>
    </font>
    <font>
      <sz val="8"/>
      <name val="Arial"/>
      <family val="2"/>
    </font>
    <font>
      <b/>
      <sz val="9"/>
      <color indexed="81"/>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5">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4" fillId="13" borderId="8" applyNumberFormat="0" applyAlignment="0" applyProtection="0"/>
    <xf numFmtId="0" fontId="15" fillId="14" borderId="9" applyNumberFormat="0" applyAlignment="0" applyProtection="0"/>
    <xf numFmtId="0" fontId="16" fillId="14" borderId="8" applyNumberFormat="0" applyAlignment="0" applyProtection="0"/>
    <xf numFmtId="0" fontId="17" fillId="0" borderId="10" applyNumberFormat="0" applyFill="0" applyAlignment="0" applyProtection="0"/>
    <xf numFmtId="0" fontId="11" fillId="15" borderId="11" applyNumberFormat="0" applyAlignment="0" applyProtection="0"/>
    <xf numFmtId="0" fontId="13" fillId="16" borderId="12" applyNumberFormat="0" applyFont="0" applyAlignment="0" applyProtection="0"/>
    <xf numFmtId="0" fontId="18" fillId="0" borderId="0" applyNumberForma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9" fontId="13" fillId="0" borderId="0" applyFont="0" applyFill="0" applyBorder="0" applyAlignment="0" applyProtection="0"/>
    <xf numFmtId="0" fontId="20" fillId="0" borderId="0" applyNumberFormat="0" applyFill="0" applyBorder="0" applyAlignment="0" applyProtection="0"/>
    <xf numFmtId="0" fontId="21" fillId="0" borderId="13" applyNumberFormat="0" applyFill="0" applyAlignment="0" applyProtection="0"/>
    <xf numFmtId="0" fontId="22" fillId="0" borderId="14" applyNumberFormat="0" applyFill="0" applyAlignment="0" applyProtection="0"/>
    <xf numFmtId="0" fontId="23" fillId="0" borderId="15" applyNumberFormat="0" applyFill="0" applyAlignment="0" applyProtection="0"/>
    <xf numFmtId="0" fontId="23" fillId="0" borderId="0" applyNumberFormat="0" applyFill="0" applyBorder="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6" fillId="41" borderId="0" applyNumberFormat="0" applyBorder="0" applyAlignment="0" applyProtection="0"/>
    <xf numFmtId="0" fontId="27" fillId="0" borderId="0" applyNumberFormat="0" applyFill="0" applyBorder="0" applyAlignment="0" applyProtection="0"/>
    <xf numFmtId="49" fontId="19" fillId="0" borderId="0" applyFill="0" applyBorder="0" applyAlignment="0" applyProtection="0"/>
    <xf numFmtId="43" fontId="5" fillId="42" borderId="0" applyNumberFormat="0">
      <alignment vertical="top"/>
    </xf>
    <xf numFmtId="10" fontId="5" fillId="0" borderId="0" applyFont="0" applyFill="0" applyBorder="0" applyAlignment="0" applyProtection="0">
      <alignment vertical="top"/>
    </xf>
    <xf numFmtId="41" fontId="5" fillId="43" borderId="0">
      <alignment vertical="top"/>
    </xf>
  </cellStyleXfs>
  <cellXfs count="76">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0" xfId="4" applyFill="1">
      <alignment vertical="top"/>
    </xf>
    <xf numFmtId="0" fontId="5" fillId="0" borderId="2" xfId="4" applyBorder="1" applyAlignment="1">
      <alignment horizontal="left" vertical="top" wrapText="1"/>
    </xf>
    <xf numFmtId="0" fontId="10" fillId="0" borderId="0" xfId="4" applyFont="1" applyFill="1">
      <alignment vertical="top"/>
    </xf>
    <xf numFmtId="0" fontId="5" fillId="6" borderId="0" xfId="4" applyFill="1">
      <alignment vertical="top"/>
    </xf>
    <xf numFmtId="49" fontId="7" fillId="17" borderId="2" xfId="6" applyFont="1" applyBorder="1">
      <alignment vertical="top"/>
    </xf>
    <xf numFmtId="0" fontId="8" fillId="5" borderId="1" xfId="5" applyNumberFormat="1">
      <alignment vertical="top"/>
    </xf>
    <xf numFmtId="0" fontId="12" fillId="0" borderId="0" xfId="4" applyFont="1">
      <alignment vertical="top"/>
    </xf>
    <xf numFmtId="0" fontId="5" fillId="12" borderId="0" xfId="4" applyFill="1">
      <alignment vertical="top"/>
    </xf>
    <xf numFmtId="0" fontId="5" fillId="0" borderId="0" xfId="4" applyFont="1">
      <alignment vertical="top"/>
    </xf>
    <xf numFmtId="49" fontId="5" fillId="17" borderId="2" xfId="6" applyFont="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41" fontId="5" fillId="44" borderId="0" xfId="11">
      <alignment vertical="top"/>
    </xf>
    <xf numFmtId="49" fontId="19" fillId="0" borderId="0" xfId="61" applyAlignment="1">
      <alignment vertical="top"/>
    </xf>
    <xf numFmtId="0" fontId="5" fillId="0" borderId="2" xfId="4" applyFont="1" applyBorder="1" applyAlignment="1">
      <alignment horizontal="left" vertical="top" wrapText="1"/>
    </xf>
    <xf numFmtId="41" fontId="5" fillId="11" borderId="0" xfId="13">
      <alignment vertical="top"/>
    </xf>
    <xf numFmtId="41" fontId="5" fillId="9" borderId="0" xfId="9">
      <alignment vertical="top"/>
    </xf>
    <xf numFmtId="0" fontId="28" fillId="0" borderId="0" xfId="4" applyFont="1">
      <alignment vertical="top"/>
    </xf>
    <xf numFmtId="49" fontId="5" fillId="17" borderId="0" xfId="6" applyFont="1" applyBorder="1">
      <alignment vertical="top"/>
    </xf>
    <xf numFmtId="49" fontId="11" fillId="5" borderId="1" xfId="5" applyFont="1">
      <alignment vertical="top"/>
    </xf>
    <xf numFmtId="0" fontId="5" fillId="0" borderId="2" xfId="4" applyFont="1" applyBorder="1" applyAlignment="1">
      <alignment horizontal="left" vertical="top" wrapText="1"/>
    </xf>
    <xf numFmtId="49" fontId="5" fillId="0" borderId="0" xfId="7" applyFont="1">
      <alignment vertical="top"/>
    </xf>
    <xf numFmtId="0" fontId="9" fillId="12" borderId="0" xfId="4" applyFont="1" applyFill="1">
      <alignment vertical="top"/>
    </xf>
    <xf numFmtId="49" fontId="6" fillId="17" borderId="1" xfId="6" applyAlignment="1">
      <alignment vertical="top" wrapText="1"/>
    </xf>
    <xf numFmtId="14" fontId="5" fillId="44" borderId="0" xfId="11" applyNumberFormat="1">
      <alignment vertical="top"/>
    </xf>
    <xf numFmtId="164" fontId="5" fillId="44" borderId="0" xfId="11" applyNumberFormat="1">
      <alignment vertical="top"/>
    </xf>
    <xf numFmtId="164" fontId="5" fillId="9" borderId="0" xfId="9" applyNumberFormat="1">
      <alignment vertical="top"/>
    </xf>
    <xf numFmtId="49" fontId="10" fillId="17" borderId="1" xfId="6" applyFont="1">
      <alignment vertical="top"/>
    </xf>
    <xf numFmtId="49" fontId="19" fillId="0" borderId="2" xfId="61" applyBorder="1" applyAlignment="1">
      <alignment vertical="top"/>
    </xf>
    <xf numFmtId="10" fontId="5" fillId="44" borderId="0" xfId="11" applyNumberFormat="1">
      <alignment vertical="top"/>
    </xf>
    <xf numFmtId="9" fontId="5" fillId="44" borderId="0" xfId="11" applyNumberFormat="1">
      <alignment vertical="top"/>
    </xf>
    <xf numFmtId="10" fontId="5" fillId="11" borderId="0" xfId="13" applyNumberFormat="1">
      <alignment vertical="top"/>
    </xf>
    <xf numFmtId="164" fontId="5" fillId="11" borderId="0" xfId="13" applyNumberFormat="1">
      <alignment vertical="top"/>
    </xf>
    <xf numFmtId="9" fontId="5" fillId="11" borderId="0" xfId="13" applyNumberFormat="1">
      <alignment vertical="top"/>
    </xf>
    <xf numFmtId="41" fontId="5" fillId="42" borderId="0" xfId="62" applyNumberFormat="1">
      <alignment vertical="top"/>
    </xf>
    <xf numFmtId="165" fontId="5" fillId="10" borderId="0" xfId="8" applyNumberFormat="1">
      <alignment vertical="top"/>
    </xf>
    <xf numFmtId="166" fontId="5" fillId="10" borderId="0" xfId="8" applyNumberFormat="1">
      <alignment vertical="top"/>
    </xf>
    <xf numFmtId="0" fontId="26" fillId="0" borderId="0" xfId="4" applyFont="1" applyFill="1">
      <alignment vertical="top"/>
    </xf>
    <xf numFmtId="0" fontId="5" fillId="0" borderId="5" xfId="4" applyBorder="1">
      <alignment vertical="top"/>
    </xf>
    <xf numFmtId="0" fontId="5" fillId="0" borderId="6" xfId="4" applyBorder="1">
      <alignment vertical="top"/>
    </xf>
    <xf numFmtId="0" fontId="5" fillId="0" borderId="7" xfId="4" applyBorder="1">
      <alignment vertical="top"/>
    </xf>
    <xf numFmtId="49" fontId="6" fillId="17" borderId="3" xfId="6" applyBorder="1">
      <alignment vertical="top"/>
    </xf>
    <xf numFmtId="49" fontId="6" fillId="17" borderId="4" xfId="6" applyBorder="1">
      <alignment vertical="top"/>
    </xf>
    <xf numFmtId="0" fontId="5" fillId="0" borderId="17" xfId="4" applyBorder="1">
      <alignment vertical="top"/>
    </xf>
    <xf numFmtId="0" fontId="5" fillId="0" borderId="18" xfId="4" applyBorder="1">
      <alignment vertical="top"/>
    </xf>
    <xf numFmtId="10" fontId="5" fillId="0" borderId="0" xfId="4" applyNumberFormat="1">
      <alignment vertical="top"/>
    </xf>
    <xf numFmtId="165" fontId="5" fillId="0" borderId="0" xfId="4" applyNumberFormat="1">
      <alignment vertical="top"/>
    </xf>
    <xf numFmtId="3" fontId="5" fillId="0" borderId="0" xfId="4" applyNumberFormat="1">
      <alignment vertical="top"/>
    </xf>
    <xf numFmtId="0" fontId="5" fillId="0" borderId="19" xfId="4" applyBorder="1">
      <alignment vertical="top"/>
    </xf>
    <xf numFmtId="0" fontId="5" fillId="0" borderId="20" xfId="4" applyBorder="1">
      <alignment vertical="top"/>
    </xf>
    <xf numFmtId="0" fontId="5" fillId="0" borderId="21" xfId="4" applyBorder="1">
      <alignment vertical="top"/>
    </xf>
    <xf numFmtId="165" fontId="5" fillId="44" borderId="0" xfId="11" applyNumberFormat="1">
      <alignment vertical="top"/>
    </xf>
    <xf numFmtId="0" fontId="12" fillId="0" borderId="2" xfId="4" applyFont="1" applyBorder="1">
      <alignment vertical="top"/>
    </xf>
    <xf numFmtId="49" fontId="5" fillId="44" borderId="0" xfId="11" applyNumberFormat="1">
      <alignment vertical="top"/>
    </xf>
    <xf numFmtId="0" fontId="5" fillId="0" borderId="2" xfId="4" applyFill="1" applyBorder="1">
      <alignment vertical="top"/>
    </xf>
    <xf numFmtId="41" fontId="5" fillId="9" borderId="0" xfId="9" applyNumberFormat="1">
      <alignment vertical="top"/>
    </xf>
    <xf numFmtId="166" fontId="5" fillId="44" borderId="0" xfId="11" applyNumberFormat="1">
      <alignment vertical="top"/>
    </xf>
    <xf numFmtId="164" fontId="5" fillId="8" borderId="0" xfId="10" applyNumberFormat="1">
      <alignment vertical="top"/>
    </xf>
    <xf numFmtId="167" fontId="5" fillId="44" borderId="0" xfId="11" applyNumberFormat="1">
      <alignment vertical="top"/>
    </xf>
    <xf numFmtId="10" fontId="5" fillId="44" borderId="0" xfId="63" applyFill="1">
      <alignment vertical="top"/>
    </xf>
    <xf numFmtId="10" fontId="5" fillId="11" borderId="0" xfId="63" applyFill="1">
      <alignment vertical="top"/>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cellXfs>
  <cellStyles count="65">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4" xr:uid="{00000000-0005-0000-0000-00001F000000}"/>
    <cellStyle name="Cel Input" xfId="11"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3" builtinId="5"/>
    <cellStyle name="Standaard" xfId="0" builtinId="0" customBuiltin="1"/>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beschikking-variabel-tarief-elektriciteit-1-juli-2023-saba" TargetMode="External"/><Relationship Id="rId2" Type="http://schemas.openxmlformats.org/officeDocument/2006/relationships/hyperlink" Target="https://www.acm.nl/nl/publicaties/beschikking-productieprijs-elektriciteit-2023-saba-sec" TargetMode="External"/><Relationship Id="rId1" Type="http://schemas.openxmlformats.org/officeDocument/2006/relationships/hyperlink" Target="https://wetten.overheid.nl/BWBR0030649/2011-11-18" TargetMode="External"/><Relationship Id="rId6" Type="http://schemas.openxmlformats.org/officeDocument/2006/relationships/printerSettings" Target="../printerSettings/printerSettings3.bin"/><Relationship Id="rId5" Type="http://schemas.openxmlformats.org/officeDocument/2006/relationships/hyperlink" Target="https://www.acm.nl/nl/publicaties/beschikking-distributietarieven-elektriciteit-2024-saba-sec" TargetMode="External"/><Relationship Id="rId4" Type="http://schemas.openxmlformats.org/officeDocument/2006/relationships/hyperlink" Target="https://www.acm.nl/nl/publicaties/beschikking-productieprijs-elektriciteit-2024-saba-se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2"/>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39</v>
      </c>
    </row>
    <row r="6" spans="2:5" x14ac:dyDescent="0.2">
      <c r="B6" s="3"/>
    </row>
    <row r="13" spans="2:5" s="8" customFormat="1" x14ac:dyDescent="0.2">
      <c r="B13" s="8" t="s">
        <v>3</v>
      </c>
    </row>
    <row r="14" spans="2:5" s="9" customFormat="1" x14ac:dyDescent="0.2"/>
    <row r="15" spans="2:5" x14ac:dyDescent="0.2">
      <c r="B15" s="27" t="s">
        <v>4</v>
      </c>
      <c r="C15" s="10" t="s">
        <v>142</v>
      </c>
      <c r="E15" s="21"/>
    </row>
    <row r="16" spans="2:5" x14ac:dyDescent="0.2">
      <c r="B16" s="27" t="s">
        <v>5</v>
      </c>
      <c r="C16" s="10" t="s">
        <v>214</v>
      </c>
    </row>
    <row r="17" spans="2:3" x14ac:dyDescent="0.2">
      <c r="B17" s="27" t="s">
        <v>6</v>
      </c>
      <c r="C17" s="10"/>
    </row>
    <row r="18" spans="2:3" x14ac:dyDescent="0.2">
      <c r="B18" s="27" t="s">
        <v>40</v>
      </c>
      <c r="C18" s="33" t="s">
        <v>144</v>
      </c>
    </row>
    <row r="19" spans="2:3" x14ac:dyDescent="0.2">
      <c r="B19" s="27" t="s">
        <v>41</v>
      </c>
    </row>
    <row r="20" spans="2:3" x14ac:dyDescent="0.2">
      <c r="B20" s="27" t="s">
        <v>42</v>
      </c>
      <c r="C20" s="33" t="s">
        <v>160</v>
      </c>
    </row>
    <row r="21" spans="2:3" x14ac:dyDescent="0.2">
      <c r="B21" s="27" t="s">
        <v>54</v>
      </c>
      <c r="C21" s="27" t="s">
        <v>248</v>
      </c>
    </row>
    <row r="22" spans="2:3" x14ac:dyDescent="0.2">
      <c r="B22" s="27" t="s">
        <v>7</v>
      </c>
      <c r="C22" s="10"/>
    </row>
    <row r="24" spans="2:3" x14ac:dyDescent="0.2">
      <c r="B24" s="23" t="s">
        <v>137</v>
      </c>
    </row>
    <row r="26" spans="2:3" s="8" customFormat="1" x14ac:dyDescent="0.2">
      <c r="B26" s="8" t="s">
        <v>8</v>
      </c>
    </row>
    <row r="28" spans="2:3" x14ac:dyDescent="0.2">
      <c r="B28" s="27" t="s">
        <v>9</v>
      </c>
      <c r="C28" s="10" t="s">
        <v>61</v>
      </c>
    </row>
    <row r="29" spans="2:3" x14ac:dyDescent="0.2">
      <c r="B29" s="27" t="s">
        <v>57</v>
      </c>
      <c r="C29" s="10" t="s">
        <v>61</v>
      </c>
    </row>
    <row r="30" spans="2:3" ht="25.5" x14ac:dyDescent="0.2">
      <c r="B30" s="27" t="s">
        <v>10</v>
      </c>
      <c r="C30" s="10" t="s">
        <v>61</v>
      </c>
    </row>
    <row r="31" spans="2:3" ht="25.5" x14ac:dyDescent="0.2">
      <c r="B31" s="27" t="s">
        <v>155</v>
      </c>
      <c r="C31" s="33" t="s">
        <v>247</v>
      </c>
    </row>
    <row r="32" spans="2:3" x14ac:dyDescent="0.2">
      <c r="B32" s="27" t="s">
        <v>7</v>
      </c>
      <c r="C32" s="10"/>
    </row>
    <row r="34" spans="2:4" x14ac:dyDescent="0.2">
      <c r="B34" s="74" t="s">
        <v>44</v>
      </c>
      <c r="C34" s="75"/>
      <c r="D34" s="5"/>
    </row>
    <row r="35" spans="2:4" x14ac:dyDescent="0.2">
      <c r="B35" s="20"/>
      <c r="C35" s="20"/>
      <c r="D35" s="5"/>
    </row>
    <row r="37" spans="2:4" s="8" customFormat="1" x14ac:dyDescent="0.2">
      <c r="B37" s="8" t="s">
        <v>0</v>
      </c>
    </row>
    <row r="39" spans="2:4" x14ac:dyDescent="0.2">
      <c r="B39" s="2" t="s">
        <v>45</v>
      </c>
    </row>
    <row r="42" spans="2:4" x14ac:dyDescent="0.2">
      <c r="B42" s="4" t="s">
        <v>58</v>
      </c>
    </row>
  </sheetData>
  <mergeCells count="1">
    <mergeCell ref="B34:C34"/>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B2:S50"/>
  <sheetViews>
    <sheetView showGridLines="0" zoomScale="85" zoomScaleNormal="85" workbookViewId="0">
      <pane xSplit="6" ySplit="15" topLeftCell="G16" activePane="bottomRight" state="frozen"/>
      <selection activeCell="R6" sqref="R6"/>
      <selection pane="topRight" activeCell="R6" sqref="R6"/>
      <selection pane="bottomLeft" activeCell="R6" sqref="R6"/>
      <selection pane="bottomRight"/>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140625" style="2" customWidth="1"/>
    <col min="18" max="18" width="2.7109375" style="2" customWidth="1"/>
    <col min="19" max="33" width="13.7109375" style="2" customWidth="1"/>
    <col min="34" max="16384" width="9.140625" style="2"/>
  </cols>
  <sheetData>
    <row r="2" spans="2:19" s="14" customFormat="1" ht="18" x14ac:dyDescent="0.2">
      <c r="B2" s="14" t="s">
        <v>102</v>
      </c>
    </row>
    <row r="4" spans="2:19" x14ac:dyDescent="0.2">
      <c r="B4" s="22" t="s">
        <v>12</v>
      </c>
      <c r="C4" s="1"/>
      <c r="D4" s="1"/>
    </row>
    <row r="5" spans="2:19" x14ac:dyDescent="0.2">
      <c r="B5" s="17" t="s">
        <v>159</v>
      </c>
      <c r="C5" s="3"/>
      <c r="D5" s="3"/>
      <c r="H5" s="15"/>
    </row>
    <row r="6" spans="2:19" x14ac:dyDescent="0.2">
      <c r="B6" s="17" t="s">
        <v>140</v>
      </c>
      <c r="C6" s="3"/>
      <c r="D6" s="3"/>
      <c r="H6" s="15"/>
    </row>
    <row r="7" spans="2:19" x14ac:dyDescent="0.2">
      <c r="B7" s="17" t="s">
        <v>103</v>
      </c>
      <c r="C7" s="3"/>
      <c r="D7" s="3"/>
      <c r="H7" s="15"/>
    </row>
    <row r="8" spans="2:19" x14ac:dyDescent="0.2">
      <c r="B8" s="17"/>
      <c r="C8" s="3"/>
      <c r="D8" s="3"/>
      <c r="H8" s="15"/>
    </row>
    <row r="9" spans="2:19" x14ac:dyDescent="0.2">
      <c r="B9" s="23" t="s">
        <v>141</v>
      </c>
      <c r="C9" s="3"/>
      <c r="D9" s="3"/>
      <c r="H9" s="15"/>
    </row>
    <row r="10" spans="2:19" x14ac:dyDescent="0.2">
      <c r="B10" s="4" t="s">
        <v>127</v>
      </c>
      <c r="C10" s="3"/>
      <c r="D10" s="3"/>
    </row>
    <row r="11" spans="2:19" x14ac:dyDescent="0.2">
      <c r="B11" s="4" t="s">
        <v>104</v>
      </c>
      <c r="C11" s="3"/>
      <c r="D11" s="3"/>
    </row>
    <row r="12" spans="2:19" x14ac:dyDescent="0.2">
      <c r="B12" s="4"/>
      <c r="C12" s="3"/>
      <c r="D12" s="3"/>
    </row>
    <row r="14" spans="2:19" s="8" customFormat="1" ht="25.5" x14ac:dyDescent="0.2">
      <c r="B14" s="8" t="s">
        <v>12</v>
      </c>
      <c r="F14" s="8" t="s">
        <v>34</v>
      </c>
      <c r="H14" s="8" t="s">
        <v>35</v>
      </c>
      <c r="J14" s="36" t="s">
        <v>105</v>
      </c>
      <c r="L14" s="36" t="s">
        <v>180</v>
      </c>
      <c r="M14" s="36" t="s">
        <v>181</v>
      </c>
      <c r="N14" s="36" t="s">
        <v>182</v>
      </c>
      <c r="O14" s="36" t="s">
        <v>183</v>
      </c>
      <c r="P14" s="36" t="s">
        <v>184</v>
      </c>
      <c r="Q14" s="36" t="s">
        <v>185</v>
      </c>
      <c r="S14" s="8" t="s">
        <v>37</v>
      </c>
    </row>
    <row r="17" spans="2:19" s="8" customFormat="1" x14ac:dyDescent="0.2">
      <c r="B17" s="8" t="s">
        <v>74</v>
      </c>
    </row>
    <row r="19" spans="2:19" x14ac:dyDescent="0.2">
      <c r="B19" s="22" t="s">
        <v>139</v>
      </c>
    </row>
    <row r="20" spans="2:19" x14ac:dyDescent="0.2">
      <c r="B20" s="34" t="s">
        <v>128</v>
      </c>
      <c r="F20" s="2" t="s">
        <v>97</v>
      </c>
      <c r="H20" s="44">
        <f>'Parameters in tariff decisions'!O33</f>
        <v>0.03</v>
      </c>
    </row>
    <row r="22" spans="2:19" s="8" customFormat="1" x14ac:dyDescent="0.2">
      <c r="B22" s="8" t="s">
        <v>106</v>
      </c>
    </row>
    <row r="24" spans="2:19" x14ac:dyDescent="0.2">
      <c r="B24" s="22" t="s">
        <v>107</v>
      </c>
    </row>
    <row r="25" spans="2:19" x14ac:dyDescent="0.2">
      <c r="B25" s="2" t="s">
        <v>94</v>
      </c>
      <c r="F25" s="2" t="s">
        <v>95</v>
      </c>
      <c r="L25" s="45">
        <f>'Parameters in tariff decisions'!L19</f>
        <v>0.2481167817017598</v>
      </c>
      <c r="M25" s="45">
        <f>'Parameters in tariff decisions'!L19</f>
        <v>0.2481167817017598</v>
      </c>
      <c r="N25" s="45">
        <f>'Parameters in tariff decisions'!$M19</f>
        <v>0.25338144096032705</v>
      </c>
      <c r="O25" s="45">
        <f>'Parameters in tariff decisions'!$M19</f>
        <v>0.25338144096032705</v>
      </c>
      <c r="P25" s="45">
        <f>'Parameters in tariff decisions'!$M19</f>
        <v>0.25338144096032705</v>
      </c>
      <c r="Q25" s="45">
        <f>'Parameters in tariff decisions'!$M19</f>
        <v>0.25338144096032705</v>
      </c>
    </row>
    <row r="26" spans="2:19" x14ac:dyDescent="0.2">
      <c r="B26" s="2" t="s">
        <v>108</v>
      </c>
      <c r="F26" s="2" t="s">
        <v>97</v>
      </c>
      <c r="L26" s="44">
        <f>'Parameters in tariff decisions'!L20</f>
        <v>0.63412409341900033</v>
      </c>
      <c r="M26" s="73">
        <f>'Parameters in tariff decisions'!L20</f>
        <v>0.63412409341900033</v>
      </c>
      <c r="N26" s="44">
        <f>'Parameters in tariff decisions'!$M20</f>
        <v>0.64353535646634585</v>
      </c>
      <c r="O26" s="44">
        <f>'Parameters in tariff decisions'!$M20</f>
        <v>0.64353535646634585</v>
      </c>
      <c r="P26" s="44">
        <f>'Parameters in tariff decisions'!$M20</f>
        <v>0.64353535646634585</v>
      </c>
      <c r="Q26" s="44">
        <f>'Parameters in tariff decisions'!$M20</f>
        <v>0.64353535646634585</v>
      </c>
    </row>
    <row r="28" spans="2:19" x14ac:dyDescent="0.2">
      <c r="B28" s="1" t="s">
        <v>109</v>
      </c>
    </row>
    <row r="29" spans="2:19" x14ac:dyDescent="0.2">
      <c r="B29" s="2" t="s">
        <v>110</v>
      </c>
      <c r="F29" s="2" t="s">
        <v>84</v>
      </c>
      <c r="L29" s="28">
        <f>'Production data'!L17</f>
        <v>854604.62</v>
      </c>
      <c r="M29" s="28">
        <f>'Production data'!M17</f>
        <v>760172.21600000001</v>
      </c>
      <c r="N29" s="28">
        <f>'Production data'!N17</f>
        <v>758018.53300000005</v>
      </c>
      <c r="O29" s="28">
        <f>'Production data'!O17</f>
        <v>713094.39</v>
      </c>
      <c r="P29" s="28">
        <f>'Production data'!P17</f>
        <v>809017.04</v>
      </c>
      <c r="Q29" s="28">
        <f>'Production data'!Q17</f>
        <v>767773.66999999993</v>
      </c>
    </row>
    <row r="31" spans="2:19" x14ac:dyDescent="0.2">
      <c r="B31" s="1" t="s">
        <v>111</v>
      </c>
    </row>
    <row r="32" spans="2:19" x14ac:dyDescent="0.2">
      <c r="B32" s="2" t="s">
        <v>78</v>
      </c>
      <c r="F32" s="2" t="s">
        <v>122</v>
      </c>
      <c r="L32" s="45">
        <f>'Fuel prices'!W23</f>
        <v>1.1144811293269858</v>
      </c>
      <c r="M32" s="45">
        <f>'Fuel prices'!W25</f>
        <v>1.1144811293269858</v>
      </c>
      <c r="N32" s="45">
        <f>'Fuel prices'!W27</f>
        <v>1.1144811293269858</v>
      </c>
      <c r="O32" s="45">
        <f>'Fuel prices'!W29</f>
        <v>1.1144811293269858</v>
      </c>
      <c r="P32" s="45">
        <f>'Fuel prices'!W31</f>
        <v>1.1144811293269858</v>
      </c>
      <c r="Q32" s="45">
        <f>'Fuel prices'!W33</f>
        <v>0.96639420193657843</v>
      </c>
      <c r="S32" s="2" t="s">
        <v>112</v>
      </c>
    </row>
    <row r="34" spans="2:19" s="8" customFormat="1" x14ac:dyDescent="0.2">
      <c r="B34" s="8" t="s">
        <v>113</v>
      </c>
    </row>
    <row r="36" spans="2:19" x14ac:dyDescent="0.2">
      <c r="B36" s="1" t="s">
        <v>114</v>
      </c>
    </row>
    <row r="37" spans="2:19" x14ac:dyDescent="0.2">
      <c r="B37" s="2" t="s">
        <v>115</v>
      </c>
      <c r="F37" s="2" t="s">
        <v>99</v>
      </c>
      <c r="L37" s="39">
        <f>L25*L26*L32</f>
        <v>0.17534892715692793</v>
      </c>
      <c r="M37" s="39">
        <f t="shared" ref="M37:Q37" si="0">M25*M26*M32</f>
        <v>0.17534892715692793</v>
      </c>
      <c r="N37" s="39">
        <f>N25*N26*N32</f>
        <v>0.18172719925403147</v>
      </c>
      <c r="O37" s="39">
        <f t="shared" si="0"/>
        <v>0.18172719925403147</v>
      </c>
      <c r="P37" s="39">
        <f t="shared" si="0"/>
        <v>0.18172719925403147</v>
      </c>
      <c r="Q37" s="39">
        <f t="shared" si="0"/>
        <v>0.15758015732336625</v>
      </c>
    </row>
    <row r="38" spans="2:19" x14ac:dyDescent="0.2">
      <c r="B38" s="2" t="s">
        <v>116</v>
      </c>
      <c r="F38" s="2" t="s">
        <v>99</v>
      </c>
      <c r="L38" s="45">
        <f>'Parameters in tariff decisions'!$N$23</f>
        <v>0.15988421224540678</v>
      </c>
      <c r="M38" s="45">
        <f>'Parameters in tariff decisions'!$N$23</f>
        <v>0.15988421224540678</v>
      </c>
      <c r="N38" s="45">
        <f>'Parameters in tariff decisions'!$O$23</f>
        <v>0.18172719925403147</v>
      </c>
      <c r="O38" s="45">
        <f>'Parameters in tariff decisions'!$O$23</f>
        <v>0.18172719925403147</v>
      </c>
      <c r="P38" s="45">
        <f>'Parameters in tariff decisions'!$O$23</f>
        <v>0.18172719925403147</v>
      </c>
      <c r="Q38" s="45">
        <f>'Parameters in tariff decisions'!$O$23</f>
        <v>0.18172719925403147</v>
      </c>
    </row>
    <row r="39" spans="2:19" x14ac:dyDescent="0.2">
      <c r="B39" s="2" t="s">
        <v>117</v>
      </c>
      <c r="F39" s="2" t="s">
        <v>99</v>
      </c>
      <c r="L39" s="39">
        <f>L37-L38</f>
        <v>1.5464714911521155E-2</v>
      </c>
      <c r="M39" s="39">
        <f t="shared" ref="M39:Q39" si="1">M37-M38</f>
        <v>1.5464714911521155E-2</v>
      </c>
      <c r="N39" s="39">
        <f t="shared" si="1"/>
        <v>0</v>
      </c>
      <c r="O39" s="39">
        <f t="shared" si="1"/>
        <v>0</v>
      </c>
      <c r="P39" s="39">
        <f t="shared" si="1"/>
        <v>0</v>
      </c>
      <c r="Q39" s="39">
        <f t="shared" si="1"/>
        <v>-2.414704193066522E-2</v>
      </c>
      <c r="S39" s="17" t="s">
        <v>123</v>
      </c>
    </row>
    <row r="41" spans="2:19" x14ac:dyDescent="0.2">
      <c r="B41" s="1" t="s">
        <v>118</v>
      </c>
    </row>
    <row r="42" spans="2:19" x14ac:dyDescent="0.2">
      <c r="B42" s="2" t="s">
        <v>119</v>
      </c>
      <c r="F42" s="2" t="s">
        <v>121</v>
      </c>
      <c r="L42" s="29">
        <f>L39*L29</f>
        <v>13216.216810368869</v>
      </c>
      <c r="M42" s="29">
        <f t="shared" ref="M42:Q42" si="2">M39*M29</f>
        <v>11755.846604099281</v>
      </c>
      <c r="N42" s="29">
        <f t="shared" si="2"/>
        <v>0</v>
      </c>
      <c r="O42" s="29">
        <f t="shared" si="2"/>
        <v>0</v>
      </c>
      <c r="P42" s="29">
        <f t="shared" si="2"/>
        <v>0</v>
      </c>
      <c r="Q42" s="29">
        <f t="shared" si="2"/>
        <v>-18539.463002750719</v>
      </c>
    </row>
    <row r="43" spans="2:19" x14ac:dyDescent="0.2">
      <c r="B43" s="2" t="s">
        <v>209</v>
      </c>
      <c r="F43" s="2" t="s">
        <v>145</v>
      </c>
      <c r="H43" s="29">
        <f>SUM(L42:M42)</f>
        <v>24972.06341446815</v>
      </c>
    </row>
    <row r="44" spans="2:19" x14ac:dyDescent="0.2">
      <c r="B44" s="2" t="s">
        <v>210</v>
      </c>
      <c r="F44" s="2" t="s">
        <v>207</v>
      </c>
      <c r="H44" s="29">
        <f>SUM(N42:Q42)</f>
        <v>-18539.463002750719</v>
      </c>
    </row>
    <row r="46" spans="2:19" x14ac:dyDescent="0.2">
      <c r="B46" s="1" t="s">
        <v>120</v>
      </c>
      <c r="F46" s="2" t="s">
        <v>207</v>
      </c>
      <c r="H46" s="49">
        <f>H43*(1+H20)+H44</f>
        <v>7181.7623141514741</v>
      </c>
    </row>
    <row r="50" spans="2:2" x14ac:dyDescent="0.2">
      <c r="B50" s="4" t="s">
        <v>58</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12831-5613-408D-BC30-49F57961DB71}">
  <sheetPr>
    <tabColor rgb="FFCCFFFF"/>
  </sheetPr>
  <dimension ref="B2:F38"/>
  <sheetViews>
    <sheetView showGridLines="0" zoomScale="85" zoomScaleNormal="85" workbookViewId="0"/>
  </sheetViews>
  <sheetFormatPr defaultRowHeight="12.75" x14ac:dyDescent="0.2"/>
  <cols>
    <col min="1" max="1" width="9.140625" style="2"/>
    <col min="2" max="2" width="4.7109375" style="2" customWidth="1"/>
    <col min="3" max="3" width="71.42578125" style="2" customWidth="1"/>
    <col min="4" max="4" width="17.28515625" style="2" customWidth="1"/>
    <col min="5" max="5" width="11.42578125" style="2" customWidth="1"/>
    <col min="6" max="6" width="4.7109375" style="2" customWidth="1"/>
    <col min="7" max="15" width="12.5703125" style="2" customWidth="1"/>
    <col min="16" max="18" width="2.7109375" style="2" customWidth="1"/>
    <col min="19" max="33" width="13.7109375" style="2" customWidth="1"/>
    <col min="34" max="16384" width="9.140625" style="2"/>
  </cols>
  <sheetData>
    <row r="2" spans="2:6" s="14" customFormat="1" ht="18" x14ac:dyDescent="0.2">
      <c r="C2" s="14" t="s">
        <v>215</v>
      </c>
    </row>
    <row r="4" spans="2:6" x14ac:dyDescent="0.2">
      <c r="C4" s="22" t="s">
        <v>131</v>
      </c>
    </row>
    <row r="5" spans="2:6" x14ac:dyDescent="0.2">
      <c r="C5" s="2" t="s">
        <v>234</v>
      </c>
      <c r="E5" s="15"/>
    </row>
    <row r="6" spans="2:6" x14ac:dyDescent="0.2">
      <c r="C6" s="4"/>
    </row>
    <row r="7" spans="2:6" x14ac:dyDescent="0.2">
      <c r="C7" s="4"/>
    </row>
    <row r="8" spans="2:6" x14ac:dyDescent="0.2">
      <c r="C8" s="4"/>
    </row>
    <row r="9" spans="2:6" x14ac:dyDescent="0.2">
      <c r="B9" s="51"/>
      <c r="C9" s="52"/>
      <c r="D9" s="52"/>
      <c r="E9" s="52"/>
      <c r="F9" s="53"/>
    </row>
    <row r="10" spans="2:6" s="8" customFormat="1" x14ac:dyDescent="0.2">
      <c r="B10" s="54"/>
      <c r="C10" s="8" t="s">
        <v>216</v>
      </c>
      <c r="F10" s="55"/>
    </row>
    <row r="11" spans="2:6" x14ac:dyDescent="0.2">
      <c r="B11" s="56"/>
      <c r="F11" s="57"/>
    </row>
    <row r="12" spans="2:6" x14ac:dyDescent="0.2">
      <c r="B12" s="56"/>
      <c r="C12" s="1" t="s">
        <v>132</v>
      </c>
      <c r="F12" s="57"/>
    </row>
    <row r="13" spans="2:6" x14ac:dyDescent="0.2">
      <c r="B13" s="56"/>
      <c r="C13" s="2" t="s">
        <v>128</v>
      </c>
      <c r="D13" s="2" t="s">
        <v>97</v>
      </c>
      <c r="E13" s="58">
        <f>'Parameters in tariff decisions'!O33</f>
        <v>0.03</v>
      </c>
      <c r="F13" s="57"/>
    </row>
    <row r="14" spans="2:6" x14ac:dyDescent="0.2">
      <c r="B14" s="56"/>
      <c r="F14" s="57"/>
    </row>
    <row r="15" spans="2:6" x14ac:dyDescent="0.2">
      <c r="B15" s="56"/>
      <c r="C15" s="22" t="s">
        <v>133</v>
      </c>
      <c r="F15" s="57"/>
    </row>
    <row r="16" spans="2:6" x14ac:dyDescent="0.2">
      <c r="B16" s="56"/>
      <c r="C16" s="17" t="s">
        <v>217</v>
      </c>
      <c r="D16" s="2" t="s">
        <v>122</v>
      </c>
      <c r="E16" s="59">
        <f>'Fuel prices'!Q39</f>
        <v>0.86167640038180848</v>
      </c>
      <c r="F16" s="57"/>
    </row>
    <row r="17" spans="2:6" x14ac:dyDescent="0.2">
      <c r="B17" s="56"/>
      <c r="C17" s="2" t="s">
        <v>218</v>
      </c>
      <c r="D17" s="2" t="s">
        <v>206</v>
      </c>
      <c r="E17" s="59">
        <f>Result!H21</f>
        <v>0.34147783458514192</v>
      </c>
      <c r="F17" s="57"/>
    </row>
    <row r="18" spans="2:6" x14ac:dyDescent="0.2">
      <c r="B18" s="56"/>
      <c r="F18" s="57"/>
    </row>
    <row r="19" spans="2:6" x14ac:dyDescent="0.2">
      <c r="B19" s="56"/>
      <c r="C19" s="1" t="s">
        <v>134</v>
      </c>
      <c r="F19" s="57"/>
    </row>
    <row r="20" spans="2:6" x14ac:dyDescent="0.2">
      <c r="B20" s="56"/>
      <c r="C20" s="2" t="s">
        <v>209</v>
      </c>
      <c r="D20" s="2" t="s">
        <v>145</v>
      </c>
      <c r="E20" s="60">
        <f>'Fuel component correction'!H43</f>
        <v>24972.06341446815</v>
      </c>
      <c r="F20" s="57"/>
    </row>
    <row r="21" spans="2:6" x14ac:dyDescent="0.2">
      <c r="B21" s="56"/>
      <c r="C21" s="2" t="s">
        <v>210</v>
      </c>
      <c r="D21" s="2" t="s">
        <v>207</v>
      </c>
      <c r="E21" s="60">
        <f>'Fuel component correction'!H44</f>
        <v>-18539.463002750719</v>
      </c>
      <c r="F21" s="57"/>
    </row>
    <row r="22" spans="2:6" x14ac:dyDescent="0.2">
      <c r="B22" s="56"/>
      <c r="C22" s="2" t="s">
        <v>120</v>
      </c>
      <c r="D22" s="2" t="s">
        <v>207</v>
      </c>
      <c r="E22" s="60">
        <f>'Fuel component correction'!H46</f>
        <v>7181.7623141514741</v>
      </c>
      <c r="F22" s="57"/>
    </row>
    <row r="23" spans="2:6" x14ac:dyDescent="0.2">
      <c r="B23" s="56"/>
      <c r="C23" s="2" t="s">
        <v>230</v>
      </c>
      <c r="D23" s="2" t="s">
        <v>84</v>
      </c>
      <c r="E23" s="60">
        <f>Result!H27</f>
        <v>4791299.8337095771</v>
      </c>
      <c r="F23" s="57"/>
    </row>
    <row r="24" spans="2:6" x14ac:dyDescent="0.2">
      <c r="B24" s="56"/>
      <c r="C24" s="2" t="s">
        <v>238</v>
      </c>
      <c r="D24" s="2" t="s">
        <v>206</v>
      </c>
      <c r="E24" s="59">
        <f>Result!H28</f>
        <v>1.4989173216887002E-3</v>
      </c>
      <c r="F24" s="57"/>
    </row>
    <row r="25" spans="2:6" x14ac:dyDescent="0.2">
      <c r="B25" s="56"/>
      <c r="E25" s="59"/>
      <c r="F25" s="57"/>
    </row>
    <row r="26" spans="2:6" x14ac:dyDescent="0.2">
      <c r="B26" s="56"/>
      <c r="C26" s="1" t="s">
        <v>178</v>
      </c>
      <c r="E26" s="59"/>
      <c r="F26" s="57"/>
    </row>
    <row r="27" spans="2:6" x14ac:dyDescent="0.2">
      <c r="B27" s="56"/>
      <c r="C27" s="2" t="s">
        <v>205</v>
      </c>
      <c r="D27" s="2" t="s">
        <v>206</v>
      </c>
      <c r="E27" s="59">
        <f>Result!H31</f>
        <v>-4.9609546227902496E-4</v>
      </c>
      <c r="F27" s="57"/>
    </row>
    <row r="28" spans="2:6" x14ac:dyDescent="0.2">
      <c r="B28" s="56"/>
      <c r="E28" s="59"/>
      <c r="F28" s="57"/>
    </row>
    <row r="29" spans="2:6" x14ac:dyDescent="0.2">
      <c r="B29" s="56"/>
      <c r="C29" s="1" t="s">
        <v>135</v>
      </c>
      <c r="F29" s="57"/>
    </row>
    <row r="30" spans="2:6" x14ac:dyDescent="0.2">
      <c r="B30" s="56"/>
      <c r="C30" s="2" t="s">
        <v>223</v>
      </c>
      <c r="D30" s="2" t="s">
        <v>206</v>
      </c>
      <c r="E30" s="59">
        <f>Result!H36</f>
        <v>0.34147783458514192</v>
      </c>
      <c r="F30" s="57"/>
    </row>
    <row r="31" spans="2:6" x14ac:dyDescent="0.2">
      <c r="B31" s="56"/>
      <c r="C31" s="2" t="s">
        <v>232</v>
      </c>
      <c r="D31" s="2" t="s">
        <v>206</v>
      </c>
      <c r="E31" s="59">
        <f>Result!H37</f>
        <v>1.0028218594096752E-3</v>
      </c>
      <c r="F31" s="57"/>
    </row>
    <row r="32" spans="2:6" x14ac:dyDescent="0.2">
      <c r="B32" s="56"/>
      <c r="C32" s="2" t="s">
        <v>179</v>
      </c>
      <c r="D32" s="2" t="s">
        <v>97</v>
      </c>
      <c r="E32" s="58">
        <f>Result!H38</f>
        <v>7.1099335923111406E-2</v>
      </c>
      <c r="F32" s="57"/>
    </row>
    <row r="33" spans="2:6" x14ac:dyDescent="0.2">
      <c r="B33" s="56"/>
      <c r="E33" s="58"/>
      <c r="F33" s="57"/>
    </row>
    <row r="34" spans="2:6" x14ac:dyDescent="0.2">
      <c r="B34" s="56"/>
      <c r="C34" s="2" t="s">
        <v>235</v>
      </c>
      <c r="D34" s="2" t="s">
        <v>206</v>
      </c>
      <c r="E34" s="59">
        <f>Result!H40</f>
        <v>0.36869459748411071</v>
      </c>
      <c r="F34" s="57"/>
    </row>
    <row r="35" spans="2:6" x14ac:dyDescent="0.2">
      <c r="B35" s="56"/>
      <c r="F35" s="57"/>
    </row>
    <row r="36" spans="2:6" x14ac:dyDescent="0.2">
      <c r="B36" s="56"/>
      <c r="F36" s="57"/>
    </row>
    <row r="37" spans="2:6" x14ac:dyDescent="0.2">
      <c r="B37" s="56"/>
      <c r="C37" s="2" t="s">
        <v>136</v>
      </c>
      <c r="F37" s="57"/>
    </row>
    <row r="38" spans="2:6" x14ac:dyDescent="0.2">
      <c r="B38" s="61"/>
      <c r="C38" s="62"/>
      <c r="D38" s="62"/>
      <c r="E38" s="62"/>
      <c r="F38" s="6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F41"/>
  <sheetViews>
    <sheetView showGridLines="0" zoomScale="85" zoomScaleNormal="85" workbookViewId="0">
      <pane ySplit="3" topLeftCell="A4" activePane="bottomLeft" state="frozen"/>
      <selection activeCell="O39" sqref="O39"/>
      <selection pane="bottomLeft"/>
    </sheetView>
  </sheetViews>
  <sheetFormatPr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6" s="7" customFormat="1" ht="18" x14ac:dyDescent="0.2">
      <c r="B2" s="7" t="s">
        <v>46</v>
      </c>
    </row>
    <row r="3" spans="2:6" x14ac:dyDescent="0.2">
      <c r="B3" s="30"/>
    </row>
    <row r="4" spans="2:6" x14ac:dyDescent="0.2">
      <c r="B4" s="30"/>
    </row>
    <row r="5" spans="2:6" s="8" customFormat="1" x14ac:dyDescent="0.2">
      <c r="B5" s="8" t="s">
        <v>47</v>
      </c>
    </row>
    <row r="7" spans="2:6" x14ac:dyDescent="0.2">
      <c r="B7" s="17" t="s">
        <v>240</v>
      </c>
    </row>
    <row r="8" spans="2:6" x14ac:dyDescent="0.2">
      <c r="B8" s="2" t="s">
        <v>62</v>
      </c>
    </row>
    <row r="9" spans="2:6" x14ac:dyDescent="0.2">
      <c r="B9" s="17" t="s">
        <v>241</v>
      </c>
    </row>
    <row r="10" spans="2:6" x14ac:dyDescent="0.2">
      <c r="B10" s="2" t="s">
        <v>242</v>
      </c>
    </row>
    <row r="11" spans="2:6" x14ac:dyDescent="0.2">
      <c r="B11" s="2" t="s">
        <v>243</v>
      </c>
    </row>
    <row r="13" spans="2:6" s="8" customFormat="1" x14ac:dyDescent="0.2">
      <c r="B13" s="8" t="s">
        <v>48</v>
      </c>
    </row>
    <row r="14" spans="2:6" x14ac:dyDescent="0.2">
      <c r="C14" s="9"/>
    </row>
    <row r="15" spans="2:6" x14ac:dyDescent="0.2">
      <c r="B15" s="22" t="s">
        <v>11</v>
      </c>
      <c r="C15" s="9"/>
      <c r="D15" s="22" t="s">
        <v>12</v>
      </c>
      <c r="F15" s="11"/>
    </row>
    <row r="16" spans="2:6" x14ac:dyDescent="0.2">
      <c r="C16" s="9"/>
    </row>
    <row r="17" spans="2:6" x14ac:dyDescent="0.2">
      <c r="B17" s="25">
        <v>123</v>
      </c>
      <c r="C17" s="9"/>
      <c r="D17" s="17" t="s">
        <v>13</v>
      </c>
    </row>
    <row r="18" spans="2:6" x14ac:dyDescent="0.2">
      <c r="B18" s="28">
        <f>B17</f>
        <v>123</v>
      </c>
      <c r="C18" s="9"/>
      <c r="D18" s="2" t="s">
        <v>49</v>
      </c>
    </row>
    <row r="19" spans="2:6" x14ac:dyDescent="0.2">
      <c r="B19" s="29">
        <f>B18+B17</f>
        <v>246</v>
      </c>
      <c r="C19" s="9"/>
      <c r="D19" s="2" t="s">
        <v>14</v>
      </c>
    </row>
    <row r="20" spans="2:6" x14ac:dyDescent="0.2">
      <c r="B20" s="24">
        <f>B18+B19</f>
        <v>369</v>
      </c>
      <c r="C20" s="9"/>
      <c r="D20" s="17" t="s">
        <v>50</v>
      </c>
      <c r="E20" s="11"/>
      <c r="F20" s="5"/>
    </row>
    <row r="21" spans="2:6" x14ac:dyDescent="0.2">
      <c r="B21" s="12"/>
      <c r="C21" s="9"/>
      <c r="D21" s="17" t="s">
        <v>15</v>
      </c>
      <c r="E21" s="11"/>
    </row>
    <row r="22" spans="2:6" x14ac:dyDescent="0.2">
      <c r="B22" s="9"/>
      <c r="C22" s="9"/>
    </row>
    <row r="24" spans="2:6" x14ac:dyDescent="0.2">
      <c r="B24" s="22" t="s">
        <v>16</v>
      </c>
    </row>
    <row r="25" spans="2:6" x14ac:dyDescent="0.2">
      <c r="B25" s="1"/>
    </row>
    <row r="26" spans="2:6" x14ac:dyDescent="0.2">
      <c r="B26" s="23" t="s">
        <v>20</v>
      </c>
    </row>
    <row r="27" spans="2:6" x14ac:dyDescent="0.2">
      <c r="B27" s="24" t="s">
        <v>21</v>
      </c>
      <c r="C27" s="9"/>
      <c r="D27" s="17" t="s">
        <v>17</v>
      </c>
    </row>
    <row r="28" spans="2:6" x14ac:dyDescent="0.2">
      <c r="B28" s="25" t="s">
        <v>1</v>
      </c>
      <c r="C28" s="9"/>
      <c r="D28" s="17" t="s">
        <v>18</v>
      </c>
    </row>
    <row r="29" spans="2:6" x14ac:dyDescent="0.2">
      <c r="B29" s="29" t="s">
        <v>22</v>
      </c>
      <c r="C29" s="9"/>
      <c r="D29" s="17" t="s">
        <v>19</v>
      </c>
    </row>
    <row r="30" spans="2:6" x14ac:dyDescent="0.2">
      <c r="C30" s="9"/>
      <c r="D30" s="3"/>
    </row>
    <row r="31" spans="2:6" x14ac:dyDescent="0.2">
      <c r="B31" s="23" t="s">
        <v>23</v>
      </c>
      <c r="C31" s="9"/>
      <c r="D31" s="3"/>
    </row>
    <row r="32" spans="2:6" x14ac:dyDescent="0.2">
      <c r="B32" s="16" t="s">
        <v>2</v>
      </c>
      <c r="C32" s="9"/>
      <c r="D32" s="17" t="s">
        <v>51</v>
      </c>
    </row>
    <row r="33" spans="2:4" x14ac:dyDescent="0.2">
      <c r="B33" s="31" t="s">
        <v>24</v>
      </c>
      <c r="D33" s="17" t="s">
        <v>156</v>
      </c>
    </row>
    <row r="41" spans="2:4" x14ac:dyDescent="0.2">
      <c r="B41" s="4" t="s">
        <v>58</v>
      </c>
    </row>
  </sheetData>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A2:I30"/>
  <sheetViews>
    <sheetView showGridLines="0" zoomScale="85" zoomScaleNormal="85" workbookViewId="0">
      <pane ySplit="3" topLeftCell="A4" activePane="bottomLeft" state="frozen"/>
      <selection activeCell="O39" sqref="O39"/>
      <selection pane="bottomLeft"/>
    </sheetView>
  </sheetViews>
  <sheetFormatPr defaultRowHeight="12.75" x14ac:dyDescent="0.2"/>
  <cols>
    <col min="1" max="1" width="4.7109375" style="2" customWidth="1"/>
    <col min="2" max="2" width="7.5703125" style="2" customWidth="1"/>
    <col min="3" max="3" width="36.5703125" style="2" customWidth="1"/>
    <col min="4" max="4" width="68.42578125" style="2" customWidth="1"/>
    <col min="5" max="5" width="36.28515625" style="2" customWidth="1"/>
    <col min="6" max="6" width="71.7109375" style="2" customWidth="1"/>
    <col min="7" max="7" width="34.140625" style="2" customWidth="1"/>
    <col min="8" max="8" width="11.85546875" style="2" customWidth="1"/>
    <col min="9" max="9" width="28.7109375" style="2" customWidth="1"/>
    <col min="10" max="10" width="18.42578125" style="2" customWidth="1"/>
    <col min="11" max="12" width="58.42578125" style="2" customWidth="1"/>
    <col min="13" max="16384" width="9.140625" style="2"/>
  </cols>
  <sheetData>
    <row r="2" spans="1:9" s="7" customFormat="1" ht="18" x14ac:dyDescent="0.2">
      <c r="B2" s="7" t="s">
        <v>25</v>
      </c>
    </row>
    <row r="5" spans="1:9" s="8" customFormat="1" x14ac:dyDescent="0.2">
      <c r="B5" s="8" t="s">
        <v>26</v>
      </c>
    </row>
    <row r="6" spans="1:9" x14ac:dyDescent="0.2">
      <c r="A6" s="9"/>
    </row>
    <row r="7" spans="1:9" x14ac:dyDescent="0.2">
      <c r="B7" s="4" t="s">
        <v>158</v>
      </c>
    </row>
    <row r="8" spans="1:9" x14ac:dyDescent="0.2">
      <c r="B8" s="4" t="s">
        <v>27</v>
      </c>
    </row>
    <row r="10" spans="1:9" x14ac:dyDescent="0.2">
      <c r="B10" s="32" t="s">
        <v>28</v>
      </c>
      <c r="C10" s="32" t="s">
        <v>29</v>
      </c>
      <c r="D10" s="32" t="s">
        <v>30</v>
      </c>
      <c r="E10" s="32" t="s">
        <v>59</v>
      </c>
      <c r="F10" s="32" t="s">
        <v>52</v>
      </c>
      <c r="G10" s="32" t="s">
        <v>7</v>
      </c>
      <c r="I10" s="21"/>
    </row>
    <row r="11" spans="1:9" x14ac:dyDescent="0.2">
      <c r="B11" s="13"/>
      <c r="C11" s="18" t="s">
        <v>31</v>
      </c>
      <c r="D11" s="18" t="s">
        <v>32</v>
      </c>
      <c r="E11" s="18" t="s">
        <v>43</v>
      </c>
      <c r="F11" s="18" t="s">
        <v>33</v>
      </c>
      <c r="G11" s="18"/>
    </row>
    <row r="12" spans="1:9" x14ac:dyDescent="0.2">
      <c r="B12" s="67">
        <v>1</v>
      </c>
      <c r="C12" s="19" t="s">
        <v>146</v>
      </c>
      <c r="D12" s="19" t="s">
        <v>148</v>
      </c>
      <c r="E12" s="19" t="s">
        <v>147</v>
      </c>
      <c r="F12" s="41" t="s">
        <v>149</v>
      </c>
      <c r="G12" s="6"/>
    </row>
    <row r="13" spans="1:9" x14ac:dyDescent="0.2">
      <c r="B13" s="67">
        <v>2</v>
      </c>
      <c r="C13" s="19" t="s">
        <v>174</v>
      </c>
      <c r="D13" s="19" t="s">
        <v>197</v>
      </c>
      <c r="E13" s="19" t="s">
        <v>202</v>
      </c>
      <c r="F13" s="26" t="s">
        <v>201</v>
      </c>
      <c r="G13" s="6"/>
    </row>
    <row r="14" spans="1:9" x14ac:dyDescent="0.2">
      <c r="B14" s="67">
        <v>3</v>
      </c>
      <c r="C14" s="19" t="s">
        <v>172</v>
      </c>
      <c r="D14" s="19" t="s">
        <v>143</v>
      </c>
      <c r="E14" s="19" t="s">
        <v>199</v>
      </c>
      <c r="F14" s="26" t="s">
        <v>200</v>
      </c>
      <c r="G14" s="6" t="s">
        <v>60</v>
      </c>
    </row>
    <row r="15" spans="1:9" x14ac:dyDescent="0.2">
      <c r="B15" s="67">
        <v>4</v>
      </c>
      <c r="C15" s="19" t="s">
        <v>198</v>
      </c>
      <c r="D15" s="19" t="s">
        <v>197</v>
      </c>
      <c r="E15" s="19" t="s">
        <v>203</v>
      </c>
      <c r="F15" s="41" t="s">
        <v>204</v>
      </c>
      <c r="G15" s="6"/>
    </row>
    <row r="16" spans="1:9" x14ac:dyDescent="0.2">
      <c r="B16" s="67">
        <v>5</v>
      </c>
      <c r="C16" s="19" t="s">
        <v>150</v>
      </c>
      <c r="D16" s="19" t="s">
        <v>151</v>
      </c>
      <c r="E16" s="65"/>
      <c r="F16" s="19" t="s">
        <v>196</v>
      </c>
      <c r="G16" s="6"/>
    </row>
    <row r="17" spans="2:7" x14ac:dyDescent="0.2">
      <c r="B17" s="67">
        <v>6</v>
      </c>
      <c r="C17" s="19" t="s">
        <v>192</v>
      </c>
      <c r="D17" s="19" t="s">
        <v>193</v>
      </c>
      <c r="E17" s="65"/>
      <c r="F17" s="19" t="s">
        <v>196</v>
      </c>
      <c r="G17" s="6"/>
    </row>
    <row r="18" spans="2:7" x14ac:dyDescent="0.2">
      <c r="B18" s="67">
        <v>7</v>
      </c>
      <c r="C18" s="19" t="s">
        <v>195</v>
      </c>
      <c r="D18" s="19" t="s">
        <v>187</v>
      </c>
      <c r="E18" s="65"/>
      <c r="F18" s="19" t="s">
        <v>196</v>
      </c>
      <c r="G18" s="6"/>
    </row>
    <row r="19" spans="2:7" x14ac:dyDescent="0.2">
      <c r="B19" s="67">
        <v>8</v>
      </c>
      <c r="C19" s="19" t="s">
        <v>194</v>
      </c>
      <c r="D19" s="19" t="s">
        <v>186</v>
      </c>
      <c r="E19" s="65"/>
      <c r="F19" s="19" t="s">
        <v>196</v>
      </c>
      <c r="G19" s="6"/>
    </row>
    <row r="20" spans="2:7" x14ac:dyDescent="0.2">
      <c r="B20" s="67">
        <v>9</v>
      </c>
      <c r="C20" s="19" t="s">
        <v>211</v>
      </c>
      <c r="D20" s="19" t="s">
        <v>212</v>
      </c>
      <c r="E20" s="65"/>
      <c r="F20" s="19" t="s">
        <v>239</v>
      </c>
      <c r="G20" s="6"/>
    </row>
    <row r="21" spans="2:7" x14ac:dyDescent="0.2">
      <c r="B21" s="67">
        <v>10</v>
      </c>
      <c r="C21" s="19" t="s">
        <v>129</v>
      </c>
      <c r="D21" s="65"/>
      <c r="E21" s="65"/>
      <c r="F21" s="41" t="s">
        <v>130</v>
      </c>
      <c r="G21" s="6"/>
    </row>
    <row r="24" spans="2:7" s="8" customFormat="1" x14ac:dyDescent="0.2">
      <c r="B24" s="8" t="s">
        <v>55</v>
      </c>
    </row>
    <row r="26" spans="2:7" x14ac:dyDescent="0.2">
      <c r="B26" s="23" t="s">
        <v>56</v>
      </c>
    </row>
    <row r="27" spans="2:7" x14ac:dyDescent="0.2">
      <c r="B27" s="23" t="s">
        <v>53</v>
      </c>
    </row>
    <row r="28" spans="2:7" x14ac:dyDescent="0.2">
      <c r="B28" s="23"/>
    </row>
    <row r="29" spans="2:7" x14ac:dyDescent="0.2">
      <c r="C29" s="15"/>
    </row>
    <row r="30" spans="2:7" x14ac:dyDescent="0.2">
      <c r="B30" s="4" t="s">
        <v>58</v>
      </c>
    </row>
  </sheetData>
  <phoneticPr fontId="30" type="noConversion"/>
  <hyperlinks>
    <hyperlink ref="F21" r:id="rId1" xr:uid="{55589F55-4635-42EA-AD91-D5507017AC62}"/>
    <hyperlink ref="F12" r:id="rId2" xr:uid="{300C3825-DEA4-45A8-95D5-DDDF92C24BC2}"/>
    <hyperlink ref="F14" r:id="rId3" display="https://www.acm.nl/nl/publicaties/beschikking-variabel-tarief-elektriciteit-1-juli-2023-saba" xr:uid="{00CC2E92-D701-4EB5-A23F-604454346D3D}"/>
    <hyperlink ref="F13" r:id="rId4" display="https://www.acm.nl/nl/publicaties/beschikking-productieprijs-elektriciteit-2024-saba-sec" xr:uid="{7DBC3737-01FA-420D-AB11-02DADC4BCD90}"/>
    <hyperlink ref="F15" r:id="rId5" xr:uid="{4DEB6C67-65C4-46FE-B435-0C5F70DD6275}"/>
  </hyperlinks>
  <pageMargins left="0.75" right="0.75" top="1" bottom="1" header="0.5" footer="0.5"/>
  <pageSetup paperSize="9" orientation="portrait"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K43"/>
  <sheetViews>
    <sheetView showGridLines="0" zoomScale="85" zoomScaleNormal="85" workbookViewId="0">
      <pane xSplit="6" ySplit="11" topLeftCell="G12" activePane="bottomRight" state="frozen"/>
      <selection activeCell="O39" sqref="O39"/>
      <selection pane="topRight" activeCell="O39" sqref="O39"/>
      <selection pane="bottomLeft" activeCell="O39" sqref="O39"/>
      <selection pane="bottomRight"/>
    </sheetView>
  </sheetViews>
  <sheetFormatPr defaultRowHeight="12.75" x14ac:dyDescent="0.2"/>
  <cols>
    <col min="1" max="1" width="4.7109375" style="2" customWidth="1"/>
    <col min="2" max="2" width="52" style="2" customWidth="1"/>
    <col min="3" max="5" width="4.7109375" style="2" customWidth="1"/>
    <col min="6" max="6" width="16.5703125" style="2" bestFit="1" customWidth="1"/>
    <col min="7" max="7" width="2.7109375" style="2" customWidth="1"/>
    <col min="8" max="8" width="13.7109375" style="2" customWidth="1"/>
    <col min="9" max="9" width="5.5703125" style="2" customWidth="1"/>
    <col min="10" max="24" width="13.7109375" style="2" customWidth="1"/>
    <col min="25" max="16384" width="9.140625" style="2"/>
  </cols>
  <sheetData>
    <row r="2" spans="2:10" s="14" customFormat="1" ht="18" x14ac:dyDescent="0.2">
      <c r="B2" s="14" t="s">
        <v>21</v>
      </c>
    </row>
    <row r="4" spans="2:10" x14ac:dyDescent="0.2">
      <c r="B4" s="22" t="s">
        <v>12</v>
      </c>
      <c r="C4" s="1"/>
      <c r="D4" s="1"/>
    </row>
    <row r="5" spans="2:10" x14ac:dyDescent="0.2">
      <c r="B5" s="17" t="s">
        <v>220</v>
      </c>
      <c r="C5" s="3"/>
      <c r="D5" s="3"/>
      <c r="H5" s="15"/>
    </row>
    <row r="6" spans="2:10" x14ac:dyDescent="0.2">
      <c r="B6" s="17" t="s">
        <v>221</v>
      </c>
      <c r="C6" s="3"/>
      <c r="D6" s="3"/>
      <c r="H6" s="15"/>
    </row>
    <row r="7" spans="2:10" x14ac:dyDescent="0.2">
      <c r="B7" s="17" t="s">
        <v>222</v>
      </c>
      <c r="C7" s="3"/>
      <c r="D7" s="3"/>
      <c r="H7" s="15"/>
    </row>
    <row r="8" spans="2:10" x14ac:dyDescent="0.2">
      <c r="B8" s="17"/>
      <c r="C8" s="3"/>
      <c r="D8" s="3"/>
      <c r="H8" s="15"/>
    </row>
    <row r="10" spans="2:10" s="8" customFormat="1" x14ac:dyDescent="0.2">
      <c r="B10" s="8" t="s">
        <v>12</v>
      </c>
      <c r="F10" s="8" t="s">
        <v>34</v>
      </c>
      <c r="H10" s="8" t="s">
        <v>35</v>
      </c>
      <c r="J10" s="8" t="s">
        <v>37</v>
      </c>
    </row>
    <row r="13" spans="2:10" s="8" customFormat="1" x14ac:dyDescent="0.2">
      <c r="B13" s="8" t="s">
        <v>219</v>
      </c>
    </row>
    <row r="15" spans="2:10" x14ac:dyDescent="0.2">
      <c r="B15" s="1" t="s">
        <v>223</v>
      </c>
    </row>
    <row r="16" spans="2:10" x14ac:dyDescent="0.2">
      <c r="B16" s="2" t="s">
        <v>175</v>
      </c>
      <c r="F16" s="2" t="s">
        <v>206</v>
      </c>
      <c r="H16" s="45">
        <f>'Parameters in tariff decisions'!O24</f>
        <v>0.20590440190204531</v>
      </c>
    </row>
    <row r="17" spans="2:10" x14ac:dyDescent="0.2">
      <c r="B17" s="2" t="s">
        <v>224</v>
      </c>
      <c r="F17" s="2" t="s">
        <v>95</v>
      </c>
      <c r="H17" s="45">
        <f>'Parameters in tariff decisions'!L19</f>
        <v>0.2481167817017598</v>
      </c>
    </row>
    <row r="18" spans="2:10" x14ac:dyDescent="0.2">
      <c r="B18" s="2" t="s">
        <v>225</v>
      </c>
      <c r="F18" s="2" t="s">
        <v>97</v>
      </c>
      <c r="H18" s="44">
        <f>'Parameters in tariff decisions'!L20</f>
        <v>0.63412409341900033</v>
      </c>
    </row>
    <row r="19" spans="2:10" x14ac:dyDescent="0.2">
      <c r="B19" s="17" t="s">
        <v>233</v>
      </c>
      <c r="F19" s="2" t="s">
        <v>226</v>
      </c>
      <c r="H19" s="45">
        <f>'Fuel prices'!Q39</f>
        <v>0.86167640038180848</v>
      </c>
      <c r="J19" s="15"/>
    </row>
    <row r="20" spans="2:10" x14ac:dyDescent="0.2">
      <c r="B20" s="2" t="s">
        <v>227</v>
      </c>
      <c r="F20" s="2" t="s">
        <v>206</v>
      </c>
      <c r="H20" s="39">
        <f>H17*H18*H19</f>
        <v>0.13557343268309663</v>
      </c>
    </row>
    <row r="21" spans="2:10" x14ac:dyDescent="0.2">
      <c r="B21" s="2" t="s">
        <v>228</v>
      </c>
      <c r="F21" s="2" t="s">
        <v>206</v>
      </c>
      <c r="H21" s="39">
        <f>H16+H20</f>
        <v>0.34147783458514192</v>
      </c>
    </row>
    <row r="23" spans="2:10" x14ac:dyDescent="0.2">
      <c r="B23" s="1" t="s">
        <v>124</v>
      </c>
    </row>
    <row r="24" spans="2:10" x14ac:dyDescent="0.2">
      <c r="B24" s="2" t="s">
        <v>237</v>
      </c>
      <c r="F24" s="2" t="s">
        <v>207</v>
      </c>
      <c r="H24" s="28">
        <f>'Fuel component correction'!H46</f>
        <v>7181.7623141514741</v>
      </c>
      <c r="J24" s="2" t="s">
        <v>236</v>
      </c>
    </row>
    <row r="25" spans="2:10" x14ac:dyDescent="0.2">
      <c r="B25" s="2" t="s">
        <v>229</v>
      </c>
      <c r="F25" s="2" t="s">
        <v>84</v>
      </c>
      <c r="H25" s="28">
        <f>'Parameters in tariff decisions'!O25</f>
        <v>9582599.6674191542</v>
      </c>
    </row>
    <row r="26" spans="2:10" x14ac:dyDescent="0.2">
      <c r="B26" s="2" t="s">
        <v>177</v>
      </c>
      <c r="F26" s="2" t="s">
        <v>97</v>
      </c>
      <c r="H26" s="46">
        <f>'Parameters in tariff decisions'!O26</f>
        <v>0.5</v>
      </c>
    </row>
    <row r="27" spans="2:10" x14ac:dyDescent="0.2">
      <c r="B27" s="2" t="s">
        <v>230</v>
      </c>
      <c r="F27" s="2" t="s">
        <v>84</v>
      </c>
      <c r="H27" s="29">
        <f>H25*(1-H26)</f>
        <v>4791299.8337095771</v>
      </c>
    </row>
    <row r="28" spans="2:10" x14ac:dyDescent="0.2">
      <c r="B28" s="2" t="s">
        <v>238</v>
      </c>
      <c r="F28" s="2" t="s">
        <v>206</v>
      </c>
      <c r="H28" s="39">
        <f>H24/H27</f>
        <v>1.4989173216887002E-3</v>
      </c>
    </row>
    <row r="30" spans="2:10" x14ac:dyDescent="0.2">
      <c r="B30" s="1" t="s">
        <v>178</v>
      </c>
    </row>
    <row r="31" spans="2:10" x14ac:dyDescent="0.2">
      <c r="B31" s="2" t="s">
        <v>205</v>
      </c>
      <c r="F31" s="2" t="s">
        <v>206</v>
      </c>
      <c r="H31" s="45">
        <f>'Parameters in tariff decisions'!O29</f>
        <v>-4.9609546227902496E-4</v>
      </c>
    </row>
    <row r="33" spans="2:11" s="8" customFormat="1" x14ac:dyDescent="0.2">
      <c r="B33" s="8" t="s">
        <v>231</v>
      </c>
    </row>
    <row r="35" spans="2:11" x14ac:dyDescent="0.2">
      <c r="B35" s="1" t="s">
        <v>125</v>
      </c>
    </row>
    <row r="36" spans="2:11" x14ac:dyDescent="0.2">
      <c r="B36" s="2" t="s">
        <v>223</v>
      </c>
      <c r="F36" s="2" t="s">
        <v>206</v>
      </c>
      <c r="H36" s="45">
        <f>H21</f>
        <v>0.34147783458514192</v>
      </c>
    </row>
    <row r="37" spans="2:11" x14ac:dyDescent="0.2">
      <c r="B37" s="2" t="s">
        <v>232</v>
      </c>
      <c r="F37" s="2" t="s">
        <v>206</v>
      </c>
      <c r="H37" s="39">
        <f>H28+H31</f>
        <v>1.0028218594096752E-3</v>
      </c>
    </row>
    <row r="38" spans="2:11" x14ac:dyDescent="0.2">
      <c r="B38" s="2" t="s">
        <v>179</v>
      </c>
      <c r="F38" s="2" t="s">
        <v>97</v>
      </c>
      <c r="H38" s="44">
        <f>'Parameters in tariff decisions'!O32</f>
        <v>7.1099335923111406E-2</v>
      </c>
    </row>
    <row r="40" spans="2:11" x14ac:dyDescent="0.2">
      <c r="B40" s="2" t="s">
        <v>219</v>
      </c>
      <c r="F40" s="2" t="s">
        <v>206</v>
      </c>
      <c r="H40" s="48">
        <f>(H36+H37)/(1-H38)</f>
        <v>0.36869459748411071</v>
      </c>
      <c r="K40" s="58"/>
    </row>
    <row r="43" spans="2:11" x14ac:dyDescent="0.2">
      <c r="B43" s="4" t="s">
        <v>58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B2:B8"/>
  <sheetViews>
    <sheetView showGridLines="0" zoomScale="85" zoomScaleNormal="85" workbookViewId="0"/>
  </sheetViews>
  <sheetFormatPr defaultRowHeight="12.75" x14ac:dyDescent="0.2"/>
  <cols>
    <col min="1" max="16384" width="9.140625" style="16"/>
  </cols>
  <sheetData>
    <row r="2" spans="2:2" x14ac:dyDescent="0.2">
      <c r="B2" s="35" t="s">
        <v>153</v>
      </c>
    </row>
    <row r="3" spans="2:2" x14ac:dyDescent="0.2">
      <c r="B3" s="35" t="s">
        <v>154</v>
      </c>
    </row>
    <row r="7" spans="2:2" x14ac:dyDescent="0.2">
      <c r="B7" s="35"/>
    </row>
    <row r="8" spans="2:2" x14ac:dyDescent="0.2">
      <c r="B8" s="3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Y43"/>
  <sheetViews>
    <sheetView showGridLines="0" zoomScale="85" zoomScaleNormal="85" workbookViewId="0">
      <pane xSplit="7" ySplit="12" topLeftCell="H16" activePane="bottomRight" state="frozen"/>
      <selection activeCell="R6" sqref="R6"/>
      <selection pane="topRight" activeCell="R6" sqref="R6"/>
      <selection pane="bottomLeft" activeCell="R6" sqref="R6"/>
      <selection pane="bottomRight" sqref="A1:B1"/>
    </sheetView>
  </sheetViews>
  <sheetFormatPr defaultRowHeight="12.75" x14ac:dyDescent="0.2"/>
  <cols>
    <col min="1" max="1" width="4.7109375" style="2" customWidth="1"/>
    <col min="2" max="2" width="52.140625" style="2" customWidth="1"/>
    <col min="3" max="3" width="4.7109375" style="2" customWidth="1"/>
    <col min="4" max="5" width="4.5703125" style="2" customWidth="1"/>
    <col min="6" max="6" width="15.28515625" style="2" customWidth="1"/>
    <col min="7" max="7" width="3" style="2" customWidth="1"/>
    <col min="8" max="8" width="2.7109375" style="2" customWidth="1"/>
    <col min="9" max="9" width="11.7109375" style="2" customWidth="1"/>
    <col min="10" max="10" width="2.7109375" style="2" customWidth="1"/>
    <col min="11" max="11" width="14.140625" style="2" customWidth="1"/>
    <col min="12" max="12" width="2.7109375" style="2" customWidth="1"/>
    <col min="13" max="13" width="13.85546875" style="2" customWidth="1"/>
    <col min="14" max="14" width="2.85546875" style="2" customWidth="1"/>
    <col min="15" max="15" width="16" style="2" customWidth="1"/>
    <col min="16" max="16" width="2.7109375" style="2" customWidth="1"/>
    <col min="17" max="17" width="13.28515625" style="2" customWidth="1"/>
    <col min="18" max="18" width="2.42578125" style="2" customWidth="1"/>
    <col min="19" max="19" width="12.28515625" style="2" customWidth="1"/>
    <col min="20" max="20" width="2.42578125" style="2" customWidth="1"/>
    <col min="21" max="21" width="15.7109375" style="2" bestFit="1" customWidth="1"/>
    <col min="22" max="22" width="2.28515625" style="2" customWidth="1"/>
    <col min="23" max="23" width="27.5703125" style="2" customWidth="1"/>
    <col min="24" max="24" width="2.7109375" style="2" customWidth="1"/>
    <col min="25" max="25" width="13.7109375" style="2" customWidth="1"/>
    <col min="26" max="26" width="2.7109375" style="2" customWidth="1"/>
    <col min="27" max="41" width="13.7109375" style="2" customWidth="1"/>
    <col min="42" max="16384" width="9.140625" style="2"/>
  </cols>
  <sheetData>
    <row r="2" spans="2:25" s="14" customFormat="1" ht="18" x14ac:dyDescent="0.2">
      <c r="B2" s="14" t="s">
        <v>65</v>
      </c>
    </row>
    <row r="4" spans="2:25" x14ac:dyDescent="0.2">
      <c r="B4" s="22" t="s">
        <v>12</v>
      </c>
      <c r="C4" s="1"/>
      <c r="D4" s="1"/>
    </row>
    <row r="5" spans="2:25" x14ac:dyDescent="0.2">
      <c r="B5" s="17" t="s">
        <v>66</v>
      </c>
      <c r="C5" s="3"/>
      <c r="D5" s="3"/>
      <c r="I5" s="15"/>
    </row>
    <row r="6" spans="2:25" x14ac:dyDescent="0.2">
      <c r="B6" s="17"/>
      <c r="C6" s="3"/>
      <c r="D6" s="3"/>
      <c r="I6" s="15"/>
    </row>
    <row r="7" spans="2:25" x14ac:dyDescent="0.2">
      <c r="B7" s="23" t="s">
        <v>141</v>
      </c>
      <c r="C7" s="3"/>
      <c r="D7" s="3"/>
      <c r="I7" s="15"/>
    </row>
    <row r="8" spans="2:25" x14ac:dyDescent="0.2">
      <c r="B8" s="4" t="s">
        <v>157</v>
      </c>
      <c r="C8" s="3"/>
      <c r="D8" s="3"/>
    </row>
    <row r="9" spans="2:25" x14ac:dyDescent="0.2">
      <c r="B9" s="4"/>
      <c r="C9" s="3"/>
      <c r="D9" s="3"/>
    </row>
    <row r="11" spans="2:25" s="8" customFormat="1" ht="26.25" customHeight="1" x14ac:dyDescent="0.2">
      <c r="B11" s="8" t="s">
        <v>12</v>
      </c>
      <c r="I11" s="8" t="s">
        <v>35</v>
      </c>
      <c r="K11" s="36" t="s">
        <v>72</v>
      </c>
      <c r="M11" s="36" t="s">
        <v>67</v>
      </c>
      <c r="O11" s="36" t="s">
        <v>77</v>
      </c>
      <c r="Q11" s="36" t="s">
        <v>68</v>
      </c>
      <c r="S11" s="36" t="s">
        <v>69</v>
      </c>
      <c r="U11" s="8" t="s">
        <v>70</v>
      </c>
      <c r="W11" s="36" t="s">
        <v>71</v>
      </c>
      <c r="Y11" s="8" t="s">
        <v>37</v>
      </c>
    </row>
    <row r="14" spans="2:25" s="8" customFormat="1" x14ac:dyDescent="0.2">
      <c r="B14" s="8" t="s">
        <v>74</v>
      </c>
    </row>
    <row r="16" spans="2:25" x14ac:dyDescent="0.2">
      <c r="B16" s="22" t="s">
        <v>126</v>
      </c>
    </row>
    <row r="17" spans="2:25" x14ac:dyDescent="0.2">
      <c r="B17" s="2" t="s">
        <v>73</v>
      </c>
      <c r="I17" s="38">
        <v>3.7854117839999999</v>
      </c>
    </row>
    <row r="19" spans="2:25" s="8" customFormat="1" x14ac:dyDescent="0.2">
      <c r="B19" s="8" t="s">
        <v>64</v>
      </c>
    </row>
    <row r="21" spans="2:25" x14ac:dyDescent="0.2">
      <c r="B21" s="1" t="s">
        <v>75</v>
      </c>
      <c r="F21" s="1" t="s">
        <v>76</v>
      </c>
      <c r="G21" s="1"/>
    </row>
    <row r="22" spans="2:25" x14ac:dyDescent="0.2">
      <c r="B22" s="1"/>
      <c r="F22" s="1"/>
      <c r="G22" s="1"/>
    </row>
    <row r="23" spans="2:25" x14ac:dyDescent="0.2">
      <c r="B23" s="25" t="s">
        <v>187</v>
      </c>
      <c r="C23" s="2" t="s">
        <v>60</v>
      </c>
      <c r="F23" s="37">
        <v>45192</v>
      </c>
      <c r="K23" s="69">
        <v>154500</v>
      </c>
      <c r="M23" s="29">
        <f>K23*$I$17</f>
        <v>584846.120628</v>
      </c>
      <c r="O23" s="70">
        <v>4.2187700000000001</v>
      </c>
      <c r="Q23" s="39">
        <f>O23/$I$17</f>
        <v>1.1144811293269858</v>
      </c>
      <c r="S23" s="29">
        <f>Q23*M23</f>
        <v>651799.96500000008</v>
      </c>
      <c r="U23" s="66" t="s">
        <v>162</v>
      </c>
      <c r="W23" s="39">
        <f>SUMPRODUCT(M23:M23,Q23:Q23)/SUMPRODUCT(M23:M23)</f>
        <v>1.1144811293269858</v>
      </c>
      <c r="Y23" s="2" t="s">
        <v>168</v>
      </c>
    </row>
    <row r="24" spans="2:25" x14ac:dyDescent="0.2">
      <c r="Y24" s="15"/>
    </row>
    <row r="25" spans="2:25" x14ac:dyDescent="0.2">
      <c r="B25" s="47"/>
      <c r="F25" s="47"/>
      <c r="K25" s="47"/>
      <c r="M25" s="29">
        <f>K25*$I$17</f>
        <v>0</v>
      </c>
      <c r="O25" s="47"/>
      <c r="Q25" s="39">
        <f>O25/$I$17</f>
        <v>0</v>
      </c>
      <c r="S25" s="68">
        <f>Q25*M25</f>
        <v>0</v>
      </c>
      <c r="U25" s="66" t="s">
        <v>161</v>
      </c>
      <c r="W25" s="45">
        <f>W23</f>
        <v>1.1144811293269858</v>
      </c>
      <c r="Y25" s="2" t="s">
        <v>188</v>
      </c>
    </row>
    <row r="26" spans="2:25" x14ac:dyDescent="0.2">
      <c r="Y26" s="15"/>
    </row>
    <row r="27" spans="2:25" x14ac:dyDescent="0.2">
      <c r="B27" s="47"/>
      <c r="F27" s="47"/>
      <c r="K27" s="47"/>
      <c r="M27" s="29">
        <f>K27*$I$17</f>
        <v>0</v>
      </c>
      <c r="O27" s="47"/>
      <c r="Q27" s="39">
        <f>O27/$I$17</f>
        <v>0</v>
      </c>
      <c r="S27" s="29">
        <f>Q27*M27</f>
        <v>0</v>
      </c>
      <c r="U27" s="66" t="s">
        <v>163</v>
      </c>
      <c r="W27" s="45">
        <f>W23</f>
        <v>1.1144811293269858</v>
      </c>
      <c r="Y27" s="2" t="s">
        <v>189</v>
      </c>
    </row>
    <row r="28" spans="2:25" x14ac:dyDescent="0.2">
      <c r="Y28" s="15"/>
    </row>
    <row r="29" spans="2:25" x14ac:dyDescent="0.2">
      <c r="B29" s="47"/>
      <c r="F29" s="47"/>
      <c r="K29" s="47"/>
      <c r="M29" s="29">
        <f>K29*$I$17</f>
        <v>0</v>
      </c>
      <c r="O29" s="47"/>
      <c r="Q29" s="39">
        <f>O29/$I$17</f>
        <v>0</v>
      </c>
      <c r="S29" s="29">
        <f>Q29*M29</f>
        <v>0</v>
      </c>
      <c r="U29" s="66" t="s">
        <v>164</v>
      </c>
      <c r="W29" s="45">
        <f>W25</f>
        <v>1.1144811293269858</v>
      </c>
      <c r="Y29" s="2" t="s">
        <v>190</v>
      </c>
    </row>
    <row r="30" spans="2:25" x14ac:dyDescent="0.2">
      <c r="Y30" s="15"/>
    </row>
    <row r="31" spans="2:25" x14ac:dyDescent="0.2">
      <c r="B31" s="47"/>
      <c r="F31" s="47"/>
      <c r="K31" s="47"/>
      <c r="M31" s="29">
        <f>K31*$I$17</f>
        <v>0</v>
      </c>
      <c r="O31" s="47"/>
      <c r="Q31" s="39">
        <f>O31/$I$17</f>
        <v>0</v>
      </c>
      <c r="S31" s="29">
        <f>Q31*M31</f>
        <v>0</v>
      </c>
      <c r="U31" s="66" t="s">
        <v>165</v>
      </c>
      <c r="W31" s="45">
        <f>W25</f>
        <v>1.1144811293269858</v>
      </c>
      <c r="Y31" s="2" t="s">
        <v>191</v>
      </c>
    </row>
    <row r="32" spans="2:25" x14ac:dyDescent="0.2">
      <c r="Y32" s="15"/>
    </row>
    <row r="33" spans="2:25" x14ac:dyDescent="0.2">
      <c r="B33" s="25" t="s">
        <v>186</v>
      </c>
      <c r="C33" s="2" t="s">
        <v>60</v>
      </c>
      <c r="F33" s="37">
        <v>45324</v>
      </c>
      <c r="K33" s="25">
        <v>156000</v>
      </c>
      <c r="M33" s="29">
        <f>K33*$I$17</f>
        <v>590524.238304</v>
      </c>
      <c r="O33" s="38">
        <v>3.6581999999999999</v>
      </c>
      <c r="Q33" s="39">
        <f>O33/$I$17</f>
        <v>0.96639420193657855</v>
      </c>
      <c r="S33" s="68">
        <f>Q33*M33</f>
        <v>570679.19999999995</v>
      </c>
      <c r="U33" s="66" t="s">
        <v>166</v>
      </c>
      <c r="W33" s="39">
        <f>SUMPRODUCT(M33:M33,Q33:Q33)/SUMPRODUCT(M33:M33)</f>
        <v>0.96639420193657843</v>
      </c>
      <c r="Y33" s="2" t="s">
        <v>167</v>
      </c>
    </row>
    <row r="34" spans="2:25" x14ac:dyDescent="0.2">
      <c r="Y34" s="15"/>
    </row>
    <row r="35" spans="2:25" x14ac:dyDescent="0.2">
      <c r="Y35" s="15"/>
    </row>
    <row r="36" spans="2:25" s="8" customFormat="1" ht="25.5" x14ac:dyDescent="0.2">
      <c r="B36" s="8" t="s">
        <v>78</v>
      </c>
      <c r="O36" s="36" t="s">
        <v>77</v>
      </c>
      <c r="Q36" s="36" t="s">
        <v>68</v>
      </c>
      <c r="Y36" s="40"/>
    </row>
    <row r="37" spans="2:25" x14ac:dyDescent="0.2">
      <c r="Y37" s="15"/>
    </row>
    <row r="38" spans="2:25" x14ac:dyDescent="0.2">
      <c r="B38" s="1" t="s">
        <v>75</v>
      </c>
      <c r="F38" s="1" t="s">
        <v>76</v>
      </c>
      <c r="G38" s="1"/>
      <c r="Y38" s="15"/>
    </row>
    <row r="39" spans="2:25" x14ac:dyDescent="0.2">
      <c r="B39" s="25" t="s">
        <v>213</v>
      </c>
      <c r="F39" s="37">
        <v>45436</v>
      </c>
      <c r="O39" s="38">
        <v>3.2618</v>
      </c>
      <c r="Q39" s="39">
        <f>O39/$I$17</f>
        <v>0.86167640038180848</v>
      </c>
      <c r="Y39" s="21"/>
    </row>
    <row r="40" spans="2:25" x14ac:dyDescent="0.2">
      <c r="Y40" s="15"/>
    </row>
    <row r="43" spans="2:25" x14ac:dyDescent="0.2">
      <c r="B43" s="4" t="s">
        <v>58</v>
      </c>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D63A-8A0E-4CFB-8985-7E70CA37525C}">
  <sheetPr>
    <tabColor rgb="FFE1FFE1"/>
  </sheetPr>
  <dimension ref="B2:U22"/>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5.7109375" style="2" customWidth="1"/>
    <col min="18" max="18" width="2.7109375" style="2" customWidth="1"/>
    <col min="19" max="19" width="21.57031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21" s="14" customFormat="1" ht="18" x14ac:dyDescent="0.2">
      <c r="B2" s="14" t="s">
        <v>79</v>
      </c>
    </row>
    <row r="4" spans="2:21" x14ac:dyDescent="0.2">
      <c r="B4" s="22" t="s">
        <v>12</v>
      </c>
      <c r="C4" s="1"/>
      <c r="D4" s="1"/>
    </row>
    <row r="5" spans="2:21" x14ac:dyDescent="0.2">
      <c r="B5" s="17" t="s">
        <v>246</v>
      </c>
      <c r="C5" s="3"/>
      <c r="D5" s="3"/>
      <c r="H5" s="15"/>
    </row>
    <row r="6" spans="2:21" x14ac:dyDescent="0.2">
      <c r="B6" s="17"/>
      <c r="C6" s="3"/>
      <c r="D6" s="3"/>
      <c r="H6" s="15"/>
    </row>
    <row r="8" spans="2:21" s="8" customFormat="1" x14ac:dyDescent="0.2">
      <c r="B8" s="8" t="s">
        <v>12</v>
      </c>
      <c r="F8" s="8" t="s">
        <v>34</v>
      </c>
      <c r="H8" s="8" t="s">
        <v>35</v>
      </c>
      <c r="J8" s="8" t="s">
        <v>36</v>
      </c>
      <c r="L8" s="8" t="s">
        <v>163</v>
      </c>
      <c r="M8" s="8" t="s">
        <v>164</v>
      </c>
      <c r="N8" s="8" t="s">
        <v>165</v>
      </c>
      <c r="O8" s="8" t="s">
        <v>166</v>
      </c>
      <c r="P8" s="8" t="s">
        <v>169</v>
      </c>
      <c r="Q8" s="8" t="s">
        <v>171</v>
      </c>
      <c r="S8" s="8" t="s">
        <v>38</v>
      </c>
      <c r="U8" s="8" t="s">
        <v>37</v>
      </c>
    </row>
    <row r="11" spans="2:21" s="8" customFormat="1" x14ac:dyDescent="0.2">
      <c r="B11" s="8" t="s">
        <v>63</v>
      </c>
    </row>
    <row r="13" spans="2:21" x14ac:dyDescent="0.2">
      <c r="B13" s="22" t="s">
        <v>80</v>
      </c>
    </row>
    <row r="14" spans="2:21" x14ac:dyDescent="0.2">
      <c r="B14" s="2" t="s">
        <v>81</v>
      </c>
      <c r="F14" s="2" t="s">
        <v>84</v>
      </c>
      <c r="L14" s="25">
        <v>248580.62</v>
      </c>
      <c r="M14" s="25">
        <v>245287.21600000001</v>
      </c>
      <c r="N14" s="25">
        <v>242525.53300000002</v>
      </c>
      <c r="O14" s="25">
        <v>233407.39</v>
      </c>
      <c r="P14" s="25">
        <v>311075.04000000004</v>
      </c>
      <c r="Q14" s="25">
        <v>277464.67</v>
      </c>
      <c r="S14" s="2" t="s">
        <v>170</v>
      </c>
      <c r="U14" s="15"/>
    </row>
    <row r="15" spans="2:21" x14ac:dyDescent="0.2">
      <c r="B15" s="2" t="s">
        <v>82</v>
      </c>
      <c r="F15" s="2" t="s">
        <v>84</v>
      </c>
      <c r="L15" s="25">
        <v>606024</v>
      </c>
      <c r="M15" s="25">
        <v>514885</v>
      </c>
      <c r="N15" s="25">
        <v>515493</v>
      </c>
      <c r="O15" s="25">
        <v>479687</v>
      </c>
      <c r="P15" s="25">
        <v>497942</v>
      </c>
      <c r="Q15" s="25">
        <v>490309</v>
      </c>
      <c r="S15" s="2" t="s">
        <v>170</v>
      </c>
      <c r="U15" s="15"/>
    </row>
    <row r="16" spans="2:21" x14ac:dyDescent="0.2">
      <c r="U16" s="15"/>
    </row>
    <row r="17" spans="2:17" x14ac:dyDescent="0.2">
      <c r="B17" s="2" t="s">
        <v>83</v>
      </c>
      <c r="F17" s="2" t="s">
        <v>84</v>
      </c>
      <c r="L17" s="29">
        <f>L14+L15</f>
        <v>854604.62</v>
      </c>
      <c r="M17" s="29">
        <f t="shared" ref="M17:Q17" si="0">M14+M15</f>
        <v>760172.21600000001</v>
      </c>
      <c r="N17" s="29">
        <f>N14+N15</f>
        <v>758018.53300000005</v>
      </c>
      <c r="O17" s="29">
        <f t="shared" si="0"/>
        <v>713094.39</v>
      </c>
      <c r="P17" s="29">
        <f t="shared" si="0"/>
        <v>809017.04</v>
      </c>
      <c r="Q17" s="29">
        <f t="shared" si="0"/>
        <v>767773.66999999993</v>
      </c>
    </row>
    <row r="22" spans="2:17" x14ac:dyDescent="0.2">
      <c r="B22" s="4" t="s">
        <v>58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328B5-73DC-401A-84F8-243382C30175}">
  <sheetPr>
    <tabColor rgb="FFE1FFE1"/>
  </sheetPr>
  <dimension ref="B2:Q33"/>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6.5703125" style="2" bestFit="1" customWidth="1"/>
    <col min="7" max="7" width="2.7109375" style="2" customWidth="1"/>
    <col min="8" max="8" width="13.7109375" style="2" customWidth="1"/>
    <col min="9" max="9" width="2.7109375" style="2" customWidth="1"/>
    <col min="10" max="10" width="13.42578125" style="2" customWidth="1"/>
    <col min="11" max="11" width="2.7109375" style="2" customWidth="1"/>
    <col min="12" max="12" width="19.7109375" style="2" customWidth="1"/>
    <col min="13" max="15" width="21.7109375" style="2" customWidth="1"/>
    <col min="16" max="16" width="2.7109375" style="2" customWidth="1"/>
    <col min="17" max="17" width="13.7109375" style="2" customWidth="1"/>
    <col min="18" max="18" width="2.7109375" style="2" customWidth="1"/>
    <col min="19" max="33" width="13.7109375" style="2" customWidth="1"/>
    <col min="34" max="16384" width="9.140625" style="2"/>
  </cols>
  <sheetData>
    <row r="2" spans="2:17" s="14" customFormat="1" ht="18" x14ac:dyDescent="0.2">
      <c r="B2" s="14" t="s">
        <v>85</v>
      </c>
    </row>
    <row r="4" spans="2:17" x14ac:dyDescent="0.2">
      <c r="B4" s="22" t="s">
        <v>12</v>
      </c>
      <c r="C4" s="1"/>
      <c r="D4" s="1"/>
    </row>
    <row r="5" spans="2:17" x14ac:dyDescent="0.2">
      <c r="B5" s="17" t="s">
        <v>244</v>
      </c>
      <c r="C5" s="3"/>
      <c r="D5" s="3"/>
      <c r="H5" s="15"/>
    </row>
    <row r="6" spans="2:17" x14ac:dyDescent="0.2">
      <c r="B6" s="17"/>
      <c r="C6" s="3"/>
      <c r="D6" s="3"/>
      <c r="H6" s="15"/>
    </row>
    <row r="7" spans="2:17" x14ac:dyDescent="0.2">
      <c r="B7" s="23" t="s">
        <v>141</v>
      </c>
      <c r="C7" s="3"/>
      <c r="D7" s="3"/>
      <c r="H7" s="15"/>
    </row>
    <row r="8" spans="2:17" x14ac:dyDescent="0.2">
      <c r="B8" s="4" t="s">
        <v>245</v>
      </c>
      <c r="C8" s="3"/>
      <c r="D8" s="3"/>
    </row>
    <row r="9" spans="2:17" x14ac:dyDescent="0.2">
      <c r="B9" s="4"/>
      <c r="C9" s="3"/>
      <c r="D9" s="3"/>
    </row>
    <row r="11" spans="2:17" s="8" customFormat="1" ht="25.5" x14ac:dyDescent="0.2">
      <c r="B11" s="8" t="s">
        <v>12</v>
      </c>
      <c r="F11" s="8" t="s">
        <v>34</v>
      </c>
      <c r="H11" s="8" t="s">
        <v>35</v>
      </c>
      <c r="J11" s="36" t="s">
        <v>86</v>
      </c>
      <c r="K11" s="36"/>
      <c r="L11" s="36" t="s">
        <v>146</v>
      </c>
      <c r="M11" s="36" t="s">
        <v>174</v>
      </c>
      <c r="N11" s="36" t="s">
        <v>172</v>
      </c>
      <c r="O11" s="36" t="s">
        <v>173</v>
      </c>
      <c r="Q11" s="8" t="s">
        <v>37</v>
      </c>
    </row>
    <row r="14" spans="2:17" x14ac:dyDescent="0.2">
      <c r="B14" s="1" t="s">
        <v>87</v>
      </c>
      <c r="L14" s="2" t="s">
        <v>88</v>
      </c>
      <c r="M14" s="2" t="s">
        <v>89</v>
      </c>
      <c r="N14" s="2" t="s">
        <v>90</v>
      </c>
      <c r="O14" s="2" t="s">
        <v>91</v>
      </c>
    </row>
    <row r="16" spans="2:17" s="8" customFormat="1" x14ac:dyDescent="0.2">
      <c r="B16" s="8" t="s">
        <v>92</v>
      </c>
    </row>
    <row r="18" spans="2:17" x14ac:dyDescent="0.2">
      <c r="B18" s="22" t="s">
        <v>93</v>
      </c>
    </row>
    <row r="19" spans="2:17" x14ac:dyDescent="0.2">
      <c r="B19" s="2" t="s">
        <v>94</v>
      </c>
      <c r="F19" s="2" t="s">
        <v>95</v>
      </c>
      <c r="L19" s="38">
        <v>0.2481167817017598</v>
      </c>
      <c r="M19" s="71">
        <v>0.25338144096032705</v>
      </c>
    </row>
    <row r="20" spans="2:17" x14ac:dyDescent="0.2">
      <c r="B20" s="2" t="s">
        <v>96</v>
      </c>
      <c r="F20" s="2" t="s">
        <v>97</v>
      </c>
      <c r="L20" s="42">
        <v>0.63412409341900033</v>
      </c>
      <c r="M20" s="72">
        <v>0.64353535646634585</v>
      </c>
    </row>
    <row r="22" spans="2:17" x14ac:dyDescent="0.2">
      <c r="B22" s="1" t="s">
        <v>101</v>
      </c>
    </row>
    <row r="23" spans="2:17" x14ac:dyDescent="0.2">
      <c r="B23" s="2" t="s">
        <v>98</v>
      </c>
      <c r="F23" s="2" t="s">
        <v>99</v>
      </c>
      <c r="N23" s="38">
        <v>0.15988421224540678</v>
      </c>
      <c r="O23" s="38">
        <v>0.18172719925403147</v>
      </c>
    </row>
    <row r="24" spans="2:17" x14ac:dyDescent="0.2">
      <c r="B24" s="2" t="s">
        <v>175</v>
      </c>
      <c r="F24" s="2" t="s">
        <v>206</v>
      </c>
      <c r="O24" s="38">
        <v>0.20590440190204531</v>
      </c>
    </row>
    <row r="25" spans="2:17" x14ac:dyDescent="0.2">
      <c r="B25" s="2" t="s">
        <v>176</v>
      </c>
      <c r="F25" s="2" t="s">
        <v>84</v>
      </c>
      <c r="O25" s="25">
        <v>9582599.6674191542</v>
      </c>
    </row>
    <row r="26" spans="2:17" x14ac:dyDescent="0.2">
      <c r="B26" s="17" t="s">
        <v>177</v>
      </c>
      <c r="F26" s="2" t="s">
        <v>97</v>
      </c>
      <c r="O26" s="43">
        <v>0.5</v>
      </c>
      <c r="Q26" s="2" t="s">
        <v>100</v>
      </c>
    </row>
    <row r="27" spans="2:17" x14ac:dyDescent="0.2">
      <c r="B27" s="17"/>
    </row>
    <row r="28" spans="2:17" x14ac:dyDescent="0.2">
      <c r="B28" s="1" t="s">
        <v>178</v>
      </c>
    </row>
    <row r="29" spans="2:17" x14ac:dyDescent="0.2">
      <c r="B29" s="17" t="s">
        <v>205</v>
      </c>
      <c r="F29" s="2" t="s">
        <v>206</v>
      </c>
      <c r="O29" s="64">
        <v>-4.9609546227902496E-4</v>
      </c>
      <c r="Q29" s="2" t="s">
        <v>208</v>
      </c>
    </row>
    <row r="31" spans="2:17" x14ac:dyDescent="0.2">
      <c r="B31" s="1" t="s">
        <v>138</v>
      </c>
    </row>
    <row r="32" spans="2:17" x14ac:dyDescent="0.2">
      <c r="B32" s="2" t="s">
        <v>179</v>
      </c>
      <c r="F32" s="2" t="s">
        <v>97</v>
      </c>
      <c r="O32" s="42">
        <v>7.1099335923111406E-2</v>
      </c>
    </row>
    <row r="33" spans="2:17" x14ac:dyDescent="0.2">
      <c r="B33" s="2" t="s">
        <v>128</v>
      </c>
      <c r="F33" s="2" t="s">
        <v>97</v>
      </c>
      <c r="J33" s="50"/>
      <c r="O33" s="42">
        <v>0.03</v>
      </c>
      <c r="Q33" s="2" t="s">
        <v>152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3"/>
  <sheetViews>
    <sheetView showGridLines="0" zoomScale="85" zoomScaleNormal="85" workbookViewId="0"/>
  </sheetViews>
  <sheetFormatPr defaultRowHeight="12.75" x14ac:dyDescent="0.2"/>
  <cols>
    <col min="1" max="16384" width="9.140625" style="16"/>
  </cols>
  <sheetData>
    <row r="2" spans="2:2" x14ac:dyDescent="0.2">
      <c r="B2" s="35" t="s">
        <v>153</v>
      </c>
    </row>
    <row r="3" spans="2:2" x14ac:dyDescent="0.2">
      <c r="B3" s="35" t="s">
        <v>154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Props1.xml><?xml version="1.0" encoding="utf-8"?>
<ds:datastoreItem xmlns:ds="http://schemas.openxmlformats.org/officeDocument/2006/customXml" ds:itemID="{29821432-9D6D-4FB8-B669-75517133F53E}">
  <ds:schemaRefs>
    <ds:schemaRef ds:uri="http://schemas.microsoft.com/sharepoint/events"/>
  </ds:schemaRefs>
</ds:datastoreItem>
</file>

<file path=customXml/itemProps2.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3.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DAB9D1-B815-4B0E-93E7-4496A7FE99F6}">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4b38974-1436-4631-a0be-797faa579778"/>
    <ds:schemaRef ds:uri="http://schemas.microsoft.com/office/infopath/2007/PartnerControls"/>
    <ds:schemaRef ds:uri="http://purl.org/dc/terms/"/>
    <ds:schemaRef ds:uri="5e7bef76-b888-41a2-a261-5f525b37d47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Cover sheet</vt:lpstr>
      <vt:lpstr>Explanation</vt:lpstr>
      <vt:lpstr>Sources and specifics</vt:lpstr>
      <vt:lpstr>Result</vt:lpstr>
      <vt:lpstr>Input --&gt;</vt:lpstr>
      <vt:lpstr>Fuel prices</vt:lpstr>
      <vt:lpstr>Production data</vt:lpstr>
      <vt:lpstr>Parameters in tariff decisions</vt:lpstr>
      <vt:lpstr>Calculations --&gt;</vt:lpstr>
      <vt:lpstr>Fuel component correction</vt:lpstr>
      <vt:lpstr>Dictum &amp; Annex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2024-06-24T08:53:29Z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