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8_{16DC70FC-B5ED-4105-9349-93FCDD68DA8F}" xr6:coauthVersionLast="47" xr6:coauthVersionMax="47" xr10:uidLastSave="{00000000-0000-0000-0000-000000000000}"/>
  <bookViews>
    <workbookView xWindow="-28920" yWindow="-120" windowWidth="29040" windowHeight="17520" tabRatio="858" xr2:uid="{00000000-000D-0000-FFFF-FFFF00000000}"/>
  </bookViews>
  <sheets>
    <sheet name="Cover sheet" sheetId="9" r:id="rId1"/>
    <sheet name="Explanation" sheetId="10" r:id="rId2"/>
    <sheet name="Sources and specifics" sheetId="11" r:id="rId3"/>
    <sheet name="Result" sheetId="21" r:id="rId4"/>
    <sheet name="Input --&gt;" sheetId="13" r:id="rId5"/>
    <sheet name="Fuel ledger" sheetId="18" r:id="rId6"/>
    <sheet name="Input data" sheetId="24" r:id="rId7"/>
    <sheet name="Calculations --&gt;" sheetId="15" r:id="rId8"/>
    <sheet name="Fuel component correction" sheetId="22" r:id="rId9"/>
    <sheet name="Dictum &amp; Annex" sheetId="27" r:id="rId10"/>
  </sheets>
  <calcPr calcId="191029" concurrentManualCount="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0" i="22" l="1"/>
  <c r="L40" i="22"/>
  <c r="K32" i="22" l="1"/>
  <c r="L32" i="22"/>
  <c r="M32" i="22"/>
  <c r="N32" i="22"/>
  <c r="N34" i="22" s="1"/>
  <c r="O34" i="22" s="1"/>
  <c r="O32" i="22"/>
  <c r="K33" i="22"/>
  <c r="L33" i="22"/>
  <c r="M33" i="22"/>
  <c r="M34" i="22" s="1"/>
  <c r="N33" i="22"/>
  <c r="O33" i="22"/>
  <c r="K34" i="22"/>
  <c r="L34" i="22"/>
  <c r="J32" i="22"/>
  <c r="J33" i="22"/>
  <c r="N40" i="22"/>
  <c r="O40" i="22"/>
  <c r="P40" i="22"/>
  <c r="Q40" i="22"/>
  <c r="K27" i="18" l="1"/>
  <c r="N27" i="18" s="1"/>
  <c r="M27" i="18"/>
  <c r="P27" i="18"/>
  <c r="M26" i="18"/>
  <c r="P26" i="18"/>
  <c r="K26" i="18"/>
  <c r="N26" i="18" s="1"/>
  <c r="P22" i="18" l="1"/>
  <c r="M22" i="18"/>
  <c r="K22" i="18"/>
  <c r="N22" i="18" s="1"/>
  <c r="K25" i="18"/>
  <c r="N25" i="18" s="1"/>
  <c r="M25" i="18"/>
  <c r="P25" i="18"/>
  <c r="H19" i="21" l="1"/>
  <c r="E16" i="27"/>
  <c r="J34" i="22"/>
  <c r="H18" i="21"/>
  <c r="H17" i="21"/>
  <c r="H16" i="21"/>
  <c r="M18" i="24"/>
  <c r="L26" i="22" l="1"/>
  <c r="O25" i="22"/>
  <c r="P25" i="22"/>
  <c r="Q25" i="22"/>
  <c r="O26" i="22"/>
  <c r="P26" i="22"/>
  <c r="Q26" i="22"/>
  <c r="N26" i="22"/>
  <c r="N25" i="22"/>
  <c r="M25" i="22"/>
  <c r="L25" i="22"/>
  <c r="M26" i="22" l="1"/>
  <c r="L18" i="24" l="1"/>
  <c r="L29" i="22" l="1"/>
  <c r="E13" i="27"/>
  <c r="H31" i="21" l="1"/>
  <c r="E27" i="27" s="1"/>
  <c r="H38" i="21" l="1"/>
  <c r="E32" i="27" s="1"/>
  <c r="H26" i="21"/>
  <c r="H25" i="21"/>
  <c r="H20" i="22"/>
  <c r="H27" i="21" l="1"/>
  <c r="E23" i="27" s="1"/>
  <c r="M29" i="22"/>
  <c r="N18" i="24"/>
  <c r="O18" i="24"/>
  <c r="O29" i="22" s="1"/>
  <c r="P18" i="24"/>
  <c r="P29" i="22" s="1"/>
  <c r="Q18" i="24"/>
  <c r="Q29" i="22" s="1"/>
  <c r="N29" i="22" l="1"/>
  <c r="L39" i="22"/>
  <c r="Q39" i="22"/>
  <c r="Q41" i="22" s="1"/>
  <c r="Q44" i="22" s="1"/>
  <c r="H20" i="21"/>
  <c r="H21" i="21" s="1"/>
  <c r="H36" i="21" s="1"/>
  <c r="E17" i="27" l="1"/>
  <c r="L41" i="22"/>
  <c r="L44" i="22" s="1"/>
  <c r="P39" i="22"/>
  <c r="P41" i="22" s="1"/>
  <c r="P44" i="22" s="1"/>
  <c r="M39" i="22"/>
  <c r="M41" i="22" s="1"/>
  <c r="M44" i="22" s="1"/>
  <c r="E30" i="27"/>
  <c r="B18" i="10"/>
  <c r="B25" i="10" s="1"/>
  <c r="O39" i="22" l="1"/>
  <c r="O41" i="22" s="1"/>
  <c r="O44" i="22" s="1"/>
  <c r="N39" i="22"/>
  <c r="N41" i="22" s="1"/>
  <c r="N44" i="22" s="1"/>
  <c r="H45" i="22"/>
  <c r="B19" i="10"/>
  <c r="E20" i="27" l="1"/>
  <c r="H46" i="22"/>
  <c r="H48" i="22" s="1"/>
  <c r="E22" i="27" s="1"/>
  <c r="B20" i="10"/>
  <c r="B24" i="10" s="1"/>
  <c r="E21" i="27" l="1"/>
  <c r="H24" i="21"/>
  <c r="H28" i="21" s="1"/>
  <c r="H37" i="21" s="1"/>
  <c r="E24" i="27" l="1"/>
  <c r="E31" i="27"/>
  <c r="H40" i="21"/>
  <c r="E34" i="2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24" authorId="0" shapeId="0" xr:uid="{00000000-0006-0000-0400-000001000000}">
      <text>
        <r>
          <rPr>
            <sz val="8"/>
            <color indexed="81"/>
            <rFont val="Tahoma"/>
            <family val="2"/>
          </rPr>
          <t>At all times a (group of) pink cell(s) needs an explanantion on its special nature. This explanation will be added through this remark box.</t>
        </r>
      </text>
    </comment>
  </commentList>
</comments>
</file>

<file path=xl/sharedStrings.xml><?xml version="1.0" encoding="utf-8"?>
<sst xmlns="http://schemas.openxmlformats.org/spreadsheetml/2006/main" count="346" uniqueCount="234">
  <si>
    <t>Disclaimer</t>
  </si>
  <si>
    <t>Data</t>
  </si>
  <si>
    <t>Input --&gt;</t>
  </si>
  <si>
    <t>About this file</t>
  </si>
  <si>
    <t>Case number</t>
  </si>
  <si>
    <t>File title</t>
  </si>
  <si>
    <t>Subtitle</t>
  </si>
  <si>
    <t>Other remarks</t>
  </si>
  <si>
    <t>About the status of this file</t>
  </si>
  <si>
    <t>Final version? (y/n)</t>
  </si>
  <si>
    <t>Is this file legally part of the decision(s) listed above? (y/n)</t>
  </si>
  <si>
    <t>Cell colors (for numbers)</t>
  </si>
  <si>
    <t>Description</t>
  </si>
  <si>
    <t>Data and input (source required)</t>
  </si>
  <si>
    <t>Calculated value</t>
  </si>
  <si>
    <t>Empty cell (not zero) used in a formula range</t>
  </si>
  <si>
    <t>Value or calculation that needs special attention or explanation</t>
  </si>
  <si>
    <t>Sheet tab colors</t>
  </si>
  <si>
    <t>Sheet with result/output</t>
  </si>
  <si>
    <t>Sheet with input</t>
  </si>
  <si>
    <t>Sheet with calculations</t>
  </si>
  <si>
    <t>Model sheets</t>
  </si>
  <si>
    <t>Result</t>
  </si>
  <si>
    <t>Calculation</t>
  </si>
  <si>
    <t>Explanatory sheets</t>
  </si>
  <si>
    <t>Explanation</t>
  </si>
  <si>
    <t>Special attention:</t>
  </si>
  <si>
    <t>Source overview and specific applications</t>
  </si>
  <si>
    <t>Source overview</t>
  </si>
  <si>
    <t>Each input sheet contains a column 'Source', in which the sources are referred to by their shortened name. These sources are further explained in the table below.</t>
  </si>
  <si>
    <t>No.</t>
  </si>
  <si>
    <t>Shortened name</t>
  </si>
  <si>
    <t>External file name</t>
  </si>
  <si>
    <t>As referred to in Source column</t>
  </si>
  <si>
    <t>Exact file name</t>
  </si>
  <si>
    <t>Date received, email, URL, file location</t>
  </si>
  <si>
    <t>Unit</t>
  </si>
  <si>
    <t>Constant</t>
  </si>
  <si>
    <t>Remarks</t>
  </si>
  <si>
    <t>Source</t>
  </si>
  <si>
    <t>Cover sheet</t>
  </si>
  <si>
    <t>Belongs to decision(s):</t>
  </si>
  <si>
    <t>Reference number of decision(s)</t>
  </si>
  <si>
    <t>If applicable</t>
  </si>
  <si>
    <t>Objections and appeals can be filed against the decision to which this file belongs.</t>
  </si>
  <si>
    <t xml:space="preserve">If there are any substantive differences between the calculation in this file and the calculation that follows from the relevant decision, the decision's calculation is authentic. </t>
  </si>
  <si>
    <t>Explanatory notes to this file</t>
  </si>
  <si>
    <t xml:space="preserve">Explanation about how this file works </t>
  </si>
  <si>
    <t>Legend for the cell and sheet colors</t>
  </si>
  <si>
    <t>Value that is taken from another sheet or cell without calculation</t>
  </si>
  <si>
    <t>Result/calculated value that is used in another sheet</t>
  </si>
  <si>
    <t>Input or calculation that is not yet up-to-date or work in progress</t>
  </si>
  <si>
    <t xml:space="preserve">Empty sheet used for indexing </t>
  </si>
  <si>
    <t>Additional information about this source</t>
  </si>
  <si>
    <t xml:space="preserve">If ACM does use cell or range references, macros, or other more complex functions in Excel, these will be explained on this sheet. </t>
  </si>
  <si>
    <t>Relationship to other calculation files</t>
  </si>
  <si>
    <t>Explanation of the use of specific Excel-applications and other details</t>
  </si>
  <si>
    <t xml:space="preserve">In its calculation files, ACM seeks to use simple and easy-to-follow calculations as much as possible, and seeks to avoid the use of complex formulas or specific applications. </t>
  </si>
  <si>
    <t>When final, will this file be published?</t>
  </si>
  <si>
    <t>[ END OF SHEET ]</t>
  </si>
  <si>
    <t>ACM case number and/or reference</t>
  </si>
  <si>
    <t xml:space="preserve"> </t>
  </si>
  <si>
    <t>No</t>
  </si>
  <si>
    <t>Yes</t>
  </si>
  <si>
    <t xml:space="preserve">The variable usage tariff is adapted by making two corrections: </t>
  </si>
  <si>
    <t>Monthly production</t>
  </si>
  <si>
    <t>Fuel invoices</t>
  </si>
  <si>
    <t>The monthly fuel prices are the basis for the correction of the fuel component.</t>
  </si>
  <si>
    <t>Volume 
(liters)</t>
  </si>
  <si>
    <t>Unit price
(USD/liter)</t>
  </si>
  <si>
    <t>Line total
(USD)</t>
  </si>
  <si>
    <t>US gallon to liter</t>
  </si>
  <si>
    <t>Parameters</t>
  </si>
  <si>
    <t>Unit price 
(USD/gallon)</t>
  </si>
  <si>
    <t>Most recent fuel price</t>
  </si>
  <si>
    <t>Realized production of electricity</t>
  </si>
  <si>
    <t>Production by solar</t>
  </si>
  <si>
    <t>Production by fuel</t>
  </si>
  <si>
    <t>Total monthly production</t>
  </si>
  <si>
    <t>kWh</t>
  </si>
  <si>
    <t>Parameters on production and distribution</t>
  </si>
  <si>
    <t>Production parameters</t>
  </si>
  <si>
    <t>Estimated fuel efficiency</t>
  </si>
  <si>
    <t>liter/kWh</t>
  </si>
  <si>
    <t>%</t>
  </si>
  <si>
    <t>USD/kWh</t>
  </si>
  <si>
    <t>For SEC, ACM assumed an even distribution of production between the first and second half of the year.</t>
  </si>
  <si>
    <t>Estimations in usage tariff decisions</t>
  </si>
  <si>
    <t>Calculation of difference between estimated and realized fuel component</t>
  </si>
  <si>
    <t>The realized fuel component can vary monthly, due to variations in the fuel price. The difference between the estimated and realized fuel component is calculated here.</t>
  </si>
  <si>
    <t>For the estimated fuel component, the most recent fuel price at the time of the usage tariff decision is used. For the realized fuel component the most recent fuel price at that month is used. Regularly this is the corresponding month t-2.</t>
  </si>
  <si>
    <t>Data on fuel and production</t>
  </si>
  <si>
    <t>Production price decision input</t>
  </si>
  <si>
    <t>Estimated share production by fuel</t>
  </si>
  <si>
    <t>Realized production</t>
  </si>
  <si>
    <t>Total realized monthly production</t>
  </si>
  <si>
    <t>Calculation fuel correction</t>
  </si>
  <si>
    <t>Difference in monthly fuel component</t>
  </si>
  <si>
    <t>Realized fuel component</t>
  </si>
  <si>
    <t>Estimated fuel component</t>
  </si>
  <si>
    <t>Difference in fuel component</t>
  </si>
  <si>
    <t>Calculation of fuel component correction</t>
  </si>
  <si>
    <t>Monthly difference to be reimbursed</t>
  </si>
  <si>
    <t>Total amount fuel component correction</t>
  </si>
  <si>
    <t>USD</t>
  </si>
  <si>
    <t>USD/liter</t>
  </si>
  <si>
    <t>Positive number indicates SEC has had higher purchasing costs than estimated, so SEC receives a positive reimbursement from the fuel correction.</t>
  </si>
  <si>
    <t>Calculation of correction for fuel price differences</t>
  </si>
  <si>
    <t>New variable usage tariff</t>
  </si>
  <si>
    <t>Converting volume units</t>
  </si>
  <si>
    <t>Fuel component = estimated fuel efficiency x estimated share production by fuel x fuel price.</t>
  </si>
  <si>
    <t>Wettelijke rente CNL ('legal fixed interest rate')</t>
  </si>
  <si>
    <t>Wettelijke rente CNL</t>
  </si>
  <si>
    <t>https://wetten.overheid.nl/BWBR0030649/2011-11-18</t>
  </si>
  <si>
    <t xml:space="preserve">Description </t>
  </si>
  <si>
    <t xml:space="preserve">Key Parameters </t>
  </si>
  <si>
    <t>Updated estimation production price</t>
  </si>
  <si>
    <t>Correction for fuel price differences</t>
  </si>
  <si>
    <t xml:space="preserve">Adjusted variable usage tariff </t>
  </si>
  <si>
    <t xml:space="preserve">Note: 'pl' represents price level </t>
  </si>
  <si>
    <t>This calculation is developed in the standardized format used by the Energy Department of ACM (based on version 5, June 2021)</t>
  </si>
  <si>
    <t>Other parameters</t>
  </si>
  <si>
    <t>Legal fixed interest rate</t>
  </si>
  <si>
    <t>It uses this estimate to determine what monthly remuneration the producer will receive from the distributor. This is the estimated fuel component.</t>
  </si>
  <si>
    <t>Explanatory notes</t>
  </si>
  <si>
    <t>This sheet seperates different types of sheets and is intentionally left blank</t>
  </si>
  <si>
    <t>No text, data or calculations may be included on this sheet</t>
  </si>
  <si>
    <t>When published, does this file contain business-confidential information? (y/n)</t>
  </si>
  <si>
    <t>Standardized sheets with general information about this file</t>
  </si>
  <si>
    <t>The sources for the data on this sheet are the fuel invoices from SEC. Every invoice forms a row in the calculation below.</t>
  </si>
  <si>
    <t>in the overview below, ACM lists the sources for the data and calculations in this file.</t>
  </si>
  <si>
    <t xml:space="preserve">For the production price decisions, ACM estimates the fuel costs for the producer based on the most recent fuel price. </t>
  </si>
  <si>
    <t>Total fuel component correction</t>
  </si>
  <si>
    <t>Add-on per kWh for fuel component correction</t>
  </si>
  <si>
    <t>ACM/25/195256</t>
  </si>
  <si>
    <t>Beschikking variabel tarief elektriciteit 1 juli 2025 Saba (Caribisch Nederland)</t>
  </si>
  <si>
    <t>Production price decision SEC 2025</t>
  </si>
  <si>
    <t>USD, pl 2025</t>
  </si>
  <si>
    <t>Rekenmodel SEC 2025</t>
  </si>
  <si>
    <t>https://www.acm.nl/nl/publicaties/tariefbesluit-productieprijs-elektriciteit-2025-saba-sec</t>
  </si>
  <si>
    <t>ACM/23/181662</t>
  </si>
  <si>
    <t>1-Power Facilities Production Result 2025</t>
  </si>
  <si>
    <t>Estimated fuel efficiency 2025</t>
  </si>
  <si>
    <t>Estimated share of production by fuel 2025</t>
  </si>
  <si>
    <t>[9]</t>
  </si>
  <si>
    <t>Date</t>
  </si>
  <si>
    <t>Volume
(gallons)</t>
  </si>
  <si>
    <t>Identifier</t>
  </si>
  <si>
    <t>Fuel price month t-2</t>
  </si>
  <si>
    <t>USD, nominal</t>
  </si>
  <si>
    <t>liter</t>
  </si>
  <si>
    <t>The fuel price in the fuel component for month t is assumed to be the weighted average fuel price of month t-2.</t>
  </si>
  <si>
    <t>ACM loads this directly from the fuel invoices in tab "Fuel ledger", using the identifier for month of purchase</t>
  </si>
  <si>
    <t>If no fuel was purchased, the fuel price from the previous month is taken.</t>
  </si>
  <si>
    <t>[2], Tab 'Estimates', cel L18</t>
  </si>
  <si>
    <t>[2], Tab 'Estimates', cel L17</t>
  </si>
  <si>
    <t>[3], Tab 'Result', cel H20</t>
  </si>
  <si>
    <t>[2], Tab 'Result', cel H14</t>
  </si>
  <si>
    <t>[2], Tab 'Result', cel H13</t>
  </si>
  <si>
    <t>[2], Tab 'Estimates', cel L16</t>
  </si>
  <si>
    <t>[2], Tab 'Parameters', cel H38</t>
  </si>
  <si>
    <t>[2], Tab 'Estimates', cel M21</t>
  </si>
  <si>
    <t>This sheet displays all input data for the tariff calculation, besides the fuel invoices.</t>
  </si>
  <si>
    <t xml:space="preserve">Input data </t>
  </si>
  <si>
    <t>Fuel ledger</t>
  </si>
  <si>
    <t>Berekening variabel gebruikstarief elektriciteit SEC per 1 juli 2026</t>
  </si>
  <si>
    <t>Beschikking variabel tarief elektriciteit 1 juli 2026 Saba (Caribisch Nederland)</t>
  </si>
  <si>
    <t>On this sheet, two corrections are applied to calculate the new variable usage tariff of SEC for the period July to December 2026:</t>
  </si>
  <si>
    <t>First, the ACM presents an updated estimation of the production price per 1 July 2026;</t>
  </si>
  <si>
    <t>Second, the ACM calculates the effect (per kWh) of the correction for fuel price differences over November 2025 - April 2026.</t>
  </si>
  <si>
    <t>New variable usage tariff per 1 July 2026</t>
  </si>
  <si>
    <t>Updated estimation of production price per 1 July 2026</t>
  </si>
  <si>
    <t>Production price excluding fuel 2026</t>
  </si>
  <si>
    <t>Estimated fuel efficiency for 2026</t>
  </si>
  <si>
    <t>USD/kWh, pl 2026</t>
  </si>
  <si>
    <t>Estimated share production by fuel for 2026</t>
  </si>
  <si>
    <t>USD/liter, pl 2026</t>
  </si>
  <si>
    <t>Estimate for fuel component per 1 July 2026</t>
  </si>
  <si>
    <t>Estimate of production price per 1 July 2026</t>
  </si>
  <si>
    <t>USD, pl 2026</t>
  </si>
  <si>
    <t>Estimated production volume 2026</t>
  </si>
  <si>
    <t>Part of electricity distribution first half of 2026</t>
  </si>
  <si>
    <t>Estimated production volume July to December 2026</t>
  </si>
  <si>
    <t>Correction on variable usage tariff 2026</t>
  </si>
  <si>
    <t>Correction per kWh - Profit sharing: network losses 2024</t>
  </si>
  <si>
    <t>Calculation new variable usage tariff per 1 July 2026</t>
  </si>
  <si>
    <t>Total corrections per kWh in variable usage tariff per 1 July 2026</t>
  </si>
  <si>
    <t>Estimated network losses 2026</t>
  </si>
  <si>
    <t>This correction reimburses fuel price differences over the period November 2025 - April 2026.</t>
  </si>
  <si>
    <t>Monthly production 2025 and 2026</t>
  </si>
  <si>
    <t>Estimated fuel efficiency 2026</t>
  </si>
  <si>
    <t xml:space="preserve">Corrections per kWh apply to January-December 2026. </t>
  </si>
  <si>
    <t>Estimated share of production by fuel 2026</t>
  </si>
  <si>
    <t>Estimated fuel component SEC July-Dec 2025</t>
  </si>
  <si>
    <t>Estimated fuel component SEC 2026</t>
  </si>
  <si>
    <t>Estimated total production 2026</t>
  </si>
  <si>
    <t>Correction amount for November - December 2025</t>
  </si>
  <si>
    <t>Correction amount for January - April 2026</t>
  </si>
  <si>
    <t>Key figures decision for variable usage tariff 1 July - 31 December 2026</t>
  </si>
  <si>
    <t>This sheet summarizes the relevant information to include in the annex of the decision on the tariffs per July 1, 2026.</t>
  </si>
  <si>
    <t>Dictum &amp; Annex 1 tariff decision SEC July, 1 2026</t>
  </si>
  <si>
    <t>Updated estimate of production price per 1 July 2026</t>
  </si>
  <si>
    <t>Variable usage tariff for the period 1 July - 31 December 2026</t>
  </si>
  <si>
    <t>[1], Tab 'Estimates'', cell L18</t>
  </si>
  <si>
    <t>[1], Tab 'Estimates', cell L17</t>
  </si>
  <si>
    <t>Rekenmodel SEC 2026</t>
  </si>
  <si>
    <t>Production price decision SEC 2026</t>
  </si>
  <si>
    <t>ACM/25/197169</t>
  </si>
  <si>
    <t>Tariefbesluit distributietarieven elektriciteit 2026 Saba SEC | ACM</t>
  </si>
  <si>
    <t>Beschikking variabel tarief elektriciteit 1 juli 2025 Saba (Caribisch Nederland) | ACM</t>
  </si>
  <si>
    <t>Usage tariffs decision SEC July - Dec 2025</t>
  </si>
  <si>
    <t>Royal Petroleum $516912.40_03132026153208.PDF</t>
  </si>
  <si>
    <t>Xerox Scan_04072026132009.pdf</t>
  </si>
  <si>
    <t>Attachment in e-mail from SEC to ACM, dated April 7, 2026.</t>
  </si>
  <si>
    <t>Monthly production 2025</t>
  </si>
  <si>
    <t>Monthly production 2026</t>
  </si>
  <si>
    <t>1-Power Facilities Production Result 2026</t>
  </si>
  <si>
    <t>This file is based on the fuel calculation for SEC for the tariff per January 1st, 2026</t>
  </si>
  <si>
    <t>This document contains the model that the Authority for Consumers &amp; Markets (ACM) uses to calculate the adjustment of the variable usage tariff for electricity of Saba Electric Company N.V. (SEC) per July 1, 2026.</t>
  </si>
  <si>
    <t>1. The fuel component is updated. This means that the production price as set in the tariff decision as of January 1, 2026 is updated to match the actual fuel prices more closely.</t>
  </si>
  <si>
    <t>2. The difference between the realized fuel component paid by the distributor and the estimated fuel component for November 2025 to April 2026 will be corrected in the tariff for July-December 2026.</t>
  </si>
  <si>
    <t>For both abovementioned corrections, other values and parameters will remain as were determined in the tariff decision for 2026.</t>
  </si>
  <si>
    <t>Invoices for fuel corrections</t>
  </si>
  <si>
    <t xml:space="preserve">Fuel costs month </t>
  </si>
  <si>
    <t xml:space="preserve">Fuel volumes month </t>
  </si>
  <si>
    <t xml:space="preserve">Weighted average fuel price month </t>
  </si>
  <si>
    <t>ACM/26/201397</t>
  </si>
  <si>
    <t>ACM/IN/1118168</t>
  </si>
  <si>
    <t>ACM/IN/1118173</t>
  </si>
  <si>
    <t>Attachment in e-mail from SEC to ACM, dated May 13, 2026.</t>
  </si>
  <si>
    <t>Royal Petroleum $516500.40_03132026151841.PDF</t>
  </si>
  <si>
    <t>[2], Tab 'Overview corrections',  cel M45</t>
  </si>
  <si>
    <t>Most recent fuel price (6 March 2026)</t>
  </si>
  <si>
    <t>ACM/UIT/681857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</si>
</sst>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0000_ ;_ * \-#,##0.0000_ ;_ * &quot;-&quot;_ ;_ @_ "/>
    <numFmt numFmtId="165" formatCode="0.0000"/>
    <numFmt numFmtId="166" formatCode="_ * #,##0_ ;_ * \-#,##0_ ;_ * &quot;-&quot;??_ ;_ @_ "/>
    <numFmt numFmtId="167" formatCode="_ * #,##0.0000_ ;_ * \-#,##0.0000_ ;_ * &quot;-&quot;??_ ;_ @_ "/>
    <numFmt numFmtId="168" formatCode="0.00000000"/>
    <numFmt numFmtId="169" formatCode="_ * #,##0.00_ ;_ * \-#,##0.00_ ;_ * &quot;-&quot;_ ;_ @_ "/>
    <numFmt numFmtId="170" formatCode="mmmm"/>
    <numFmt numFmtId="171" formatCode="_ * #,##0.000_ ;_ * \-#,##0.000_ ;_ * &quot;-&quot;_ ;_ @_ "/>
  </numFmts>
  <fonts count="31"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0"/>
      <color rgb="FF00B0F0"/>
      <name val="Arial"/>
      <family val="2"/>
    </font>
    <font>
      <sz val="8"/>
      <name val="Arial"/>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theme="0" tint="-0.14999847407452621"/>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6">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7" borderId="1">
      <alignment vertical="top"/>
    </xf>
    <xf numFmtId="49" fontId="6" fillId="0" borderId="0">
      <alignment vertical="top"/>
    </xf>
    <xf numFmtId="41" fontId="5" fillId="10" borderId="0">
      <alignment vertical="top"/>
    </xf>
    <xf numFmtId="41" fontId="5" fillId="9" borderId="0">
      <alignment vertical="top"/>
    </xf>
    <xf numFmtId="41" fontId="5" fillId="8" borderId="0">
      <alignment vertical="top"/>
    </xf>
    <xf numFmtId="41" fontId="5" fillId="44" borderId="0">
      <alignment vertical="top"/>
    </xf>
    <xf numFmtId="41" fontId="5" fillId="7" borderId="0">
      <alignment vertical="top"/>
    </xf>
    <xf numFmtId="41" fontId="5" fillId="11" borderId="0">
      <alignment vertical="top"/>
    </xf>
    <xf numFmtId="49" fontId="10" fillId="0" borderId="0">
      <alignment vertical="top"/>
    </xf>
    <xf numFmtId="49" fontId="9" fillId="0" borderId="0">
      <alignment vertical="top"/>
    </xf>
    <xf numFmtId="0" fontId="15" fillId="13" borderId="8" applyNumberFormat="0" applyAlignment="0" applyProtection="0"/>
    <xf numFmtId="0" fontId="16" fillId="14" borderId="9" applyNumberFormat="0" applyAlignment="0" applyProtection="0"/>
    <xf numFmtId="0" fontId="17" fillId="14" borderId="8" applyNumberFormat="0" applyAlignment="0" applyProtection="0"/>
    <xf numFmtId="0" fontId="18" fillId="0" borderId="10" applyNumberFormat="0" applyFill="0" applyAlignment="0" applyProtection="0"/>
    <xf numFmtId="0" fontId="12" fillId="15" borderId="11" applyNumberFormat="0" applyAlignment="0" applyProtection="0"/>
    <xf numFmtId="0" fontId="14" fillId="16" borderId="12" applyNumberFormat="0" applyFont="0" applyAlignment="0" applyProtection="0"/>
    <xf numFmtId="0" fontId="19" fillId="0" borderId="0" applyNumberForma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4" fontId="14" fillId="0" borderId="0" applyFont="0" applyFill="0" applyBorder="0" applyAlignment="0" applyProtection="0"/>
    <xf numFmtId="42"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13" fillId="0" borderId="0" applyNumberFormat="0" applyFill="0" applyBorder="0" applyAlignment="0" applyProtection="0"/>
    <xf numFmtId="0" fontId="25" fillId="0" borderId="0" applyNumberFormat="0" applyFill="0" applyBorder="0" applyAlignment="0" applyProtection="0"/>
    <xf numFmtId="0" fontId="26" fillId="0" borderId="16" applyNumberFormat="0" applyFill="0" applyAlignment="0" applyProtection="0"/>
    <xf numFmtId="0" fontId="27"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7" fillId="25" borderId="0" applyNumberFormat="0" applyBorder="0" applyAlignment="0" applyProtection="0"/>
    <xf numFmtId="0" fontId="27"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27" fillId="41" borderId="0" applyNumberFormat="0" applyBorder="0" applyAlignment="0" applyProtection="0"/>
    <xf numFmtId="0" fontId="28" fillId="0" borderId="0" applyNumberFormat="0" applyFill="0" applyBorder="0" applyAlignment="0" applyProtection="0"/>
    <xf numFmtId="49" fontId="20" fillId="0" borderId="0" applyFill="0" applyBorder="0" applyAlignment="0" applyProtection="0"/>
    <xf numFmtId="43" fontId="5" fillId="42" borderId="0" applyNumberFormat="0">
      <alignment vertical="top"/>
    </xf>
    <xf numFmtId="43" fontId="5" fillId="9" borderId="0" applyFont="0" applyFill="0" applyBorder="0" applyAlignment="0" applyProtection="0">
      <alignment vertical="top"/>
    </xf>
    <xf numFmtId="10" fontId="5" fillId="0" borderId="0" applyFont="0" applyFill="0" applyBorder="0" applyAlignment="0" applyProtection="0">
      <alignment vertical="top"/>
    </xf>
    <xf numFmtId="41" fontId="5" fillId="43" borderId="0">
      <alignment vertical="top"/>
    </xf>
  </cellStyleXfs>
  <cellXfs count="94">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7" borderId="1" xfId="6">
      <alignment vertical="top"/>
    </xf>
    <xf numFmtId="0" fontId="5" fillId="0" borderId="0" xfId="4" applyFill="1">
      <alignment vertical="top"/>
    </xf>
    <xf numFmtId="0" fontId="5" fillId="0" borderId="2" xfId="4" applyBorder="1" applyAlignment="1">
      <alignment horizontal="left" vertical="top" wrapText="1"/>
    </xf>
    <xf numFmtId="0" fontId="10" fillId="0" borderId="0" xfId="4" applyFont="1" applyFill="1">
      <alignment vertical="top"/>
    </xf>
    <xf numFmtId="0" fontId="5" fillId="6" borderId="0" xfId="4" applyFill="1">
      <alignment vertical="top"/>
    </xf>
    <xf numFmtId="1" fontId="5" fillId="0" borderId="0" xfId="4" applyNumberFormat="1" applyFill="1">
      <alignment vertical="top"/>
    </xf>
    <xf numFmtId="49" fontId="7" fillId="17" borderId="2" xfId="6" applyFont="1" applyBorder="1">
      <alignment vertical="top"/>
    </xf>
    <xf numFmtId="0" fontId="8" fillId="5" borderId="1" xfId="5" applyNumberFormat="1">
      <alignment vertical="top"/>
    </xf>
    <xf numFmtId="0" fontId="13" fillId="0" borderId="0" xfId="4" applyFont="1">
      <alignment vertical="top"/>
    </xf>
    <xf numFmtId="0" fontId="5" fillId="12" borderId="0" xfId="4" applyFill="1">
      <alignment vertical="top"/>
    </xf>
    <xf numFmtId="0" fontId="5" fillId="0" borderId="0" xfId="4" applyFont="1">
      <alignment vertical="top"/>
    </xf>
    <xf numFmtId="49" fontId="5" fillId="17" borderId="2" xfId="6" applyFont="1" applyBorder="1">
      <alignment vertical="top"/>
    </xf>
    <xf numFmtId="0" fontId="5" fillId="0" borderId="2" xfId="4" applyFont="1" applyBorder="1">
      <alignment vertical="top"/>
    </xf>
    <xf numFmtId="0" fontId="7" fillId="0" borderId="0" xfId="4" applyFont="1" applyFill="1" applyBorder="1" applyAlignment="1">
      <alignment horizontal="left" vertical="top" wrapText="1"/>
    </xf>
    <xf numFmtId="49" fontId="10" fillId="0" borderId="0" xfId="14">
      <alignment vertical="top"/>
    </xf>
    <xf numFmtId="49" fontId="6" fillId="0" borderId="0" xfId="7">
      <alignment vertical="top"/>
    </xf>
    <xf numFmtId="49" fontId="9" fillId="0" borderId="0" xfId="15">
      <alignment vertical="top"/>
    </xf>
    <xf numFmtId="41" fontId="5" fillId="10" borderId="0" xfId="8">
      <alignment vertical="top"/>
    </xf>
    <xf numFmtId="41" fontId="5" fillId="8" borderId="0" xfId="10">
      <alignment vertical="top"/>
    </xf>
    <xf numFmtId="41" fontId="5" fillId="7" borderId="0" xfId="12">
      <alignment vertical="top"/>
    </xf>
    <xf numFmtId="41" fontId="5" fillId="44" borderId="0" xfId="11">
      <alignment vertical="top"/>
    </xf>
    <xf numFmtId="49" fontId="20" fillId="0" borderId="0" xfId="61" applyAlignment="1">
      <alignment vertical="top"/>
    </xf>
    <xf numFmtId="0" fontId="5" fillId="0" borderId="2" xfId="4" applyFont="1" applyBorder="1" applyAlignment="1">
      <alignment horizontal="left" vertical="top" wrapText="1"/>
    </xf>
    <xf numFmtId="41" fontId="5" fillId="11" borderId="0" xfId="13">
      <alignment vertical="top"/>
    </xf>
    <xf numFmtId="41" fontId="5" fillId="9" borderId="0" xfId="9">
      <alignment vertical="top"/>
    </xf>
    <xf numFmtId="0" fontId="29" fillId="0" borderId="0" xfId="4" applyFont="1">
      <alignment vertical="top"/>
    </xf>
    <xf numFmtId="49" fontId="5" fillId="17" borderId="0" xfId="6" applyFont="1" applyBorder="1">
      <alignment vertical="top"/>
    </xf>
    <xf numFmtId="49" fontId="12" fillId="5" borderId="1" xfId="5" applyFont="1">
      <alignment vertical="top"/>
    </xf>
    <xf numFmtId="0" fontId="5" fillId="0" borderId="2" xfId="4" applyFont="1" applyBorder="1" applyAlignment="1">
      <alignment horizontal="left" vertical="top" wrapText="1"/>
    </xf>
    <xf numFmtId="49" fontId="5" fillId="0" borderId="0" xfId="7" applyFont="1">
      <alignment vertical="top"/>
    </xf>
    <xf numFmtId="0" fontId="9" fillId="12" borderId="0" xfId="4" applyFont="1" applyFill="1">
      <alignment vertical="top"/>
    </xf>
    <xf numFmtId="49" fontId="6" fillId="17" borderId="1" xfId="6" applyAlignment="1">
      <alignment vertical="top" wrapText="1"/>
    </xf>
    <xf numFmtId="164" fontId="5" fillId="44" borderId="0" xfId="11" applyNumberFormat="1">
      <alignment vertical="top"/>
    </xf>
    <xf numFmtId="164" fontId="5" fillId="9" borderId="0" xfId="9" applyNumberFormat="1">
      <alignment vertical="top"/>
    </xf>
    <xf numFmtId="10" fontId="5" fillId="44" borderId="0" xfId="11" applyNumberFormat="1">
      <alignment vertical="top"/>
    </xf>
    <xf numFmtId="9" fontId="5" fillId="44" borderId="0" xfId="11" applyNumberFormat="1">
      <alignment vertical="top"/>
    </xf>
    <xf numFmtId="10" fontId="5" fillId="11" borderId="0" xfId="13" applyNumberFormat="1">
      <alignment vertical="top"/>
    </xf>
    <xf numFmtId="164" fontId="5" fillId="11" borderId="0" xfId="13" applyNumberFormat="1">
      <alignment vertical="top"/>
    </xf>
    <xf numFmtId="9" fontId="5" fillId="11" borderId="0" xfId="13" applyNumberFormat="1">
      <alignment vertical="top"/>
    </xf>
    <xf numFmtId="165" fontId="5" fillId="10" borderId="0" xfId="8" applyNumberFormat="1">
      <alignment vertical="top"/>
    </xf>
    <xf numFmtId="166" fontId="5" fillId="10" borderId="0" xfId="8" applyNumberFormat="1">
      <alignment vertical="top"/>
    </xf>
    <xf numFmtId="0" fontId="5" fillId="0" borderId="5" xfId="4" applyBorder="1">
      <alignment vertical="top"/>
    </xf>
    <xf numFmtId="0" fontId="5" fillId="0" borderId="6" xfId="4" applyBorder="1">
      <alignment vertical="top"/>
    </xf>
    <xf numFmtId="0" fontId="5" fillId="0" borderId="7" xfId="4" applyBorder="1">
      <alignment vertical="top"/>
    </xf>
    <xf numFmtId="49" fontId="6" fillId="17" borderId="3" xfId="6" applyBorder="1">
      <alignment vertical="top"/>
    </xf>
    <xf numFmtId="49" fontId="6" fillId="17" borderId="4" xfId="6" applyBorder="1">
      <alignment vertical="top"/>
    </xf>
    <xf numFmtId="0" fontId="5" fillId="0" borderId="17" xfId="4" applyBorder="1">
      <alignment vertical="top"/>
    </xf>
    <xf numFmtId="0" fontId="5" fillId="0" borderId="18" xfId="4" applyBorder="1">
      <alignment vertical="top"/>
    </xf>
    <xf numFmtId="10" fontId="5" fillId="0" borderId="0" xfId="4" applyNumberFormat="1">
      <alignment vertical="top"/>
    </xf>
    <xf numFmtId="165" fontId="5" fillId="0" borderId="0" xfId="4" applyNumberFormat="1">
      <alignment vertical="top"/>
    </xf>
    <xf numFmtId="3" fontId="5" fillId="0" borderId="0" xfId="4" applyNumberFormat="1">
      <alignment vertical="top"/>
    </xf>
    <xf numFmtId="0" fontId="5" fillId="0" borderId="19" xfId="4" applyBorder="1">
      <alignment vertical="top"/>
    </xf>
    <xf numFmtId="0" fontId="5" fillId="0" borderId="20" xfId="4" applyBorder="1">
      <alignment vertical="top"/>
    </xf>
    <xf numFmtId="0" fontId="5" fillId="0" borderId="21" xfId="4" applyBorder="1">
      <alignment vertical="top"/>
    </xf>
    <xf numFmtId="165" fontId="5" fillId="44" borderId="0" xfId="11" applyNumberFormat="1">
      <alignment vertical="top"/>
    </xf>
    <xf numFmtId="0" fontId="5" fillId="0" borderId="2" xfId="4" applyFill="1" applyBorder="1">
      <alignment vertical="top"/>
    </xf>
    <xf numFmtId="10" fontId="5" fillId="44" borderId="0" xfId="64" applyFill="1">
      <alignment vertical="top"/>
    </xf>
    <xf numFmtId="10" fontId="5" fillId="11" borderId="0" xfId="64" applyFill="1">
      <alignment vertical="top"/>
    </xf>
    <xf numFmtId="41" fontId="5" fillId="44" borderId="0" xfId="11" applyFont="1">
      <alignment vertical="top"/>
    </xf>
    <xf numFmtId="168" fontId="5" fillId="0" borderId="0" xfId="4" applyNumberFormat="1">
      <alignment vertical="top"/>
    </xf>
    <xf numFmtId="169" fontId="5" fillId="44" borderId="0" xfId="11" applyNumberFormat="1">
      <alignment vertical="top"/>
    </xf>
    <xf numFmtId="164" fontId="0" fillId="9" borderId="0" xfId="0" applyNumberFormat="1" applyFill="1">
      <alignment vertical="top"/>
    </xf>
    <xf numFmtId="167" fontId="5" fillId="9" borderId="0" xfId="63" applyNumberFormat="1" applyFill="1">
      <alignment vertical="top"/>
    </xf>
    <xf numFmtId="49" fontId="6" fillId="17" borderId="5" xfId="6" applyBorder="1" applyAlignment="1">
      <alignment vertical="top" wrapText="1"/>
    </xf>
    <xf numFmtId="49" fontId="6" fillId="17" borderId="6" xfId="6" applyBorder="1" applyAlignment="1">
      <alignment vertical="top" wrapText="1"/>
    </xf>
    <xf numFmtId="0" fontId="6" fillId="17" borderId="6" xfId="6" applyNumberFormat="1" applyBorder="1" applyAlignment="1">
      <alignment horizontal="center" vertical="top" wrapText="1"/>
    </xf>
    <xf numFmtId="49" fontId="6" fillId="17" borderId="19" xfId="6" applyBorder="1" applyAlignment="1">
      <alignment vertical="top" wrapText="1"/>
    </xf>
    <xf numFmtId="49" fontId="6" fillId="17" borderId="20" xfId="6" applyBorder="1" applyAlignment="1">
      <alignment vertical="top" wrapText="1"/>
    </xf>
    <xf numFmtId="170" fontId="6" fillId="17" borderId="20" xfId="6" applyNumberFormat="1" applyBorder="1" applyAlignment="1">
      <alignment horizontal="center" vertical="top" wrapText="1"/>
    </xf>
    <xf numFmtId="171" fontId="5" fillId="9" borderId="0" xfId="9" applyNumberFormat="1">
      <alignment vertical="top"/>
    </xf>
    <xf numFmtId="0" fontId="6" fillId="17" borderId="6" xfId="6" applyNumberFormat="1" applyBorder="1" applyAlignment="1">
      <alignment horizontal="left" vertical="top" wrapText="1"/>
    </xf>
    <xf numFmtId="0" fontId="5" fillId="0" borderId="2" xfId="4" applyFill="1" applyBorder="1" applyAlignment="1">
      <alignment horizontal="left" vertical="top" wrapText="1"/>
    </xf>
    <xf numFmtId="0" fontId="5" fillId="0" borderId="2" xfId="4" applyFont="1" applyFill="1" applyBorder="1">
      <alignment vertical="top"/>
    </xf>
    <xf numFmtId="0" fontId="13" fillId="0" borderId="2" xfId="4" applyFont="1" applyFill="1" applyBorder="1">
      <alignment vertical="top"/>
    </xf>
    <xf numFmtId="164" fontId="5" fillId="44" borderId="0" xfId="11" applyNumberFormat="1" applyFill="1">
      <alignment vertical="top"/>
    </xf>
    <xf numFmtId="167" fontId="5" fillId="44" borderId="0" xfId="11" applyNumberFormat="1" applyFill="1">
      <alignment vertical="top"/>
    </xf>
    <xf numFmtId="10" fontId="5" fillId="44" borderId="0" xfId="11" applyNumberFormat="1" applyFill="1">
      <alignment vertical="top"/>
    </xf>
    <xf numFmtId="49" fontId="20" fillId="0" borderId="2" xfId="61" applyFill="1" applyBorder="1" applyAlignment="1">
      <alignment vertical="top"/>
    </xf>
    <xf numFmtId="14" fontId="5" fillId="44" borderId="0" xfId="11" applyNumberFormat="1" applyFont="1">
      <alignment vertical="top"/>
    </xf>
    <xf numFmtId="170" fontId="5" fillId="0" borderId="0" xfId="4" applyNumberFormat="1">
      <alignment vertical="top"/>
    </xf>
    <xf numFmtId="41" fontId="5" fillId="44" borderId="0" xfId="11" applyFont="1" applyFill="1">
      <alignment vertical="top"/>
    </xf>
    <xf numFmtId="0" fontId="5" fillId="0" borderId="2" xfId="4" applyFont="1" applyFill="1" applyBorder="1" applyAlignment="1">
      <alignment horizontal="left" vertical="top" wrapText="1"/>
    </xf>
    <xf numFmtId="0" fontId="5" fillId="0" borderId="0" xfId="4" applyFont="1" applyFill="1">
      <alignment vertical="top"/>
    </xf>
    <xf numFmtId="171" fontId="5" fillId="0" borderId="0" xfId="4" applyNumberFormat="1">
      <alignment vertical="top"/>
    </xf>
    <xf numFmtId="0" fontId="5" fillId="0" borderId="0" xfId="4" applyFont="1" applyFill="1" applyBorder="1" applyAlignment="1">
      <alignment horizontal="left" vertical="top" wrapText="1"/>
    </xf>
    <xf numFmtId="0" fontId="7" fillId="0" borderId="0" xfId="4" applyFont="1" applyFill="1" applyBorder="1" applyAlignment="1">
      <alignment horizontal="left" vertical="top" wrapText="1"/>
    </xf>
  </cellXfs>
  <cellStyles count="66">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Dataverzoek" xfId="65" xr:uid="{00000000-0005-0000-0000-00001F000000}"/>
    <cellStyle name="Cel Input" xfId="11" xr:uid="{00000000-0005-0000-0000-000020000000}"/>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ACM-DE" xfId="4" xr:uid="{00000000-0005-0000-0000-000039000000}"/>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E1FFE1"/>
      <color rgb="FFFF99FF"/>
      <color rgb="FFFFCCFF"/>
      <color rgb="FF99FF99"/>
      <color rgb="FFFFFFCC"/>
      <color rgb="FFCCC8D9"/>
      <color rgb="FFCCFFCC"/>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acm.nl/nl/publicaties/tariefbesluit-distributietarieven-elektriciteit-2026-saba-sec" TargetMode="External"/><Relationship Id="rId2" Type="http://schemas.openxmlformats.org/officeDocument/2006/relationships/hyperlink" Target="https://www.acm.nl/nl/publicaties/tariefbesluit-productieprijs-elektriciteit-2025-saba-sec" TargetMode="External"/><Relationship Id="rId1" Type="http://schemas.openxmlformats.org/officeDocument/2006/relationships/hyperlink" Target="https://wetten.overheid.nl/BWBR0030649/2011-11-18" TargetMode="External"/><Relationship Id="rId5" Type="http://schemas.openxmlformats.org/officeDocument/2006/relationships/printerSettings" Target="../printerSettings/printerSettings3.bin"/><Relationship Id="rId4" Type="http://schemas.openxmlformats.org/officeDocument/2006/relationships/hyperlink" Target="https://www.acm.nl/nl/publicaties/beschikking-variabel-tarief-elektriciteit-1-juli-2025-saba-caribisch-nederlan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E41"/>
  <sheetViews>
    <sheetView showGridLines="0" tabSelected="1" zoomScale="85" zoomScaleNormal="85"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44.5703125" style="2" customWidth="1"/>
    <col min="3" max="3" width="91.85546875" style="2" customWidth="1"/>
    <col min="4" max="16384" width="9.140625" style="2"/>
  </cols>
  <sheetData>
    <row r="2" spans="2:5" s="7" customFormat="1" ht="18" x14ac:dyDescent="0.2">
      <c r="B2" s="7" t="s">
        <v>40</v>
      </c>
    </row>
    <row r="6" spans="2:5" x14ac:dyDescent="0.2">
      <c r="B6" s="3"/>
    </row>
    <row r="13" spans="2:5" s="8" customFormat="1" x14ac:dyDescent="0.2">
      <c r="B13" s="8" t="s">
        <v>3</v>
      </c>
    </row>
    <row r="14" spans="2:5" s="9" customFormat="1" x14ac:dyDescent="0.2"/>
    <row r="15" spans="2:5" x14ac:dyDescent="0.2">
      <c r="B15" s="30" t="s">
        <v>4</v>
      </c>
      <c r="C15" s="79" t="s">
        <v>226</v>
      </c>
      <c r="E15" s="22"/>
    </row>
    <row r="16" spans="2:5" x14ac:dyDescent="0.2">
      <c r="B16" s="30" t="s">
        <v>5</v>
      </c>
      <c r="C16" s="10" t="s">
        <v>165</v>
      </c>
    </row>
    <row r="17" spans="2:3" x14ac:dyDescent="0.2">
      <c r="B17" s="30" t="s">
        <v>6</v>
      </c>
      <c r="C17" s="10"/>
    </row>
    <row r="18" spans="2:3" x14ac:dyDescent="0.2">
      <c r="B18" s="30" t="s">
        <v>41</v>
      </c>
      <c r="C18" s="36" t="s">
        <v>166</v>
      </c>
    </row>
    <row r="19" spans="2:3" x14ac:dyDescent="0.2">
      <c r="B19" s="30" t="s">
        <v>42</v>
      </c>
      <c r="C19" s="89" t="s">
        <v>233</v>
      </c>
    </row>
    <row r="20" spans="2:3" x14ac:dyDescent="0.2">
      <c r="B20" s="30" t="s">
        <v>55</v>
      </c>
      <c r="C20" s="30" t="s">
        <v>217</v>
      </c>
    </row>
    <row r="21" spans="2:3" x14ac:dyDescent="0.2">
      <c r="B21" s="30" t="s">
        <v>7</v>
      </c>
      <c r="C21" s="10"/>
    </row>
    <row r="23" spans="2:3" x14ac:dyDescent="0.2">
      <c r="B23" s="24" t="s">
        <v>120</v>
      </c>
    </row>
    <row r="25" spans="2:3" s="8" customFormat="1" x14ac:dyDescent="0.2">
      <c r="B25" s="8" t="s">
        <v>8</v>
      </c>
    </row>
    <row r="27" spans="2:3" x14ac:dyDescent="0.2">
      <c r="B27" s="30" t="s">
        <v>9</v>
      </c>
      <c r="C27" s="10" t="s">
        <v>63</v>
      </c>
    </row>
    <row r="28" spans="2:3" x14ac:dyDescent="0.2">
      <c r="B28" s="30" t="s">
        <v>58</v>
      </c>
      <c r="C28" s="10" t="s">
        <v>63</v>
      </c>
    </row>
    <row r="29" spans="2:3" ht="25.5" x14ac:dyDescent="0.2">
      <c r="B29" s="30" t="s">
        <v>10</v>
      </c>
      <c r="C29" s="10" t="s">
        <v>63</v>
      </c>
    </row>
    <row r="30" spans="2:3" ht="25.5" x14ac:dyDescent="0.2">
      <c r="B30" s="30" t="s">
        <v>127</v>
      </c>
      <c r="C30" s="89" t="s">
        <v>62</v>
      </c>
    </row>
    <row r="31" spans="2:3" x14ac:dyDescent="0.2">
      <c r="B31" s="30" t="s">
        <v>7</v>
      </c>
      <c r="C31" s="10"/>
    </row>
    <row r="33" spans="2:4" x14ac:dyDescent="0.2">
      <c r="B33" s="92" t="s">
        <v>44</v>
      </c>
      <c r="C33" s="93"/>
      <c r="D33" s="5"/>
    </row>
    <row r="34" spans="2:4" x14ac:dyDescent="0.2">
      <c r="B34" s="21"/>
      <c r="C34" s="21"/>
      <c r="D34" s="5"/>
    </row>
    <row r="36" spans="2:4" s="8" customFormat="1" x14ac:dyDescent="0.2">
      <c r="B36" s="8" t="s">
        <v>0</v>
      </c>
    </row>
    <row r="38" spans="2:4" x14ac:dyDescent="0.2">
      <c r="B38" s="2" t="s">
        <v>45</v>
      </c>
    </row>
    <row r="41" spans="2:4" x14ac:dyDescent="0.2">
      <c r="B41" s="4" t="s">
        <v>59</v>
      </c>
    </row>
  </sheetData>
  <mergeCells count="1">
    <mergeCell ref="B33:C33"/>
  </mergeCell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12831-5613-408D-BC30-49F57961DB71}">
  <sheetPr>
    <tabColor rgb="FFCCFFFF"/>
  </sheetPr>
  <dimension ref="B2:F38"/>
  <sheetViews>
    <sheetView showGridLines="0" zoomScale="80" zoomScaleNormal="80" workbookViewId="0"/>
  </sheetViews>
  <sheetFormatPr defaultColWidth="9.140625" defaultRowHeight="12.75" x14ac:dyDescent="0.2"/>
  <cols>
    <col min="1" max="1" width="9.140625" style="2"/>
    <col min="2" max="2" width="4.7109375" style="2" customWidth="1"/>
    <col min="3" max="3" width="71.42578125" style="2" customWidth="1"/>
    <col min="4" max="4" width="17.28515625" style="2" customWidth="1"/>
    <col min="5" max="5" width="11.42578125" style="2" customWidth="1"/>
    <col min="6" max="6" width="4.7109375" style="2" customWidth="1"/>
    <col min="7" max="15" width="12.5703125" style="2" customWidth="1"/>
    <col min="16" max="18" width="2.7109375" style="2" customWidth="1"/>
    <col min="19" max="33" width="13.7109375" style="2" customWidth="1"/>
    <col min="34" max="16384" width="9.140625" style="2"/>
  </cols>
  <sheetData>
    <row r="2" spans="2:6" s="15" customFormat="1" ht="18" x14ac:dyDescent="0.2">
      <c r="C2" s="15" t="s">
        <v>200</v>
      </c>
    </row>
    <row r="4" spans="2:6" x14ac:dyDescent="0.2">
      <c r="C4" s="23" t="s">
        <v>114</v>
      </c>
    </row>
    <row r="5" spans="2:6" x14ac:dyDescent="0.2">
      <c r="C5" s="2" t="s">
        <v>199</v>
      </c>
      <c r="E5" s="16"/>
    </row>
    <row r="6" spans="2:6" x14ac:dyDescent="0.2">
      <c r="C6" s="4"/>
    </row>
    <row r="7" spans="2:6" x14ac:dyDescent="0.2">
      <c r="C7" s="4"/>
    </row>
    <row r="8" spans="2:6" x14ac:dyDescent="0.2">
      <c r="C8" s="4"/>
    </row>
    <row r="9" spans="2:6" x14ac:dyDescent="0.2">
      <c r="B9" s="49"/>
      <c r="C9" s="50"/>
      <c r="D9" s="50"/>
      <c r="E9" s="50"/>
      <c r="F9" s="51"/>
    </row>
    <row r="10" spans="2:6" s="8" customFormat="1" x14ac:dyDescent="0.2">
      <c r="B10" s="52"/>
      <c r="C10" s="8" t="s">
        <v>198</v>
      </c>
      <c r="F10" s="53"/>
    </row>
    <row r="11" spans="2:6" x14ac:dyDescent="0.2">
      <c r="B11" s="54"/>
      <c r="F11" s="55"/>
    </row>
    <row r="12" spans="2:6" x14ac:dyDescent="0.2">
      <c r="B12" s="54"/>
      <c r="C12" s="1" t="s">
        <v>115</v>
      </c>
      <c r="F12" s="55"/>
    </row>
    <row r="13" spans="2:6" x14ac:dyDescent="0.2">
      <c r="B13" s="54"/>
      <c r="C13" s="2" t="s">
        <v>111</v>
      </c>
      <c r="D13" s="2" t="s">
        <v>84</v>
      </c>
      <c r="E13" s="56">
        <f>'Input data'!H40</f>
        <v>0.03</v>
      </c>
      <c r="F13" s="55"/>
    </row>
    <row r="14" spans="2:6" x14ac:dyDescent="0.2">
      <c r="B14" s="54"/>
      <c r="F14" s="55"/>
    </row>
    <row r="15" spans="2:6" x14ac:dyDescent="0.2">
      <c r="B15" s="54"/>
      <c r="C15" s="23" t="s">
        <v>116</v>
      </c>
      <c r="F15" s="55"/>
    </row>
    <row r="16" spans="2:6" x14ac:dyDescent="0.2">
      <c r="B16" s="54"/>
      <c r="C16" s="90" t="s">
        <v>232</v>
      </c>
      <c r="D16" s="2" t="s">
        <v>105</v>
      </c>
      <c r="E16" s="57">
        <f>'Fuel ledger'!N22</f>
        <v>1.2141083354328144</v>
      </c>
      <c r="F16" s="55"/>
    </row>
    <row r="17" spans="2:6" x14ac:dyDescent="0.2">
      <c r="B17" s="54"/>
      <c r="C17" s="2" t="s">
        <v>201</v>
      </c>
      <c r="D17" s="2" t="s">
        <v>174</v>
      </c>
      <c r="E17" s="57">
        <f>Result!H21</f>
        <v>0.51364572108503226</v>
      </c>
      <c r="F17" s="55"/>
    </row>
    <row r="18" spans="2:6" x14ac:dyDescent="0.2">
      <c r="B18" s="54"/>
      <c r="F18" s="55"/>
    </row>
    <row r="19" spans="2:6" x14ac:dyDescent="0.2">
      <c r="B19" s="54"/>
      <c r="C19" s="1" t="s">
        <v>117</v>
      </c>
      <c r="F19" s="55"/>
    </row>
    <row r="20" spans="2:6" x14ac:dyDescent="0.2">
      <c r="B20" s="54"/>
      <c r="C20" s="2" t="s">
        <v>196</v>
      </c>
      <c r="D20" s="2" t="s">
        <v>137</v>
      </c>
      <c r="E20" s="58">
        <f>'Fuel component correction'!H45</f>
        <v>19937.453157994787</v>
      </c>
      <c r="F20" s="55"/>
    </row>
    <row r="21" spans="2:6" x14ac:dyDescent="0.2">
      <c r="B21" s="54"/>
      <c r="C21" s="2" t="s">
        <v>197</v>
      </c>
      <c r="D21" s="2" t="s">
        <v>179</v>
      </c>
      <c r="E21" s="58">
        <f>'Fuel component correction'!H46</f>
        <v>235.41384423241414</v>
      </c>
      <c r="F21" s="55"/>
    </row>
    <row r="22" spans="2:6" x14ac:dyDescent="0.2">
      <c r="B22" s="54"/>
      <c r="C22" s="2" t="s">
        <v>103</v>
      </c>
      <c r="D22" s="2" t="s">
        <v>179</v>
      </c>
      <c r="E22" s="58">
        <f>'Fuel component correction'!H48</f>
        <v>20770.990596967047</v>
      </c>
      <c r="F22" s="55"/>
    </row>
    <row r="23" spans="2:6" x14ac:dyDescent="0.2">
      <c r="B23" s="54"/>
      <c r="C23" s="2" t="s">
        <v>182</v>
      </c>
      <c r="D23" s="2" t="s">
        <v>79</v>
      </c>
      <c r="E23" s="58">
        <f>Result!H27</f>
        <v>5248356.312322583</v>
      </c>
      <c r="F23" s="55"/>
    </row>
    <row r="24" spans="2:6" x14ac:dyDescent="0.2">
      <c r="B24" s="54"/>
      <c r="C24" s="2" t="s">
        <v>133</v>
      </c>
      <c r="D24" s="2" t="s">
        <v>174</v>
      </c>
      <c r="E24" s="57">
        <f>Result!H28</f>
        <v>3.9576182257669828E-3</v>
      </c>
      <c r="F24" s="55"/>
    </row>
    <row r="25" spans="2:6" x14ac:dyDescent="0.2">
      <c r="B25" s="54"/>
      <c r="E25" s="57"/>
      <c r="F25" s="55"/>
    </row>
    <row r="26" spans="2:6" x14ac:dyDescent="0.2">
      <c r="B26" s="54"/>
      <c r="C26" s="1" t="s">
        <v>183</v>
      </c>
      <c r="E26" s="57"/>
      <c r="F26" s="55"/>
    </row>
    <row r="27" spans="2:6" x14ac:dyDescent="0.2">
      <c r="B27" s="54"/>
      <c r="C27" s="2" t="s">
        <v>184</v>
      </c>
      <c r="D27" s="2" t="s">
        <v>174</v>
      </c>
      <c r="E27" s="57">
        <f>Result!H31</f>
        <v>-6.3877046786174857E-4</v>
      </c>
      <c r="F27" s="55"/>
    </row>
    <row r="28" spans="2:6" x14ac:dyDescent="0.2">
      <c r="B28" s="54"/>
      <c r="E28" s="57"/>
      <c r="F28" s="55"/>
    </row>
    <row r="29" spans="2:6" x14ac:dyDescent="0.2">
      <c r="B29" s="54"/>
      <c r="C29" s="1" t="s">
        <v>118</v>
      </c>
      <c r="F29" s="55"/>
    </row>
    <row r="30" spans="2:6" x14ac:dyDescent="0.2">
      <c r="B30" s="54"/>
      <c r="C30" s="2" t="s">
        <v>171</v>
      </c>
      <c r="D30" s="2" t="s">
        <v>174</v>
      </c>
      <c r="E30" s="57">
        <f>Result!H36</f>
        <v>0.51364572108503226</v>
      </c>
      <c r="F30" s="55"/>
    </row>
    <row r="31" spans="2:6" x14ac:dyDescent="0.2">
      <c r="B31" s="54"/>
      <c r="C31" s="2" t="s">
        <v>186</v>
      </c>
      <c r="D31" s="2" t="s">
        <v>174</v>
      </c>
      <c r="E31" s="57">
        <f>Result!H37</f>
        <v>3.318847757905234E-3</v>
      </c>
      <c r="F31" s="55"/>
    </row>
    <row r="32" spans="2:6" x14ac:dyDescent="0.2">
      <c r="B32" s="54"/>
      <c r="C32" s="2" t="s">
        <v>187</v>
      </c>
      <c r="D32" s="2" t="s">
        <v>84</v>
      </c>
      <c r="E32" s="56">
        <f>Result!H38</f>
        <v>5.4024539402881537E-2</v>
      </c>
      <c r="F32" s="55"/>
    </row>
    <row r="33" spans="2:6" x14ac:dyDescent="0.2">
      <c r="B33" s="54"/>
      <c r="E33" s="56"/>
      <c r="F33" s="55"/>
    </row>
    <row r="34" spans="2:6" x14ac:dyDescent="0.2">
      <c r="B34" s="54"/>
      <c r="C34" s="2" t="s">
        <v>202</v>
      </c>
      <c r="D34" s="2" t="s">
        <v>174</v>
      </c>
      <c r="E34" s="57">
        <f>Result!H40</f>
        <v>0.54648835025447617</v>
      </c>
      <c r="F34" s="55"/>
    </row>
    <row r="35" spans="2:6" x14ac:dyDescent="0.2">
      <c r="B35" s="54"/>
      <c r="F35" s="55"/>
    </row>
    <row r="36" spans="2:6" x14ac:dyDescent="0.2">
      <c r="B36" s="54"/>
      <c r="F36" s="55"/>
    </row>
    <row r="37" spans="2:6" x14ac:dyDescent="0.2">
      <c r="B37" s="54"/>
      <c r="C37" s="2" t="s">
        <v>119</v>
      </c>
      <c r="F37" s="55"/>
    </row>
    <row r="38" spans="2:6" x14ac:dyDescent="0.2">
      <c r="B38" s="59"/>
      <c r="C38" s="60"/>
      <c r="D38" s="60"/>
      <c r="E38" s="60"/>
      <c r="F38" s="6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F41"/>
  <sheetViews>
    <sheetView showGridLines="0" zoomScale="80" zoomScaleNormal="80"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27.85546875" style="2" customWidth="1"/>
    <col min="3" max="3" width="7.140625" style="2" customWidth="1"/>
    <col min="4" max="4" width="56.85546875" style="2" customWidth="1"/>
    <col min="5" max="5" width="29.85546875" style="2" customWidth="1"/>
    <col min="6" max="6" width="24.7109375" style="2" customWidth="1"/>
    <col min="7" max="7" width="37.28515625" style="2" customWidth="1"/>
    <col min="8" max="16384" width="9.140625" style="2"/>
  </cols>
  <sheetData>
    <row r="2" spans="2:6" s="7" customFormat="1" ht="18" x14ac:dyDescent="0.2">
      <c r="B2" s="7" t="s">
        <v>46</v>
      </c>
    </row>
    <row r="3" spans="2:6" x14ac:dyDescent="0.2">
      <c r="B3" s="33"/>
    </row>
    <row r="4" spans="2:6" x14ac:dyDescent="0.2">
      <c r="B4" s="33"/>
    </row>
    <row r="5" spans="2:6" s="8" customFormat="1" x14ac:dyDescent="0.2">
      <c r="B5" s="8" t="s">
        <v>47</v>
      </c>
    </row>
    <row r="7" spans="2:6" x14ac:dyDescent="0.2">
      <c r="B7" s="18" t="s">
        <v>218</v>
      </c>
    </row>
    <row r="8" spans="2:6" x14ac:dyDescent="0.2">
      <c r="B8" s="2" t="s">
        <v>64</v>
      </c>
    </row>
    <row r="9" spans="2:6" x14ac:dyDescent="0.2">
      <c r="B9" s="18" t="s">
        <v>219</v>
      </c>
    </row>
    <row r="10" spans="2:6" x14ac:dyDescent="0.2">
      <c r="B10" s="2" t="s">
        <v>220</v>
      </c>
    </row>
    <row r="11" spans="2:6" x14ac:dyDescent="0.2">
      <c r="B11" s="2" t="s">
        <v>221</v>
      </c>
    </row>
    <row r="13" spans="2:6" s="8" customFormat="1" x14ac:dyDescent="0.2">
      <c r="B13" s="8" t="s">
        <v>48</v>
      </c>
    </row>
    <row r="14" spans="2:6" x14ac:dyDescent="0.2">
      <c r="C14" s="9"/>
    </row>
    <row r="15" spans="2:6" x14ac:dyDescent="0.2">
      <c r="B15" s="23" t="s">
        <v>11</v>
      </c>
      <c r="C15" s="9"/>
      <c r="D15" s="23" t="s">
        <v>12</v>
      </c>
      <c r="F15" s="11"/>
    </row>
    <row r="16" spans="2:6" x14ac:dyDescent="0.2">
      <c r="C16" s="9"/>
    </row>
    <row r="17" spans="2:6" x14ac:dyDescent="0.2">
      <c r="B17" s="28">
        <v>123</v>
      </c>
      <c r="C17" s="9"/>
      <c r="D17" s="18" t="s">
        <v>13</v>
      </c>
    </row>
    <row r="18" spans="2:6" x14ac:dyDescent="0.2">
      <c r="B18" s="31">
        <f>B17</f>
        <v>123</v>
      </c>
      <c r="C18" s="9"/>
      <c r="D18" s="2" t="s">
        <v>49</v>
      </c>
    </row>
    <row r="19" spans="2:6" x14ac:dyDescent="0.2">
      <c r="B19" s="32">
        <f>B18+B17</f>
        <v>246</v>
      </c>
      <c r="C19" s="9"/>
      <c r="D19" s="2" t="s">
        <v>14</v>
      </c>
    </row>
    <row r="20" spans="2:6" x14ac:dyDescent="0.2">
      <c r="B20" s="25">
        <f>B18+B19</f>
        <v>369</v>
      </c>
      <c r="C20" s="9"/>
      <c r="D20" s="18" t="s">
        <v>50</v>
      </c>
      <c r="E20" s="11"/>
      <c r="F20" s="5"/>
    </row>
    <row r="21" spans="2:6" x14ac:dyDescent="0.2">
      <c r="B21" s="12"/>
      <c r="C21" s="9"/>
      <c r="D21" s="18" t="s">
        <v>15</v>
      </c>
      <c r="E21" s="11"/>
    </row>
    <row r="22" spans="2:6" x14ac:dyDescent="0.2">
      <c r="B22" s="9"/>
      <c r="C22" s="9"/>
    </row>
    <row r="23" spans="2:6" x14ac:dyDescent="0.2">
      <c r="B23" s="24" t="s">
        <v>26</v>
      </c>
      <c r="C23" s="9"/>
    </row>
    <row r="24" spans="2:6" x14ac:dyDescent="0.2">
      <c r="B24" s="26">
        <f>B20+16</f>
        <v>385</v>
      </c>
      <c r="C24" s="9"/>
      <c r="D24" s="2" t="s">
        <v>16</v>
      </c>
    </row>
    <row r="25" spans="2:6" x14ac:dyDescent="0.2">
      <c r="B25" s="27">
        <f>B18*PI()</f>
        <v>386.41589639154455</v>
      </c>
      <c r="C25" s="13"/>
      <c r="D25" s="2" t="s">
        <v>51</v>
      </c>
    </row>
    <row r="26" spans="2:6" x14ac:dyDescent="0.2">
      <c r="B26" s="13"/>
      <c r="C26" s="13"/>
    </row>
    <row r="28" spans="2:6" x14ac:dyDescent="0.2">
      <c r="B28" s="23" t="s">
        <v>17</v>
      </c>
    </row>
    <row r="29" spans="2:6" x14ac:dyDescent="0.2">
      <c r="B29" s="1"/>
    </row>
    <row r="30" spans="2:6" x14ac:dyDescent="0.2">
      <c r="B30" s="24" t="s">
        <v>21</v>
      </c>
    </row>
    <row r="31" spans="2:6" x14ac:dyDescent="0.2">
      <c r="B31" s="25" t="s">
        <v>22</v>
      </c>
      <c r="C31" s="9"/>
      <c r="D31" s="18" t="s">
        <v>18</v>
      </c>
    </row>
    <row r="32" spans="2:6" x14ac:dyDescent="0.2">
      <c r="B32" s="28" t="s">
        <v>1</v>
      </c>
      <c r="C32" s="9"/>
      <c r="D32" s="18" t="s">
        <v>19</v>
      </c>
    </row>
    <row r="33" spans="2:4" x14ac:dyDescent="0.2">
      <c r="B33" s="32" t="s">
        <v>23</v>
      </c>
      <c r="C33" s="9"/>
      <c r="D33" s="18" t="s">
        <v>20</v>
      </c>
    </row>
    <row r="34" spans="2:4" x14ac:dyDescent="0.2">
      <c r="C34" s="9"/>
      <c r="D34" s="3"/>
    </row>
    <row r="35" spans="2:4" x14ac:dyDescent="0.2">
      <c r="B35" s="24" t="s">
        <v>24</v>
      </c>
      <c r="C35" s="9"/>
      <c r="D35" s="3"/>
    </row>
    <row r="36" spans="2:4" x14ac:dyDescent="0.2">
      <c r="B36" s="17" t="s">
        <v>2</v>
      </c>
      <c r="C36" s="9"/>
      <c r="D36" s="18" t="s">
        <v>52</v>
      </c>
    </row>
    <row r="37" spans="2:4" x14ac:dyDescent="0.2">
      <c r="B37" s="34" t="s">
        <v>25</v>
      </c>
      <c r="D37" s="18" t="s">
        <v>128</v>
      </c>
    </row>
    <row r="41" spans="2:4" x14ac:dyDescent="0.2">
      <c r="B41" s="4" t="s">
        <v>59</v>
      </c>
    </row>
  </sheetData>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C8D9"/>
  </sheetPr>
  <dimension ref="A2:I30"/>
  <sheetViews>
    <sheetView showGridLines="0" zoomScale="80" zoomScaleNormal="80" workbookViewId="0">
      <pane ySplit="3" topLeftCell="A4" activePane="bottomLeft" state="frozen"/>
      <selection activeCell="O39" sqref="O39"/>
      <selection pane="bottomLeft" activeCell="A4" sqref="A4"/>
    </sheetView>
  </sheetViews>
  <sheetFormatPr defaultColWidth="9.140625" defaultRowHeight="12.75" x14ac:dyDescent="0.2"/>
  <cols>
    <col min="1" max="1" width="4.7109375" style="2" customWidth="1"/>
    <col min="2" max="2" width="7.5703125" style="2" customWidth="1"/>
    <col min="3" max="3" width="36.5703125" style="2" customWidth="1"/>
    <col min="4" max="4" width="68.42578125" style="2" customWidth="1"/>
    <col min="5" max="5" width="36.28515625" style="2" customWidth="1"/>
    <col min="6" max="6" width="71.7109375" style="2" customWidth="1"/>
    <col min="7" max="7" width="34.140625" style="2" customWidth="1"/>
    <col min="8" max="8" width="11.85546875" style="2" customWidth="1"/>
    <col min="9" max="9" width="28.7109375" style="2" customWidth="1"/>
    <col min="10" max="10" width="18.42578125" style="2" customWidth="1"/>
    <col min="11" max="12" width="58.42578125" style="2" customWidth="1"/>
    <col min="13" max="16384" width="9.140625" style="2"/>
  </cols>
  <sheetData>
    <row r="2" spans="1:9" s="7" customFormat="1" ht="18" x14ac:dyDescent="0.2">
      <c r="B2" s="7" t="s">
        <v>27</v>
      </c>
    </row>
    <row r="5" spans="1:9" s="8" customFormat="1" x14ac:dyDescent="0.2">
      <c r="B5" s="8" t="s">
        <v>28</v>
      </c>
    </row>
    <row r="6" spans="1:9" x14ac:dyDescent="0.2">
      <c r="A6" s="9"/>
    </row>
    <row r="7" spans="1:9" x14ac:dyDescent="0.2">
      <c r="B7" s="4" t="s">
        <v>130</v>
      </c>
    </row>
    <row r="8" spans="1:9" x14ac:dyDescent="0.2">
      <c r="B8" s="4" t="s">
        <v>29</v>
      </c>
    </row>
    <row r="10" spans="1:9" x14ac:dyDescent="0.2">
      <c r="B10" s="35" t="s">
        <v>30</v>
      </c>
      <c r="C10" s="35" t="s">
        <v>31</v>
      </c>
      <c r="D10" s="35" t="s">
        <v>32</v>
      </c>
      <c r="E10" s="35" t="s">
        <v>60</v>
      </c>
      <c r="F10" s="35" t="s">
        <v>53</v>
      </c>
      <c r="G10" s="35" t="s">
        <v>7</v>
      </c>
      <c r="I10" s="22"/>
    </row>
    <row r="11" spans="1:9" x14ac:dyDescent="0.2">
      <c r="B11" s="14"/>
      <c r="C11" s="19" t="s">
        <v>33</v>
      </c>
      <c r="D11" s="19" t="s">
        <v>34</v>
      </c>
      <c r="E11" s="19" t="s">
        <v>43</v>
      </c>
      <c r="F11" s="19" t="s">
        <v>35</v>
      </c>
      <c r="G11" s="19"/>
    </row>
    <row r="12" spans="1:9" x14ac:dyDescent="0.2">
      <c r="B12" s="63">
        <v>1</v>
      </c>
      <c r="C12" s="80" t="s">
        <v>136</v>
      </c>
      <c r="D12" s="80" t="s">
        <v>138</v>
      </c>
      <c r="E12" s="80" t="s">
        <v>140</v>
      </c>
      <c r="F12" s="29" t="s">
        <v>139</v>
      </c>
      <c r="G12" s="6"/>
    </row>
    <row r="13" spans="1:9" x14ac:dyDescent="0.2">
      <c r="B13" s="63">
        <v>2</v>
      </c>
      <c r="C13" s="80" t="s">
        <v>206</v>
      </c>
      <c r="D13" s="80" t="s">
        <v>205</v>
      </c>
      <c r="E13" s="80" t="s">
        <v>207</v>
      </c>
      <c r="F13" s="29" t="s">
        <v>208</v>
      </c>
      <c r="G13" s="6"/>
    </row>
    <row r="14" spans="1:9" x14ac:dyDescent="0.2">
      <c r="B14" s="63">
        <v>3</v>
      </c>
      <c r="C14" s="80" t="s">
        <v>210</v>
      </c>
      <c r="D14" s="80" t="s">
        <v>135</v>
      </c>
      <c r="E14" s="80" t="s">
        <v>134</v>
      </c>
      <c r="F14" s="29" t="s">
        <v>209</v>
      </c>
      <c r="G14" s="6" t="s">
        <v>61</v>
      </c>
    </row>
    <row r="15" spans="1:9" x14ac:dyDescent="0.2">
      <c r="B15" s="63">
        <v>4</v>
      </c>
      <c r="C15" s="80" t="s">
        <v>230</v>
      </c>
      <c r="D15" s="80" t="s">
        <v>230</v>
      </c>
      <c r="E15" s="80" t="s">
        <v>228</v>
      </c>
      <c r="F15" s="20" t="s">
        <v>213</v>
      </c>
      <c r="G15" s="6"/>
    </row>
    <row r="16" spans="1:9" x14ac:dyDescent="0.2">
      <c r="B16" s="63">
        <v>5</v>
      </c>
      <c r="C16" s="80" t="s">
        <v>211</v>
      </c>
      <c r="D16" s="80" t="s">
        <v>211</v>
      </c>
      <c r="E16" s="80" t="s">
        <v>228</v>
      </c>
      <c r="F16" s="20" t="s">
        <v>213</v>
      </c>
      <c r="G16" s="6"/>
    </row>
    <row r="17" spans="2:7" x14ac:dyDescent="0.2">
      <c r="B17" s="63">
        <v>6</v>
      </c>
      <c r="C17" s="80" t="s">
        <v>212</v>
      </c>
      <c r="D17" s="80" t="s">
        <v>212</v>
      </c>
      <c r="E17" s="80" t="s">
        <v>228</v>
      </c>
      <c r="F17" s="20" t="s">
        <v>213</v>
      </c>
      <c r="G17" s="6"/>
    </row>
    <row r="18" spans="2:7" x14ac:dyDescent="0.2">
      <c r="B18" s="63">
        <v>7</v>
      </c>
      <c r="C18" s="80" t="s">
        <v>214</v>
      </c>
      <c r="D18" s="80" t="s">
        <v>141</v>
      </c>
      <c r="E18" s="80" t="s">
        <v>228</v>
      </c>
      <c r="F18" s="20" t="s">
        <v>213</v>
      </c>
      <c r="G18" s="6"/>
    </row>
    <row r="19" spans="2:7" x14ac:dyDescent="0.2">
      <c r="B19" s="63">
        <v>8</v>
      </c>
      <c r="C19" s="80" t="s">
        <v>215</v>
      </c>
      <c r="D19" s="80" t="s">
        <v>216</v>
      </c>
      <c r="E19" s="80" t="s">
        <v>227</v>
      </c>
      <c r="F19" s="20" t="s">
        <v>229</v>
      </c>
      <c r="G19" s="6"/>
    </row>
    <row r="20" spans="2:7" x14ac:dyDescent="0.2">
      <c r="B20" s="63">
        <v>9</v>
      </c>
      <c r="C20" s="80" t="s">
        <v>112</v>
      </c>
      <c r="D20" s="80"/>
      <c r="E20" s="81"/>
      <c r="F20" s="85" t="s">
        <v>113</v>
      </c>
      <c r="G20" s="63"/>
    </row>
    <row r="21" spans="2:7" x14ac:dyDescent="0.2">
      <c r="B21" s="63">
        <v>10</v>
      </c>
      <c r="C21" s="81"/>
      <c r="D21" s="81"/>
      <c r="E21" s="81"/>
      <c r="F21" s="85"/>
      <c r="G21" s="63"/>
    </row>
    <row r="24" spans="2:7" s="8" customFormat="1" x14ac:dyDescent="0.2">
      <c r="B24" s="8" t="s">
        <v>56</v>
      </c>
    </row>
    <row r="26" spans="2:7" x14ac:dyDescent="0.2">
      <c r="B26" s="24" t="s">
        <v>57</v>
      </c>
    </row>
    <row r="27" spans="2:7" x14ac:dyDescent="0.2">
      <c r="B27" s="24" t="s">
        <v>54</v>
      </c>
    </row>
    <row r="28" spans="2:7" x14ac:dyDescent="0.2">
      <c r="B28" s="24"/>
    </row>
    <row r="29" spans="2:7" x14ac:dyDescent="0.2">
      <c r="C29" s="16"/>
    </row>
    <row r="30" spans="2:7" x14ac:dyDescent="0.2">
      <c r="B30" s="4" t="s">
        <v>59</v>
      </c>
    </row>
  </sheetData>
  <phoneticPr fontId="30" type="noConversion"/>
  <hyperlinks>
    <hyperlink ref="F20" r:id="rId1" xr:uid="{55589F55-4635-42EA-AD91-D5507017AC62}"/>
    <hyperlink ref="F12" r:id="rId2" xr:uid="{6302ED4B-8008-40E9-965A-599E3214946D}"/>
    <hyperlink ref="F13" r:id="rId3" display="https://www.acm.nl/nl/publicaties/tariefbesluit-distributietarieven-elektriciteit-2026-saba-sec" xr:uid="{80816AAC-B664-4527-9A5B-641E5FA68E5C}"/>
    <hyperlink ref="F14" r:id="rId4" display="https://www.acm.nl/nl/publicaties/beschikking-variabel-tarief-elektriciteit-1-juli-2025-saba-caribisch-nederland" xr:uid="{B77573DD-7BA7-4894-8224-3427C2591034}"/>
  </hyperlinks>
  <pageMargins left="0.75" right="0.75" top="1" bottom="1" header="0.5" footer="0.5"/>
  <pageSetup paperSize="9" orientation="portrait" r:id="rId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sheetPr>
  <dimension ref="B2:K43"/>
  <sheetViews>
    <sheetView showGridLines="0" zoomScale="80" zoomScaleNormal="80" workbookViewId="0">
      <pane xSplit="6" ySplit="11" topLeftCell="G12" activePane="bottomRight" state="frozen"/>
      <selection activeCell="O39" sqref="O39"/>
      <selection pane="topRight" activeCell="O39" sqref="O39"/>
      <selection pane="bottomLeft" activeCell="O39" sqref="O39"/>
      <selection pane="bottomRight"/>
    </sheetView>
  </sheetViews>
  <sheetFormatPr defaultColWidth="9.140625" defaultRowHeight="12.75" x14ac:dyDescent="0.2"/>
  <cols>
    <col min="1" max="1" width="4.7109375" style="2" customWidth="1"/>
    <col min="2" max="2" width="52" style="2" customWidth="1"/>
    <col min="3" max="5" width="4.7109375" style="2" customWidth="1"/>
    <col min="6" max="6" width="16.5703125" style="2" bestFit="1" customWidth="1"/>
    <col min="7" max="7" width="2.7109375" style="2" customWidth="1"/>
    <col min="8" max="8" width="13.7109375" style="2" customWidth="1"/>
    <col min="9" max="9" width="5.5703125" style="2" customWidth="1"/>
    <col min="10" max="24" width="13.7109375" style="2" customWidth="1"/>
    <col min="25" max="16384" width="9.140625" style="2"/>
  </cols>
  <sheetData>
    <row r="2" spans="2:10" s="15" customFormat="1" ht="18" x14ac:dyDescent="0.2">
      <c r="B2" s="15" t="s">
        <v>22</v>
      </c>
    </row>
    <row r="4" spans="2:10" x14ac:dyDescent="0.2">
      <c r="B4" s="23" t="s">
        <v>12</v>
      </c>
      <c r="C4" s="1"/>
      <c r="D4" s="1"/>
    </row>
    <row r="5" spans="2:10" x14ac:dyDescent="0.2">
      <c r="B5" s="18" t="s">
        <v>167</v>
      </c>
      <c r="C5" s="3"/>
      <c r="D5" s="3"/>
      <c r="H5" s="16"/>
    </row>
    <row r="6" spans="2:10" x14ac:dyDescent="0.2">
      <c r="B6" s="18" t="s">
        <v>168</v>
      </c>
      <c r="C6" s="3"/>
      <c r="D6" s="3"/>
      <c r="H6" s="16"/>
    </row>
    <row r="7" spans="2:10" x14ac:dyDescent="0.2">
      <c r="B7" s="18" t="s">
        <v>169</v>
      </c>
      <c r="C7" s="3"/>
      <c r="D7" s="3"/>
      <c r="H7" s="16"/>
    </row>
    <row r="8" spans="2:10" x14ac:dyDescent="0.2">
      <c r="B8" s="18"/>
      <c r="C8" s="3"/>
      <c r="D8" s="3"/>
      <c r="H8" s="16"/>
    </row>
    <row r="10" spans="2:10" s="8" customFormat="1" x14ac:dyDescent="0.2">
      <c r="B10" s="8" t="s">
        <v>12</v>
      </c>
      <c r="F10" s="8" t="s">
        <v>36</v>
      </c>
      <c r="H10" s="8" t="s">
        <v>37</v>
      </c>
      <c r="J10" s="8" t="s">
        <v>38</v>
      </c>
    </row>
    <row r="13" spans="2:10" s="8" customFormat="1" x14ac:dyDescent="0.2">
      <c r="B13" s="8" t="s">
        <v>170</v>
      </c>
    </row>
    <row r="15" spans="2:10" x14ac:dyDescent="0.2">
      <c r="B15" s="1" t="s">
        <v>171</v>
      </c>
    </row>
    <row r="16" spans="2:10" x14ac:dyDescent="0.2">
      <c r="B16" s="2" t="s">
        <v>172</v>
      </c>
      <c r="F16" s="2" t="s">
        <v>174</v>
      </c>
      <c r="H16" s="45">
        <f>'Input data'!H31</f>
        <v>0.2863</v>
      </c>
    </row>
    <row r="17" spans="2:10" x14ac:dyDescent="0.2">
      <c r="B17" s="2" t="s">
        <v>173</v>
      </c>
      <c r="F17" s="2" t="s">
        <v>83</v>
      </c>
      <c r="H17" s="45">
        <f>'Input data'!H24</f>
        <v>0.27131856147939853</v>
      </c>
    </row>
    <row r="18" spans="2:10" x14ac:dyDescent="0.2">
      <c r="B18" s="2" t="s">
        <v>175</v>
      </c>
      <c r="F18" s="2" t="s">
        <v>84</v>
      </c>
      <c r="H18" s="44">
        <f>'Input data'!H26</f>
        <v>0.69016008439436116</v>
      </c>
    </row>
    <row r="19" spans="2:10" x14ac:dyDescent="0.2">
      <c r="B19" s="18" t="s">
        <v>232</v>
      </c>
      <c r="F19" s="2" t="s">
        <v>176</v>
      </c>
      <c r="H19" s="45">
        <f>'Fuel ledger'!N22</f>
        <v>1.2141083354328144</v>
      </c>
      <c r="J19" s="16"/>
    </row>
    <row r="20" spans="2:10" x14ac:dyDescent="0.2">
      <c r="B20" s="2" t="s">
        <v>177</v>
      </c>
      <c r="F20" s="2" t="s">
        <v>174</v>
      </c>
      <c r="H20" s="41">
        <f>H17*H18*H19</f>
        <v>0.2273457210850322</v>
      </c>
    </row>
    <row r="21" spans="2:10" x14ac:dyDescent="0.2">
      <c r="B21" s="2" t="s">
        <v>178</v>
      </c>
      <c r="F21" s="2" t="s">
        <v>174</v>
      </c>
      <c r="H21" s="41">
        <f>H16+H20</f>
        <v>0.51364572108503226</v>
      </c>
    </row>
    <row r="23" spans="2:10" x14ac:dyDescent="0.2">
      <c r="B23" s="1" t="s">
        <v>107</v>
      </c>
    </row>
    <row r="24" spans="2:10" x14ac:dyDescent="0.2">
      <c r="B24" s="2" t="s">
        <v>132</v>
      </c>
      <c r="F24" s="2" t="s">
        <v>179</v>
      </c>
      <c r="H24" s="31">
        <f>'Fuel component correction'!H48</f>
        <v>20770.990596967047</v>
      </c>
      <c r="J24" s="2" t="s">
        <v>188</v>
      </c>
    </row>
    <row r="25" spans="2:10" x14ac:dyDescent="0.2">
      <c r="B25" s="2" t="s">
        <v>180</v>
      </c>
      <c r="F25" s="2" t="s">
        <v>79</v>
      </c>
      <c r="H25" s="31">
        <f>'Input data'!H32</f>
        <v>10496712.624645166</v>
      </c>
    </row>
    <row r="26" spans="2:10" x14ac:dyDescent="0.2">
      <c r="B26" s="2" t="s">
        <v>181</v>
      </c>
      <c r="F26" s="2" t="s">
        <v>84</v>
      </c>
      <c r="H26" s="46">
        <f>'Input data'!H33</f>
        <v>0.5</v>
      </c>
    </row>
    <row r="27" spans="2:10" x14ac:dyDescent="0.2">
      <c r="B27" s="2" t="s">
        <v>182</v>
      </c>
      <c r="F27" s="2" t="s">
        <v>79</v>
      </c>
      <c r="H27" s="32">
        <f>H25*(1-H26)</f>
        <v>5248356.312322583</v>
      </c>
    </row>
    <row r="28" spans="2:10" x14ac:dyDescent="0.2">
      <c r="B28" s="2" t="s">
        <v>133</v>
      </c>
      <c r="F28" s="2" t="s">
        <v>174</v>
      </c>
      <c r="H28" s="41">
        <f>H24/H27</f>
        <v>3.9576182257669828E-3</v>
      </c>
    </row>
    <row r="30" spans="2:10" x14ac:dyDescent="0.2">
      <c r="B30" s="1" t="s">
        <v>183</v>
      </c>
    </row>
    <row r="31" spans="2:10" x14ac:dyDescent="0.2">
      <c r="B31" s="2" t="s">
        <v>184</v>
      </c>
      <c r="F31" s="2" t="s">
        <v>174</v>
      </c>
      <c r="H31" s="45">
        <f>'Input data'!H36</f>
        <v>-6.3877046786174857E-4</v>
      </c>
    </row>
    <row r="33" spans="2:11" s="8" customFormat="1" x14ac:dyDescent="0.2">
      <c r="B33" s="8" t="s">
        <v>185</v>
      </c>
    </row>
    <row r="35" spans="2:11" x14ac:dyDescent="0.2">
      <c r="B35" s="1" t="s">
        <v>108</v>
      </c>
    </row>
    <row r="36" spans="2:11" x14ac:dyDescent="0.2">
      <c r="B36" s="2" t="s">
        <v>171</v>
      </c>
      <c r="F36" s="2" t="s">
        <v>174</v>
      </c>
      <c r="H36" s="45">
        <f>H21</f>
        <v>0.51364572108503226</v>
      </c>
    </row>
    <row r="37" spans="2:11" x14ac:dyDescent="0.2">
      <c r="B37" s="2" t="s">
        <v>186</v>
      </c>
      <c r="F37" s="2" t="s">
        <v>174</v>
      </c>
      <c r="H37" s="41">
        <f>H28+H31</f>
        <v>3.318847757905234E-3</v>
      </c>
    </row>
    <row r="38" spans="2:11" x14ac:dyDescent="0.2">
      <c r="B38" s="2" t="s">
        <v>187</v>
      </c>
      <c r="F38" s="2" t="s">
        <v>84</v>
      </c>
      <c r="H38" s="44">
        <f>'Input data'!H39</f>
        <v>5.4024539402881537E-2</v>
      </c>
    </row>
    <row r="40" spans="2:11" x14ac:dyDescent="0.2">
      <c r="B40" s="2" t="s">
        <v>170</v>
      </c>
      <c r="F40" s="2" t="s">
        <v>174</v>
      </c>
      <c r="H40" s="47">
        <f>(H36+H37)/(1-H38)</f>
        <v>0.54648835025447617</v>
      </c>
      <c r="K40" s="56"/>
    </row>
    <row r="43" spans="2:11" x14ac:dyDescent="0.2">
      <c r="B43" s="4" t="s">
        <v>59</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B2:B8"/>
  <sheetViews>
    <sheetView showGridLines="0" zoomScale="85" zoomScaleNormal="85" workbookViewId="0"/>
  </sheetViews>
  <sheetFormatPr defaultColWidth="9.140625" defaultRowHeight="12.75" x14ac:dyDescent="0.2"/>
  <cols>
    <col min="1" max="16384" width="9.140625" style="17"/>
  </cols>
  <sheetData>
    <row r="2" spans="2:2" x14ac:dyDescent="0.2">
      <c r="B2" s="38" t="s">
        <v>125</v>
      </c>
    </row>
    <row r="3" spans="2:2" x14ac:dyDescent="0.2">
      <c r="B3" s="38" t="s">
        <v>126</v>
      </c>
    </row>
    <row r="7" spans="2:2" x14ac:dyDescent="0.2">
      <c r="B7" s="38"/>
    </row>
    <row r="8" spans="2:2" x14ac:dyDescent="0.2">
      <c r="B8" s="38"/>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1FFE1"/>
  </sheetPr>
  <dimension ref="B2:Y32"/>
  <sheetViews>
    <sheetView showGridLines="0" zoomScale="80" zoomScaleNormal="80" workbookViewId="0">
      <pane xSplit="4" ySplit="12" topLeftCell="E13" activePane="bottomRight" state="frozen"/>
      <selection pane="topRight" activeCell="E1" sqref="E1"/>
      <selection pane="bottomLeft" activeCell="A13" sqref="A13"/>
      <selection pane="bottomRight" activeCell="E13" sqref="E13"/>
    </sheetView>
  </sheetViews>
  <sheetFormatPr defaultColWidth="9.140625" defaultRowHeight="12.75" x14ac:dyDescent="0.2"/>
  <cols>
    <col min="1" max="1" width="4.7109375" style="2" customWidth="1"/>
    <col min="2" max="2" width="50.140625" style="2" customWidth="1"/>
    <col min="3" max="3" width="18.140625" style="2" customWidth="1"/>
    <col min="4" max="5" width="2.7109375" style="2" customWidth="1"/>
    <col min="6" max="6" width="11.42578125" style="2" customWidth="1"/>
    <col min="7" max="7" width="2.7109375" style="2" customWidth="1"/>
    <col min="8" max="8" width="17.42578125" style="2" customWidth="1"/>
    <col min="9" max="9" width="2.7109375" style="2" customWidth="1"/>
    <col min="10" max="11" width="13.7109375" style="2" customWidth="1"/>
    <col min="12" max="12" width="2.7109375" style="2" customWidth="1"/>
    <col min="13" max="14" width="13.7109375" style="2" customWidth="1"/>
    <col min="15" max="15" width="2.7109375" style="2" customWidth="1"/>
    <col min="16" max="16" width="13.7109375" style="2" customWidth="1"/>
    <col min="17" max="17" width="2.7109375" style="2" customWidth="1"/>
    <col min="18" max="27" width="13.7109375" style="2" customWidth="1"/>
    <col min="28" max="16384" width="9.140625" style="2"/>
  </cols>
  <sheetData>
    <row r="2" spans="2:18" s="15" customFormat="1" ht="18" x14ac:dyDescent="0.2">
      <c r="B2" s="15" t="s">
        <v>164</v>
      </c>
    </row>
    <row r="4" spans="2:18" x14ac:dyDescent="0.2">
      <c r="B4" s="23" t="s">
        <v>12</v>
      </c>
      <c r="C4" s="1"/>
      <c r="D4" s="1"/>
    </row>
    <row r="5" spans="2:18" x14ac:dyDescent="0.2">
      <c r="B5" s="18" t="s">
        <v>67</v>
      </c>
      <c r="C5" s="3"/>
      <c r="D5" s="3"/>
      <c r="I5" s="16"/>
    </row>
    <row r="6" spans="2:18" x14ac:dyDescent="0.2">
      <c r="B6" s="18"/>
      <c r="C6" s="3"/>
      <c r="D6" s="3"/>
      <c r="I6" s="16"/>
    </row>
    <row r="7" spans="2:18" x14ac:dyDescent="0.2">
      <c r="B7" s="24" t="s">
        <v>124</v>
      </c>
      <c r="C7" s="3"/>
      <c r="D7" s="3"/>
      <c r="I7" s="16"/>
    </row>
    <row r="8" spans="2:18" x14ac:dyDescent="0.2">
      <c r="B8" s="4" t="s">
        <v>129</v>
      </c>
      <c r="C8" s="3"/>
      <c r="D8" s="3"/>
    </row>
    <row r="9" spans="2:18" x14ac:dyDescent="0.2">
      <c r="B9" s="4"/>
      <c r="C9" s="3"/>
      <c r="D9" s="3"/>
    </row>
    <row r="11" spans="2:18" s="8" customFormat="1" ht="28.5" customHeight="1" x14ac:dyDescent="0.2">
      <c r="B11" s="8" t="s">
        <v>12</v>
      </c>
      <c r="C11" s="8" t="s">
        <v>145</v>
      </c>
      <c r="F11" s="8" t="s">
        <v>37</v>
      </c>
      <c r="H11" s="39" t="s">
        <v>70</v>
      </c>
      <c r="J11" s="39" t="s">
        <v>146</v>
      </c>
      <c r="K11" s="39" t="s">
        <v>68</v>
      </c>
      <c r="L11" s="39"/>
      <c r="M11" s="39" t="s">
        <v>73</v>
      </c>
      <c r="N11" s="39" t="s">
        <v>69</v>
      </c>
      <c r="P11" s="8" t="s">
        <v>147</v>
      </c>
      <c r="R11" s="8" t="s">
        <v>38</v>
      </c>
    </row>
    <row r="14" spans="2:18" s="8" customFormat="1" x14ac:dyDescent="0.2">
      <c r="B14" s="8" t="s">
        <v>72</v>
      </c>
    </row>
    <row r="16" spans="2:18" x14ac:dyDescent="0.2">
      <c r="B16" s="23" t="s">
        <v>109</v>
      </c>
    </row>
    <row r="17" spans="2:25" x14ac:dyDescent="0.2">
      <c r="B17" s="2" t="s">
        <v>71</v>
      </c>
      <c r="F17" s="40">
        <v>3.7854117839999999</v>
      </c>
    </row>
    <row r="19" spans="2:25" s="8" customFormat="1" x14ac:dyDescent="0.2">
      <c r="B19" s="8" t="s">
        <v>66</v>
      </c>
    </row>
    <row r="21" spans="2:25" x14ac:dyDescent="0.2">
      <c r="B21" s="1" t="s">
        <v>74</v>
      </c>
      <c r="F21" s="1"/>
      <c r="G21" s="1"/>
      <c r="Y21" s="16"/>
    </row>
    <row r="22" spans="2:25" x14ac:dyDescent="0.2">
      <c r="B22" s="66" t="s">
        <v>212</v>
      </c>
      <c r="C22" s="86">
        <v>46087</v>
      </c>
      <c r="D22" s="18"/>
      <c r="E22" s="18"/>
      <c r="G22" s="18"/>
      <c r="H22" s="68">
        <v>716960.4</v>
      </c>
      <c r="J22" s="28">
        <v>156000</v>
      </c>
      <c r="K22" s="32">
        <f t="shared" ref="K22" si="0">J22*$F$17</f>
        <v>590524.238304</v>
      </c>
      <c r="M22" s="69">
        <f t="shared" ref="M22" si="1">H22/J22</f>
        <v>4.5959000000000003</v>
      </c>
      <c r="N22" s="70">
        <f t="shared" ref="N22" si="2">H22/K22</f>
        <v>1.2141083354328144</v>
      </c>
      <c r="P22" s="32" t="str">
        <f t="shared" ref="P22" si="3">MONTH(C22)&amp;YEAR(C22)</f>
        <v>32026</v>
      </c>
      <c r="Y22" s="22"/>
    </row>
    <row r="23" spans="2:25" x14ac:dyDescent="0.2">
      <c r="Y23" s="16"/>
    </row>
    <row r="24" spans="2:25" x14ac:dyDescent="0.2">
      <c r="B24" s="1" t="s">
        <v>222</v>
      </c>
      <c r="F24" s="1"/>
      <c r="G24" s="1"/>
    </row>
    <row r="25" spans="2:25" x14ac:dyDescent="0.2">
      <c r="B25" s="66" t="s">
        <v>230</v>
      </c>
      <c r="C25" s="86">
        <v>45904</v>
      </c>
      <c r="H25" s="68">
        <v>516500.4</v>
      </c>
      <c r="J25" s="28">
        <v>156000</v>
      </c>
      <c r="K25" s="32">
        <f t="shared" ref="K25:K26" si="4">J25*$F$17</f>
        <v>590524.238304</v>
      </c>
      <c r="M25" s="69">
        <f t="shared" ref="M25" si="5">H25/J25</f>
        <v>3.3109000000000002</v>
      </c>
      <c r="N25" s="70">
        <f t="shared" ref="N25" si="6">H25/K25</f>
        <v>0.87464724815259365</v>
      </c>
      <c r="P25" s="32" t="str">
        <f t="shared" ref="P25" si="7">MONTH(C25)&amp;YEAR(C25)</f>
        <v>92025</v>
      </c>
      <c r="Y25" s="16"/>
    </row>
    <row r="26" spans="2:25" x14ac:dyDescent="0.2">
      <c r="B26" s="66" t="s">
        <v>211</v>
      </c>
      <c r="C26" s="86">
        <v>46003</v>
      </c>
      <c r="H26" s="68">
        <v>516812.4</v>
      </c>
      <c r="J26" s="28">
        <v>156000</v>
      </c>
      <c r="K26" s="32">
        <f t="shared" si="4"/>
        <v>590524.238304</v>
      </c>
      <c r="M26" s="69">
        <f t="shared" ref="M26" si="8">H26/J26</f>
        <v>3.3129</v>
      </c>
      <c r="N26" s="70">
        <f t="shared" ref="N26" si="9">H26/K26</f>
        <v>0.8751755922573099</v>
      </c>
      <c r="P26" s="32" t="str">
        <f t="shared" ref="P26" si="10">MONTH(C26)&amp;YEAR(C26)</f>
        <v>122025</v>
      </c>
      <c r="Y26" s="16"/>
    </row>
    <row r="27" spans="2:25" x14ac:dyDescent="0.2">
      <c r="B27" s="66" t="s">
        <v>212</v>
      </c>
      <c r="C27" s="86">
        <v>46087</v>
      </c>
      <c r="H27" s="68">
        <v>716960.4</v>
      </c>
      <c r="J27" s="28">
        <v>156000</v>
      </c>
      <c r="K27" s="32">
        <f t="shared" ref="K27" si="11">J27*$F$17</f>
        <v>590524.238304</v>
      </c>
      <c r="M27" s="69">
        <f t="shared" ref="M27" si="12">H27/J27</f>
        <v>4.5959000000000003</v>
      </c>
      <c r="N27" s="70">
        <f t="shared" ref="N27" si="13">H27/K27</f>
        <v>1.2141083354328144</v>
      </c>
      <c r="P27" s="32" t="str">
        <f t="shared" ref="P27" si="14">MONTH(C27)&amp;YEAR(C27)</f>
        <v>32026</v>
      </c>
      <c r="Y27" s="16"/>
    </row>
    <row r="28" spans="2:25" x14ac:dyDescent="0.2">
      <c r="Y28" s="16"/>
    </row>
    <row r="31" spans="2:25" x14ac:dyDescent="0.2">
      <c r="B31" s="4" t="s">
        <v>59</v>
      </c>
    </row>
    <row r="32" spans="2:25" x14ac:dyDescent="0.2">
      <c r="K32" s="6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AD63A-8A0E-4CFB-8985-7E70CA37525C}">
  <sheetPr>
    <tabColor rgb="FFE1FFE1"/>
  </sheetPr>
  <dimension ref="A2:AA44"/>
  <sheetViews>
    <sheetView showGridLines="0" zoomScale="80" zoomScaleNormal="80" workbookViewId="0">
      <pane xSplit="6" ySplit="10" topLeftCell="G11" activePane="bottomRight" state="frozen"/>
      <selection activeCell="R6" sqref="R6"/>
      <selection pane="topRight" activeCell="R6" sqref="R6"/>
      <selection pane="bottomLeft" activeCell="R6" sqref="R6"/>
      <selection pane="bottomRight" activeCell="G11" sqref="G11"/>
    </sheetView>
  </sheetViews>
  <sheetFormatPr defaultColWidth="9.140625" defaultRowHeight="12.75" x14ac:dyDescent="0.2"/>
  <cols>
    <col min="1" max="1" width="4.5703125" style="2" customWidth="1"/>
    <col min="2" max="2" width="41.42578125" style="2" customWidth="1"/>
    <col min="3" max="5" width="4.5703125" style="2" customWidth="1"/>
    <col min="6" max="6" width="17.140625" style="2" customWidth="1"/>
    <col min="7" max="7" width="2.5703125" style="2" customWidth="1"/>
    <col min="8" max="8" width="13.5703125" style="2" customWidth="1"/>
    <col min="9" max="11" width="2.5703125" style="2" customWidth="1"/>
    <col min="12" max="17" width="12.140625" style="2" customWidth="1"/>
    <col min="18" max="18" width="2.5703125" style="2" customWidth="1"/>
    <col min="19" max="19" width="43.42578125" style="2" customWidth="1"/>
    <col min="20" max="20" width="2.7109375" style="2" customWidth="1"/>
    <col min="21" max="33" width="13.5703125" style="2" customWidth="1"/>
    <col min="34" max="16384" width="9.140625" style="2"/>
  </cols>
  <sheetData>
    <row r="2" spans="1:27" s="15" customFormat="1" ht="18" x14ac:dyDescent="0.2">
      <c r="B2" s="15" t="s">
        <v>163</v>
      </c>
    </row>
    <row r="4" spans="1:27" x14ac:dyDescent="0.2">
      <c r="B4" s="23" t="s">
        <v>12</v>
      </c>
      <c r="C4" s="1"/>
      <c r="D4" s="1"/>
    </row>
    <row r="5" spans="1:27" x14ac:dyDescent="0.2">
      <c r="B5" s="18" t="s">
        <v>162</v>
      </c>
      <c r="C5" s="3"/>
      <c r="D5" s="3"/>
      <c r="H5" s="16"/>
    </row>
    <row r="6" spans="1:27" x14ac:dyDescent="0.2">
      <c r="B6" s="18"/>
      <c r="C6" s="3"/>
      <c r="D6" s="3"/>
      <c r="H6" s="16"/>
    </row>
    <row r="8" spans="1:27" s="72" customFormat="1" x14ac:dyDescent="0.2">
      <c r="A8" s="71"/>
      <c r="B8" s="72" t="s">
        <v>12</v>
      </c>
      <c r="F8" s="72" t="s">
        <v>36</v>
      </c>
      <c r="H8" s="72" t="s">
        <v>37</v>
      </c>
      <c r="L8" s="73">
        <v>2025</v>
      </c>
      <c r="M8" s="73">
        <v>2025</v>
      </c>
      <c r="N8" s="73">
        <v>2026</v>
      </c>
      <c r="O8" s="73">
        <v>2026</v>
      </c>
      <c r="P8" s="73">
        <v>2026</v>
      </c>
      <c r="Q8" s="73">
        <v>2026</v>
      </c>
      <c r="R8" s="73"/>
      <c r="S8" s="78" t="s">
        <v>39</v>
      </c>
      <c r="T8" s="73"/>
      <c r="U8" s="73" t="s">
        <v>38</v>
      </c>
      <c r="V8" s="73"/>
      <c r="W8" s="73"/>
      <c r="X8" s="73"/>
      <c r="Y8" s="73"/>
      <c r="Z8" s="73"/>
      <c r="AA8" s="73"/>
    </row>
    <row r="9" spans="1:27" s="75" customFormat="1" x14ac:dyDescent="0.2">
      <c r="A9" s="74"/>
      <c r="L9" s="76">
        <v>45962</v>
      </c>
      <c r="M9" s="76">
        <v>45992</v>
      </c>
      <c r="N9" s="76">
        <v>46023</v>
      </c>
      <c r="O9" s="76">
        <v>46054</v>
      </c>
      <c r="P9" s="76">
        <v>46082</v>
      </c>
      <c r="Q9" s="76">
        <v>46113</v>
      </c>
      <c r="R9" s="76"/>
      <c r="S9" s="76"/>
      <c r="T9" s="76"/>
      <c r="U9" s="76"/>
      <c r="V9" s="76"/>
      <c r="W9" s="76"/>
      <c r="X9" s="76"/>
      <c r="Y9" s="76"/>
      <c r="Z9" s="76"/>
      <c r="AA9" s="76"/>
    </row>
    <row r="12" spans="1:27" s="8" customFormat="1" x14ac:dyDescent="0.2">
      <c r="B12" s="8" t="s">
        <v>65</v>
      </c>
    </row>
    <row r="14" spans="1:27" x14ac:dyDescent="0.2">
      <c r="B14" s="23" t="s">
        <v>75</v>
      </c>
    </row>
    <row r="15" spans="1:27" x14ac:dyDescent="0.2">
      <c r="B15" s="2" t="s">
        <v>76</v>
      </c>
      <c r="F15" s="2" t="s">
        <v>79</v>
      </c>
      <c r="L15" s="66">
        <v>247677.74999999997</v>
      </c>
      <c r="M15" s="66">
        <v>233770.65</v>
      </c>
      <c r="N15" s="28">
        <v>244098.11999999997</v>
      </c>
      <c r="O15" s="28">
        <v>232620.90000000002</v>
      </c>
      <c r="P15" s="28">
        <v>311547.29000000004</v>
      </c>
      <c r="Q15" s="88">
        <v>275230.25</v>
      </c>
      <c r="S15" s="2" t="s">
        <v>189</v>
      </c>
      <c r="W15" s="16"/>
    </row>
    <row r="16" spans="1:27" x14ac:dyDescent="0.2">
      <c r="B16" s="2" t="s">
        <v>77</v>
      </c>
      <c r="F16" s="2" t="s">
        <v>79</v>
      </c>
      <c r="L16" s="66">
        <v>650203</v>
      </c>
      <c r="M16" s="66">
        <v>595595</v>
      </c>
      <c r="N16" s="28">
        <v>600822</v>
      </c>
      <c r="O16" s="28">
        <v>492238</v>
      </c>
      <c r="P16" s="28">
        <v>532533</v>
      </c>
      <c r="Q16" s="88">
        <v>535331</v>
      </c>
      <c r="S16" s="2" t="s">
        <v>189</v>
      </c>
      <c r="W16" s="16"/>
    </row>
    <row r="17" spans="2:23" x14ac:dyDescent="0.2">
      <c r="W17" s="16"/>
    </row>
    <row r="18" spans="2:23" x14ac:dyDescent="0.2">
      <c r="B18" s="2" t="s">
        <v>78</v>
      </c>
      <c r="F18" s="2" t="s">
        <v>79</v>
      </c>
      <c r="L18" s="32">
        <f>L15+L16</f>
        <v>897880.75</v>
      </c>
      <c r="M18" s="32">
        <f>M15+M16</f>
        <v>829365.65</v>
      </c>
      <c r="N18" s="32">
        <f>N15+N16</f>
        <v>844920.12</v>
      </c>
      <c r="O18" s="32">
        <f t="shared" ref="O18:Q18" si="0">O15+O16</f>
        <v>724858.9</v>
      </c>
      <c r="P18" s="32">
        <f t="shared" si="0"/>
        <v>844080.29</v>
      </c>
      <c r="Q18" s="32">
        <f t="shared" si="0"/>
        <v>810561.25</v>
      </c>
    </row>
    <row r="20" spans="2:23" s="8" customFormat="1" x14ac:dyDescent="0.2">
      <c r="B20" s="8" t="s">
        <v>80</v>
      </c>
    </row>
    <row r="22" spans="2:23" x14ac:dyDescent="0.2">
      <c r="B22" s="23" t="s">
        <v>81</v>
      </c>
    </row>
    <row r="23" spans="2:23" x14ac:dyDescent="0.2">
      <c r="B23" s="2" t="s">
        <v>142</v>
      </c>
      <c r="F23" s="2" t="s">
        <v>83</v>
      </c>
      <c r="H23" s="82">
        <v>0.26957739258544566</v>
      </c>
      <c r="S23" s="18" t="s">
        <v>203</v>
      </c>
      <c r="U23" s="16"/>
    </row>
    <row r="24" spans="2:23" x14ac:dyDescent="0.2">
      <c r="B24" s="2" t="s">
        <v>190</v>
      </c>
      <c r="F24" s="2" t="s">
        <v>83</v>
      </c>
      <c r="H24" s="83">
        <v>0.27131856147939853</v>
      </c>
      <c r="S24" s="18" t="s">
        <v>154</v>
      </c>
    </row>
    <row r="25" spans="2:23" x14ac:dyDescent="0.2">
      <c r="B25" s="2" t="s">
        <v>143</v>
      </c>
      <c r="F25" s="2" t="s">
        <v>84</v>
      </c>
      <c r="H25" s="84">
        <v>0.67395354882226355</v>
      </c>
      <c r="S25" s="18" t="s">
        <v>204</v>
      </c>
      <c r="U25" s="16"/>
    </row>
    <row r="26" spans="2:23" x14ac:dyDescent="0.2">
      <c r="B26" s="2" t="s">
        <v>192</v>
      </c>
      <c r="F26" s="2" t="s">
        <v>84</v>
      </c>
      <c r="H26" s="64">
        <v>0.69016008439436116</v>
      </c>
      <c r="S26" s="18" t="s">
        <v>155</v>
      </c>
    </row>
    <row r="28" spans="2:23" x14ac:dyDescent="0.2">
      <c r="B28" s="1" t="s">
        <v>87</v>
      </c>
    </row>
    <row r="29" spans="2:23" x14ac:dyDescent="0.2">
      <c r="B29" s="2" t="s">
        <v>193</v>
      </c>
      <c r="F29" s="2" t="s">
        <v>85</v>
      </c>
      <c r="H29" s="40">
        <v>0.14736530949914534</v>
      </c>
      <c r="S29" s="18" t="s">
        <v>156</v>
      </c>
    </row>
    <row r="30" spans="2:23" x14ac:dyDescent="0.2">
      <c r="B30" s="2" t="s">
        <v>194</v>
      </c>
      <c r="F30" s="2" t="s">
        <v>85</v>
      </c>
      <c r="H30" s="40">
        <v>0.16378053220053376</v>
      </c>
      <c r="S30" s="18" t="s">
        <v>157</v>
      </c>
    </row>
    <row r="31" spans="2:23" x14ac:dyDescent="0.2">
      <c r="B31" s="2" t="s">
        <v>172</v>
      </c>
      <c r="F31" s="2" t="s">
        <v>174</v>
      </c>
      <c r="H31" s="40">
        <v>0.2863</v>
      </c>
      <c r="S31" s="18" t="s">
        <v>158</v>
      </c>
    </row>
    <row r="32" spans="2:23" x14ac:dyDescent="0.2">
      <c r="B32" s="2" t="s">
        <v>195</v>
      </c>
      <c r="F32" s="2" t="s">
        <v>79</v>
      </c>
      <c r="H32" s="28">
        <v>10496712.624645166</v>
      </c>
      <c r="S32" s="18" t="s">
        <v>159</v>
      </c>
    </row>
    <row r="33" spans="2:21" x14ac:dyDescent="0.2">
      <c r="B33" s="18" t="s">
        <v>181</v>
      </c>
      <c r="F33" s="2" t="s">
        <v>84</v>
      </c>
      <c r="H33" s="43">
        <v>0.5</v>
      </c>
      <c r="S33" s="18" t="s">
        <v>160</v>
      </c>
      <c r="U33" s="2" t="s">
        <v>86</v>
      </c>
    </row>
    <row r="34" spans="2:21" x14ac:dyDescent="0.2">
      <c r="B34" s="18"/>
    </row>
    <row r="35" spans="2:21" x14ac:dyDescent="0.2">
      <c r="B35" s="1" t="s">
        <v>183</v>
      </c>
    </row>
    <row r="36" spans="2:21" x14ac:dyDescent="0.2">
      <c r="B36" s="18" t="s">
        <v>184</v>
      </c>
      <c r="F36" s="2" t="s">
        <v>174</v>
      </c>
      <c r="H36" s="62">
        <v>-6.3877046786174857E-4</v>
      </c>
      <c r="S36" s="18" t="s">
        <v>231</v>
      </c>
      <c r="U36" s="2" t="s">
        <v>191</v>
      </c>
    </row>
    <row r="38" spans="2:21" x14ac:dyDescent="0.2">
      <c r="B38" s="1" t="s">
        <v>121</v>
      </c>
    </row>
    <row r="39" spans="2:21" x14ac:dyDescent="0.2">
      <c r="B39" s="2" t="s">
        <v>187</v>
      </c>
      <c r="F39" s="2" t="s">
        <v>84</v>
      </c>
      <c r="H39" s="42">
        <v>5.4024539402881537E-2</v>
      </c>
      <c r="S39" s="18" t="s">
        <v>161</v>
      </c>
    </row>
    <row r="40" spans="2:21" x14ac:dyDescent="0.2">
      <c r="B40" s="2" t="s">
        <v>111</v>
      </c>
      <c r="F40" s="2" t="s">
        <v>84</v>
      </c>
      <c r="H40" s="42">
        <v>0.03</v>
      </c>
      <c r="S40" s="18" t="s">
        <v>144</v>
      </c>
    </row>
    <row r="44" spans="2:21" x14ac:dyDescent="0.2">
      <c r="B44" s="4" t="s">
        <v>59</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B2:B3"/>
  <sheetViews>
    <sheetView showGridLines="0" zoomScale="85" zoomScaleNormal="85" workbookViewId="0"/>
  </sheetViews>
  <sheetFormatPr defaultColWidth="9.140625" defaultRowHeight="12.75" x14ac:dyDescent="0.2"/>
  <cols>
    <col min="1" max="16384" width="9.140625" style="17"/>
  </cols>
  <sheetData>
    <row r="2" spans="2:2" x14ac:dyDescent="0.2">
      <c r="B2" s="38" t="s">
        <v>125</v>
      </c>
    </row>
    <row r="3" spans="2:2" x14ac:dyDescent="0.2">
      <c r="B3" s="38" t="s">
        <v>126</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CC"/>
  </sheetPr>
  <dimension ref="A2:AA52"/>
  <sheetViews>
    <sheetView showGridLines="0" zoomScale="80" zoomScaleNormal="80" workbookViewId="0">
      <pane xSplit="6" ySplit="15" topLeftCell="G16" activePane="bottomRight" state="frozen"/>
      <selection activeCell="R6" sqref="R6"/>
      <selection pane="topRight" activeCell="R6" sqref="R6"/>
      <selection pane="bottomLeft" activeCell="R6" sqref="R6"/>
      <selection pane="bottomRight" activeCell="G16" sqref="G16"/>
    </sheetView>
  </sheetViews>
  <sheetFormatPr defaultColWidth="9.140625" defaultRowHeight="12.75" x14ac:dyDescent="0.2"/>
  <cols>
    <col min="1" max="1" width="4.5703125" style="2" customWidth="1"/>
    <col min="2" max="2" width="41.42578125" style="2" customWidth="1"/>
    <col min="3" max="5" width="4.5703125" style="2" customWidth="1"/>
    <col min="6" max="6" width="13.5703125" style="2" customWidth="1"/>
    <col min="7" max="7" width="2.5703125" style="2" customWidth="1"/>
    <col min="8" max="8" width="13.5703125" style="2" customWidth="1"/>
    <col min="9" max="9" width="2.5703125" style="2" customWidth="1"/>
    <col min="10" max="17" width="12.140625" style="2" customWidth="1"/>
    <col min="18" max="18" width="2.5703125" style="2" customWidth="1"/>
    <col min="19" max="33" width="13.5703125" style="2" customWidth="1"/>
    <col min="34" max="16384" width="9.140625" style="2"/>
  </cols>
  <sheetData>
    <row r="2" spans="1:27" s="15" customFormat="1" ht="18" x14ac:dyDescent="0.2">
      <c r="B2" s="15" t="s">
        <v>88</v>
      </c>
    </row>
    <row r="4" spans="1:27" x14ac:dyDescent="0.2">
      <c r="B4" s="23" t="s">
        <v>12</v>
      </c>
      <c r="C4" s="1"/>
      <c r="D4" s="1"/>
    </row>
    <row r="5" spans="1:27" x14ac:dyDescent="0.2">
      <c r="B5" s="18" t="s">
        <v>131</v>
      </c>
      <c r="C5" s="3"/>
      <c r="D5" s="3"/>
      <c r="H5" s="16"/>
    </row>
    <row r="6" spans="1:27" x14ac:dyDescent="0.2">
      <c r="B6" s="18" t="s">
        <v>123</v>
      </c>
      <c r="C6" s="3"/>
      <c r="D6" s="3"/>
      <c r="H6" s="16"/>
    </row>
    <row r="7" spans="1:27" x14ac:dyDescent="0.2">
      <c r="B7" s="18" t="s">
        <v>89</v>
      </c>
      <c r="C7" s="3"/>
      <c r="D7" s="3"/>
      <c r="H7" s="16"/>
    </row>
    <row r="8" spans="1:27" x14ac:dyDescent="0.2">
      <c r="B8" s="18"/>
      <c r="C8" s="3"/>
      <c r="D8" s="3"/>
      <c r="H8" s="16"/>
    </row>
    <row r="9" spans="1:27" x14ac:dyDescent="0.2">
      <c r="B9" s="24" t="s">
        <v>124</v>
      </c>
      <c r="C9" s="3"/>
      <c r="D9" s="3"/>
      <c r="H9" s="16"/>
    </row>
    <row r="10" spans="1:27" x14ac:dyDescent="0.2">
      <c r="B10" s="4" t="s">
        <v>110</v>
      </c>
      <c r="C10" s="3"/>
      <c r="D10" s="3"/>
    </row>
    <row r="11" spans="1:27" x14ac:dyDescent="0.2">
      <c r="B11" s="4" t="s">
        <v>90</v>
      </c>
      <c r="C11" s="3"/>
      <c r="D11" s="3"/>
    </row>
    <row r="12" spans="1:27" x14ac:dyDescent="0.2">
      <c r="B12" s="4"/>
      <c r="C12" s="3"/>
      <c r="D12" s="3"/>
    </row>
    <row r="13" spans="1:27" s="72" customFormat="1" x14ac:dyDescent="0.2">
      <c r="A13" s="71"/>
      <c r="B13" s="72" t="s">
        <v>12</v>
      </c>
      <c r="F13" s="72" t="s">
        <v>36</v>
      </c>
      <c r="H13" s="72" t="s">
        <v>37</v>
      </c>
      <c r="J13" s="73">
        <v>2025</v>
      </c>
      <c r="K13" s="73">
        <v>2025</v>
      </c>
      <c r="L13" s="73">
        <v>2025</v>
      </c>
      <c r="M13" s="73">
        <v>2025</v>
      </c>
      <c r="N13" s="73">
        <v>2026</v>
      </c>
      <c r="O13" s="73">
        <v>2026</v>
      </c>
      <c r="P13" s="73">
        <v>2026</v>
      </c>
      <c r="Q13" s="73">
        <v>2026</v>
      </c>
      <c r="R13" s="73"/>
      <c r="S13" s="73" t="s">
        <v>38</v>
      </c>
      <c r="T13" s="73"/>
      <c r="U13" s="73"/>
      <c r="V13" s="73"/>
      <c r="W13" s="73"/>
      <c r="X13" s="73"/>
      <c r="Y13" s="73"/>
      <c r="Z13" s="73"/>
      <c r="AA13" s="73"/>
    </row>
    <row r="14" spans="1:27" s="75" customFormat="1" x14ac:dyDescent="0.2">
      <c r="A14" s="74"/>
      <c r="J14" s="76">
        <v>45901</v>
      </c>
      <c r="K14" s="76">
        <v>45931</v>
      </c>
      <c r="L14" s="76">
        <v>45962</v>
      </c>
      <c r="M14" s="76">
        <v>45992</v>
      </c>
      <c r="N14" s="76">
        <v>46023</v>
      </c>
      <c r="O14" s="76">
        <v>46054</v>
      </c>
      <c r="P14" s="76">
        <v>46082</v>
      </c>
      <c r="Q14" s="76">
        <v>46113</v>
      </c>
      <c r="R14" s="76"/>
      <c r="S14" s="76"/>
      <c r="T14" s="76"/>
      <c r="U14" s="76"/>
      <c r="V14" s="76"/>
      <c r="W14" s="76"/>
      <c r="X14" s="76"/>
      <c r="Y14" s="76"/>
      <c r="Z14" s="76"/>
      <c r="AA14" s="76"/>
    </row>
    <row r="17" spans="2:19" s="8" customFormat="1" x14ac:dyDescent="0.2">
      <c r="B17" s="8" t="s">
        <v>72</v>
      </c>
    </row>
    <row r="19" spans="2:19" x14ac:dyDescent="0.2">
      <c r="B19" s="23" t="s">
        <v>122</v>
      </c>
    </row>
    <row r="20" spans="2:19" x14ac:dyDescent="0.2">
      <c r="B20" s="37" t="s">
        <v>111</v>
      </c>
      <c r="F20" s="2" t="s">
        <v>84</v>
      </c>
      <c r="H20" s="44">
        <f>'Input data'!H40</f>
        <v>0.03</v>
      </c>
    </row>
    <row r="22" spans="2:19" s="8" customFormat="1" x14ac:dyDescent="0.2">
      <c r="B22" s="8" t="s">
        <v>91</v>
      </c>
    </row>
    <row r="24" spans="2:19" x14ac:dyDescent="0.2">
      <c r="B24" s="23" t="s">
        <v>92</v>
      </c>
    </row>
    <row r="25" spans="2:19" x14ac:dyDescent="0.2">
      <c r="B25" s="2" t="s">
        <v>82</v>
      </c>
      <c r="F25" s="2" t="s">
        <v>83</v>
      </c>
      <c r="L25" s="45">
        <f>'Input data'!H23</f>
        <v>0.26957739258544566</v>
      </c>
      <c r="M25" s="45">
        <f>'Input data'!H23</f>
        <v>0.26957739258544566</v>
      </c>
      <c r="N25" s="45">
        <f>'Input data'!$H24</f>
        <v>0.27131856147939853</v>
      </c>
      <c r="O25" s="45">
        <f>'Input data'!$H24</f>
        <v>0.27131856147939853</v>
      </c>
      <c r="P25" s="45">
        <f>'Input data'!$H24</f>
        <v>0.27131856147939853</v>
      </c>
      <c r="Q25" s="45">
        <f>'Input data'!$H24</f>
        <v>0.27131856147939853</v>
      </c>
    </row>
    <row r="26" spans="2:19" x14ac:dyDescent="0.2">
      <c r="B26" s="2" t="s">
        <v>93</v>
      </c>
      <c r="F26" s="2" t="s">
        <v>84</v>
      </c>
      <c r="L26" s="44">
        <f>'Input data'!H25</f>
        <v>0.67395354882226355</v>
      </c>
      <c r="M26" s="65">
        <f>'Input data'!H25</f>
        <v>0.67395354882226355</v>
      </c>
      <c r="N26" s="44">
        <f>'Input data'!$H26</f>
        <v>0.69016008439436116</v>
      </c>
      <c r="O26" s="44">
        <f>'Input data'!$H26</f>
        <v>0.69016008439436116</v>
      </c>
      <c r="P26" s="44">
        <f>'Input data'!$H26</f>
        <v>0.69016008439436116</v>
      </c>
      <c r="Q26" s="44">
        <f>'Input data'!$H26</f>
        <v>0.69016008439436116</v>
      </c>
    </row>
    <row r="28" spans="2:19" x14ac:dyDescent="0.2">
      <c r="B28" s="1" t="s">
        <v>94</v>
      </c>
    </row>
    <row r="29" spans="2:19" x14ac:dyDescent="0.2">
      <c r="B29" s="2" t="s">
        <v>95</v>
      </c>
      <c r="F29" s="2" t="s">
        <v>79</v>
      </c>
      <c r="L29" s="31">
        <f>'Input data'!L18</f>
        <v>897880.75</v>
      </c>
      <c r="M29" s="31">
        <f>'Input data'!M18</f>
        <v>829365.65</v>
      </c>
      <c r="N29" s="31">
        <f>'Input data'!N18</f>
        <v>844920.12</v>
      </c>
      <c r="O29" s="31">
        <f>'Input data'!O18</f>
        <v>724858.9</v>
      </c>
      <c r="P29" s="31">
        <f>'Input data'!P18</f>
        <v>844080.29</v>
      </c>
      <c r="Q29" s="31">
        <f>'Input data'!Q18</f>
        <v>810561.25</v>
      </c>
    </row>
    <row r="31" spans="2:19" x14ac:dyDescent="0.2">
      <c r="B31" s="1" t="s">
        <v>148</v>
      </c>
      <c r="L31" s="87"/>
      <c r="M31" s="87"/>
      <c r="N31" s="87"/>
      <c r="O31" s="87"/>
      <c r="P31" s="87"/>
      <c r="Q31" s="87"/>
      <c r="S31" s="2" t="s">
        <v>151</v>
      </c>
    </row>
    <row r="32" spans="2:19" x14ac:dyDescent="0.2">
      <c r="B32" s="2" t="s">
        <v>223</v>
      </c>
      <c r="F32" s="2" t="s">
        <v>149</v>
      </c>
      <c r="J32" s="32">
        <f>SUMIFS('Fuel ledger'!$H25:$H100000,'Fuel ledger'!$P25:$P100000,MONTH(J14)&amp;J13)</f>
        <v>516500.4</v>
      </c>
      <c r="K32" s="32">
        <f>SUMIFS('Fuel ledger'!$H25:$H100000,'Fuel ledger'!$P25:$P100000,MONTH(K14)&amp;K13)</f>
        <v>0</v>
      </c>
      <c r="L32" s="32">
        <f>SUMIFS('Fuel ledger'!$H25:$H100000,'Fuel ledger'!$P25:$P100000,MONTH(L14)&amp;L13)</f>
        <v>0</v>
      </c>
      <c r="M32" s="32">
        <f>SUMIFS('Fuel ledger'!$H25:$H100000,'Fuel ledger'!$P25:$P100000,MONTH(M14)&amp;M13)</f>
        <v>516812.4</v>
      </c>
      <c r="N32" s="32">
        <f>SUMIFS('Fuel ledger'!$H25:$H100000,'Fuel ledger'!$P25:$P100000,MONTH(N14)&amp;N13)</f>
        <v>0</v>
      </c>
      <c r="O32" s="32">
        <f>SUMIFS('Fuel ledger'!$H25:$H100000,'Fuel ledger'!$P25:$P100000,MONTH(O14)&amp;O13)</f>
        <v>0</v>
      </c>
      <c r="S32" s="2" t="s">
        <v>152</v>
      </c>
    </row>
    <row r="33" spans="2:19" x14ac:dyDescent="0.2">
      <c r="B33" s="2" t="s">
        <v>224</v>
      </c>
      <c r="F33" s="2" t="s">
        <v>150</v>
      </c>
      <c r="J33" s="32">
        <f>SUMIFS('Fuel ledger'!$K25:$K100000,'Fuel ledger'!$P25:$P100000,MONTH(J14)&amp;J13)</f>
        <v>590524.238304</v>
      </c>
      <c r="K33" s="32">
        <f>SUMIFS('Fuel ledger'!$K25:$K100000,'Fuel ledger'!$P25:$P100000,MONTH(K14)&amp;K13)</f>
        <v>0</v>
      </c>
      <c r="L33" s="32">
        <f>SUMIFS('Fuel ledger'!$K25:$K100000,'Fuel ledger'!$P25:$P100000,MONTH(L14)&amp;L13)</f>
        <v>0</v>
      </c>
      <c r="M33" s="32">
        <f>SUMIFS('Fuel ledger'!$K25:$K100000,'Fuel ledger'!$P25:$P100000,MONTH(M14)&amp;M13)</f>
        <v>590524.238304</v>
      </c>
      <c r="N33" s="32">
        <f>SUMIFS('Fuel ledger'!$K25:$K100000,'Fuel ledger'!$P25:$P100000,MONTH(N14)&amp;N13)</f>
        <v>0</v>
      </c>
      <c r="O33" s="32">
        <f>SUMIFS('Fuel ledger'!$K25:$K100000,'Fuel ledger'!$P25:$P100000,MONTH(O14)&amp;O13)</f>
        <v>0</v>
      </c>
      <c r="S33" s="2" t="s">
        <v>152</v>
      </c>
    </row>
    <row r="34" spans="2:19" x14ac:dyDescent="0.2">
      <c r="B34" s="2" t="s">
        <v>225</v>
      </c>
      <c r="F34" s="2" t="s">
        <v>105</v>
      </c>
      <c r="J34" s="77">
        <f>IFERROR(J32/J33,I34)</f>
        <v>0.87464724815259365</v>
      </c>
      <c r="K34" s="77">
        <f t="shared" ref="K34:O34" si="0">IFERROR(K32/K33,J34)</f>
        <v>0.87464724815259365</v>
      </c>
      <c r="L34" s="77">
        <f t="shared" si="0"/>
        <v>0.87464724815259365</v>
      </c>
      <c r="M34" s="77">
        <f t="shared" si="0"/>
        <v>0.8751755922573099</v>
      </c>
      <c r="N34" s="77">
        <f t="shared" si="0"/>
        <v>0.8751755922573099</v>
      </c>
      <c r="O34" s="77">
        <f t="shared" si="0"/>
        <v>0.8751755922573099</v>
      </c>
      <c r="S34" s="2" t="s">
        <v>153</v>
      </c>
    </row>
    <row r="35" spans="2:19" x14ac:dyDescent="0.2">
      <c r="L35" s="91"/>
      <c r="M35" s="91"/>
    </row>
    <row r="36" spans="2:19" s="8" customFormat="1" x14ac:dyDescent="0.2">
      <c r="B36" s="8" t="s">
        <v>96</v>
      </c>
    </row>
    <row r="38" spans="2:19" x14ac:dyDescent="0.2">
      <c r="B38" s="1" t="s">
        <v>97</v>
      </c>
    </row>
    <row r="39" spans="2:19" x14ac:dyDescent="0.2">
      <c r="B39" s="2" t="s">
        <v>98</v>
      </c>
      <c r="F39" s="2" t="s">
        <v>85</v>
      </c>
      <c r="L39" s="41">
        <f t="shared" ref="L39:Q39" si="1">L25*L26*J34</f>
        <v>0.15890822147626382</v>
      </c>
      <c r="M39" s="41">
        <f t="shared" si="1"/>
        <v>0.15890822147626382</v>
      </c>
      <c r="N39" s="41">
        <f t="shared" si="1"/>
        <v>0.16378053220053376</v>
      </c>
      <c r="O39" s="41">
        <f t="shared" si="1"/>
        <v>0.16387946634665748</v>
      </c>
      <c r="P39" s="41">
        <f t="shared" si="1"/>
        <v>0.16387946634665748</v>
      </c>
      <c r="Q39" s="41">
        <f t="shared" si="1"/>
        <v>0.16387946634665748</v>
      </c>
    </row>
    <row r="40" spans="2:19" x14ac:dyDescent="0.2">
      <c r="B40" s="2" t="s">
        <v>99</v>
      </c>
      <c r="F40" s="2" t="s">
        <v>85</v>
      </c>
      <c r="L40" s="45">
        <f>'Input data'!$H$29</f>
        <v>0.14736530949914534</v>
      </c>
      <c r="M40" s="45">
        <f>'Input data'!$H$29</f>
        <v>0.14736530949914534</v>
      </c>
      <c r="N40" s="45">
        <f>'Input data'!$H$30</f>
        <v>0.16378053220053376</v>
      </c>
      <c r="O40" s="45">
        <f>'Input data'!$H$30</f>
        <v>0.16378053220053376</v>
      </c>
      <c r="P40" s="45">
        <f>'Input data'!$H$30</f>
        <v>0.16378053220053376</v>
      </c>
      <c r="Q40" s="45">
        <f>'Input data'!$H$30</f>
        <v>0.16378053220053376</v>
      </c>
    </row>
    <row r="41" spans="2:19" x14ac:dyDescent="0.2">
      <c r="B41" s="2" t="s">
        <v>100</v>
      </c>
      <c r="F41" s="2" t="s">
        <v>85</v>
      </c>
      <c r="L41" s="41">
        <f>L39-L40</f>
        <v>1.1542911977118486E-2</v>
      </c>
      <c r="M41" s="41">
        <f t="shared" ref="M41:Q41" si="2">M39-M40</f>
        <v>1.1542911977118486E-2</v>
      </c>
      <c r="N41" s="41">
        <f t="shared" si="2"/>
        <v>0</v>
      </c>
      <c r="O41" s="41">
        <f t="shared" si="2"/>
        <v>9.8934146123719202E-5</v>
      </c>
      <c r="P41" s="41">
        <f t="shared" si="2"/>
        <v>9.8934146123719202E-5</v>
      </c>
      <c r="Q41" s="41">
        <f t="shared" si="2"/>
        <v>9.8934146123719202E-5</v>
      </c>
      <c r="S41" s="18" t="s">
        <v>106</v>
      </c>
    </row>
    <row r="43" spans="2:19" x14ac:dyDescent="0.2">
      <c r="B43" s="1" t="s">
        <v>101</v>
      </c>
    </row>
    <row r="44" spans="2:19" x14ac:dyDescent="0.2">
      <c r="B44" s="2" t="s">
        <v>102</v>
      </c>
      <c r="F44" s="2" t="s">
        <v>104</v>
      </c>
      <c r="L44" s="32">
        <f>L41*L29</f>
        <v>10364.15846319913</v>
      </c>
      <c r="M44" s="32">
        <f t="shared" ref="M44:Q44" si="3">M41*M29</f>
        <v>9573.2946947956589</v>
      </c>
      <c r="N44" s="32">
        <f t="shared" si="3"/>
        <v>0</v>
      </c>
      <c r="O44" s="32">
        <f t="shared" si="3"/>
        <v>71.713296331678364</v>
      </c>
      <c r="P44" s="32">
        <f t="shared" si="3"/>
        <v>83.50836275101129</v>
      </c>
      <c r="Q44" s="32">
        <f t="shared" si="3"/>
        <v>80.192185149724494</v>
      </c>
    </row>
    <row r="45" spans="2:19" x14ac:dyDescent="0.2">
      <c r="B45" s="2" t="s">
        <v>196</v>
      </c>
      <c r="F45" s="2" t="s">
        <v>137</v>
      </c>
      <c r="H45" s="32">
        <f>SUM(L44:M44)</f>
        <v>19937.453157994787</v>
      </c>
    </row>
    <row r="46" spans="2:19" x14ac:dyDescent="0.2">
      <c r="B46" s="2" t="s">
        <v>197</v>
      </c>
      <c r="F46" s="2" t="s">
        <v>179</v>
      </c>
      <c r="H46" s="32">
        <f>SUM(N44:Q44)</f>
        <v>235.41384423241414</v>
      </c>
    </row>
    <row r="48" spans="2:19" x14ac:dyDescent="0.2">
      <c r="B48" s="1" t="s">
        <v>103</v>
      </c>
      <c r="F48" s="2" t="s">
        <v>179</v>
      </c>
      <c r="H48" s="48">
        <f>H45*(1+H20)+H46</f>
        <v>20770.990596967047</v>
      </c>
    </row>
    <row r="52" spans="2:2" x14ac:dyDescent="0.2">
      <c r="B52" s="4" t="s">
        <v>59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5ca2a2452ccfef2a6add69ec11766239">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5142b64c9d09e650d70bec54211324f3"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_dlc_DocId>
    <_dlc_DocIdUrl xmlns="5e7bef76-b888-41a2-a261-5f525b37d47e">
      <Url>https://intranet.acm.local/project/excellent-in-excel/_layouts/15/DocIdRedir.aspx?ID=ECT67VDXDTCW-640230012-2</Url>
      <Description>ECT67VDXDTCW-640230012-2</Description>
    </_dlc_DocIdUrl>
    <Status xmlns="94b38974-1436-4631-a0be-797faa579778">Actueel</Status>
  </documentManagement>
</p:properties>
</file>

<file path=customXml/itemProps1.xml><?xml version="1.0" encoding="utf-8"?>
<ds:datastoreItem xmlns:ds="http://schemas.openxmlformats.org/officeDocument/2006/customXml" ds:itemID="{29821432-9D6D-4FB8-B669-75517133F53E}">
  <ds:schemaRefs>
    <ds:schemaRef ds:uri="http://schemas.microsoft.com/sharepoint/events"/>
  </ds:schemaRefs>
</ds:datastoreItem>
</file>

<file path=customXml/itemProps2.xml><?xml version="1.0" encoding="utf-8"?>
<ds:datastoreItem xmlns:ds="http://schemas.openxmlformats.org/officeDocument/2006/customXml" ds:itemID="{82835401-F49D-4D00-8F07-BF5788AC8903}">
  <ds:schemaRefs>
    <ds:schemaRef ds:uri="http://schemas.microsoft.com/sharepoint/v3/contenttype/forms"/>
  </ds:schemaRefs>
</ds:datastoreItem>
</file>

<file path=customXml/itemProps3.xml><?xml version="1.0" encoding="utf-8"?>
<ds:datastoreItem xmlns:ds="http://schemas.openxmlformats.org/officeDocument/2006/customXml" ds:itemID="{BDF34196-3C60-4FBD-A6D7-F3FCE358B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DAB9D1-B815-4B0E-93E7-4496A7FE99F6}">
  <ds:schemaRef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94b38974-1436-4631-a0be-797faa579778"/>
    <ds:schemaRef ds:uri="http://schemas.microsoft.com/office/infopath/2007/PartnerControls"/>
    <ds:schemaRef ds:uri="http://purl.org/dc/terms/"/>
    <ds:schemaRef ds:uri="5e7bef76-b888-41a2-a261-5f525b37d47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Cover sheet</vt:lpstr>
      <vt:lpstr>Explanation</vt:lpstr>
      <vt:lpstr>Sources and specifics</vt:lpstr>
      <vt:lpstr>Result</vt:lpstr>
      <vt:lpstr>Input --&gt;</vt:lpstr>
      <vt:lpstr>Fuel ledger</vt:lpstr>
      <vt:lpstr>Input data</vt:lpstr>
      <vt:lpstr>Calculations --&gt;</vt:lpstr>
      <vt:lpstr>Fuel component correction</vt:lpstr>
      <vt:lpstr>Dictum &amp; Annex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2018-05-15T11:27:11Z</dcterms:created>
  <dcterms:modified xsi:type="dcterms:W3CDTF">2026-06-25T09:26:08Z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e0efd16f-45ee-4b9d-aa02-521177c04c12</vt:lpwstr>
  </property>
</Properties>
</file>