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8_{9B75451F-FA0B-41A5-9A17-D5C4EB217474}" xr6:coauthVersionLast="47" xr6:coauthVersionMax="47" xr10:uidLastSave="{00000000-0000-0000-0000-000000000000}"/>
  <bookViews>
    <workbookView xWindow="-110" yWindow="-110" windowWidth="19420" windowHeight="10300" tabRatio="915" xr2:uid="{00000000-000D-0000-FFFF-FFFF00000000}"/>
  </bookViews>
  <sheets>
    <sheet name="Titelblad" sheetId="9" r:id="rId1"/>
    <sheet name="Toelichting" sheetId="10" r:id="rId2"/>
    <sheet name="Bronnen en toepassingen" sheetId="11" r:id="rId3"/>
    <sheet name="TI-berekening 2026" sheetId="21" r:id="rId4"/>
    <sheet name="Input --&gt;" sheetId="13" r:id="rId5"/>
    <sheet name="Input parameters" sheetId="26" r:id="rId6"/>
    <sheet name="Input x-factor, begininkomsten" sheetId="28" r:id="rId7"/>
    <sheet name="Input overname private netten" sheetId="66" r:id="rId8"/>
    <sheet name="Input lokale heffingen" sheetId="25" r:id="rId9"/>
    <sheet name="Input SO transportdienst" sheetId="72" r:id="rId10"/>
    <sheet name="Input daling volumes gas" sheetId="78" r:id="rId11"/>
    <sheet name="Input netverliezen" sheetId="62" r:id="rId12"/>
    <sheet name="Input rente" sheetId="55" r:id="rId13"/>
    <sheet name="Input invoeding" sheetId="53" r:id="rId14"/>
    <sheet name="Herijking GAW" sheetId="61" r:id="rId15"/>
    <sheet name="Input desinv. afn. benutting" sheetId="54" r:id="rId16"/>
    <sheet name="Input verwijderingskosten KV" sheetId="39" r:id="rId17"/>
    <sheet name="Input verwijderingskosten GV" sheetId="46" r:id="rId18"/>
    <sheet name="Input faillissement leverancier" sheetId="75" r:id="rId19"/>
    <sheet name="Input richtbedragen" sheetId="32" r:id="rId20"/>
    <sheet name="Berekeningen --&gt;" sheetId="15" r:id="rId21"/>
    <sheet name="Parameters" sheetId="27" r:id="rId22"/>
    <sheet name="Overname private netten" sheetId="67" r:id="rId23"/>
    <sheet name="Lokale heffingen 2024" sheetId="24" r:id="rId24"/>
    <sheet name="SO transportdienst" sheetId="73" r:id="rId25"/>
    <sheet name="Daling volumes gas" sheetId="79" r:id="rId26"/>
    <sheet name="Netverliezen 2024" sheetId="63" r:id="rId27"/>
    <sheet name="Rente 2024" sheetId="57" r:id="rId28"/>
    <sheet name="Invoeding 2024" sheetId="58" r:id="rId29"/>
    <sheet name="Desinv. afn. benuttingsgraad" sheetId="56" r:id="rId30"/>
    <sheet name="Verwijderingskosten KV" sheetId="40" r:id="rId31"/>
    <sheet name="Verwijderingskosten GV" sheetId="49" r:id="rId32"/>
    <sheet name="Faillissementen leveranciers" sheetId="74" r:id="rId33"/>
    <sheet name="Richtbedragen" sheetId="31"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__CPI2001">'[1]CPI en WACC'!$C$7</definedName>
    <definedName name="___CPI2002">'[1]CPI en WACC'!$C$8</definedName>
    <definedName name="___CPI2003">'[1]CPI en WACC'!$C$9</definedName>
    <definedName name="___CPI2004">'[1]CPI en WACC'!$C$10</definedName>
    <definedName name="___CPI2005">'[1]CPI en WACC'!$C$11</definedName>
    <definedName name="___CPI2006">'[1]CPI en WACC'!$C$12</definedName>
    <definedName name="___CPI2007">'[1]CPI en WACC'!$C$13</definedName>
    <definedName name="___CPI2008">'[1]CPI en WACC'!$C$14</definedName>
    <definedName name="___CPI2009">'[1]CPI en WACC'!$C$15</definedName>
    <definedName name="___CPI2010">'[1]CPI en WACC'!$C$16</definedName>
    <definedName name="___CPI2011">'[1]CPI en WACC'!$C$17</definedName>
    <definedName name="___CPI2012">'[1]CPI en WACC'!$C$18</definedName>
    <definedName name="___CPI2013">'[1]CPI en WACC'!$C$19</definedName>
    <definedName name="___CPI2014">'[1]CPI en WACC'!$C$20</definedName>
    <definedName name="__CPI2001" localSheetId="7">#REF!</definedName>
    <definedName name="__CPI2001" localSheetId="22">#REF!</definedName>
    <definedName name="__CPI2001">#REF!</definedName>
    <definedName name="__CPI2002" localSheetId="7">#REF!</definedName>
    <definedName name="__CPI2002" localSheetId="22">#REF!</definedName>
    <definedName name="__CPI2002">#REF!</definedName>
    <definedName name="__CPI2003" localSheetId="7">#REF!</definedName>
    <definedName name="__CPI2003" localSheetId="22">#REF!</definedName>
    <definedName name="__CPI2003">#REF!</definedName>
    <definedName name="__CPI2004" localSheetId="7">#REF!</definedName>
    <definedName name="__CPI2004" localSheetId="22">#REF!</definedName>
    <definedName name="__CPI2004">#REF!</definedName>
    <definedName name="__CPI2005" localSheetId="7">#REF!</definedName>
    <definedName name="__CPI2005" localSheetId="22">#REF!</definedName>
    <definedName name="__CPI2005">#REF!</definedName>
    <definedName name="__CPI2006" localSheetId="7">#REF!</definedName>
    <definedName name="__CPI2006" localSheetId="22">#REF!</definedName>
    <definedName name="__CPI2006">#REF!</definedName>
    <definedName name="__CPI2007" localSheetId="7">#REF!</definedName>
    <definedName name="__CPI2007" localSheetId="22">#REF!</definedName>
    <definedName name="__CPI2007">#REF!</definedName>
    <definedName name="__CPI2008" localSheetId="7">#REF!</definedName>
    <definedName name="__CPI2008" localSheetId="22">#REF!</definedName>
    <definedName name="__CPI2008">#REF!</definedName>
    <definedName name="__CPI2009" localSheetId="7">#REF!</definedName>
    <definedName name="__CPI2009" localSheetId="22">#REF!</definedName>
    <definedName name="__CPI2009">#REF!</definedName>
    <definedName name="__CPI2010" localSheetId="7">#REF!</definedName>
    <definedName name="__CPI2010" localSheetId="22">#REF!</definedName>
    <definedName name="__CPI2010">#REF!</definedName>
    <definedName name="__CPI2011" localSheetId="7">#REF!</definedName>
    <definedName name="__CPI2011" localSheetId="22">#REF!</definedName>
    <definedName name="__CPI2011">#REF!</definedName>
    <definedName name="__CPI2012" localSheetId="7">#REF!</definedName>
    <definedName name="__CPI2012" localSheetId="22">#REF!</definedName>
    <definedName name="__CPI2012">#REF!</definedName>
    <definedName name="__CPI2013" localSheetId="7">#REF!</definedName>
    <definedName name="__CPI2013" localSheetId="22">#REF!</definedName>
    <definedName name="__CPI2013">#REF!</definedName>
    <definedName name="__CPI2014" localSheetId="7">#REF!</definedName>
    <definedName name="__CPI2014" localSheetId="22">#REF!</definedName>
    <definedName name="__CPI2014">#REF!</definedName>
    <definedName name="_3B.A.141" localSheetId="7">'[2]Tabel 3B - Specificaties inkoop'!$R$33</definedName>
    <definedName name="_3B.A.141" localSheetId="22">'[2]Tabel 3B - Specificaties inkoop'!$R$33</definedName>
    <definedName name="_3B.A.141">'[3]Tabel 3B - Specificaties inkoop'!$R$33</definedName>
    <definedName name="_3B.A.162" localSheetId="7">'[2]Tabel 3B - Specificaties inkoop'!$R$57</definedName>
    <definedName name="_3B.A.162" localSheetId="22">'[2]Tabel 3B - Specificaties inkoop'!$R$57</definedName>
    <definedName name="_3B.A.162">'[3]Tabel 3B - Specificaties inkoop'!$R$57</definedName>
    <definedName name="_CPI2001" localSheetId="7">#REF!</definedName>
    <definedName name="_CPI2001" localSheetId="22">#REF!</definedName>
    <definedName name="_CPI2001">#REF!</definedName>
    <definedName name="_CPI2002" localSheetId="7">#REF!</definedName>
    <definedName name="_CPI2002" localSheetId="22">#REF!</definedName>
    <definedName name="_CPI2002">#REF!</definedName>
    <definedName name="_CPI2003" localSheetId="7">#REF!</definedName>
    <definedName name="_CPI2003" localSheetId="22">#REF!</definedName>
    <definedName name="_CPI2003">#REF!</definedName>
    <definedName name="_CPI2004" localSheetId="7">#REF!</definedName>
    <definedName name="_CPI2004" localSheetId="22">#REF!</definedName>
    <definedName name="_CPI2004">#REF!</definedName>
    <definedName name="_CPI2005" localSheetId="7">#REF!</definedName>
    <definedName name="_CPI2005" localSheetId="22">#REF!</definedName>
    <definedName name="_CPI2005">#REF!</definedName>
    <definedName name="_CPI2006" localSheetId="7">#REF!</definedName>
    <definedName name="_CPI2006" localSheetId="22">#REF!</definedName>
    <definedName name="_CPI2006">#REF!</definedName>
    <definedName name="_CPI2007" localSheetId="7">#REF!</definedName>
    <definedName name="_CPI2007" localSheetId="22">#REF!</definedName>
    <definedName name="_CPI2007">#REF!</definedName>
    <definedName name="_CPI2008" localSheetId="7">#REF!</definedName>
    <definedName name="_CPI2008" localSheetId="22">#REF!</definedName>
    <definedName name="_CPI2008">#REF!</definedName>
    <definedName name="_CPI2009" localSheetId="7">#REF!</definedName>
    <definedName name="_CPI2009" localSheetId="22">#REF!</definedName>
    <definedName name="_CPI2009">#REF!</definedName>
    <definedName name="_CPI2010" localSheetId="7">#REF!</definedName>
    <definedName name="_CPI2010" localSheetId="22">#REF!</definedName>
    <definedName name="_CPI2010">#REF!</definedName>
    <definedName name="_CPI2011" localSheetId="7">#REF!</definedName>
    <definedName name="_CPI2011" localSheetId="22">#REF!</definedName>
    <definedName name="_CPI2011">#REF!</definedName>
    <definedName name="_CPI2012" localSheetId="7">#REF!</definedName>
    <definedName name="_CPI2012" localSheetId="22">#REF!</definedName>
    <definedName name="_CPI2012">#REF!</definedName>
    <definedName name="_CPI2013" localSheetId="7">#REF!</definedName>
    <definedName name="_CPI2013" localSheetId="22">#REF!</definedName>
    <definedName name="_CPI2013">#REF!</definedName>
    <definedName name="_CPI2014" localSheetId="7">#REF!</definedName>
    <definedName name="_CPI2014" localSheetId="22">#REF!</definedName>
    <definedName name="_CPI2014">#REF!</definedName>
    <definedName name="AS2DocOpenMode" hidden="1">"AS2DocumentEdit"</definedName>
    <definedName name="BijzWrdVerm">'[4]Tabel 2A - Bijz mutaties activa'!$F$46,'[4]Tabel 2A - Bijz mutaties activa'!$J$46,'[4]Tabel 2A - Bijz mutaties activa'!$N$46,'[4]Tabel 2A - Bijz mutaties activa'!$R$46,'[4]Tabel 2A - Bijz mutaties activa'!$V$46,'[4]Tabel 2A - Bijz mutaties activa'!$Z$46,'[4]Tabel 2A - Bijz mutaties activa'!$AD$46,'[4]Tabel 2A - Bijz mutaties activa'!$AH$46,'[4]Tabel 2A - Bijz mutaties activa'!$AL$46</definedName>
    <definedName name="BijzWrdVermTAHdLd">'[5]Tabel 2A - Bijz mutaties activa'!$H$39,'[5]Tabel 2A - Bijz mutaties activa'!$L$39,'[5]Tabel 2A - Bijz mutaties activa'!$P$39,'[5]Tabel 2A - Bijz mutaties activa'!$T$39,'[5]Tabel 2A - Bijz mutaties activa'!$X$39,'[5]Tabel 2A - Bijz mutaties activa'!$AB$39</definedName>
    <definedName name="CPIv2000n2001" localSheetId="7">#REF!</definedName>
    <definedName name="CPIv2000n2001" localSheetId="22">#REF!</definedName>
    <definedName name="CPIv2000n2001">#REF!</definedName>
    <definedName name="CPIv2000n2002" localSheetId="7">#REF!</definedName>
    <definedName name="CPIv2000n2002" localSheetId="22">#REF!</definedName>
    <definedName name="CPIv2000n2002">#REF!</definedName>
    <definedName name="CPIv2000n2003" localSheetId="7">#REF!</definedName>
    <definedName name="CPIv2000n2003" localSheetId="22">#REF!</definedName>
    <definedName name="CPIv2000n2003">#REF!</definedName>
    <definedName name="CPIv2000n2004" localSheetId="7">#REF!</definedName>
    <definedName name="CPIv2000n2004" localSheetId="22">#REF!</definedName>
    <definedName name="CPIv2000n2004">#REF!</definedName>
    <definedName name="CPIv2000n2005" localSheetId="7">#REF!</definedName>
    <definedName name="CPIv2000n2005" localSheetId="22">#REF!</definedName>
    <definedName name="CPIv2000n2005">#REF!</definedName>
    <definedName name="CPIv2000n2006" localSheetId="7">#REF!</definedName>
    <definedName name="CPIv2000n2006" localSheetId="22">#REF!</definedName>
    <definedName name="CPIv2000n2006">#REF!</definedName>
    <definedName name="CPIv2000n2007" localSheetId="7">#REF!</definedName>
    <definedName name="CPIv2000n2007" localSheetId="22">#REF!</definedName>
    <definedName name="CPIv2000n2007">#REF!</definedName>
    <definedName name="CPIv2000n2008" localSheetId="7">#REF!</definedName>
    <definedName name="CPIv2000n2008" localSheetId="22">#REF!</definedName>
    <definedName name="CPIv2000n2008">#REF!</definedName>
    <definedName name="CPIv2000n2009" localSheetId="7">#REF!</definedName>
    <definedName name="CPIv2000n2009" localSheetId="22">#REF!</definedName>
    <definedName name="CPIv2000n2009">#REF!</definedName>
    <definedName name="CPIv2000n2010" localSheetId="7">#REF!</definedName>
    <definedName name="CPIv2000n2010" localSheetId="22">#REF!</definedName>
    <definedName name="CPIv2000n2010">#REF!</definedName>
    <definedName name="CPIv2000n2011" localSheetId="7">#REF!</definedName>
    <definedName name="CPIv2000n2011" localSheetId="22">#REF!</definedName>
    <definedName name="CPIv2000n2011">#REF!</definedName>
    <definedName name="CPIv2000n2012" localSheetId="7">#REF!</definedName>
    <definedName name="CPIv2000n2012" localSheetId="22">#REF!</definedName>
    <definedName name="CPIv2000n2012">#REF!</definedName>
    <definedName name="CPIv2000n2013" localSheetId="7">#REF!</definedName>
    <definedName name="CPIv2000n2013" localSheetId="22">#REF!</definedName>
    <definedName name="CPIv2000n2013">#REF!</definedName>
    <definedName name="CPIv2000n2014" localSheetId="7">#REF!</definedName>
    <definedName name="CPIv2000n2014" localSheetId="22">#REF!</definedName>
    <definedName name="CPIv2000n2014">#REF!</definedName>
    <definedName name="CPIv2001n2002" localSheetId="7">#REF!</definedName>
    <definedName name="CPIv2001n2002" localSheetId="22">#REF!</definedName>
    <definedName name="CPIv2001n2002">#REF!</definedName>
    <definedName name="CPIv2001n2003" localSheetId="7">#REF!</definedName>
    <definedName name="CPIv2001n2003" localSheetId="22">#REF!</definedName>
    <definedName name="CPIv2001n2003">#REF!</definedName>
    <definedName name="CPIv2001n2004" localSheetId="7">#REF!</definedName>
    <definedName name="CPIv2001n2004" localSheetId="22">#REF!</definedName>
    <definedName name="CPIv2001n2004">#REF!</definedName>
    <definedName name="CPIv2001n2005" localSheetId="7">#REF!</definedName>
    <definedName name="CPIv2001n2005" localSheetId="22">#REF!</definedName>
    <definedName name="CPIv2001n2005">#REF!</definedName>
    <definedName name="CPIv2001n2006" localSheetId="7">#REF!</definedName>
    <definedName name="CPIv2001n2006" localSheetId="22">#REF!</definedName>
    <definedName name="CPIv2001n2006">#REF!</definedName>
    <definedName name="CPIv2001n2007" localSheetId="7">#REF!</definedName>
    <definedName name="CPIv2001n2007" localSheetId="22">#REF!</definedName>
    <definedName name="CPIv2001n2007">#REF!</definedName>
    <definedName name="CPIv2001n2008" localSheetId="7">#REF!</definedName>
    <definedName name="CPIv2001n2008" localSheetId="22">#REF!</definedName>
    <definedName name="CPIv2001n2008">#REF!</definedName>
    <definedName name="CPIv2001n2009" localSheetId="7">#REF!</definedName>
    <definedName name="CPIv2001n2009" localSheetId="22">#REF!</definedName>
    <definedName name="CPIv2001n2009">#REF!</definedName>
    <definedName name="CPIv2001n2010" localSheetId="7">#REF!</definedName>
    <definedName name="CPIv2001n2010" localSheetId="22">#REF!</definedName>
    <definedName name="CPIv2001n2010">#REF!</definedName>
    <definedName name="CPIv2001n2011" localSheetId="7">#REF!</definedName>
    <definedName name="CPIv2001n2011" localSheetId="22">#REF!</definedName>
    <definedName name="CPIv2001n2011">#REF!</definedName>
    <definedName name="CPIv2001n2012" localSheetId="7">#REF!</definedName>
    <definedName name="CPIv2001n2012" localSheetId="22">#REF!</definedName>
    <definedName name="CPIv2001n2012">#REF!</definedName>
    <definedName name="CPIv2001n2013" localSheetId="7">#REF!</definedName>
    <definedName name="CPIv2001n2013" localSheetId="22">#REF!</definedName>
    <definedName name="CPIv2001n2013">#REF!</definedName>
    <definedName name="CPIv2001n2014" localSheetId="7">#REF!</definedName>
    <definedName name="CPIv2001n2014" localSheetId="22">#REF!</definedName>
    <definedName name="CPIv2001n2014">#REF!</definedName>
    <definedName name="CPIv2002n2003" localSheetId="7">#REF!</definedName>
    <definedName name="CPIv2002n2003" localSheetId="22">#REF!</definedName>
    <definedName name="CPIv2002n2003">#REF!</definedName>
    <definedName name="CPIv2002n2004" localSheetId="7">#REF!</definedName>
    <definedName name="CPIv2002n2004" localSheetId="22">#REF!</definedName>
    <definedName name="CPIv2002n2004">#REF!</definedName>
    <definedName name="CPIv2002n2005" localSheetId="7">#REF!</definedName>
    <definedName name="CPIv2002n2005" localSheetId="22">#REF!</definedName>
    <definedName name="CPIv2002n2005">#REF!</definedName>
    <definedName name="CPIv2002n2006" localSheetId="7">#REF!</definedName>
    <definedName name="CPIv2002n2006" localSheetId="22">#REF!</definedName>
    <definedName name="CPIv2002n2006">#REF!</definedName>
    <definedName name="CPIv2002n2007" localSheetId="7">#REF!</definedName>
    <definedName name="CPIv2002n2007" localSheetId="22">#REF!</definedName>
    <definedName name="CPIv2002n2007">#REF!</definedName>
    <definedName name="CPIv2002n2008" localSheetId="7">#REF!</definedName>
    <definedName name="CPIv2002n2008" localSheetId="22">#REF!</definedName>
    <definedName name="CPIv2002n2008">#REF!</definedName>
    <definedName name="CPIv2002n2009" localSheetId="7">#REF!</definedName>
    <definedName name="CPIv2002n2009" localSheetId="22">#REF!</definedName>
    <definedName name="CPIv2002n2009">#REF!</definedName>
    <definedName name="CPIv2002n2010" localSheetId="7">#REF!</definedName>
    <definedName name="CPIv2002n2010" localSheetId="22">#REF!</definedName>
    <definedName name="CPIv2002n2010">#REF!</definedName>
    <definedName name="CPIv2002n2011" localSheetId="7">#REF!</definedName>
    <definedName name="CPIv2002n2011" localSheetId="22">#REF!</definedName>
    <definedName name="CPIv2002n2011">#REF!</definedName>
    <definedName name="CPIv2002n2012" localSheetId="7">#REF!</definedName>
    <definedName name="CPIv2002n2012" localSheetId="22">#REF!</definedName>
    <definedName name="CPIv2002n2012">#REF!</definedName>
    <definedName name="CPIv2002n2013" localSheetId="7">#REF!</definedName>
    <definedName name="CPIv2002n2013" localSheetId="22">#REF!</definedName>
    <definedName name="CPIv2002n2013">#REF!</definedName>
    <definedName name="CPIv2002n2014" localSheetId="7">#REF!</definedName>
    <definedName name="CPIv2002n2014" localSheetId="22">#REF!</definedName>
    <definedName name="CPIv2002n2014">#REF!</definedName>
    <definedName name="CPIv2003n2004" localSheetId="7">#REF!</definedName>
    <definedName name="CPIv2003n2004" localSheetId="22">#REF!</definedName>
    <definedName name="CPIv2003n2004">#REF!</definedName>
    <definedName name="CPIv2003n2005" localSheetId="7">#REF!</definedName>
    <definedName name="CPIv2003n2005" localSheetId="22">#REF!</definedName>
    <definedName name="CPIv2003n2005">#REF!</definedName>
    <definedName name="CPIv2003n2006" localSheetId="7">#REF!</definedName>
    <definedName name="CPIv2003n2006" localSheetId="22">#REF!</definedName>
    <definedName name="CPIv2003n2006">#REF!</definedName>
    <definedName name="CPIv2003n2007" localSheetId="7">#REF!</definedName>
    <definedName name="CPIv2003n2007" localSheetId="22">#REF!</definedName>
    <definedName name="CPIv2003n2007">#REF!</definedName>
    <definedName name="CPIv2003n2008" localSheetId="7">#REF!</definedName>
    <definedName name="CPIv2003n2008" localSheetId="22">#REF!</definedName>
    <definedName name="CPIv2003n2008">#REF!</definedName>
    <definedName name="CPIv2003n2009" localSheetId="7">#REF!</definedName>
    <definedName name="CPIv2003n2009" localSheetId="22">#REF!</definedName>
    <definedName name="CPIv2003n2009">#REF!</definedName>
    <definedName name="CPIv2003n2010" localSheetId="7">#REF!</definedName>
    <definedName name="CPIv2003n2010" localSheetId="22">#REF!</definedName>
    <definedName name="CPIv2003n2010">#REF!</definedName>
    <definedName name="CPIv2003n2011" localSheetId="7">#REF!</definedName>
    <definedName name="CPIv2003n2011" localSheetId="22">#REF!</definedName>
    <definedName name="CPIv2003n2011">#REF!</definedName>
    <definedName name="CPIv2003n2012" localSheetId="7">#REF!</definedName>
    <definedName name="CPIv2003n2012" localSheetId="22">#REF!</definedName>
    <definedName name="CPIv2003n2012">#REF!</definedName>
    <definedName name="CPIv2003n2013" localSheetId="7">#REF!</definedName>
    <definedName name="CPIv2003n2013" localSheetId="22">#REF!</definedName>
    <definedName name="CPIv2003n2013">#REF!</definedName>
    <definedName name="CPIv2003n2014" localSheetId="7">#REF!</definedName>
    <definedName name="CPIv2003n2014" localSheetId="22">#REF!</definedName>
    <definedName name="CPIv2003n2014">#REF!</definedName>
    <definedName name="CPIv2004n2005" localSheetId="7">#REF!</definedName>
    <definedName name="CPIv2004n2005" localSheetId="22">#REF!</definedName>
    <definedName name="CPIv2004n2005">#REF!</definedName>
    <definedName name="CPIv2004n2006" localSheetId="7">#REF!</definedName>
    <definedName name="CPIv2004n2006" localSheetId="22">#REF!</definedName>
    <definedName name="CPIv2004n2006">#REF!</definedName>
    <definedName name="CPIv2004n2007" localSheetId="7">#REF!</definedName>
    <definedName name="CPIv2004n2007" localSheetId="22">#REF!</definedName>
    <definedName name="CPIv2004n2007">#REF!</definedName>
    <definedName name="CPIv2004n2008" localSheetId="7">#REF!</definedName>
    <definedName name="CPIv2004n2008" localSheetId="22">#REF!</definedName>
    <definedName name="CPIv2004n2008">#REF!</definedName>
    <definedName name="CPIv2004n2009" localSheetId="7">#REF!</definedName>
    <definedName name="CPIv2004n2009" localSheetId="22">#REF!</definedName>
    <definedName name="CPIv2004n2009">#REF!</definedName>
    <definedName name="CPIv2004n2010" localSheetId="7">#REF!</definedName>
    <definedName name="CPIv2004n2010" localSheetId="22">#REF!</definedName>
    <definedName name="CPIv2004n2010">#REF!</definedName>
    <definedName name="CPIv2004n2011" localSheetId="7">#REF!</definedName>
    <definedName name="CPIv2004n2011" localSheetId="22">#REF!</definedName>
    <definedName name="CPIv2004n2011">#REF!</definedName>
    <definedName name="CPIv2004n2012" localSheetId="7">#REF!</definedName>
    <definedName name="CPIv2004n2012" localSheetId="22">#REF!</definedName>
    <definedName name="CPIv2004n2012">#REF!</definedName>
    <definedName name="CPIv2004n2013" localSheetId="7">#REF!</definedName>
    <definedName name="CPIv2004n2013" localSheetId="22">#REF!</definedName>
    <definedName name="CPIv2004n2013">#REF!</definedName>
    <definedName name="CPIv2004n2014" localSheetId="7">#REF!</definedName>
    <definedName name="CPIv2004n2014" localSheetId="22">#REF!</definedName>
    <definedName name="CPIv2004n2014">#REF!</definedName>
    <definedName name="CPIv2005n2006" localSheetId="7">#REF!</definedName>
    <definedName name="CPIv2005n2006" localSheetId="22">#REF!</definedName>
    <definedName name="CPIv2005n2006">#REF!</definedName>
    <definedName name="CPIv2005n2007" localSheetId="7">#REF!</definedName>
    <definedName name="CPIv2005n2007" localSheetId="22">#REF!</definedName>
    <definedName name="CPIv2005n2007">#REF!</definedName>
    <definedName name="CPIv2005n2008" localSheetId="7">#REF!</definedName>
    <definedName name="CPIv2005n2008" localSheetId="22">#REF!</definedName>
    <definedName name="CPIv2005n2008">#REF!</definedName>
    <definedName name="CPIv2005n2009" localSheetId="7">#REF!</definedName>
    <definedName name="CPIv2005n2009" localSheetId="22">#REF!</definedName>
    <definedName name="CPIv2005n2009">#REF!</definedName>
    <definedName name="CPIv2005n2010" localSheetId="7">#REF!</definedName>
    <definedName name="CPIv2005n2010" localSheetId="22">#REF!</definedName>
    <definedName name="CPIv2005n2010">#REF!</definedName>
    <definedName name="CPIv2005n2011" localSheetId="7">#REF!</definedName>
    <definedName name="CPIv2005n2011" localSheetId="22">#REF!</definedName>
    <definedName name="CPIv2005n2011">#REF!</definedName>
    <definedName name="CPIv2005n2012" localSheetId="7">#REF!</definedName>
    <definedName name="CPIv2005n2012" localSheetId="22">#REF!</definedName>
    <definedName name="CPIv2005n2012">#REF!</definedName>
    <definedName name="CPIv2005n2013" localSheetId="7">#REF!</definedName>
    <definedName name="CPIv2005n2013" localSheetId="22">#REF!</definedName>
    <definedName name="CPIv2005n2013">#REF!</definedName>
    <definedName name="CPIv2005n2014" localSheetId="7">#REF!</definedName>
    <definedName name="CPIv2005n2014" localSheetId="22">#REF!</definedName>
    <definedName name="CPIv2005n2014">#REF!</definedName>
    <definedName name="CPIv2006n2007" localSheetId="7">#REF!</definedName>
    <definedName name="CPIv2006n2007" localSheetId="22">#REF!</definedName>
    <definedName name="CPIv2006n2007">#REF!</definedName>
    <definedName name="CPIv2006n2008" localSheetId="7">#REF!</definedName>
    <definedName name="CPIv2006n2008" localSheetId="22">#REF!</definedName>
    <definedName name="CPIv2006n2008">#REF!</definedName>
    <definedName name="CPIv2006n2009" localSheetId="7">#REF!</definedName>
    <definedName name="CPIv2006n2009" localSheetId="22">#REF!</definedName>
    <definedName name="CPIv2006n2009">#REF!</definedName>
    <definedName name="CPIv2006n2010" localSheetId="7">#REF!</definedName>
    <definedName name="CPIv2006n2010" localSheetId="22">#REF!</definedName>
    <definedName name="CPIv2006n2010">#REF!</definedName>
    <definedName name="CPIv2006n2011" localSheetId="7">#REF!</definedName>
    <definedName name="CPIv2006n2011" localSheetId="22">#REF!</definedName>
    <definedName name="CPIv2006n2011">#REF!</definedName>
    <definedName name="CPIv2006n2012" localSheetId="7">#REF!</definedName>
    <definedName name="CPIv2006n2012" localSheetId="22">#REF!</definedName>
    <definedName name="CPIv2006n2012">#REF!</definedName>
    <definedName name="CPIv2006n2013" localSheetId="7">#REF!</definedName>
    <definedName name="CPIv2006n2013" localSheetId="22">#REF!</definedName>
    <definedName name="CPIv2006n2013">#REF!</definedName>
    <definedName name="CPIv2006n2014" localSheetId="7">#REF!</definedName>
    <definedName name="CPIv2006n2014" localSheetId="22">#REF!</definedName>
    <definedName name="CPIv2006n2014">#REF!</definedName>
    <definedName name="CPIv2007n2008" localSheetId="7">#REF!</definedName>
    <definedName name="CPIv2007n2008" localSheetId="22">#REF!</definedName>
    <definedName name="CPIv2007n2008">#REF!</definedName>
    <definedName name="CPIv2007n2009" localSheetId="7">#REF!</definedName>
    <definedName name="CPIv2007n2009" localSheetId="22">#REF!</definedName>
    <definedName name="CPIv2007n2009">#REF!</definedName>
    <definedName name="CPIv2007n2010" localSheetId="7">#REF!</definedName>
    <definedName name="CPIv2007n2010" localSheetId="22">#REF!</definedName>
    <definedName name="CPIv2007n2010">#REF!</definedName>
    <definedName name="CPIv2007n2011" localSheetId="7">#REF!</definedName>
    <definedName name="CPIv2007n2011" localSheetId="22">#REF!</definedName>
    <definedName name="CPIv2007n2011">#REF!</definedName>
    <definedName name="CPIv2007n2012" localSheetId="7">#REF!</definedName>
    <definedName name="CPIv2007n2012" localSheetId="22">#REF!</definedName>
    <definedName name="CPIv2007n2012">#REF!</definedName>
    <definedName name="CPIv2007n2013" localSheetId="7">#REF!</definedName>
    <definedName name="CPIv2007n2013" localSheetId="22">#REF!</definedName>
    <definedName name="CPIv2007n2013">#REF!</definedName>
    <definedName name="CPIv2007n2014" localSheetId="7">#REF!</definedName>
    <definedName name="CPIv2007n2014" localSheetId="22">#REF!</definedName>
    <definedName name="CPIv2007n2014">#REF!</definedName>
    <definedName name="CPIv2008n2009" localSheetId="7">#REF!</definedName>
    <definedName name="CPIv2008n2009" localSheetId="22">#REF!</definedName>
    <definedName name="CPIv2008n2009">#REF!</definedName>
    <definedName name="CPIv2008n2010" localSheetId="7">#REF!</definedName>
    <definedName name="CPIv2008n2010" localSheetId="22">#REF!</definedName>
    <definedName name="CPIv2008n2010">#REF!</definedName>
    <definedName name="CPIv2008n2011" localSheetId="7">#REF!</definedName>
    <definedName name="CPIv2008n2011" localSheetId="22">#REF!</definedName>
    <definedName name="CPIv2008n2011">#REF!</definedName>
    <definedName name="CPIv2008n2012" localSheetId="7">#REF!</definedName>
    <definedName name="CPIv2008n2012" localSheetId="22">#REF!</definedName>
    <definedName name="CPIv2008n2012">#REF!</definedName>
    <definedName name="CPIv2008n2013" localSheetId="7">#REF!</definedName>
    <definedName name="CPIv2008n2013" localSheetId="22">#REF!</definedName>
    <definedName name="CPIv2008n2013">#REF!</definedName>
    <definedName name="CPIv2008n2014" localSheetId="7">#REF!</definedName>
    <definedName name="CPIv2008n2014" localSheetId="22">#REF!</definedName>
    <definedName name="CPIv2008n2014">#REF!</definedName>
    <definedName name="CPIv2009n2010" localSheetId="7">#REF!</definedName>
    <definedName name="CPIv2009n2010" localSheetId="22">#REF!</definedName>
    <definedName name="CPIv2009n2010">#REF!</definedName>
    <definedName name="CPIv2009n2011" localSheetId="7">#REF!</definedName>
    <definedName name="CPIv2009n2011" localSheetId="22">#REF!</definedName>
    <definedName name="CPIv2009n2011">#REF!</definedName>
    <definedName name="CPIv2009n2012" localSheetId="7">#REF!</definedName>
    <definedName name="CPIv2009n2012" localSheetId="22">#REF!</definedName>
    <definedName name="CPIv2009n2012">#REF!</definedName>
    <definedName name="CPIv2009n2013" localSheetId="7">#REF!</definedName>
    <definedName name="CPIv2009n2013" localSheetId="22">#REF!</definedName>
    <definedName name="CPIv2009n2013">#REF!</definedName>
    <definedName name="CPIv2009n2014" localSheetId="7">#REF!</definedName>
    <definedName name="CPIv2009n2014" localSheetId="22">#REF!</definedName>
    <definedName name="CPIv2009n2014">#REF!</definedName>
    <definedName name="CPIv2010n2011" localSheetId="7">#REF!</definedName>
    <definedName name="CPIv2010n2011" localSheetId="22">#REF!</definedName>
    <definedName name="CPIv2010n2011">#REF!</definedName>
    <definedName name="CPIv2010n2012" localSheetId="7">#REF!</definedName>
    <definedName name="CPIv2010n2012" localSheetId="22">#REF!</definedName>
    <definedName name="CPIv2010n2012">#REF!</definedName>
    <definedName name="CPIv2010n2013" localSheetId="7">#REF!</definedName>
    <definedName name="CPIv2010n2013" localSheetId="22">#REF!</definedName>
    <definedName name="CPIv2010n2013">#REF!</definedName>
    <definedName name="CPIv2010n2014" localSheetId="7">#REF!</definedName>
    <definedName name="CPIv2010n2014" localSheetId="22">#REF!</definedName>
    <definedName name="CPIv2010n2014">#REF!</definedName>
    <definedName name="CPIv2011n2012" localSheetId="7">#REF!</definedName>
    <definedName name="CPIv2011n2012" localSheetId="22">#REF!</definedName>
    <definedName name="CPIv2011n2012">#REF!</definedName>
    <definedName name="CPIv2011n2013" localSheetId="7">#REF!</definedName>
    <definedName name="CPIv2011n2013" localSheetId="22">#REF!</definedName>
    <definedName name="CPIv2011n2013">#REF!</definedName>
    <definedName name="CPIv2011n2014" localSheetId="7">#REF!</definedName>
    <definedName name="CPIv2011n2014" localSheetId="22">#REF!</definedName>
    <definedName name="CPIv2011n2014">#REF!</definedName>
    <definedName name="CPIv2012n2013" localSheetId="7">#REF!</definedName>
    <definedName name="CPIv2012n2013" localSheetId="22">#REF!</definedName>
    <definedName name="CPIv2012n2013">#REF!</definedName>
    <definedName name="CPIv2012n2014" localSheetId="7">#REF!</definedName>
    <definedName name="CPIv2012n2014" localSheetId="22">#REF!</definedName>
    <definedName name="CPIv2012n2014">#REF!</definedName>
    <definedName name="CPIv2013n2014" localSheetId="7">#REF!</definedName>
    <definedName name="CPIv2013n2014" localSheetId="22">#REF!</definedName>
    <definedName name="CPIv2013n2014">#REF!</definedName>
    <definedName name="DTE_old" localSheetId="7">#REF!</definedName>
    <definedName name="DTE_old" localSheetId="22">#REF!</definedName>
    <definedName name="DTE_old">#REF!</definedName>
    <definedName name="EofG" localSheetId="7">'[6]Lokale heffingen (LH)'!#REF!</definedName>
    <definedName name="EofG" localSheetId="22">'[6]Lokale heffingen (LH)'!#REF!</definedName>
    <definedName name="EofG">'[6]Lokale heffingen (LH)'!#REF!</definedName>
    <definedName name="extraveld_kolom" localSheetId="7">#REF!</definedName>
    <definedName name="extraveld_kolom" localSheetId="22">#REF!</definedName>
    <definedName name="extraveld_kolom">#REF!</definedName>
    <definedName name="extraveld_rij" localSheetId="7">#REF!</definedName>
    <definedName name="extraveld_rij" localSheetId="22">#REF!</definedName>
    <definedName name="extraveld_rij">#REF!</definedName>
    <definedName name="Naam" localSheetId="7">#REF!</definedName>
    <definedName name="Naam" localSheetId="22">#REF!</definedName>
    <definedName name="Naam">#REF!</definedName>
    <definedName name="Naam_GA">'[1]Kapitaalkosten Gasaansluiting'!$C$1</definedName>
    <definedName name="Netbeheerders">[1]Netbeheerders!$B$2:$B$25</definedName>
    <definedName name="Overzicht_EofG" localSheetId="7">#REF!</definedName>
    <definedName name="Overzicht_EofG" localSheetId="22">#REF!</definedName>
    <definedName name="Overzicht_EofG">#REF!</definedName>
    <definedName name="Overzicht_Gasaansluiting" localSheetId="7">#REF!</definedName>
    <definedName name="Overzicht_Gasaansluiting" localSheetId="22">#REF!</definedName>
    <definedName name="Overzicht_Gasaansluiting">#REF!</definedName>
    <definedName name="Overzicht_Netbeheerder" localSheetId="7">#REF!</definedName>
    <definedName name="Overzicht_Netbeheerder" localSheetId="22">#REF!</definedName>
    <definedName name="Overzicht_Netbeheerder">#REF!</definedName>
    <definedName name="Overzicht_totJaar" localSheetId="7">#REF!</definedName>
    <definedName name="Overzicht_totJaar" localSheetId="22">#REF!</definedName>
    <definedName name="Overzicht_totJaar">#REF!</definedName>
    <definedName name="Overzicht_vanafJaar" localSheetId="7">#REF!</definedName>
    <definedName name="Overzicht_vanafJaar" localSheetId="22">#REF!</definedName>
    <definedName name="Overzicht_vanafJaar">#REF!</definedName>
    <definedName name="wacc" localSheetId="7">[7]Data!#REF!</definedName>
    <definedName name="wacc" localSheetId="22">[7]Data!#REF!</definedName>
    <definedName name="wacc">[7]Data!#REF!</definedName>
    <definedName name="wacc_exc_tax">[8]constants!$E$3</definedName>
    <definedName name="wacc_inc_tax">[7]constants!$E$4</definedName>
    <definedName name="WACC2001" localSheetId="7">#REF!</definedName>
    <definedName name="WACC2001" localSheetId="22">#REF!</definedName>
    <definedName name="WACC2001">#REF!</definedName>
    <definedName name="WACC2002" localSheetId="7">#REF!</definedName>
    <definedName name="WACC2002" localSheetId="22">#REF!</definedName>
    <definedName name="WACC2002">#REF!</definedName>
    <definedName name="WACC2003" localSheetId="7">#REF!</definedName>
    <definedName name="WACC2003" localSheetId="22">#REF!</definedName>
    <definedName name="WACC2003">#REF!</definedName>
    <definedName name="WACC2004" localSheetId="7">#REF!</definedName>
    <definedName name="WACC2004" localSheetId="22">#REF!</definedName>
    <definedName name="WACC2004">#REF!</definedName>
    <definedName name="WACC2005" localSheetId="7">#REF!</definedName>
    <definedName name="WACC2005" localSheetId="22">#REF!</definedName>
    <definedName name="WACC2005">#REF!</definedName>
    <definedName name="WACC2006" localSheetId="7">#REF!</definedName>
    <definedName name="WACC2006" localSheetId="22">#REF!</definedName>
    <definedName name="WACC2006">#REF!</definedName>
    <definedName name="WACC2007" localSheetId="7">#REF!</definedName>
    <definedName name="WACC2007" localSheetId="22">#REF!</definedName>
    <definedName name="WACC2007">#REF!</definedName>
    <definedName name="WACC2008" localSheetId="7">#REF!</definedName>
    <definedName name="WACC2008" localSheetId="22">#REF!</definedName>
    <definedName name="WACC2008">#REF!</definedName>
    <definedName name="WACC2009" localSheetId="7">#REF!</definedName>
    <definedName name="WACC2009" localSheetId="22">#REF!</definedName>
    <definedName name="WACC2009">#REF!</definedName>
    <definedName name="WACC2010" localSheetId="7">#REF!</definedName>
    <definedName name="WACC2010" localSheetId="22">#REF!</definedName>
    <definedName name="WACC2010">#REF!</definedName>
    <definedName name="WACC2011_2013">'[9]CPI&amp;WACC'!$D$14</definedName>
    <definedName name="WACCtabel">'[10]CPI en WACC'!$B$6:$D$26</definedName>
    <definedName name="winstcorrectie" localSheetId="7">#REF!</definedName>
    <definedName name="winstcorrectie" localSheetId="22">#REF!</definedName>
    <definedName name="winstcorrecti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 i="74" l="1"/>
  <c r="AD29" i="27" l="1"/>
  <c r="AE37" i="27"/>
  <c r="AE33" i="27"/>
  <c r="N34" i="74" l="1"/>
  <c r="O34" i="74"/>
  <c r="L34" i="74"/>
  <c r="L25" i="73" l="1"/>
  <c r="M25" i="73"/>
  <c r="N25" i="73"/>
  <c r="O25" i="73"/>
  <c r="P25" i="73"/>
  <c r="Q25" i="73"/>
  <c r="L26" i="73"/>
  <c r="M26" i="73"/>
  <c r="N26" i="73"/>
  <c r="O26" i="73"/>
  <c r="P26" i="73"/>
  <c r="Q26" i="73"/>
  <c r="J16" i="72"/>
  <c r="J15" i="72"/>
  <c r="H95" i="67" l="1"/>
  <c r="H96" i="67"/>
  <c r="P91" i="67" l="1"/>
  <c r="P84" i="67"/>
  <c r="P78" i="67"/>
  <c r="P168" i="67" s="1"/>
  <c r="P66" i="67"/>
  <c r="P73" i="67"/>
  <c r="P60" i="67"/>
  <c r="P147" i="67" s="1"/>
  <c r="P175" i="67" l="1"/>
  <c r="P171" i="67"/>
  <c r="P154" i="67"/>
  <c r="P150" i="67"/>
  <c r="P172" i="67" l="1"/>
  <c r="P151" i="67"/>
  <c r="P155" i="67" l="1"/>
  <c r="P158" i="67"/>
  <c r="P159" i="67" s="1"/>
  <c r="P176" i="67"/>
  <c r="P183" i="67" s="1"/>
  <c r="P184" i="67" s="1"/>
  <c r="P179" i="67"/>
  <c r="P180" i="67" s="1"/>
  <c r="P162" i="67"/>
  <c r="P163" i="67" s="1"/>
  <c r="P38" i="67" l="1"/>
  <c r="P125" i="67" s="1"/>
  <c r="M25" i="74" l="1"/>
  <c r="M34" i="74" s="1"/>
  <c r="N25" i="74"/>
  <c r="O25" i="74"/>
  <c r="P25" i="74"/>
  <c r="P34" i="74" s="1"/>
  <c r="Q25" i="74"/>
  <c r="Q34" i="74" s="1"/>
  <c r="L25" i="74"/>
  <c r="J22" i="75"/>
  <c r="P22" i="74"/>
  <c r="AE19" i="27"/>
  <c r="AE24" i="27" s="1"/>
  <c r="AD19" i="27"/>
  <c r="AE48" i="27" l="1"/>
  <c r="J25" i="74"/>
  <c r="H40" i="79" l="1"/>
  <c r="H39" i="79"/>
  <c r="H36" i="79"/>
  <c r="H35" i="79"/>
  <c r="H34" i="79"/>
  <c r="H33" i="79"/>
  <c r="H30" i="79"/>
  <c r="H29" i="79"/>
  <c r="H28" i="79"/>
  <c r="H27" i="79"/>
  <c r="Q24" i="79"/>
  <c r="P24" i="79"/>
  <c r="O24" i="79"/>
  <c r="N24" i="79"/>
  <c r="M24" i="79"/>
  <c r="L24" i="79"/>
  <c r="Q23" i="79"/>
  <c r="P23" i="79"/>
  <c r="O23" i="79"/>
  <c r="N23" i="79"/>
  <c r="M23" i="79"/>
  <c r="L23" i="79"/>
  <c r="Q22" i="79"/>
  <c r="P22" i="79"/>
  <c r="O22" i="79"/>
  <c r="N22" i="79"/>
  <c r="M22" i="79"/>
  <c r="L22" i="79"/>
  <c r="Q19" i="79"/>
  <c r="P19" i="79"/>
  <c r="O19" i="79"/>
  <c r="N19" i="79"/>
  <c r="M19" i="79"/>
  <c r="L19" i="79"/>
  <c r="Q18" i="79"/>
  <c r="P18" i="79"/>
  <c r="O18" i="79"/>
  <c r="N18" i="79"/>
  <c r="M18" i="79"/>
  <c r="L18" i="79"/>
  <c r="Q17" i="79"/>
  <c r="P17" i="79"/>
  <c r="O17" i="79"/>
  <c r="N17" i="79"/>
  <c r="M17" i="79"/>
  <c r="L17" i="79"/>
  <c r="H69" i="79" l="1"/>
  <c r="M82" i="79"/>
  <c r="O83" i="79"/>
  <c r="Q84" i="79"/>
  <c r="Q82" i="79"/>
  <c r="M84" i="79"/>
  <c r="H64" i="79"/>
  <c r="H65" i="79" s="1"/>
  <c r="H66" i="79" s="1"/>
  <c r="H70" i="79"/>
  <c r="O84" i="79"/>
  <c r="O82" i="79"/>
  <c r="Q83" i="79"/>
  <c r="L82" i="79"/>
  <c r="P82" i="79"/>
  <c r="N83" i="79"/>
  <c r="L84" i="79"/>
  <c r="P84" i="79"/>
  <c r="M83" i="79"/>
  <c r="N82" i="79"/>
  <c r="L83" i="79"/>
  <c r="P83" i="79"/>
  <c r="N84" i="79"/>
  <c r="H71" i="79" l="1"/>
  <c r="H72" i="79" s="1"/>
  <c r="H75" i="79" s="1"/>
  <c r="M86" i="79" s="1"/>
  <c r="M90" i="79" s="1"/>
  <c r="H76" i="79" l="1"/>
  <c r="O87" i="79" s="1"/>
  <c r="O91" i="79" s="1"/>
  <c r="H77" i="79"/>
  <c r="L88" i="79" s="1"/>
  <c r="Q86" i="79"/>
  <c r="Q90" i="79" s="1"/>
  <c r="N86" i="79"/>
  <c r="N90" i="79" s="1"/>
  <c r="O86" i="79"/>
  <c r="O90" i="79" s="1"/>
  <c r="P86" i="79"/>
  <c r="P90" i="79" s="1"/>
  <c r="L86" i="79"/>
  <c r="O88" i="79"/>
  <c r="O92" i="79" s="1"/>
  <c r="Q88" i="79" l="1"/>
  <c r="Q92" i="79" s="1"/>
  <c r="N88" i="79"/>
  <c r="N92" i="79" s="1"/>
  <c r="Q87" i="79"/>
  <c r="Q91" i="79" s="1"/>
  <c r="P88" i="79"/>
  <c r="P92" i="79" s="1"/>
  <c r="M88" i="79"/>
  <c r="M92" i="79" s="1"/>
  <c r="M87" i="79"/>
  <c r="M91" i="79" s="1"/>
  <c r="N87" i="79"/>
  <c r="N91" i="79" s="1"/>
  <c r="L87" i="79"/>
  <c r="L91" i="79" s="1"/>
  <c r="P87" i="79"/>
  <c r="P91" i="79" s="1"/>
  <c r="L90" i="79"/>
  <c r="L92" i="79"/>
  <c r="M21" i="73" l="1"/>
  <c r="N21" i="73"/>
  <c r="O21" i="73"/>
  <c r="P21" i="73"/>
  <c r="Q21" i="73"/>
  <c r="L21" i="73"/>
  <c r="M24" i="73"/>
  <c r="N24" i="73"/>
  <c r="O24" i="73"/>
  <c r="P24" i="73"/>
  <c r="Q24" i="73"/>
  <c r="L24" i="73"/>
  <c r="J14" i="72"/>
  <c r="Q86" i="73" l="1"/>
  <c r="P86" i="73"/>
  <c r="O86" i="73"/>
  <c r="N86" i="73"/>
  <c r="M86" i="73"/>
  <c r="L86" i="73"/>
  <c r="Q84" i="73"/>
  <c r="P84" i="73"/>
  <c r="O84" i="73"/>
  <c r="N84" i="73"/>
  <c r="M84" i="73"/>
  <c r="L84" i="73"/>
  <c r="Q83" i="73"/>
  <c r="P83" i="73"/>
  <c r="O83" i="73"/>
  <c r="N83" i="73"/>
  <c r="M83" i="73"/>
  <c r="L83" i="73"/>
  <c r="Q79" i="73"/>
  <c r="Q177" i="73" s="1"/>
  <c r="P79" i="73"/>
  <c r="P177" i="73" s="1"/>
  <c r="O79" i="73"/>
  <c r="O177" i="73" s="1"/>
  <c r="N79" i="73"/>
  <c r="N177" i="73" s="1"/>
  <c r="M79" i="73"/>
  <c r="M177" i="73" s="1"/>
  <c r="L79" i="73"/>
  <c r="L177" i="73" s="1"/>
  <c r="Q75" i="73"/>
  <c r="P75" i="73"/>
  <c r="O75" i="73"/>
  <c r="N75" i="73"/>
  <c r="M75" i="73"/>
  <c r="L75" i="73"/>
  <c r="Q74" i="73"/>
  <c r="P74" i="73"/>
  <c r="O74" i="73"/>
  <c r="N74" i="73"/>
  <c r="M74" i="73"/>
  <c r="L74" i="73"/>
  <c r="Q73" i="73"/>
  <c r="P73" i="73"/>
  <c r="O73" i="73"/>
  <c r="N73" i="73"/>
  <c r="M73" i="73"/>
  <c r="L73" i="73"/>
  <c r="Q72" i="73"/>
  <c r="P72" i="73"/>
  <c r="O72" i="73"/>
  <c r="N72" i="73"/>
  <c r="M72" i="73"/>
  <c r="L72" i="73"/>
  <c r="Q71" i="73"/>
  <c r="P71" i="73"/>
  <c r="O71" i="73"/>
  <c r="N71" i="73"/>
  <c r="M71" i="73"/>
  <c r="L71" i="73"/>
  <c r="Q68" i="73"/>
  <c r="P68" i="73"/>
  <c r="O68" i="73"/>
  <c r="N68" i="73"/>
  <c r="M68" i="73"/>
  <c r="L68" i="73"/>
  <c r="Q67" i="73"/>
  <c r="P67" i="73"/>
  <c r="O67" i="73"/>
  <c r="N67" i="73"/>
  <c r="M67" i="73"/>
  <c r="L67" i="73"/>
  <c r="Q66" i="73"/>
  <c r="P66" i="73"/>
  <c r="O66" i="73"/>
  <c r="N66" i="73"/>
  <c r="M66" i="73"/>
  <c r="L66" i="73"/>
  <c r="Q65" i="73"/>
  <c r="P65" i="73"/>
  <c r="O65" i="73"/>
  <c r="N65" i="73"/>
  <c r="M65" i="73"/>
  <c r="L65" i="73"/>
  <c r="Q64" i="73"/>
  <c r="P64" i="73"/>
  <c r="O64" i="73"/>
  <c r="N64" i="73"/>
  <c r="M64" i="73"/>
  <c r="L64" i="73"/>
  <c r="Q63" i="73"/>
  <c r="P63" i="73"/>
  <c r="O63" i="73"/>
  <c r="N63" i="73"/>
  <c r="M63" i="73"/>
  <c r="L63" i="73"/>
  <c r="Q56" i="73"/>
  <c r="P56" i="73"/>
  <c r="O56" i="73"/>
  <c r="N56" i="73"/>
  <c r="M56" i="73"/>
  <c r="L56" i="73"/>
  <c r="Q54" i="73"/>
  <c r="P54" i="73"/>
  <c r="O54" i="73"/>
  <c r="N54" i="73"/>
  <c r="M54" i="73"/>
  <c r="L54" i="73"/>
  <c r="Q53" i="73"/>
  <c r="P53" i="73"/>
  <c r="O53" i="73"/>
  <c r="N53" i="73"/>
  <c r="M53" i="73"/>
  <c r="L53" i="73"/>
  <c r="Q49" i="73"/>
  <c r="Q160" i="73" s="1"/>
  <c r="P49" i="73"/>
  <c r="P160" i="73" s="1"/>
  <c r="O49" i="73"/>
  <c r="O160" i="73" s="1"/>
  <c r="N49" i="73"/>
  <c r="N160" i="73" s="1"/>
  <c r="M49" i="73"/>
  <c r="M160" i="73" s="1"/>
  <c r="L49" i="73"/>
  <c r="L160" i="73" s="1"/>
  <c r="Q45" i="73"/>
  <c r="P45" i="73"/>
  <c r="O45" i="73"/>
  <c r="N45" i="73"/>
  <c r="M45" i="73"/>
  <c r="L45" i="73"/>
  <c r="Q44" i="73"/>
  <c r="P44" i="73"/>
  <c r="O44" i="73"/>
  <c r="N44" i="73"/>
  <c r="M44" i="73"/>
  <c r="L44" i="73"/>
  <c r="Q43" i="73"/>
  <c r="P43" i="73"/>
  <c r="O43" i="73"/>
  <c r="N43" i="73"/>
  <c r="M43" i="73"/>
  <c r="L43" i="73"/>
  <c r="Q42" i="73"/>
  <c r="P42" i="73"/>
  <c r="O42" i="73"/>
  <c r="N42" i="73"/>
  <c r="M42" i="73"/>
  <c r="L42" i="73"/>
  <c r="Q41" i="73"/>
  <c r="P41" i="73"/>
  <c r="O41" i="73"/>
  <c r="N41" i="73"/>
  <c r="M41" i="73"/>
  <c r="L41" i="73"/>
  <c r="L34" i="73"/>
  <c r="M34" i="73"/>
  <c r="N34" i="73"/>
  <c r="O34" i="73"/>
  <c r="P34" i="73"/>
  <c r="Q34" i="73"/>
  <c r="L35" i="73"/>
  <c r="M35" i="73"/>
  <c r="N35" i="73"/>
  <c r="O35" i="73"/>
  <c r="P35" i="73"/>
  <c r="Q35" i="73"/>
  <c r="L36" i="73"/>
  <c r="M36" i="73"/>
  <c r="N36" i="73"/>
  <c r="O36" i="73"/>
  <c r="P36" i="73"/>
  <c r="Q36" i="73"/>
  <c r="L37" i="73"/>
  <c r="M37" i="73"/>
  <c r="N37" i="73"/>
  <c r="O37" i="73"/>
  <c r="P37" i="73"/>
  <c r="Q37" i="73"/>
  <c r="L38" i="73"/>
  <c r="M38" i="73"/>
  <c r="N38" i="73"/>
  <c r="O38" i="73"/>
  <c r="P38" i="73"/>
  <c r="Q38" i="73"/>
  <c r="M33" i="73"/>
  <c r="N33" i="73"/>
  <c r="O33" i="73"/>
  <c r="P33" i="73"/>
  <c r="Q33" i="73"/>
  <c r="L33" i="73"/>
  <c r="J46" i="72"/>
  <c r="J44" i="72"/>
  <c r="J43" i="72"/>
  <c r="J39" i="72"/>
  <c r="J35" i="72"/>
  <c r="J34" i="72"/>
  <c r="J33" i="72"/>
  <c r="J32" i="72"/>
  <c r="J31" i="72"/>
  <c r="J24" i="72"/>
  <c r="J25" i="72"/>
  <c r="J26" i="72"/>
  <c r="J27" i="72"/>
  <c r="J28" i="72"/>
  <c r="J23" i="72"/>
  <c r="J76" i="72"/>
  <c r="J74" i="72"/>
  <c r="J73" i="72"/>
  <c r="J69" i="72"/>
  <c r="J65" i="72"/>
  <c r="J64" i="72"/>
  <c r="J63" i="72"/>
  <c r="J62" i="72"/>
  <c r="J61" i="72"/>
  <c r="J58" i="72"/>
  <c r="J57" i="72"/>
  <c r="J56" i="72"/>
  <c r="J55" i="72"/>
  <c r="J54" i="72"/>
  <c r="J53" i="72"/>
  <c r="L161" i="73" l="1"/>
  <c r="P161" i="73"/>
  <c r="N178" i="73"/>
  <c r="M161" i="73"/>
  <c r="Q161" i="73"/>
  <c r="O178" i="73"/>
  <c r="L152" i="73"/>
  <c r="L156" i="73"/>
  <c r="P156" i="73"/>
  <c r="N169" i="73"/>
  <c r="Q152" i="73"/>
  <c r="M152" i="73"/>
  <c r="M156" i="73"/>
  <c r="Q156" i="73"/>
  <c r="O169" i="73"/>
  <c r="O173" i="73"/>
  <c r="P152" i="73"/>
  <c r="N156" i="73"/>
  <c r="N161" i="73"/>
  <c r="L169" i="73"/>
  <c r="P169" i="73"/>
  <c r="L173" i="73"/>
  <c r="P173" i="73"/>
  <c r="L178" i="73"/>
  <c r="P178" i="73"/>
  <c r="N152" i="73"/>
  <c r="N173" i="73"/>
  <c r="O152" i="73"/>
  <c r="O156" i="73"/>
  <c r="O161" i="73"/>
  <c r="M169" i="73"/>
  <c r="Q169" i="73"/>
  <c r="M173" i="73"/>
  <c r="Q173" i="73"/>
  <c r="M178" i="73"/>
  <c r="Q178" i="73"/>
  <c r="L45" i="58"/>
  <c r="L43" i="58"/>
  <c r="L39" i="58"/>
  <c r="H99" i="57" l="1"/>
  <c r="P68" i="57"/>
  <c r="L22" i="74"/>
  <c r="M22" i="74"/>
  <c r="O22" i="74"/>
  <c r="Q22" i="74"/>
  <c r="J18" i="75" l="1"/>
  <c r="J17" i="75"/>
  <c r="J22" i="74"/>
  <c r="J21" i="74"/>
  <c r="P24" i="67" l="1"/>
  <c r="H35" i="40" l="1"/>
  <c r="H112" i="57" l="1"/>
  <c r="H70" i="63"/>
  <c r="L47" i="63"/>
  <c r="M47" i="63"/>
  <c r="N47" i="63"/>
  <c r="O47" i="63"/>
  <c r="P47" i="63"/>
  <c r="Q47" i="63"/>
  <c r="L48" i="63"/>
  <c r="M48" i="63"/>
  <c r="N48" i="63"/>
  <c r="O48" i="63"/>
  <c r="P48" i="63"/>
  <c r="Q48" i="63"/>
  <c r="L49" i="63"/>
  <c r="M49" i="63"/>
  <c r="N49" i="63"/>
  <c r="O49" i="63"/>
  <c r="P49" i="63"/>
  <c r="Q49" i="63"/>
  <c r="M46" i="63"/>
  <c r="N46" i="63"/>
  <c r="O46" i="63"/>
  <c r="P46" i="63"/>
  <c r="Q46" i="63"/>
  <c r="L46" i="63"/>
  <c r="L51" i="63"/>
  <c r="M51" i="63"/>
  <c r="N51" i="63"/>
  <c r="O51" i="63"/>
  <c r="P51" i="63"/>
  <c r="Q51" i="63"/>
  <c r="L93" i="63" l="1"/>
  <c r="M93" i="63"/>
  <c r="N93" i="63"/>
  <c r="P93" i="63"/>
  <c r="O93" i="63"/>
  <c r="Q93" i="63"/>
  <c r="O54" i="27" l="1"/>
  <c r="O55" i="27"/>
  <c r="O56" i="27"/>
  <c r="O57" i="27"/>
  <c r="H20" i="21" l="1"/>
  <c r="Q22" i="49"/>
  <c r="Q23" i="49"/>
  <c r="P33" i="67" l="1"/>
  <c r="P55" i="67"/>
  <c r="P46" i="67"/>
  <c r="P132" i="67" s="1"/>
  <c r="P16" i="67"/>
  <c r="P104" i="67" s="1"/>
  <c r="P136" i="67" l="1"/>
  <c r="P111" i="67"/>
  <c r="P107" i="67"/>
  <c r="P108" i="67" s="1"/>
  <c r="P115" i="67"/>
  <c r="P128" i="67"/>
  <c r="P129" i="67" s="1"/>
  <c r="P112" i="67" l="1"/>
  <c r="P133" i="67"/>
  <c r="P116" i="67" l="1"/>
  <c r="P137" i="67"/>
  <c r="P140" i="67" s="1"/>
  <c r="Q116" i="73"/>
  <c r="P116" i="73"/>
  <c r="O116" i="73"/>
  <c r="N116" i="73"/>
  <c r="M116" i="73"/>
  <c r="L116" i="73"/>
  <c r="Q114" i="73"/>
  <c r="P114" i="73"/>
  <c r="O114" i="73"/>
  <c r="N114" i="73"/>
  <c r="M114" i="73"/>
  <c r="L114" i="73"/>
  <c r="Q113" i="73"/>
  <c r="P113" i="73"/>
  <c r="O113" i="73"/>
  <c r="N113" i="73"/>
  <c r="M113" i="73"/>
  <c r="L113" i="73"/>
  <c r="Q109" i="73"/>
  <c r="P109" i="73"/>
  <c r="O109" i="73"/>
  <c r="N109" i="73"/>
  <c r="M109" i="73"/>
  <c r="L109" i="73"/>
  <c r="L194" i="73" s="1"/>
  <c r="Q105" i="73"/>
  <c r="P105" i="73"/>
  <c r="O105" i="73"/>
  <c r="N105" i="73"/>
  <c r="M105" i="73"/>
  <c r="L105" i="73"/>
  <c r="Q104" i="73"/>
  <c r="P104" i="73"/>
  <c r="O104" i="73"/>
  <c r="N104" i="73"/>
  <c r="M104" i="73"/>
  <c r="L104" i="73"/>
  <c r="Q103" i="73"/>
  <c r="P103" i="73"/>
  <c r="O103" i="73"/>
  <c r="N103" i="73"/>
  <c r="M103" i="73"/>
  <c r="L103" i="73"/>
  <c r="Q102" i="73"/>
  <c r="P102" i="73"/>
  <c r="O102" i="73"/>
  <c r="N102" i="73"/>
  <c r="M102" i="73"/>
  <c r="L102" i="73"/>
  <c r="Q101" i="73"/>
  <c r="P101" i="73"/>
  <c r="O101" i="73"/>
  <c r="N101" i="73"/>
  <c r="M101" i="73"/>
  <c r="L101" i="73"/>
  <c r="Q98" i="73"/>
  <c r="P98" i="73"/>
  <c r="O98" i="73"/>
  <c r="N98" i="73"/>
  <c r="M98" i="73"/>
  <c r="L98" i="73"/>
  <c r="Q97" i="73"/>
  <c r="P97" i="73"/>
  <c r="O97" i="73"/>
  <c r="N97" i="73"/>
  <c r="M97" i="73"/>
  <c r="L97" i="73"/>
  <c r="Q96" i="73"/>
  <c r="P96" i="73"/>
  <c r="O96" i="73"/>
  <c r="N96" i="73"/>
  <c r="M96" i="73"/>
  <c r="L96" i="73"/>
  <c r="Q95" i="73"/>
  <c r="P95" i="73"/>
  <c r="O95" i="73"/>
  <c r="N95" i="73"/>
  <c r="M95" i="73"/>
  <c r="L95" i="73"/>
  <c r="Q94" i="73"/>
  <c r="P94" i="73"/>
  <c r="O94" i="73"/>
  <c r="N94" i="73"/>
  <c r="M94" i="73"/>
  <c r="L94" i="73"/>
  <c r="Q93" i="73"/>
  <c r="P93" i="73"/>
  <c r="O93" i="73"/>
  <c r="N93" i="73"/>
  <c r="M93" i="73"/>
  <c r="P119" i="67" l="1"/>
  <c r="P120" i="67" s="1"/>
  <c r="M186" i="73"/>
  <c r="P141" i="67"/>
  <c r="P189" i="67" s="1"/>
  <c r="L195" i="73"/>
  <c r="L190" i="73"/>
  <c r="P188" i="67" l="1"/>
  <c r="M56" i="63"/>
  <c r="N56" i="63"/>
  <c r="O56" i="63"/>
  <c r="P56" i="63"/>
  <c r="Q56" i="63"/>
  <c r="L56" i="63"/>
  <c r="H147" i="73" l="1"/>
  <c r="H146" i="73"/>
  <c r="H143" i="73"/>
  <c r="H142" i="73"/>
  <c r="H139" i="73"/>
  <c r="H138" i="73"/>
  <c r="Q210" i="73" l="1"/>
  <c r="P210" i="73"/>
  <c r="P211" i="73"/>
  <c r="L211" i="73"/>
  <c r="N208" i="73"/>
  <c r="M210" i="73"/>
  <c r="M211" i="73"/>
  <c r="Q211" i="73"/>
  <c r="L210" i="73"/>
  <c r="O208" i="73"/>
  <c r="N210" i="73"/>
  <c r="N211" i="73"/>
  <c r="L208" i="73"/>
  <c r="P208" i="73"/>
  <c r="O210" i="73"/>
  <c r="O211" i="73"/>
  <c r="M208" i="73"/>
  <c r="Q208" i="73"/>
  <c r="H133" i="73"/>
  <c r="H132" i="73"/>
  <c r="H131" i="73"/>
  <c r="H130" i="73"/>
  <c r="H129" i="73"/>
  <c r="H123" i="73"/>
  <c r="H124" i="73"/>
  <c r="H125" i="73"/>
  <c r="H126" i="73"/>
  <c r="H122" i="73"/>
  <c r="H121" i="73"/>
  <c r="M194" i="73"/>
  <c r="N194" i="73"/>
  <c r="O194" i="73"/>
  <c r="P194" i="73"/>
  <c r="Q194" i="73"/>
  <c r="O195" i="73"/>
  <c r="M195" i="73"/>
  <c r="P195" i="73"/>
  <c r="Q195" i="73"/>
  <c r="L93" i="73"/>
  <c r="J106" i="72"/>
  <c r="J104" i="72"/>
  <c r="J103" i="72"/>
  <c r="J99" i="72"/>
  <c r="J95" i="72"/>
  <c r="J94" i="72"/>
  <c r="J93" i="72"/>
  <c r="J92" i="72"/>
  <c r="J91" i="72"/>
  <c r="J88" i="72"/>
  <c r="J87" i="72"/>
  <c r="J86" i="72"/>
  <c r="J85" i="72"/>
  <c r="J84" i="72"/>
  <c r="J83" i="72"/>
  <c r="P215" i="73" l="1"/>
  <c r="P214" i="73"/>
  <c r="O214" i="73"/>
  <c r="O215" i="73"/>
  <c r="N215" i="73"/>
  <c r="L215" i="73"/>
  <c r="Q215" i="73"/>
  <c r="M215" i="73"/>
  <c r="Q214" i="73"/>
  <c r="L214" i="73"/>
  <c r="N214" i="73"/>
  <c r="M214" i="73"/>
  <c r="P170" i="73"/>
  <c r="N153" i="73"/>
  <c r="N170" i="73"/>
  <c r="L153" i="73"/>
  <c r="Q153" i="73"/>
  <c r="O170" i="73"/>
  <c r="P153" i="73"/>
  <c r="L170" i="73"/>
  <c r="M170" i="73"/>
  <c r="M153" i="73"/>
  <c r="O153" i="73"/>
  <c r="Q170" i="73"/>
  <c r="M174" i="73"/>
  <c r="L157" i="73"/>
  <c r="Q157" i="73"/>
  <c r="Q174" i="73"/>
  <c r="P157" i="73"/>
  <c r="M157" i="73"/>
  <c r="L174" i="73"/>
  <c r="N174" i="73"/>
  <c r="N157" i="73"/>
  <c r="O157" i="73"/>
  <c r="O174" i="73"/>
  <c r="P174" i="73"/>
  <c r="L191" i="73"/>
  <c r="L187" i="73"/>
  <c r="L186" i="73"/>
  <c r="L212" i="73" s="1"/>
  <c r="M190" i="73"/>
  <c r="M212" i="73" s="1"/>
  <c r="M216" i="73" s="1"/>
  <c r="M191" i="73"/>
  <c r="M187" i="73"/>
  <c r="N195" i="73"/>
  <c r="N191" i="73"/>
  <c r="N190" i="73"/>
  <c r="N186" i="73"/>
  <c r="N187" i="73"/>
  <c r="P191" i="73"/>
  <c r="P190" i="73"/>
  <c r="P187" i="73"/>
  <c r="P186" i="73"/>
  <c r="P212" i="73" s="1"/>
  <c r="O190" i="73"/>
  <c r="O191" i="73"/>
  <c r="O187" i="73"/>
  <c r="O186" i="73"/>
  <c r="Q190" i="73"/>
  <c r="Q191" i="73"/>
  <c r="Q186" i="73"/>
  <c r="Q187" i="73"/>
  <c r="H19" i="21"/>
  <c r="O212" i="73" l="1"/>
  <c r="Q212" i="73"/>
  <c r="N212" i="73"/>
  <c r="N216" i="73" s="1"/>
  <c r="N164" i="73"/>
  <c r="N203" i="73" s="1"/>
  <c r="N181" i="73"/>
  <c r="N204" i="73" s="1"/>
  <c r="L181" i="73"/>
  <c r="L204" i="73" s="1"/>
  <c r="L220" i="73" s="1"/>
  <c r="L164" i="73"/>
  <c r="L203" i="73" s="1"/>
  <c r="O216" i="73"/>
  <c r="P216" i="73"/>
  <c r="O164" i="73"/>
  <c r="O203" i="73" s="1"/>
  <c r="O219" i="73" s="1"/>
  <c r="P164" i="73"/>
  <c r="P203" i="73" s="1"/>
  <c r="P219" i="73" s="1"/>
  <c r="Q216" i="73"/>
  <c r="Q181" i="73"/>
  <c r="Q204" i="73" s="1"/>
  <c r="Q220" i="73" s="1"/>
  <c r="M164" i="73"/>
  <c r="M203" i="73" s="1"/>
  <c r="M219" i="73" s="1"/>
  <c r="O181" i="73"/>
  <c r="O204" i="73" s="1"/>
  <c r="O220" i="73" s="1"/>
  <c r="M181" i="73"/>
  <c r="M204" i="73" s="1"/>
  <c r="M220" i="73" s="1"/>
  <c r="Q164" i="73"/>
  <c r="Q203" i="73" s="1"/>
  <c r="Q219" i="73" s="1"/>
  <c r="P181" i="73"/>
  <c r="P204" i="73" s="1"/>
  <c r="P220" i="73" s="1"/>
  <c r="L198" i="73"/>
  <c r="L205" i="73" s="1"/>
  <c r="M198" i="73"/>
  <c r="N198" i="73"/>
  <c r="P198" i="73"/>
  <c r="O198" i="73"/>
  <c r="Q198" i="73"/>
  <c r="H31" i="56"/>
  <c r="N46" i="79" l="1"/>
  <c r="N220" i="73"/>
  <c r="L219" i="73"/>
  <c r="L50" i="79" s="1"/>
  <c r="N45" i="79"/>
  <c r="N219" i="73"/>
  <c r="N50" i="79" s="1"/>
  <c r="N51" i="79"/>
  <c r="N98" i="79" s="1"/>
  <c r="P57" i="63"/>
  <c r="P110" i="63" s="1"/>
  <c r="P205" i="73"/>
  <c r="P221" i="73" s="1"/>
  <c r="Q50" i="79"/>
  <c r="Q45" i="79"/>
  <c r="Q51" i="79"/>
  <c r="Q46" i="79"/>
  <c r="O50" i="79"/>
  <c r="O45" i="79"/>
  <c r="L51" i="79"/>
  <c r="L46" i="79"/>
  <c r="P51" i="79"/>
  <c r="P46" i="79"/>
  <c r="N57" i="63"/>
  <c r="N110" i="63" s="1"/>
  <c r="N205" i="73"/>
  <c r="N221" i="73" s="1"/>
  <c r="Q57" i="63"/>
  <c r="Q110" i="63" s="1"/>
  <c r="Q205" i="73"/>
  <c r="Q221" i="73" s="1"/>
  <c r="M57" i="63"/>
  <c r="M110" i="63" s="1"/>
  <c r="M205" i="73"/>
  <c r="M221" i="73" s="1"/>
  <c r="M51" i="79"/>
  <c r="M46" i="79"/>
  <c r="M50" i="79"/>
  <c r="M45" i="79"/>
  <c r="O57" i="63"/>
  <c r="O110" i="63" s="1"/>
  <c r="O205" i="73"/>
  <c r="O221" i="73" s="1"/>
  <c r="L47" i="79"/>
  <c r="O51" i="79"/>
  <c r="O46" i="79"/>
  <c r="P50" i="79"/>
  <c r="P45" i="79"/>
  <c r="L216" i="73"/>
  <c r="L45" i="79"/>
  <c r="L57" i="63"/>
  <c r="L110" i="63" s="1"/>
  <c r="Q107" i="61"/>
  <c r="P107" i="61"/>
  <c r="O107" i="61"/>
  <c r="N107" i="61"/>
  <c r="I107" i="61"/>
  <c r="H107" i="61"/>
  <c r="G107" i="61"/>
  <c r="Q106" i="61"/>
  <c r="P106" i="61"/>
  <c r="O106" i="61"/>
  <c r="N106" i="61"/>
  <c r="I106" i="61"/>
  <c r="H106" i="61"/>
  <c r="G106" i="61"/>
  <c r="P105" i="61"/>
  <c r="O105" i="61"/>
  <c r="N105" i="61"/>
  <c r="Q105" i="61" s="1"/>
  <c r="I105" i="61"/>
  <c r="H105" i="61"/>
  <c r="G105" i="61"/>
  <c r="P104" i="61"/>
  <c r="O104" i="61"/>
  <c r="N104" i="61"/>
  <c r="Q104" i="61" s="1"/>
  <c r="I104" i="61"/>
  <c r="H104" i="61"/>
  <c r="G104" i="61"/>
  <c r="P103" i="61"/>
  <c r="O103" i="61"/>
  <c r="N103" i="61"/>
  <c r="Q103" i="61" s="1"/>
  <c r="I103" i="61"/>
  <c r="H103" i="61"/>
  <c r="G103" i="61"/>
  <c r="P102" i="61"/>
  <c r="O102" i="61"/>
  <c r="N102" i="61"/>
  <c r="Q102" i="61" s="1"/>
  <c r="I102" i="61"/>
  <c r="H102" i="61"/>
  <c r="G102" i="61"/>
  <c r="Q101" i="61"/>
  <c r="N101" i="61"/>
  <c r="O101" i="61"/>
  <c r="P101" i="61"/>
  <c r="G101" i="61"/>
  <c r="H101" i="61"/>
  <c r="I101" i="61"/>
  <c r="G75" i="61"/>
  <c r="H75" i="61"/>
  <c r="I75" i="61"/>
  <c r="G76" i="61"/>
  <c r="H76" i="61"/>
  <c r="I76" i="61"/>
  <c r="G77" i="61"/>
  <c r="H77" i="61"/>
  <c r="I77" i="61"/>
  <c r="G78" i="61"/>
  <c r="H78" i="61"/>
  <c r="I78" i="61"/>
  <c r="G79" i="61"/>
  <c r="H79" i="61"/>
  <c r="I79" i="61"/>
  <c r="G80" i="61"/>
  <c r="H80" i="61"/>
  <c r="I80" i="61"/>
  <c r="G81" i="61"/>
  <c r="H81" i="61"/>
  <c r="I81" i="61"/>
  <c r="G82" i="61"/>
  <c r="H82" i="61"/>
  <c r="I82" i="61"/>
  <c r="G83" i="61"/>
  <c r="H83" i="61"/>
  <c r="I83" i="61"/>
  <c r="G84" i="61"/>
  <c r="H84" i="61"/>
  <c r="I84" i="61"/>
  <c r="G85" i="61"/>
  <c r="H85" i="61"/>
  <c r="I85" i="61"/>
  <c r="G86" i="61"/>
  <c r="H86" i="61"/>
  <c r="I86" i="61"/>
  <c r="G87" i="61"/>
  <c r="H87" i="61"/>
  <c r="I87" i="61"/>
  <c r="Q58" i="61"/>
  <c r="Q59" i="61"/>
  <c r="Q63" i="61"/>
  <c r="Q66" i="61"/>
  <c r="Q67" i="61"/>
  <c r="Q70" i="61"/>
  <c r="Q71" i="61"/>
  <c r="Q74" i="61"/>
  <c r="Q80" i="61"/>
  <c r="Q83" i="61"/>
  <c r="Q84" i="61"/>
  <c r="Q87" i="61"/>
  <c r="N41" i="61"/>
  <c r="Q41" i="61" s="1"/>
  <c r="O41" i="61"/>
  <c r="N42" i="61"/>
  <c r="Q42" i="61" s="1"/>
  <c r="O42" i="61"/>
  <c r="N43" i="61"/>
  <c r="Q43" i="61" s="1"/>
  <c r="O43" i="61"/>
  <c r="N44" i="61"/>
  <c r="Q44" i="61" s="1"/>
  <c r="O44" i="61"/>
  <c r="N45" i="61"/>
  <c r="Q45" i="61" s="1"/>
  <c r="O45" i="61"/>
  <c r="N46" i="61"/>
  <c r="Q46" i="61" s="1"/>
  <c r="O46" i="61"/>
  <c r="N47" i="61"/>
  <c r="Q47" i="61" s="1"/>
  <c r="O47" i="61"/>
  <c r="N48" i="61"/>
  <c r="Q48" i="61" s="1"/>
  <c r="O48" i="61"/>
  <c r="N49" i="61"/>
  <c r="Q49" i="61" s="1"/>
  <c r="O49" i="61"/>
  <c r="N50" i="61"/>
  <c r="Q50" i="61" s="1"/>
  <c r="O50" i="61"/>
  <c r="N51" i="61"/>
  <c r="Q51" i="61" s="1"/>
  <c r="O51" i="61"/>
  <c r="N52" i="61"/>
  <c r="Q52" i="61" s="1"/>
  <c r="O52" i="61"/>
  <c r="N53" i="61"/>
  <c r="Q53" i="61" s="1"/>
  <c r="O53" i="61"/>
  <c r="N54" i="61"/>
  <c r="Q54" i="61" s="1"/>
  <c r="O54" i="61"/>
  <c r="N55" i="61"/>
  <c r="Q55" i="61" s="1"/>
  <c r="O55" i="61"/>
  <c r="N56" i="61"/>
  <c r="Q56" i="61" s="1"/>
  <c r="O56" i="61"/>
  <c r="P56" i="61"/>
  <c r="N57" i="61"/>
  <c r="Q57" i="61" s="1"/>
  <c r="O57" i="61"/>
  <c r="P57" i="61"/>
  <c r="N58" i="61"/>
  <c r="O58" i="61"/>
  <c r="P58" i="61"/>
  <c r="N59" i="61"/>
  <c r="O59" i="61"/>
  <c r="P59" i="61"/>
  <c r="N60" i="61"/>
  <c r="Q60" i="61" s="1"/>
  <c r="O60" i="61"/>
  <c r="P60" i="61"/>
  <c r="N61" i="61"/>
  <c r="Q61" i="61" s="1"/>
  <c r="O61" i="61"/>
  <c r="P61" i="61"/>
  <c r="N62" i="61"/>
  <c r="Q62" i="61" s="1"/>
  <c r="O62" i="61"/>
  <c r="P62" i="61"/>
  <c r="N63" i="61"/>
  <c r="O63" i="61"/>
  <c r="P63" i="61"/>
  <c r="N64" i="61"/>
  <c r="Q64" i="61" s="1"/>
  <c r="O64" i="61"/>
  <c r="P64" i="61"/>
  <c r="N65" i="61"/>
  <c r="Q65" i="61" s="1"/>
  <c r="O65" i="61"/>
  <c r="P65" i="61"/>
  <c r="N66" i="61"/>
  <c r="O66" i="61"/>
  <c r="P66" i="61"/>
  <c r="N67" i="61"/>
  <c r="O67" i="61"/>
  <c r="P67" i="61"/>
  <c r="N68" i="61"/>
  <c r="Q68" i="61" s="1"/>
  <c r="O68" i="61"/>
  <c r="P68" i="61"/>
  <c r="N69" i="61"/>
  <c r="Q69" i="61" s="1"/>
  <c r="O69" i="61"/>
  <c r="P69" i="61"/>
  <c r="N70" i="61"/>
  <c r="O70" i="61"/>
  <c r="P70" i="61"/>
  <c r="N71" i="61"/>
  <c r="O71" i="61"/>
  <c r="P71" i="61"/>
  <c r="N72" i="61"/>
  <c r="Q72" i="61" s="1"/>
  <c r="O72" i="61"/>
  <c r="P72" i="61"/>
  <c r="N73" i="61"/>
  <c r="Q73" i="61" s="1"/>
  <c r="O73" i="61"/>
  <c r="P73" i="61"/>
  <c r="N74" i="61"/>
  <c r="O74" i="61"/>
  <c r="P74" i="61"/>
  <c r="N75" i="61"/>
  <c r="Q75" i="61" s="1"/>
  <c r="O75" i="61"/>
  <c r="P75" i="61"/>
  <c r="N76" i="61"/>
  <c r="Q76" i="61" s="1"/>
  <c r="O76" i="61"/>
  <c r="P76" i="61"/>
  <c r="N77" i="61"/>
  <c r="Q77" i="61" s="1"/>
  <c r="O77" i="61"/>
  <c r="P77" i="61"/>
  <c r="N78" i="61"/>
  <c r="Q78" i="61" s="1"/>
  <c r="O78" i="61"/>
  <c r="P78" i="61"/>
  <c r="N79" i="61"/>
  <c r="Q79" i="61" s="1"/>
  <c r="O79" i="61"/>
  <c r="P79" i="61"/>
  <c r="N80" i="61"/>
  <c r="O80" i="61"/>
  <c r="P80" i="61"/>
  <c r="N81" i="61"/>
  <c r="Q81" i="61" s="1"/>
  <c r="O81" i="61"/>
  <c r="P81" i="61"/>
  <c r="N82" i="61"/>
  <c r="Q82" i="61" s="1"/>
  <c r="O82" i="61"/>
  <c r="P82" i="61"/>
  <c r="N83" i="61"/>
  <c r="O83" i="61"/>
  <c r="P83" i="61"/>
  <c r="N84" i="61"/>
  <c r="O84" i="61"/>
  <c r="P84" i="61"/>
  <c r="N85" i="61"/>
  <c r="Q85" i="61" s="1"/>
  <c r="O85" i="61"/>
  <c r="P85" i="61"/>
  <c r="N86" i="61"/>
  <c r="Q86" i="61" s="1"/>
  <c r="O86" i="61"/>
  <c r="P86" i="61"/>
  <c r="N87" i="61"/>
  <c r="O87" i="61"/>
  <c r="P87" i="61"/>
  <c r="N88" i="61"/>
  <c r="Q88" i="61" s="1"/>
  <c r="O88" i="61"/>
  <c r="P88" i="61"/>
  <c r="G41" i="61"/>
  <c r="H41" i="61"/>
  <c r="I41" i="61"/>
  <c r="G42" i="61"/>
  <c r="H42" i="61"/>
  <c r="I42" i="61"/>
  <c r="G43" i="61"/>
  <c r="H43" i="61"/>
  <c r="I43" i="61"/>
  <c r="G44" i="61"/>
  <c r="H44" i="61"/>
  <c r="I44" i="61"/>
  <c r="G45" i="61"/>
  <c r="H45" i="61"/>
  <c r="I45" i="61"/>
  <c r="G46" i="61"/>
  <c r="H46" i="61"/>
  <c r="I46" i="61"/>
  <c r="G47" i="61"/>
  <c r="H47" i="61"/>
  <c r="I47" i="61"/>
  <c r="G48" i="61"/>
  <c r="H48" i="61"/>
  <c r="I48" i="61"/>
  <c r="G49" i="61"/>
  <c r="H49" i="61"/>
  <c r="I49" i="61"/>
  <c r="G50" i="61"/>
  <c r="H50" i="61"/>
  <c r="I50" i="61"/>
  <c r="G51" i="61"/>
  <c r="H51" i="61"/>
  <c r="I51" i="61"/>
  <c r="G52" i="61"/>
  <c r="H52" i="61"/>
  <c r="I52" i="61"/>
  <c r="G53" i="61"/>
  <c r="H53" i="61"/>
  <c r="I53" i="61"/>
  <c r="G54" i="61"/>
  <c r="H54" i="61"/>
  <c r="I54" i="61"/>
  <c r="G55" i="61"/>
  <c r="H55" i="61"/>
  <c r="I55" i="61"/>
  <c r="G56" i="61"/>
  <c r="H56" i="61"/>
  <c r="I56" i="61"/>
  <c r="G57" i="61"/>
  <c r="H57" i="61"/>
  <c r="I57" i="61"/>
  <c r="G58" i="61"/>
  <c r="H58" i="61"/>
  <c r="I58" i="61"/>
  <c r="G59" i="61"/>
  <c r="H59" i="61"/>
  <c r="I59" i="61"/>
  <c r="G60" i="61"/>
  <c r="H60" i="61"/>
  <c r="I60" i="61"/>
  <c r="G61" i="61"/>
  <c r="H61" i="61"/>
  <c r="I61" i="61"/>
  <c r="G62" i="61"/>
  <c r="H62" i="61"/>
  <c r="I62" i="61"/>
  <c r="G63" i="61"/>
  <c r="H63" i="61"/>
  <c r="I63" i="61"/>
  <c r="G64" i="61"/>
  <c r="H64" i="61"/>
  <c r="I64" i="61"/>
  <c r="G65" i="61"/>
  <c r="H65" i="61"/>
  <c r="I65" i="61"/>
  <c r="G66" i="61"/>
  <c r="H66" i="61"/>
  <c r="I66" i="61"/>
  <c r="G67" i="61"/>
  <c r="H67" i="61"/>
  <c r="I67" i="61"/>
  <c r="G68" i="61"/>
  <c r="H68" i="61"/>
  <c r="I68" i="61"/>
  <c r="G69" i="61"/>
  <c r="H69" i="61"/>
  <c r="I69" i="61"/>
  <c r="G70" i="61"/>
  <c r="H70" i="61"/>
  <c r="I70" i="61"/>
  <c r="G71" i="61"/>
  <c r="H71" i="61"/>
  <c r="I71" i="61"/>
  <c r="G72" i="61"/>
  <c r="H72" i="61"/>
  <c r="I72" i="61"/>
  <c r="G73" i="61"/>
  <c r="H73" i="61"/>
  <c r="I73" i="61"/>
  <c r="G74" i="61"/>
  <c r="H74" i="61"/>
  <c r="I74" i="61"/>
  <c r="L221" i="73" l="1"/>
  <c r="L52" i="79" s="1"/>
  <c r="L99" i="79" s="1"/>
  <c r="N97" i="79"/>
  <c r="L97" i="79"/>
  <c r="L98" i="79"/>
  <c r="P97" i="79"/>
  <c r="O98" i="79"/>
  <c r="M98" i="79"/>
  <c r="Q98" i="79"/>
  <c r="M97" i="79"/>
  <c r="P98" i="79"/>
  <c r="O97" i="79"/>
  <c r="Q97" i="79"/>
  <c r="M52" i="79"/>
  <c r="M47" i="79"/>
  <c r="N52" i="79"/>
  <c r="N47" i="79"/>
  <c r="O52" i="79"/>
  <c r="O47" i="79"/>
  <c r="P52" i="79"/>
  <c r="P47" i="79"/>
  <c r="Q52" i="79"/>
  <c r="Q47" i="79"/>
  <c r="R84" i="61"/>
  <c r="R104" i="61"/>
  <c r="R80" i="61"/>
  <c r="R106" i="61"/>
  <c r="R102" i="61"/>
  <c r="R101" i="61"/>
  <c r="R107" i="61"/>
  <c r="R103" i="61"/>
  <c r="R105" i="61"/>
  <c r="R75" i="61"/>
  <c r="R88" i="61"/>
  <c r="R57" i="61"/>
  <c r="R72" i="61"/>
  <c r="R68" i="61"/>
  <c r="R64" i="61"/>
  <c r="R60" i="61"/>
  <c r="R56" i="61"/>
  <c r="R69" i="61"/>
  <c r="R71" i="61"/>
  <c r="R67" i="61"/>
  <c r="R59" i="61"/>
  <c r="R65" i="61"/>
  <c r="R74" i="61"/>
  <c r="R66" i="61"/>
  <c r="R62" i="61"/>
  <c r="R86" i="61"/>
  <c r="R82" i="61"/>
  <c r="R78" i="61"/>
  <c r="R83" i="61"/>
  <c r="R76" i="61"/>
  <c r="R85" i="61"/>
  <c r="R77" i="61"/>
  <c r="R87" i="61"/>
  <c r="R79" i="61"/>
  <c r="R81" i="61"/>
  <c r="R70" i="61"/>
  <c r="R58" i="61"/>
  <c r="R73" i="61"/>
  <c r="R63" i="61"/>
  <c r="R61" i="61"/>
  <c r="J98" i="79" l="1"/>
  <c r="J97" i="79"/>
  <c r="Q99" i="79"/>
  <c r="O99" i="79"/>
  <c r="M99" i="79"/>
  <c r="P99" i="79"/>
  <c r="N99" i="79"/>
  <c r="N40" i="61"/>
  <c r="Q40" i="61" s="1"/>
  <c r="O40" i="61"/>
  <c r="P40" i="61"/>
  <c r="G40" i="61"/>
  <c r="H40" i="61"/>
  <c r="I40" i="61"/>
  <c r="Q90" i="61"/>
  <c r="N25" i="61"/>
  <c r="Q25" i="61" s="1"/>
  <c r="O25" i="61"/>
  <c r="N26" i="61"/>
  <c r="Q26" i="61" s="1"/>
  <c r="O26" i="61"/>
  <c r="P26" i="61"/>
  <c r="N27" i="61"/>
  <c r="Q27" i="61" s="1"/>
  <c r="O27" i="61"/>
  <c r="P27" i="61"/>
  <c r="N28" i="61"/>
  <c r="Q28" i="61" s="1"/>
  <c r="O28" i="61"/>
  <c r="P28" i="61"/>
  <c r="N29" i="61"/>
  <c r="Q29" i="61" s="1"/>
  <c r="O29" i="61"/>
  <c r="P29" i="61"/>
  <c r="N30" i="61"/>
  <c r="Q30" i="61" s="1"/>
  <c r="O30" i="61"/>
  <c r="P30" i="61"/>
  <c r="N31" i="61"/>
  <c r="Q31" i="61" s="1"/>
  <c r="O31" i="61"/>
  <c r="P31" i="61"/>
  <c r="N32" i="61"/>
  <c r="Q32" i="61" s="1"/>
  <c r="O32" i="61"/>
  <c r="P32" i="61"/>
  <c r="N33" i="61"/>
  <c r="Q33" i="61" s="1"/>
  <c r="O33" i="61"/>
  <c r="P33" i="61"/>
  <c r="N34" i="61"/>
  <c r="Q34" i="61" s="1"/>
  <c r="O34" i="61"/>
  <c r="P34" i="61"/>
  <c r="N35" i="61"/>
  <c r="Q35" i="61" s="1"/>
  <c r="O35" i="61"/>
  <c r="P35" i="61"/>
  <c r="N36" i="61"/>
  <c r="Q36" i="61" s="1"/>
  <c r="O36" i="61"/>
  <c r="P36" i="61"/>
  <c r="N37" i="61"/>
  <c r="Q37" i="61" s="1"/>
  <c r="O37" i="61"/>
  <c r="P37" i="61"/>
  <c r="N38" i="61"/>
  <c r="Q38" i="61" s="1"/>
  <c r="O38" i="61"/>
  <c r="P38" i="61"/>
  <c r="N39" i="61"/>
  <c r="Q39" i="61" s="1"/>
  <c r="O39" i="61"/>
  <c r="P39" i="61"/>
  <c r="N89" i="61"/>
  <c r="Q89" i="61" s="1"/>
  <c r="O89" i="61"/>
  <c r="P89" i="61"/>
  <c r="N90" i="61"/>
  <c r="O90" i="61"/>
  <c r="P90" i="61"/>
  <c r="N91" i="61"/>
  <c r="Q91" i="61" s="1"/>
  <c r="O91" i="61"/>
  <c r="P91" i="61"/>
  <c r="N92" i="61"/>
  <c r="Q92" i="61" s="1"/>
  <c r="O92" i="61"/>
  <c r="P92" i="61"/>
  <c r="N93" i="61"/>
  <c r="Q93" i="61" s="1"/>
  <c r="O93" i="61"/>
  <c r="P93" i="61"/>
  <c r="N94" i="61"/>
  <c r="Q94" i="61" s="1"/>
  <c r="O94" i="61"/>
  <c r="P94" i="61"/>
  <c r="G26" i="61"/>
  <c r="H26" i="61"/>
  <c r="I26" i="61"/>
  <c r="G27" i="61"/>
  <c r="H27" i="61"/>
  <c r="I27" i="61"/>
  <c r="J99" i="79" l="1"/>
  <c r="R36" i="61"/>
  <c r="R32" i="61"/>
  <c r="R38" i="61"/>
  <c r="R40" i="61"/>
  <c r="R94" i="61"/>
  <c r="R26" i="61"/>
  <c r="R37" i="61"/>
  <c r="R90" i="61"/>
  <c r="R34" i="61"/>
  <c r="R92" i="61"/>
  <c r="R28" i="61"/>
  <c r="R30" i="61"/>
  <c r="R91" i="61"/>
  <c r="R35" i="61"/>
  <c r="R27" i="61"/>
  <c r="R93" i="61"/>
  <c r="R29" i="61"/>
  <c r="R39" i="61"/>
  <c r="R31" i="61"/>
  <c r="R89" i="61"/>
  <c r="R33" i="61"/>
  <c r="H33" i="40" l="1"/>
  <c r="L55" i="40" s="1"/>
  <c r="H34" i="40"/>
  <c r="H69" i="63" l="1"/>
  <c r="L54" i="63"/>
  <c r="J110" i="63" l="1"/>
  <c r="N54" i="27" l="1"/>
  <c r="N55" i="27"/>
  <c r="N56" i="27"/>
  <c r="N57" i="27"/>
  <c r="AD24" i="27"/>
  <c r="O69" i="27" l="1"/>
  <c r="O74" i="27" s="1"/>
  <c r="AD47" i="27"/>
  <c r="AE47" i="27" s="1"/>
  <c r="H62" i="63" l="1"/>
  <c r="H65" i="63" l="1"/>
  <c r="H66" i="63"/>
  <c r="H67" i="63"/>
  <c r="L29" i="63" l="1"/>
  <c r="M29" i="63"/>
  <c r="N29" i="63"/>
  <c r="O29" i="63"/>
  <c r="P29" i="63"/>
  <c r="Q29" i="63"/>
  <c r="L30" i="63"/>
  <c r="M30" i="63"/>
  <c r="N30" i="63"/>
  <c r="O30" i="63"/>
  <c r="P30" i="63"/>
  <c r="Q30" i="63"/>
  <c r="L33" i="63"/>
  <c r="M33" i="63"/>
  <c r="N33" i="63"/>
  <c r="O33" i="63"/>
  <c r="P33" i="63"/>
  <c r="Q33" i="63"/>
  <c r="L34" i="63"/>
  <c r="M34" i="63"/>
  <c r="N34" i="63"/>
  <c r="O34" i="63"/>
  <c r="P34" i="63"/>
  <c r="Q34" i="63"/>
  <c r="L35" i="63"/>
  <c r="M35" i="63"/>
  <c r="N35" i="63"/>
  <c r="O35" i="63"/>
  <c r="P35" i="63"/>
  <c r="Q35" i="63"/>
  <c r="L38" i="63"/>
  <c r="M38" i="63"/>
  <c r="N38" i="63"/>
  <c r="O38" i="63"/>
  <c r="P38" i="63"/>
  <c r="Q38" i="63"/>
  <c r="L39" i="63"/>
  <c r="M39" i="63"/>
  <c r="N39" i="63"/>
  <c r="O39" i="63"/>
  <c r="P39" i="63"/>
  <c r="Q39" i="63"/>
  <c r="L40" i="63"/>
  <c r="M40" i="63"/>
  <c r="N40" i="63"/>
  <c r="O40" i="63"/>
  <c r="P40" i="63"/>
  <c r="Q40" i="63"/>
  <c r="M28" i="63"/>
  <c r="N28" i="63"/>
  <c r="O28" i="63"/>
  <c r="P28" i="63"/>
  <c r="P79" i="63" s="1"/>
  <c r="Q28" i="63"/>
  <c r="L28" i="63"/>
  <c r="L79" i="63" s="1"/>
  <c r="M81" i="63" l="1"/>
  <c r="N79" i="63"/>
  <c r="O79" i="63"/>
  <c r="M80" i="63"/>
  <c r="Q79" i="63"/>
  <c r="M79" i="63"/>
  <c r="N81" i="63"/>
  <c r="P80" i="63"/>
  <c r="L80" i="63"/>
  <c r="O81" i="63"/>
  <c r="Q80" i="63"/>
  <c r="Q81" i="63"/>
  <c r="O80" i="63"/>
  <c r="P81" i="63"/>
  <c r="L81" i="63"/>
  <c r="N80" i="63"/>
  <c r="L43" i="63"/>
  <c r="M43" i="63"/>
  <c r="N43" i="63"/>
  <c r="O43" i="63"/>
  <c r="P43" i="63"/>
  <c r="Q43" i="63"/>
  <c r="J81" i="63" l="1"/>
  <c r="J79" i="63"/>
  <c r="J80" i="63"/>
  <c r="H83" i="63" l="1"/>
  <c r="H84" i="63" s="1"/>
  <c r="H60" i="27"/>
  <c r="M54" i="63"/>
  <c r="N54" i="63"/>
  <c r="O54" i="63"/>
  <c r="P54" i="63"/>
  <c r="Q54" i="63"/>
  <c r="H72" i="63"/>
  <c r="H68" i="63"/>
  <c r="P65" i="27" l="1"/>
  <c r="P66" i="27"/>
  <c r="J54" i="63"/>
  <c r="H85" i="63" s="1"/>
  <c r="L87" i="63" s="1"/>
  <c r="L89" i="63" s="1"/>
  <c r="P69" i="27" l="1"/>
  <c r="P74" i="27" s="1"/>
  <c r="P75" i="27"/>
  <c r="P87" i="63"/>
  <c r="P89" i="63" s="1"/>
  <c r="M87" i="63"/>
  <c r="M89" i="63" s="1"/>
  <c r="Q87" i="63"/>
  <c r="Q89" i="63" s="1"/>
  <c r="O87" i="63"/>
  <c r="O89" i="63" s="1"/>
  <c r="N87" i="63"/>
  <c r="N89" i="63" s="1"/>
  <c r="J16" i="46"/>
  <c r="H59" i="79" l="1"/>
  <c r="H33" i="56"/>
  <c r="H15" i="24"/>
  <c r="H34" i="58"/>
  <c r="L49" i="58" s="1"/>
  <c r="H29" i="74"/>
  <c r="H99" i="67"/>
  <c r="H74" i="63"/>
  <c r="H28" i="49"/>
  <c r="H63" i="57"/>
  <c r="H37" i="40"/>
  <c r="J89" i="63"/>
  <c r="J87" i="63"/>
  <c r="P192" i="67" l="1"/>
  <c r="P191" i="67"/>
  <c r="O33" i="74"/>
  <c r="L33" i="74"/>
  <c r="M33" i="74"/>
  <c r="N33" i="74"/>
  <c r="Q33" i="74"/>
  <c r="P33" i="74"/>
  <c r="L104" i="79"/>
  <c r="M104" i="79"/>
  <c r="Q104" i="79"/>
  <c r="P104" i="79"/>
  <c r="N104" i="79"/>
  <c r="O104" i="79"/>
  <c r="P95" i="61"/>
  <c r="P96" i="61"/>
  <c r="P97" i="61"/>
  <c r="P98" i="61"/>
  <c r="P99" i="61"/>
  <c r="P100" i="61"/>
  <c r="J34" i="74" l="1"/>
  <c r="M36" i="74"/>
  <c r="Q36" i="74"/>
  <c r="Q45" i="21" s="1"/>
  <c r="Q66" i="31" s="1"/>
  <c r="J33" i="74"/>
  <c r="L36" i="74"/>
  <c r="O36" i="74"/>
  <c r="O45" i="21" s="1"/>
  <c r="O66" i="31" s="1"/>
  <c r="J104" i="79"/>
  <c r="P36" i="74"/>
  <c r="P45" i="21" s="1"/>
  <c r="P66" i="31" s="1"/>
  <c r="N36" i="74"/>
  <c r="N45" i="21" s="1"/>
  <c r="N66" i="31" s="1"/>
  <c r="G94" i="61"/>
  <c r="H94" i="61"/>
  <c r="I94" i="61"/>
  <c r="G95" i="61"/>
  <c r="H95" i="61"/>
  <c r="I95" i="61"/>
  <c r="N95" i="61"/>
  <c r="Q95" i="61" s="1"/>
  <c r="R95" i="61" s="1"/>
  <c r="O95" i="61"/>
  <c r="G96" i="61"/>
  <c r="H96" i="61"/>
  <c r="I96" i="61"/>
  <c r="N96" i="61"/>
  <c r="Q96" i="61" s="1"/>
  <c r="R96" i="61" s="1"/>
  <c r="O96" i="61"/>
  <c r="G97" i="61"/>
  <c r="H97" i="61"/>
  <c r="I97" i="61"/>
  <c r="N97" i="61"/>
  <c r="Q97" i="61" s="1"/>
  <c r="R97" i="61" s="1"/>
  <c r="O97" i="61"/>
  <c r="G98" i="61"/>
  <c r="H98" i="61"/>
  <c r="I98" i="61"/>
  <c r="N98" i="61"/>
  <c r="Q98" i="61" s="1"/>
  <c r="R98" i="61" s="1"/>
  <c r="O98" i="61"/>
  <c r="G99" i="61"/>
  <c r="H99" i="61"/>
  <c r="I99" i="61"/>
  <c r="N99" i="61"/>
  <c r="Q99" i="61" s="1"/>
  <c r="R99" i="61" s="1"/>
  <c r="O99" i="61"/>
  <c r="G100" i="61"/>
  <c r="H100" i="61"/>
  <c r="I100" i="61"/>
  <c r="N100" i="61"/>
  <c r="Q100" i="61" s="1"/>
  <c r="R100" i="61" s="1"/>
  <c r="O100" i="61"/>
  <c r="M45" i="21" l="1"/>
  <c r="M66" i="31" s="1"/>
  <c r="L45" i="21"/>
  <c r="J36" i="74"/>
  <c r="H19" i="61"/>
  <c r="J19" i="27"/>
  <c r="J24" i="27" s="1"/>
  <c r="J27" i="27" s="1"/>
  <c r="K19" i="27"/>
  <c r="L19" i="27"/>
  <c r="L24" i="27" s="1"/>
  <c r="L29" i="27" s="1"/>
  <c r="M19" i="27"/>
  <c r="M24" i="27" s="1"/>
  <c r="M30" i="27" s="1"/>
  <c r="N19" i="27"/>
  <c r="N24" i="27" s="1"/>
  <c r="N31" i="27" s="1"/>
  <c r="O19" i="27"/>
  <c r="O24" i="27" s="1"/>
  <c r="O32" i="27" s="1"/>
  <c r="H18" i="61" s="1"/>
  <c r="P19" i="27"/>
  <c r="P24" i="27" s="1"/>
  <c r="P33" i="27" s="1"/>
  <c r="Q19" i="27"/>
  <c r="Q24" i="27" s="1"/>
  <c r="Q34" i="27" s="1"/>
  <c r="R19" i="27"/>
  <c r="R24" i="27" s="1"/>
  <c r="R35" i="27" s="1"/>
  <c r="S19" i="27"/>
  <c r="S24" i="27" s="1"/>
  <c r="S36" i="27" s="1"/>
  <c r="T19" i="27"/>
  <c r="T24" i="27" s="1"/>
  <c r="T37" i="27" s="1"/>
  <c r="U19" i="27"/>
  <c r="U24" i="27" s="1"/>
  <c r="U38" i="27" s="1"/>
  <c r="V19" i="27"/>
  <c r="V24" i="27" s="1"/>
  <c r="V39" i="27" s="1"/>
  <c r="W19" i="27"/>
  <c r="X19" i="27"/>
  <c r="X24" i="27" s="1"/>
  <c r="X41" i="27" s="1"/>
  <c r="Y19" i="27"/>
  <c r="Y24" i="27" s="1"/>
  <c r="Y42" i="27" s="1"/>
  <c r="Z19" i="27"/>
  <c r="Z24" i="27" s="1"/>
  <c r="Z43" i="27" s="1"/>
  <c r="AA19" i="27"/>
  <c r="AA24" i="27" s="1"/>
  <c r="AA44" i="27" s="1"/>
  <c r="AB19" i="27"/>
  <c r="AB24" i="27" s="1"/>
  <c r="AB45" i="27" s="1"/>
  <c r="AC19" i="27"/>
  <c r="AC24" i="27" s="1"/>
  <c r="AC46" i="27" s="1"/>
  <c r="AD46" i="27" s="1"/>
  <c r="AE46" i="27" s="1"/>
  <c r="I19" i="27"/>
  <c r="I24" i="27" s="1"/>
  <c r="W24" i="27"/>
  <c r="W40" i="27" s="1"/>
  <c r="K24" i="27"/>
  <c r="K28" i="27" s="1"/>
  <c r="H93" i="61"/>
  <c r="H89" i="61"/>
  <c r="H90" i="61"/>
  <c r="H91" i="61"/>
  <c r="H92" i="61"/>
  <c r="I89" i="61"/>
  <c r="I90" i="61"/>
  <c r="I91" i="61"/>
  <c r="I92" i="61"/>
  <c r="I93" i="61"/>
  <c r="I28" i="61"/>
  <c r="I29" i="61"/>
  <c r="I30" i="61"/>
  <c r="I31" i="61"/>
  <c r="I32" i="61"/>
  <c r="I33" i="61"/>
  <c r="I34" i="61"/>
  <c r="I35" i="61"/>
  <c r="I36" i="61"/>
  <c r="I37" i="61"/>
  <c r="I38" i="61"/>
  <c r="I39" i="61"/>
  <c r="I88" i="61"/>
  <c r="H28" i="61"/>
  <c r="H29" i="61"/>
  <c r="H30" i="61"/>
  <c r="H31" i="61"/>
  <c r="H32" i="61"/>
  <c r="H33" i="61"/>
  <c r="H34" i="61"/>
  <c r="H35" i="61"/>
  <c r="H36" i="61"/>
  <c r="H37" i="61"/>
  <c r="H38" i="61"/>
  <c r="H39" i="61"/>
  <c r="H88" i="61"/>
  <c r="H25" i="61"/>
  <c r="I25" i="61"/>
  <c r="G93" i="61"/>
  <c r="G92" i="61"/>
  <c r="G91" i="61"/>
  <c r="G90" i="61"/>
  <c r="G89" i="61"/>
  <c r="G88" i="61"/>
  <c r="G39" i="61"/>
  <c r="G38" i="61"/>
  <c r="G37" i="61"/>
  <c r="G36" i="61"/>
  <c r="G35" i="61"/>
  <c r="G34" i="61"/>
  <c r="G33" i="61"/>
  <c r="G32" i="61"/>
  <c r="G31" i="61"/>
  <c r="G30" i="61"/>
  <c r="G29" i="61"/>
  <c r="G28" i="61"/>
  <c r="G25" i="61"/>
  <c r="P55" i="61" l="1"/>
  <c r="R55" i="61" s="1"/>
  <c r="P54" i="61"/>
  <c r="R54" i="61" s="1"/>
  <c r="J45" i="21"/>
  <c r="L66" i="31"/>
  <c r="J66" i="31" s="1"/>
  <c r="P25" i="61"/>
  <c r="R25" i="61" s="1"/>
  <c r="P49" i="61"/>
  <c r="R49" i="61" s="1"/>
  <c r="P50" i="61"/>
  <c r="R50" i="61" s="1"/>
  <c r="P52" i="61"/>
  <c r="R52" i="61" s="1"/>
  <c r="P51" i="61"/>
  <c r="R51" i="61" s="1"/>
  <c r="Z42" i="27"/>
  <c r="AA42" i="27" s="1"/>
  <c r="AB42" i="27" s="1"/>
  <c r="AC42" i="27" s="1"/>
  <c r="AD42" i="27" s="1"/>
  <c r="AE42" i="27" s="1"/>
  <c r="R34" i="27"/>
  <c r="S34" i="27" s="1"/>
  <c r="T34" i="27" s="1"/>
  <c r="U34" i="27" s="1"/>
  <c r="V34" i="27" s="1"/>
  <c r="W34" i="27" s="1"/>
  <c r="X34" i="27" s="1"/>
  <c r="Y34" i="27" s="1"/>
  <c r="Z34" i="27" s="1"/>
  <c r="AA34" i="27" s="1"/>
  <c r="AB34" i="27" s="1"/>
  <c r="AC34" i="27" s="1"/>
  <c r="AD34" i="27" s="1"/>
  <c r="AE34" i="27" s="1"/>
  <c r="N30" i="27"/>
  <c r="O30" i="27" s="1"/>
  <c r="V38" i="27"/>
  <c r="W38" i="27" s="1"/>
  <c r="X38" i="27" s="1"/>
  <c r="Y38" i="27" s="1"/>
  <c r="Z38" i="27" s="1"/>
  <c r="AA38" i="27" s="1"/>
  <c r="AB38" i="27" s="1"/>
  <c r="AC38" i="27" s="1"/>
  <c r="AD38" i="27" s="1"/>
  <c r="AE38" i="27" s="1"/>
  <c r="T36" i="27"/>
  <c r="U36" i="27" s="1"/>
  <c r="V36" i="27" s="1"/>
  <c r="W36" i="27" s="1"/>
  <c r="X36" i="27" s="1"/>
  <c r="Y36" i="27" s="1"/>
  <c r="Z36" i="27" s="1"/>
  <c r="AA36" i="27" s="1"/>
  <c r="AB36" i="27" s="1"/>
  <c r="AC36" i="27" s="1"/>
  <c r="AD36" i="27" s="1"/>
  <c r="AE36" i="27" s="1"/>
  <c r="P32" i="27"/>
  <c r="Q32" i="27" s="1"/>
  <c r="R32" i="27" s="1"/>
  <c r="S32" i="27" s="1"/>
  <c r="T32" i="27" s="1"/>
  <c r="U32" i="27" s="1"/>
  <c r="V32" i="27" s="1"/>
  <c r="W32" i="27" s="1"/>
  <c r="X32" i="27" s="1"/>
  <c r="Y32" i="27" s="1"/>
  <c r="Z32" i="27" s="1"/>
  <c r="AA32" i="27" s="1"/>
  <c r="AB32" i="27" s="1"/>
  <c r="AC32" i="27" s="1"/>
  <c r="AD32" i="27" s="1"/>
  <c r="AE32" i="27" s="1"/>
  <c r="AB44" i="27"/>
  <c r="AC44" i="27" s="1"/>
  <c r="AD44" i="27" s="1"/>
  <c r="AE44" i="27" s="1"/>
  <c r="L28" i="27"/>
  <c r="M28" i="27" s="1"/>
  <c r="N28" i="27" s="1"/>
  <c r="O28" i="27" s="1"/>
  <c r="O31" i="27"/>
  <c r="S35" i="27"/>
  <c r="T35" i="27" s="1"/>
  <c r="U35" i="27" s="1"/>
  <c r="V35" i="27" s="1"/>
  <c r="W35" i="27" s="1"/>
  <c r="X35" i="27" s="1"/>
  <c r="Y35" i="27" s="1"/>
  <c r="Z35" i="27" s="1"/>
  <c r="AA35" i="27" s="1"/>
  <c r="AB35" i="27" s="1"/>
  <c r="AC35" i="27" s="1"/>
  <c r="AD35" i="27" s="1"/>
  <c r="AE35" i="27" s="1"/>
  <c r="W39" i="27"/>
  <c r="X39" i="27" s="1"/>
  <c r="Y39" i="27" s="1"/>
  <c r="Z39" i="27" s="1"/>
  <c r="AA39" i="27" s="1"/>
  <c r="AB39" i="27" s="1"/>
  <c r="AC39" i="27" s="1"/>
  <c r="AD39" i="27" s="1"/>
  <c r="AE39" i="27" s="1"/>
  <c r="AA43" i="27"/>
  <c r="AB43" i="27" s="1"/>
  <c r="AC43" i="27" s="1"/>
  <c r="AD43" i="27" s="1"/>
  <c r="AE43" i="27" s="1"/>
  <c r="K27" i="27"/>
  <c r="L27" i="27" s="1"/>
  <c r="M27" i="27" s="1"/>
  <c r="N27" i="27" s="1"/>
  <c r="O27" i="27" s="1"/>
  <c r="X40" i="27"/>
  <c r="Y40" i="27" s="1"/>
  <c r="Z40" i="27" s="1"/>
  <c r="AA40" i="27" s="1"/>
  <c r="AB40" i="27" s="1"/>
  <c r="AC40" i="27" s="1"/>
  <c r="AD40" i="27" s="1"/>
  <c r="AE40" i="27" s="1"/>
  <c r="M29" i="27"/>
  <c r="N29" i="27" s="1"/>
  <c r="O29" i="27" s="1"/>
  <c r="Y41" i="27"/>
  <c r="Z41" i="27" s="1"/>
  <c r="AA41" i="27" s="1"/>
  <c r="AB41" i="27" s="1"/>
  <c r="AC41" i="27" s="1"/>
  <c r="AD41" i="27" s="1"/>
  <c r="AE41" i="27" s="1"/>
  <c r="Q33" i="27"/>
  <c r="R33" i="27" s="1"/>
  <c r="S33" i="27" s="1"/>
  <c r="T33" i="27" s="1"/>
  <c r="U33" i="27" s="1"/>
  <c r="V33" i="27" s="1"/>
  <c r="W33" i="27" s="1"/>
  <c r="X33" i="27" s="1"/>
  <c r="Y33" i="27" s="1"/>
  <c r="Z33" i="27" s="1"/>
  <c r="AA33" i="27" s="1"/>
  <c r="AB33" i="27" s="1"/>
  <c r="AC33" i="27" s="1"/>
  <c r="AD33" i="27" s="1"/>
  <c r="U37" i="27"/>
  <c r="V37" i="27" s="1"/>
  <c r="W37" i="27" s="1"/>
  <c r="X37" i="27" s="1"/>
  <c r="Y37" i="27" s="1"/>
  <c r="Z37" i="27" s="1"/>
  <c r="AA37" i="27" s="1"/>
  <c r="AB37" i="27" s="1"/>
  <c r="AC37" i="27" s="1"/>
  <c r="AD37" i="27" s="1"/>
  <c r="AC45" i="27"/>
  <c r="AD45" i="27" s="1"/>
  <c r="AE45" i="27" s="1"/>
  <c r="P30" i="27" l="1"/>
  <c r="Q30" i="27" s="1"/>
  <c r="R30" i="27" s="1"/>
  <c r="S30" i="27" s="1"/>
  <c r="T30" i="27" s="1"/>
  <c r="U30" i="27" s="1"/>
  <c r="V30" i="27" s="1"/>
  <c r="W30" i="27" s="1"/>
  <c r="X30" i="27" s="1"/>
  <c r="Y30" i="27" s="1"/>
  <c r="Z30" i="27" s="1"/>
  <c r="AA30" i="27" s="1"/>
  <c r="AB30" i="27" s="1"/>
  <c r="AC30" i="27" s="1"/>
  <c r="AD30" i="27" s="1"/>
  <c r="AE30" i="27" s="1"/>
  <c r="H16" i="61"/>
  <c r="P27" i="27"/>
  <c r="Q27" i="27" s="1"/>
  <c r="R27" i="27" s="1"/>
  <c r="S27" i="27" s="1"/>
  <c r="T27" i="27" s="1"/>
  <c r="U27" i="27" s="1"/>
  <c r="V27" i="27" s="1"/>
  <c r="W27" i="27" s="1"/>
  <c r="X27" i="27" s="1"/>
  <c r="Y27" i="27" s="1"/>
  <c r="Z27" i="27" s="1"/>
  <c r="AA27" i="27" s="1"/>
  <c r="AB27" i="27" s="1"/>
  <c r="AC27" i="27" s="1"/>
  <c r="AD27" i="27" s="1"/>
  <c r="AE27" i="27" s="1"/>
  <c r="H13" i="61"/>
  <c r="P31" i="27"/>
  <c r="Q31" i="27" s="1"/>
  <c r="R31" i="27" s="1"/>
  <c r="S31" i="27" s="1"/>
  <c r="T31" i="27" s="1"/>
  <c r="U31" i="27" s="1"/>
  <c r="V31" i="27" s="1"/>
  <c r="W31" i="27" s="1"/>
  <c r="X31" i="27" s="1"/>
  <c r="Y31" i="27" s="1"/>
  <c r="Z31" i="27" s="1"/>
  <c r="AA31" i="27" s="1"/>
  <c r="AB31" i="27" s="1"/>
  <c r="AC31" i="27" s="1"/>
  <c r="AD31" i="27" s="1"/>
  <c r="AE31" i="27" s="1"/>
  <c r="H17" i="61"/>
  <c r="P53" i="61" s="1"/>
  <c r="R53" i="61" s="1"/>
  <c r="P29" i="27"/>
  <c r="Q29" i="27" s="1"/>
  <c r="R29" i="27" s="1"/>
  <c r="S29" i="27" s="1"/>
  <c r="T29" i="27" s="1"/>
  <c r="U29" i="27" s="1"/>
  <c r="V29" i="27" s="1"/>
  <c r="W29" i="27" s="1"/>
  <c r="X29" i="27" s="1"/>
  <c r="Y29" i="27" s="1"/>
  <c r="Z29" i="27" s="1"/>
  <c r="AA29" i="27" s="1"/>
  <c r="AB29" i="27" s="1"/>
  <c r="AC29" i="27" s="1"/>
  <c r="AE29" i="27" s="1"/>
  <c r="H15" i="61"/>
  <c r="P28" i="27"/>
  <c r="Q28" i="27" s="1"/>
  <c r="R28" i="27" s="1"/>
  <c r="S28" i="27" s="1"/>
  <c r="T28" i="27" s="1"/>
  <c r="U28" i="27" s="1"/>
  <c r="V28" i="27" s="1"/>
  <c r="W28" i="27" s="1"/>
  <c r="X28" i="27" s="1"/>
  <c r="Y28" i="27" s="1"/>
  <c r="Z28" i="27" s="1"/>
  <c r="AA28" i="27" s="1"/>
  <c r="AB28" i="27" s="1"/>
  <c r="AC28" i="27" s="1"/>
  <c r="AD28" i="27" s="1"/>
  <c r="AE28" i="27" s="1"/>
  <c r="H14" i="61"/>
  <c r="P48" i="61" l="1"/>
  <c r="R48" i="61" s="1"/>
  <c r="P47" i="61"/>
  <c r="R47" i="61" s="1"/>
  <c r="P45" i="61"/>
  <c r="R45" i="61" s="1"/>
  <c r="P46" i="61"/>
  <c r="R46" i="61" s="1"/>
  <c r="P44" i="61"/>
  <c r="R44" i="61" s="1"/>
  <c r="P43" i="61"/>
  <c r="R43" i="61" s="1"/>
  <c r="P41" i="61"/>
  <c r="R41" i="61" s="1"/>
  <c r="P42" i="61"/>
  <c r="R42" i="61" s="1"/>
  <c r="M28" i="40" l="1"/>
  <c r="N28" i="40"/>
  <c r="O28" i="40"/>
  <c r="P28" i="40"/>
  <c r="Q28" i="40"/>
  <c r="L28" i="40"/>
  <c r="J24" i="39"/>
  <c r="J28" i="40" l="1"/>
  <c r="M26" i="40" l="1"/>
  <c r="M51" i="40" s="1"/>
  <c r="N26" i="40"/>
  <c r="N51" i="40" s="1"/>
  <c r="O26" i="40"/>
  <c r="O51" i="40" s="1"/>
  <c r="P26" i="40"/>
  <c r="P51" i="40" s="1"/>
  <c r="Q26" i="40"/>
  <c r="Q51" i="40" s="1"/>
  <c r="L26" i="40"/>
  <c r="L51" i="40" s="1"/>
  <c r="J22" i="39"/>
  <c r="J26" i="40" l="1"/>
  <c r="H56" i="57" l="1"/>
  <c r="H49" i="57"/>
  <c r="H48" i="57"/>
  <c r="H45" i="57"/>
  <c r="H44" i="57"/>
  <c r="H41" i="57"/>
  <c r="H38" i="57"/>
  <c r="H37" i="57"/>
  <c r="L60" i="57" l="1"/>
  <c r="M60" i="57"/>
  <c r="N60" i="57"/>
  <c r="O60" i="57"/>
  <c r="P60" i="57"/>
  <c r="Q60" i="57"/>
  <c r="L61" i="57"/>
  <c r="M61" i="57"/>
  <c r="N61" i="57"/>
  <c r="O61" i="57"/>
  <c r="P61" i="57"/>
  <c r="Q61" i="57"/>
  <c r="M59" i="57"/>
  <c r="N59" i="57"/>
  <c r="O59" i="57"/>
  <c r="P59" i="57"/>
  <c r="Q59" i="57"/>
  <c r="L59" i="57"/>
  <c r="H54" i="57"/>
  <c r="H53" i="57"/>
  <c r="H52" i="57"/>
  <c r="U31" i="57"/>
  <c r="O85" i="57" s="1"/>
  <c r="U30" i="57"/>
  <c r="O84" i="57" s="1"/>
  <c r="S32" i="57"/>
  <c r="S31" i="57"/>
  <c r="S30" i="57"/>
  <c r="Q32" i="57"/>
  <c r="Q86" i="57" s="1"/>
  <c r="P32" i="57"/>
  <c r="P86" i="57" s="1"/>
  <c r="O32" i="57"/>
  <c r="O86" i="57" s="1"/>
  <c r="N32" i="57"/>
  <c r="N86" i="57" s="1"/>
  <c r="M32" i="57"/>
  <c r="M86" i="57" s="1"/>
  <c r="L32" i="57"/>
  <c r="L86" i="57" s="1"/>
  <c r="Q31" i="57"/>
  <c r="Q85" i="57" s="1"/>
  <c r="P31" i="57"/>
  <c r="O31" i="57"/>
  <c r="N31" i="57"/>
  <c r="N85" i="57" s="1"/>
  <c r="M31" i="57"/>
  <c r="M85" i="57" s="1"/>
  <c r="L31" i="57"/>
  <c r="L85" i="57" s="1"/>
  <c r="Q30" i="57"/>
  <c r="Q84" i="57" s="1"/>
  <c r="P30" i="57"/>
  <c r="O30" i="57"/>
  <c r="N30" i="57"/>
  <c r="N84" i="57" s="1"/>
  <c r="M30" i="57"/>
  <c r="M84" i="57" s="1"/>
  <c r="L30" i="57"/>
  <c r="L84" i="57" s="1"/>
  <c r="S27" i="57"/>
  <c r="S26" i="57"/>
  <c r="S25" i="57"/>
  <c r="L26" i="57"/>
  <c r="L69" i="57" s="1"/>
  <c r="M26" i="57"/>
  <c r="M69" i="57" s="1"/>
  <c r="N26" i="57"/>
  <c r="N69" i="57" s="1"/>
  <c r="O26" i="57"/>
  <c r="O69" i="57" s="1"/>
  <c r="P26" i="57"/>
  <c r="Q26" i="57"/>
  <c r="Q69" i="57" s="1"/>
  <c r="L27" i="57"/>
  <c r="L70" i="57" s="1"/>
  <c r="M27" i="57"/>
  <c r="M70" i="57" s="1"/>
  <c r="N27" i="57"/>
  <c r="N70" i="57" s="1"/>
  <c r="O27" i="57"/>
  <c r="O70" i="57" s="1"/>
  <c r="P27" i="57"/>
  <c r="Q27" i="57"/>
  <c r="Q70" i="57" s="1"/>
  <c r="M25" i="57"/>
  <c r="M68" i="57" s="1"/>
  <c r="N25" i="57"/>
  <c r="N68" i="57" s="1"/>
  <c r="O25" i="57"/>
  <c r="O68" i="57" s="1"/>
  <c r="P25" i="57"/>
  <c r="Q25" i="57"/>
  <c r="Q68" i="57" s="1"/>
  <c r="L25" i="57"/>
  <c r="L68" i="57" s="1"/>
  <c r="J48" i="55"/>
  <c r="J47" i="55"/>
  <c r="J46" i="55"/>
  <c r="J73" i="57" l="1"/>
  <c r="P84" i="57"/>
  <c r="J84" i="57" s="1"/>
  <c r="J89" i="57" s="1"/>
  <c r="P70" i="57"/>
  <c r="J70" i="57" s="1"/>
  <c r="J75" i="57" s="1"/>
  <c r="P85" i="57"/>
  <c r="J85" i="57" s="1"/>
  <c r="J90" i="57" s="1"/>
  <c r="P69" i="57"/>
  <c r="J69" i="57" s="1"/>
  <c r="J74" i="57" s="1"/>
  <c r="J60" i="57"/>
  <c r="J86" i="57"/>
  <c r="J91" i="57" s="1"/>
  <c r="J61" i="57"/>
  <c r="J59" i="57"/>
  <c r="J68" i="57"/>
  <c r="J93" i="57" l="1"/>
  <c r="J95" i="57" s="1"/>
  <c r="J77" i="57"/>
  <c r="J79" i="57" s="1"/>
  <c r="J114" i="57" l="1"/>
  <c r="J115" i="57"/>
  <c r="J117" i="57" s="1"/>
  <c r="H119" i="57" s="1"/>
  <c r="J102" i="57"/>
  <c r="J101" i="57"/>
  <c r="J104" i="57" l="1"/>
  <c r="H106" i="57" s="1"/>
  <c r="L108" i="57" s="1"/>
  <c r="L16" i="28"/>
  <c r="P121" i="57" l="1"/>
  <c r="O121" i="57"/>
  <c r="M121" i="57"/>
  <c r="Q121" i="57"/>
  <c r="N121" i="57"/>
  <c r="L121" i="57"/>
  <c r="O108" i="57"/>
  <c r="P108" i="57"/>
  <c r="M108" i="57"/>
  <c r="Q108" i="57"/>
  <c r="N108" i="57"/>
  <c r="L28" i="31"/>
  <c r="M28" i="31"/>
  <c r="M39" i="31" s="1"/>
  <c r="N28" i="31"/>
  <c r="N39" i="31" s="1"/>
  <c r="O28" i="31"/>
  <c r="O39" i="31" s="1"/>
  <c r="P28" i="31"/>
  <c r="P39" i="31" s="1"/>
  <c r="Q28" i="31"/>
  <c r="Q39" i="31" s="1"/>
  <c r="M27" i="31"/>
  <c r="N27" i="31"/>
  <c r="O27" i="31"/>
  <c r="P27" i="31"/>
  <c r="Q27" i="31"/>
  <c r="L27" i="31"/>
  <c r="L39" i="31" l="1"/>
  <c r="J28" i="31"/>
  <c r="J27" i="31"/>
  <c r="M18" i="58"/>
  <c r="N18" i="58"/>
  <c r="O18" i="58"/>
  <c r="P18" i="58"/>
  <c r="Q18" i="58"/>
  <c r="M19" i="58"/>
  <c r="N19" i="58"/>
  <c r="O19" i="58"/>
  <c r="P19" i="58"/>
  <c r="Q19" i="58"/>
  <c r="M20" i="58"/>
  <c r="N20" i="58"/>
  <c r="O20" i="58"/>
  <c r="P20" i="58"/>
  <c r="Q20" i="58"/>
  <c r="M23" i="58"/>
  <c r="N23" i="58"/>
  <c r="O23" i="58"/>
  <c r="P23" i="58"/>
  <c r="Q23" i="58"/>
  <c r="M24" i="58"/>
  <c r="N24" i="58"/>
  <c r="O24" i="58"/>
  <c r="P24" i="58"/>
  <c r="Q24" i="58"/>
  <c r="M25" i="58"/>
  <c r="N25" i="58"/>
  <c r="O25" i="58"/>
  <c r="P25" i="58"/>
  <c r="Q25" i="58"/>
  <c r="M32" i="58"/>
  <c r="N32" i="58"/>
  <c r="O32" i="58"/>
  <c r="P32" i="58"/>
  <c r="Q32" i="58"/>
  <c r="J39" i="31" l="1"/>
  <c r="O41" i="58"/>
  <c r="P40" i="58"/>
  <c r="Q39" i="58"/>
  <c r="M39" i="58"/>
  <c r="O40" i="58"/>
  <c r="N41" i="58"/>
  <c r="P39" i="58"/>
  <c r="P41" i="58"/>
  <c r="Q40" i="58"/>
  <c r="M40" i="58"/>
  <c r="N39" i="58"/>
  <c r="Q41" i="58"/>
  <c r="M41" i="58"/>
  <c r="N40" i="58"/>
  <c r="O39" i="58"/>
  <c r="Q23" i="40" l="1"/>
  <c r="P23" i="40"/>
  <c r="O23" i="40"/>
  <c r="N23" i="40"/>
  <c r="M23" i="40"/>
  <c r="L23" i="40"/>
  <c r="M22" i="40"/>
  <c r="N22" i="40"/>
  <c r="O22" i="40"/>
  <c r="P22" i="40"/>
  <c r="Q22" i="40"/>
  <c r="Q19" i="40"/>
  <c r="P19" i="40"/>
  <c r="O19" i="40"/>
  <c r="N19" i="40"/>
  <c r="M19" i="40"/>
  <c r="L19" i="40"/>
  <c r="M18" i="40"/>
  <c r="N18" i="40"/>
  <c r="O18" i="40"/>
  <c r="P18" i="40"/>
  <c r="Q18" i="40"/>
  <c r="N13" i="24" l="1"/>
  <c r="N19" i="24" s="1"/>
  <c r="P13" i="24"/>
  <c r="P19" i="24" s="1"/>
  <c r="Q13" i="24"/>
  <c r="Q19" i="24" s="1"/>
  <c r="L23" i="58" l="1"/>
  <c r="L24" i="58"/>
  <c r="L25" i="58"/>
  <c r="L18" i="58"/>
  <c r="L19" i="58"/>
  <c r="L20" i="58"/>
  <c r="L32" i="58"/>
  <c r="H29" i="58"/>
  <c r="H30" i="58"/>
  <c r="H28" i="58"/>
  <c r="J38" i="53"/>
  <c r="J28" i="53"/>
  <c r="J27" i="53"/>
  <c r="J26" i="53"/>
  <c r="J22" i="53"/>
  <c r="J21" i="53"/>
  <c r="J20" i="53"/>
  <c r="L40" i="58" l="1"/>
  <c r="P43" i="58"/>
  <c r="P45" i="58" s="1"/>
  <c r="N43" i="58"/>
  <c r="N45" i="58" s="1"/>
  <c r="M43" i="58"/>
  <c r="M45" i="58" s="1"/>
  <c r="Q43" i="58"/>
  <c r="Q45" i="58" s="1"/>
  <c r="O43" i="58"/>
  <c r="O45" i="58" s="1"/>
  <c r="L41" i="58"/>
  <c r="J19" i="58"/>
  <c r="J20" i="58"/>
  <c r="J18" i="58"/>
  <c r="J24" i="58"/>
  <c r="J23" i="58"/>
  <c r="J32" i="58"/>
  <c r="J25" i="58"/>
  <c r="N30" i="40" l="1"/>
  <c r="O30" i="40"/>
  <c r="P30" i="40"/>
  <c r="Q30" i="40"/>
  <c r="M30" i="40"/>
  <c r="L30" i="40"/>
  <c r="J45" i="58" l="1"/>
  <c r="J43" i="58"/>
  <c r="J51" i="40"/>
  <c r="H52" i="40" s="1"/>
  <c r="L54" i="40" s="1"/>
  <c r="M27" i="56"/>
  <c r="N27" i="56"/>
  <c r="O27" i="56"/>
  <c r="P27" i="56"/>
  <c r="Q27" i="56"/>
  <c r="L27" i="56"/>
  <c r="L24" i="56"/>
  <c r="M24" i="56"/>
  <c r="N24" i="56"/>
  <c r="O24" i="56"/>
  <c r="P24" i="56"/>
  <c r="Q24" i="56"/>
  <c r="M23" i="56"/>
  <c r="N23" i="56"/>
  <c r="O23" i="56"/>
  <c r="P23" i="56"/>
  <c r="Q23" i="56"/>
  <c r="L23" i="56"/>
  <c r="L20" i="56"/>
  <c r="M20" i="56"/>
  <c r="M41" i="56" s="1"/>
  <c r="N20" i="56"/>
  <c r="N41" i="56" s="1"/>
  <c r="O20" i="56"/>
  <c r="P20" i="56"/>
  <c r="Q20" i="56"/>
  <c r="M19" i="56"/>
  <c r="N19" i="56"/>
  <c r="O19" i="56"/>
  <c r="P19" i="56"/>
  <c r="P40" i="56" s="1"/>
  <c r="Q19" i="56"/>
  <c r="Q40" i="56" s="1"/>
  <c r="L19" i="56"/>
  <c r="H30" i="56"/>
  <c r="H37" i="56" s="1"/>
  <c r="O40" i="56" l="1"/>
  <c r="L41" i="56"/>
  <c r="N40" i="56"/>
  <c r="N44" i="56" s="1"/>
  <c r="M40" i="56"/>
  <c r="M44" i="56" s="1"/>
  <c r="Q41" i="56"/>
  <c r="Q45" i="56" s="1"/>
  <c r="P41" i="56"/>
  <c r="P45" i="56" s="1"/>
  <c r="L40" i="56"/>
  <c r="L44" i="56" s="1"/>
  <c r="O41" i="56"/>
  <c r="O45" i="56" s="1"/>
  <c r="P54" i="40"/>
  <c r="P55" i="40" s="1"/>
  <c r="N54" i="40"/>
  <c r="N55" i="40" s="1"/>
  <c r="M54" i="40"/>
  <c r="M55" i="40" s="1"/>
  <c r="Q54" i="40"/>
  <c r="Q55" i="40" s="1"/>
  <c r="O54" i="40"/>
  <c r="O55" i="40" s="1"/>
  <c r="N45" i="56"/>
  <c r="M45" i="56"/>
  <c r="L45" i="56"/>
  <c r="Q44" i="56"/>
  <c r="O44" i="56"/>
  <c r="P44" i="56"/>
  <c r="J55" i="40" l="1"/>
  <c r="J54" i="40"/>
  <c r="J40" i="56"/>
  <c r="J41" i="56"/>
  <c r="J45" i="56"/>
  <c r="J44" i="56" l="1"/>
  <c r="H18" i="21"/>
  <c r="L16" i="49" l="1"/>
  <c r="M16" i="49"/>
  <c r="N16" i="49"/>
  <c r="O16" i="49"/>
  <c r="P16" i="49"/>
  <c r="Q16" i="49"/>
  <c r="L18" i="49"/>
  <c r="M18" i="49"/>
  <c r="N18" i="49"/>
  <c r="O18" i="49"/>
  <c r="P18" i="49"/>
  <c r="Q18" i="49"/>
  <c r="L19" i="49"/>
  <c r="M19" i="49"/>
  <c r="N19" i="49"/>
  <c r="O19" i="49"/>
  <c r="P19" i="49"/>
  <c r="Q19" i="49"/>
  <c r="L22" i="49"/>
  <c r="M22" i="49"/>
  <c r="N22" i="49"/>
  <c r="O22" i="49"/>
  <c r="P22" i="49"/>
  <c r="L23" i="49"/>
  <c r="M23" i="49"/>
  <c r="N23" i="49"/>
  <c r="O23" i="49"/>
  <c r="P23" i="49"/>
  <c r="L25" i="49"/>
  <c r="M25" i="49"/>
  <c r="N25" i="49"/>
  <c r="O25" i="49"/>
  <c r="P25" i="49"/>
  <c r="Q25" i="49"/>
  <c r="L26" i="49"/>
  <c r="M26" i="49"/>
  <c r="N26" i="49"/>
  <c r="O26" i="49"/>
  <c r="P26" i="49"/>
  <c r="Q26" i="49"/>
  <c r="M15" i="49"/>
  <c r="N15" i="49"/>
  <c r="O15" i="49"/>
  <c r="P15" i="49"/>
  <c r="Q15" i="49"/>
  <c r="L15" i="49"/>
  <c r="J24" i="46"/>
  <c r="J23" i="46"/>
  <c r="J21" i="46"/>
  <c r="J20" i="46"/>
  <c r="J17" i="46"/>
  <c r="J14" i="46"/>
  <c r="J13" i="46"/>
  <c r="J15" i="49" l="1"/>
  <c r="J33" i="49" s="1"/>
  <c r="J19" i="49"/>
  <c r="J38" i="49" s="1"/>
  <c r="J25" i="49"/>
  <c r="J46" i="49" s="1"/>
  <c r="J22" i="49"/>
  <c r="J42" i="49" s="1"/>
  <c r="J23" i="49"/>
  <c r="J43" i="49" s="1"/>
  <c r="J16" i="49"/>
  <c r="J34" i="49" s="1"/>
  <c r="J18" i="49"/>
  <c r="J37" i="49" s="1"/>
  <c r="J26" i="49"/>
  <c r="J47" i="49" s="1"/>
  <c r="J39" i="49" l="1"/>
  <c r="J48" i="49"/>
  <c r="J35" i="49"/>
  <c r="J44" i="49"/>
  <c r="P51" i="49" l="1"/>
  <c r="L51" i="49"/>
  <c r="O51" i="49"/>
  <c r="Q51" i="49"/>
  <c r="N51" i="49"/>
  <c r="M51" i="49"/>
  <c r="J51" i="49" l="1"/>
  <c r="M55" i="27" l="1"/>
  <c r="M56" i="27"/>
  <c r="M57" i="27"/>
  <c r="N69" i="27" l="1"/>
  <c r="N73" i="27" s="1"/>
  <c r="H98" i="67" l="1"/>
  <c r="O73" i="27"/>
  <c r="P73" i="27" s="1"/>
  <c r="H58" i="79" s="1"/>
  <c r="L22" i="40"/>
  <c r="L18" i="40"/>
  <c r="N103" i="79" l="1"/>
  <c r="M103" i="79"/>
  <c r="Q103" i="79"/>
  <c r="P103" i="79"/>
  <c r="L103" i="79"/>
  <c r="O103" i="79"/>
  <c r="P196" i="67"/>
  <c r="P199" i="67" s="1"/>
  <c r="P204" i="67" s="1"/>
  <c r="P28" i="21" s="1"/>
  <c r="P197" i="67"/>
  <c r="P200" i="67" s="1"/>
  <c r="P205" i="67" s="1"/>
  <c r="P29" i="21" s="1"/>
  <c r="J19" i="40"/>
  <c r="J18" i="40"/>
  <c r="J23" i="40"/>
  <c r="J22" i="40"/>
  <c r="J18" i="39"/>
  <c r="J17" i="39"/>
  <c r="J14" i="39"/>
  <c r="J13" i="39"/>
  <c r="J103" i="79" l="1"/>
  <c r="J43" i="40"/>
  <c r="J42" i="40"/>
  <c r="L30" i="31"/>
  <c r="M54" i="27"/>
  <c r="L56" i="27"/>
  <c r="L57" i="27"/>
  <c r="H17" i="21"/>
  <c r="M69" i="27" l="1"/>
  <c r="M72" i="27" s="1"/>
  <c r="N72" i="27" s="1"/>
  <c r="O72" i="27" s="1"/>
  <c r="P72" i="27" s="1"/>
  <c r="H57" i="79" s="1"/>
  <c r="N46" i="40"/>
  <c r="Q46" i="40"/>
  <c r="O46" i="40"/>
  <c r="M46" i="40"/>
  <c r="L46" i="40"/>
  <c r="L57" i="40" s="1"/>
  <c r="L61" i="40" s="1"/>
  <c r="P46" i="40"/>
  <c r="H33" i="31"/>
  <c r="N102" i="79" l="1"/>
  <c r="N106" i="79" s="1"/>
  <c r="N36" i="21" s="1"/>
  <c r="N57" i="31" s="1"/>
  <c r="M102" i="79"/>
  <c r="M106" i="79" s="1"/>
  <c r="M36" i="21" s="1"/>
  <c r="M57" i="31" s="1"/>
  <c r="P102" i="79"/>
  <c r="P106" i="79" s="1"/>
  <c r="P36" i="21" s="1"/>
  <c r="P57" i="31" s="1"/>
  <c r="O102" i="79"/>
  <c r="O106" i="79" s="1"/>
  <c r="O36" i="21" s="1"/>
  <c r="O57" i="31" s="1"/>
  <c r="L102" i="79"/>
  <c r="Q102" i="79"/>
  <c r="Q106" i="79" s="1"/>
  <c r="Q36" i="21" s="1"/>
  <c r="Q57" i="31" s="1"/>
  <c r="J93" i="63"/>
  <c r="M57" i="40"/>
  <c r="N57" i="40"/>
  <c r="Q57" i="40"/>
  <c r="O57" i="40"/>
  <c r="P57" i="40"/>
  <c r="J102" i="79" l="1"/>
  <c r="L106" i="79"/>
  <c r="J57" i="40"/>
  <c r="N49" i="56"/>
  <c r="N41" i="21" s="1"/>
  <c r="N62" i="31" s="1"/>
  <c r="L40" i="21"/>
  <c r="L55" i="49"/>
  <c r="O126" i="57"/>
  <c r="O38" i="21" s="1"/>
  <c r="O59" i="31" s="1"/>
  <c r="N55" i="49"/>
  <c r="N44" i="21" s="1"/>
  <c r="N65" i="31" s="1"/>
  <c r="P55" i="49"/>
  <c r="P44" i="21" s="1"/>
  <c r="P65" i="31" s="1"/>
  <c r="J46" i="40"/>
  <c r="H23" i="31"/>
  <c r="M16" i="28"/>
  <c r="M13" i="21" s="1"/>
  <c r="N16" i="28"/>
  <c r="N13" i="21" s="1"/>
  <c r="O16" i="28"/>
  <c r="O13" i="21" s="1"/>
  <c r="P16" i="28"/>
  <c r="P13" i="21" s="1"/>
  <c r="Q16" i="28"/>
  <c r="Q13" i="21" s="1"/>
  <c r="J106" i="79" l="1"/>
  <c r="L36" i="21"/>
  <c r="Q55" i="49"/>
  <c r="M55" i="49"/>
  <c r="O49" i="56"/>
  <c r="O41" i="21" s="1"/>
  <c r="O62" i="31" s="1"/>
  <c r="N126" i="57"/>
  <c r="N38" i="21" s="1"/>
  <c r="N59" i="31" s="1"/>
  <c r="Q49" i="56"/>
  <c r="Q41" i="21" s="1"/>
  <c r="Q62" i="31" s="1"/>
  <c r="Q21" i="24"/>
  <c r="Q35" i="21" s="1"/>
  <c r="M49" i="56"/>
  <c r="N21" i="24"/>
  <c r="N35" i="21" s="1"/>
  <c r="L50" i="56"/>
  <c r="L42" i="21" s="1"/>
  <c r="L63" i="31" s="1"/>
  <c r="M50" i="56"/>
  <c r="M42" i="21" s="1"/>
  <c r="M63" i="31" s="1"/>
  <c r="P50" i="56"/>
  <c r="P42" i="21" s="1"/>
  <c r="P63" i="31" s="1"/>
  <c r="L49" i="56"/>
  <c r="L41" i="21" s="1"/>
  <c r="L62" i="31" s="1"/>
  <c r="N50" i="56"/>
  <c r="O50" i="56"/>
  <c r="O42" i="21" s="1"/>
  <c r="O63" i="31" s="1"/>
  <c r="P21" i="24"/>
  <c r="P35" i="21" s="1"/>
  <c r="P49" i="56"/>
  <c r="Q50" i="56"/>
  <c r="M125" i="57"/>
  <c r="N125" i="57"/>
  <c r="Q125" i="57"/>
  <c r="Q39" i="21" s="1"/>
  <c r="Q60" i="31" s="1"/>
  <c r="M35" i="21"/>
  <c r="M61" i="40"/>
  <c r="P61" i="40"/>
  <c r="N61" i="40"/>
  <c r="Q61" i="40"/>
  <c r="O61" i="40"/>
  <c r="O125" i="57"/>
  <c r="O39" i="21" s="1"/>
  <c r="O60" i="31" s="1"/>
  <c r="L125" i="57"/>
  <c r="L39" i="21" s="1"/>
  <c r="L60" i="31" s="1"/>
  <c r="P125" i="57"/>
  <c r="P39" i="21" s="1"/>
  <c r="P60" i="31" s="1"/>
  <c r="L126" i="57"/>
  <c r="P126" i="57"/>
  <c r="P38" i="21" s="1"/>
  <c r="P59" i="31" s="1"/>
  <c r="O55" i="49"/>
  <c r="M126" i="57"/>
  <c r="M38" i="21" s="1"/>
  <c r="M59" i="31" s="1"/>
  <c r="Q126" i="57"/>
  <c r="Q38" i="21" s="1"/>
  <c r="Q59" i="31" s="1"/>
  <c r="O49" i="58"/>
  <c r="O40" i="21" s="1"/>
  <c r="O61" i="31" s="1"/>
  <c r="M49" i="58"/>
  <c r="M40" i="21" s="1"/>
  <c r="M61" i="31" s="1"/>
  <c r="N49" i="58"/>
  <c r="N40" i="21" s="1"/>
  <c r="N61" i="31" s="1"/>
  <c r="P49" i="58"/>
  <c r="P40" i="21" s="1"/>
  <c r="P61" i="31" s="1"/>
  <c r="Q49" i="58"/>
  <c r="Q40" i="21" s="1"/>
  <c r="L61" i="31"/>
  <c r="L13" i="21"/>
  <c r="J13" i="21" s="1"/>
  <c r="H16" i="21"/>
  <c r="M14" i="21"/>
  <c r="N14" i="21"/>
  <c r="O14" i="21"/>
  <c r="O60" i="63" s="1"/>
  <c r="O90" i="63" s="1"/>
  <c r="O94" i="63" s="1"/>
  <c r="P14" i="21"/>
  <c r="Q14" i="21"/>
  <c r="L14" i="21"/>
  <c r="L60" i="63" s="1"/>
  <c r="J36" i="21" l="1"/>
  <c r="L57" i="31"/>
  <c r="J57" i="31" s="1"/>
  <c r="Q44" i="21"/>
  <c r="Q65" i="31" s="1"/>
  <c r="N42" i="21"/>
  <c r="N63" i="31" s="1"/>
  <c r="J63" i="31" s="1"/>
  <c r="J49" i="56"/>
  <c r="N39" i="21"/>
  <c r="N60" i="31" s="1"/>
  <c r="J125" i="57"/>
  <c r="M39" i="21"/>
  <c r="M60" i="31" s="1"/>
  <c r="J50" i="56"/>
  <c r="J126" i="57"/>
  <c r="M60" i="63"/>
  <c r="M90" i="63" s="1"/>
  <c r="M94" i="63" s="1"/>
  <c r="Q60" i="63"/>
  <c r="Q90" i="63" s="1"/>
  <c r="Q94" i="63" s="1"/>
  <c r="P60" i="63"/>
  <c r="P90" i="63" s="1"/>
  <c r="P94" i="63" s="1"/>
  <c r="L90" i="63"/>
  <c r="N60" i="63"/>
  <c r="N90" i="63" s="1"/>
  <c r="N94" i="63" s="1"/>
  <c r="L38" i="21"/>
  <c r="L59" i="31" s="1"/>
  <c r="J59" i="31" s="1"/>
  <c r="J40" i="21"/>
  <c r="J55" i="49"/>
  <c r="Q61" i="31"/>
  <c r="J61" i="31" s="1"/>
  <c r="J49" i="58"/>
  <c r="J62" i="31"/>
  <c r="O22" i="21"/>
  <c r="L22" i="21"/>
  <c r="J41" i="21"/>
  <c r="Q22" i="21"/>
  <c r="N22" i="21"/>
  <c r="M22" i="21"/>
  <c r="P22" i="21"/>
  <c r="J90" i="63" l="1"/>
  <c r="L94" i="63"/>
  <c r="P54" i="31"/>
  <c r="J28" i="21"/>
  <c r="P55" i="31"/>
  <c r="J29" i="21"/>
  <c r="J44" i="21"/>
  <c r="J65" i="31"/>
  <c r="J42" i="21"/>
  <c r="L23" i="21"/>
  <c r="J60" i="31"/>
  <c r="J39" i="21"/>
  <c r="Q23" i="21"/>
  <c r="M23" i="21"/>
  <c r="N23" i="21"/>
  <c r="O23" i="21"/>
  <c r="P23" i="21"/>
  <c r="J54" i="31" l="1"/>
  <c r="J55" i="31"/>
  <c r="N24" i="21"/>
  <c r="O24" i="21"/>
  <c r="M24" i="21"/>
  <c r="L24" i="21"/>
  <c r="P24" i="21"/>
  <c r="Q24" i="21"/>
  <c r="Q99" i="63"/>
  <c r="P99" i="63"/>
  <c r="M99" i="63"/>
  <c r="N99" i="63"/>
  <c r="O99" i="63"/>
  <c r="J23" i="21"/>
  <c r="M25" i="21" l="1"/>
  <c r="M26" i="21" s="1"/>
  <c r="N25" i="21"/>
  <c r="N26" i="21" s="1"/>
  <c r="J24" i="21"/>
  <c r="Q25" i="21"/>
  <c r="Q26" i="21" s="1"/>
  <c r="O25" i="21"/>
  <c r="O26" i="21" s="1"/>
  <c r="L25" i="21"/>
  <c r="P25" i="21"/>
  <c r="P26" i="21" s="1"/>
  <c r="P31" i="21" l="1"/>
  <c r="P52" i="31"/>
  <c r="Q31" i="21"/>
  <c r="Q52" i="31"/>
  <c r="N31" i="21"/>
  <c r="N52" i="31"/>
  <c r="O31" i="21"/>
  <c r="O52" i="31"/>
  <c r="M31" i="21"/>
  <c r="M52" i="31"/>
  <c r="L26" i="21"/>
  <c r="L52" i="31" s="1"/>
  <c r="J25" i="21"/>
  <c r="L99" i="63"/>
  <c r="L43" i="21"/>
  <c r="N43" i="21"/>
  <c r="M43" i="21"/>
  <c r="O43" i="21"/>
  <c r="P43" i="21"/>
  <c r="Q43" i="21"/>
  <c r="J61" i="40"/>
  <c r="L31" i="21" l="1"/>
  <c r="J26" i="21"/>
  <c r="M72" i="31"/>
  <c r="M71" i="31"/>
  <c r="O72" i="31"/>
  <c r="O71" i="31"/>
  <c r="Q72" i="31"/>
  <c r="Q71" i="31"/>
  <c r="L72" i="31"/>
  <c r="L71" i="31"/>
  <c r="N72" i="31"/>
  <c r="N71" i="31"/>
  <c r="P71" i="31"/>
  <c r="P72" i="31"/>
  <c r="J31" i="21"/>
  <c r="J52" i="31"/>
  <c r="J99" i="63"/>
  <c r="J94" i="63"/>
  <c r="H102" i="63" s="1"/>
  <c r="P64" i="31"/>
  <c r="Q64" i="31"/>
  <c r="N64" i="31"/>
  <c r="O64" i="31"/>
  <c r="M64" i="31"/>
  <c r="L64" i="31"/>
  <c r="J43" i="21"/>
  <c r="L103" i="63" l="1"/>
  <c r="N103" i="63"/>
  <c r="N105" i="63" s="1"/>
  <c r="N109" i="63" s="1"/>
  <c r="O103" i="63"/>
  <c r="O105" i="63" s="1"/>
  <c r="O109" i="63" s="1"/>
  <c r="M103" i="63"/>
  <c r="M105" i="63" s="1"/>
  <c r="M109" i="63" s="1"/>
  <c r="Q103" i="63"/>
  <c r="Q105" i="63" s="1"/>
  <c r="Q109" i="63" s="1"/>
  <c r="P103" i="63"/>
  <c r="P105" i="63" s="1"/>
  <c r="P109" i="63" s="1"/>
  <c r="J64" i="31"/>
  <c r="J38" i="21"/>
  <c r="H25" i="31"/>
  <c r="H37" i="31" s="1"/>
  <c r="H22" i="31"/>
  <c r="Q31" i="31"/>
  <c r="P31" i="31"/>
  <c r="O31" i="31"/>
  <c r="N31" i="31"/>
  <c r="M31" i="31"/>
  <c r="L31" i="31"/>
  <c r="Q30" i="31"/>
  <c r="P30" i="31"/>
  <c r="O30" i="31"/>
  <c r="N30" i="31"/>
  <c r="M30" i="31"/>
  <c r="M20" i="31"/>
  <c r="N20" i="31"/>
  <c r="O20" i="31"/>
  <c r="P20" i="31"/>
  <c r="Q20" i="31"/>
  <c r="L20" i="31"/>
  <c r="P112" i="63" l="1"/>
  <c r="P114" i="63" s="1"/>
  <c r="P37" i="21" s="1"/>
  <c r="Q112" i="63"/>
  <c r="M112" i="63"/>
  <c r="M114" i="63" s="1"/>
  <c r="M37" i="21" s="1"/>
  <c r="O112" i="63"/>
  <c r="O114" i="63" s="1"/>
  <c r="O37" i="21" s="1"/>
  <c r="N112" i="63"/>
  <c r="N114" i="63" s="1"/>
  <c r="N37" i="21" s="1"/>
  <c r="L105" i="63"/>
  <c r="J103" i="63"/>
  <c r="J30" i="31"/>
  <c r="J31" i="31"/>
  <c r="J20" i="31"/>
  <c r="O47" i="21" l="1"/>
  <c r="O51" i="21" s="1"/>
  <c r="M47" i="21"/>
  <c r="M51" i="21" s="1"/>
  <c r="N47" i="21"/>
  <c r="N51" i="21" s="1"/>
  <c r="P47" i="21"/>
  <c r="P51" i="21" s="1"/>
  <c r="O58" i="31"/>
  <c r="O70" i="31" s="1"/>
  <c r="Q114" i="63"/>
  <c r="Q37" i="21" s="1"/>
  <c r="N58" i="31"/>
  <c r="M58" i="31"/>
  <c r="P58" i="31"/>
  <c r="L109" i="63"/>
  <c r="L112" i="63" s="1"/>
  <c r="L114" i="63" s="1"/>
  <c r="J105" i="63"/>
  <c r="L40" i="31"/>
  <c r="L41" i="31" s="1"/>
  <c r="P40" i="31"/>
  <c r="Q40" i="31"/>
  <c r="Q41" i="31" s="1"/>
  <c r="O40" i="31"/>
  <c r="O41" i="31" s="1"/>
  <c r="N40" i="31"/>
  <c r="N41" i="31" s="1"/>
  <c r="M40" i="31"/>
  <c r="M41" i="31" s="1"/>
  <c r="P41" i="31"/>
  <c r="Q47" i="21" l="1"/>
  <c r="Q51" i="21" s="1"/>
  <c r="Q58" i="31"/>
  <c r="J109" i="63"/>
  <c r="L42" i="31"/>
  <c r="L46" i="31" s="1"/>
  <c r="J41" i="31"/>
  <c r="J40" i="31"/>
  <c r="O42" i="31"/>
  <c r="P42" i="31"/>
  <c r="N42" i="31"/>
  <c r="Q42" i="31"/>
  <c r="Q47" i="31" s="1"/>
  <c r="M42" i="31"/>
  <c r="J112" i="63" l="1"/>
  <c r="J42" i="31"/>
  <c r="O47" i="31"/>
  <c r="P47" i="31"/>
  <c r="M47" i="31"/>
  <c r="L48" i="31"/>
  <c r="Q46" i="31"/>
  <c r="Q48" i="31"/>
  <c r="M46" i="31"/>
  <c r="M48" i="31"/>
  <c r="N46" i="31"/>
  <c r="N48" i="31"/>
  <c r="L47" i="31"/>
  <c r="N47" i="31"/>
  <c r="P46" i="31"/>
  <c r="P48" i="31"/>
  <c r="O46" i="31"/>
  <c r="O48" i="31"/>
  <c r="L37" i="21" l="1"/>
  <c r="J114" i="63"/>
  <c r="B43" i="10"/>
  <c r="L47" i="21" l="1"/>
  <c r="L51" i="21" s="1"/>
  <c r="J51" i="21" s="1"/>
  <c r="L58" i="31"/>
  <c r="L70" i="31" s="1"/>
  <c r="J37" i="21"/>
  <c r="J22" i="21"/>
  <c r="J58" i="31" l="1"/>
  <c r="Q56" i="31"/>
  <c r="Q70" i="31" s="1"/>
  <c r="P56" i="31"/>
  <c r="P70" i="31" s="1"/>
  <c r="J47" i="21"/>
  <c r="L68" i="31" l="1"/>
  <c r="O68" i="31"/>
  <c r="P68" i="31"/>
  <c r="Q68" i="31"/>
  <c r="J71" i="31"/>
  <c r="J72" i="31"/>
  <c r="M70" i="31"/>
  <c r="N56" i="31"/>
  <c r="N70" i="31" s="1"/>
  <c r="J35" i="21"/>
  <c r="N68" i="31" l="1"/>
  <c r="M68" i="31"/>
  <c r="J56" i="31"/>
  <c r="B31" i="10"/>
  <c r="J68" i="31" l="1"/>
  <c r="J70" i="31"/>
  <c r="B38" i="10"/>
  <c r="B32" i="10"/>
  <c r="B33" i="10" l="1"/>
  <c r="B3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37" authorId="0" shapeId="0" xr:uid="{00000000-0006-0000-01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P9" authorId="0" shapeId="0" xr:uid="{CF8E9E43-3B00-4B8C-BCD7-505EEF232B6B}">
      <text>
        <r>
          <rPr>
            <sz val="9"/>
            <color indexed="81"/>
            <rFont val="Tahoma"/>
            <family val="2"/>
          </rPr>
          <t>Inclusief Enduris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P69" authorId="0" shapeId="0" xr:uid="{F302C435-FC1F-472D-9353-A94039857E6A}">
      <text>
        <r>
          <rPr>
            <sz val="9"/>
            <color indexed="81"/>
            <rFont val="Tahoma"/>
            <family val="2"/>
          </rPr>
          <t>Waarde voor het eerste half jaar van 2026 wordt geschat door de meest recente beschikbare gegevens te gebruiken.</t>
        </r>
      </text>
    </comment>
  </commentList>
</comments>
</file>

<file path=xl/sharedStrings.xml><?xml version="1.0" encoding="utf-8"?>
<sst xmlns="http://schemas.openxmlformats.org/spreadsheetml/2006/main" count="3047" uniqueCount="903">
  <si>
    <t>Over dit bestand</t>
  </si>
  <si>
    <t>Zaaknummer</t>
  </si>
  <si>
    <t>Titel</t>
  </si>
  <si>
    <t>Ondertitel</t>
  </si>
  <si>
    <t>Hoort bij besluit(en):</t>
  </si>
  <si>
    <t>Hoort bij onderzoek/publicatie ACM:</t>
  </si>
  <si>
    <t>Kenmerk besluit(en)</t>
  </si>
  <si>
    <t>Samenhang met andere rekenbestanden</t>
  </si>
  <si>
    <t>Over de status van dit bestand</t>
  </si>
  <si>
    <t>Definitief? (j/n)</t>
  </si>
  <si>
    <t>Publicatie? (j/n)</t>
  </si>
  <si>
    <t>Juridisch integraal onderdeel van bovenstaande besluit(en) (j/n)?</t>
  </si>
  <si>
    <t>Opmerkingen openbare versiegeschiedenis</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</si>
  <si>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</si>
  <si>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</si>
  <si>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</si>
  <si>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</si>
  <si>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</si>
  <si>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</si>
  <si>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</si>
  <si>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</si>
  <si>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</si>
  <si>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</si>
  <si>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</si>
  <si>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</si>
  <si>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</si>
  <si>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</si>
  <si>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</si>
  <si>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</si>
  <si>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</si>
  <si>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</si>
  <si>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</si>
  <si>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</si>
  <si>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</si>
  <si>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</si>
  <si>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</si>
  <si>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</si>
  <si>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</si>
  <si>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</si>
  <si>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</si>
  <si>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</si>
  <si>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</si>
  <si>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</si>
  <si>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</si>
  <si>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</si>
  <si>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Omschrijving</t>
  </si>
  <si>
    <t>Bronverwijzing</t>
  </si>
  <si>
    <t>Opmerking</t>
  </si>
  <si>
    <t>Ophalen gegevens voor berekening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</si>
  <si>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</si>
  <si>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</si>
  <si>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</si>
  <si>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</si>
  <si>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</si>
  <si>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Berekende waarde die wordt opgehaald op een ander tabblad, incl. eindresultaat van berekening</t>
  </si>
  <si>
    <t>Nr.</t>
  </si>
  <si>
    <t xml:space="preserve">Verkorte naam </t>
  </si>
  <si>
    <t>Naam bestand extern</t>
  </si>
  <si>
    <t>Beschrijving berekening</t>
  </si>
  <si>
    <t>Beschrijving resultaat</t>
  </si>
  <si>
    <t>Schematische weergave en/of inhoudsopgave van de werking van dit model</t>
  </si>
  <si>
    <t>Aanvullende gegevens bestand extern</t>
  </si>
  <si>
    <t>Datum ontvangst, versie nr., opmerkingen</t>
  </si>
  <si>
    <t>Zoals gebruikt in dit bestand</t>
  </si>
  <si>
    <t>ENDURIS</t>
  </si>
  <si>
    <t>ENEXIS</t>
  </si>
  <si>
    <t>LIANDER</t>
  </si>
  <si>
    <t>RENDO</t>
  </si>
  <si>
    <t>STEDIN</t>
  </si>
  <si>
    <t>WESTLAND</t>
  </si>
  <si>
    <t>#</t>
  </si>
  <si>
    <t>Nacalculatiebedrag</t>
  </si>
  <si>
    <t>%</t>
  </si>
  <si>
    <t>Data rentepercentage tariefcorrecties</t>
  </si>
  <si>
    <t>Toelichting gegevens rentepercentage tariefcorrecties</t>
  </si>
  <si>
    <t>Rentepercentage tariefcorrecties</t>
  </si>
  <si>
    <t>Eerste kwartaal</t>
  </si>
  <si>
    <t>Tweede kwartaal</t>
  </si>
  <si>
    <t>Derde kwartaal</t>
  </si>
  <si>
    <t>Vierde kwartaal</t>
  </si>
  <si>
    <t>Mutatie van bedrag in oorspronkelijk prijspeil naar boekjaar</t>
  </si>
  <si>
    <t>Samengesteld percentage op basis van juli - juli mutatie:</t>
  </si>
  <si>
    <t>Berekening rentepercentage tariefcorrecties op jaarbasis</t>
  </si>
  <si>
    <t>Berekening mutatie rentepercentage tariefcorrecties over meerdere jaren</t>
  </si>
  <si>
    <t>Totale Inkomsten exclusief correcties</t>
  </si>
  <si>
    <t>X-factor</t>
  </si>
  <si>
    <t>Begininkomsten</t>
  </si>
  <si>
    <t>Input x-factoren en begininkomsten</t>
  </si>
  <si>
    <t>COTEQ</t>
  </si>
  <si>
    <t>Berekening richtbedragen</t>
  </si>
  <si>
    <t>Vanuit het oogpunt van kostenoriëntatie is het van belang dat de tariefinkomsten voor de transport- en aansluitdienst de verhouding in onderliggende kosten weerspiegelen.</t>
  </si>
  <si>
    <t>Om de richtbedragen te berekenen worden de volgende stappen doorlopen:</t>
  </si>
  <si>
    <t>- Ten eerste worden de efficiënte kosten voor de eenmalige aansluitdienst (EAV) bepaald aan de hand van gegevens uit het x-factormodel.</t>
  </si>
  <si>
    <t>Data cpi</t>
  </si>
  <si>
    <t>Toelichting vaststelling jaarlijks cpi-percentage</t>
  </si>
  <si>
    <t>cpi percentage</t>
  </si>
  <si>
    <t>EUR, pp 2020</t>
  </si>
  <si>
    <t>Deze kleur wordt uitsluitend gebruikt bij een informatieverzoek: cellen die door de ontvanger van het dataverzoek moeten worden ingevuld</t>
  </si>
  <si>
    <t>Een kader kan worden gebruikt om aan te geven dat een bepaald veld input bevat, maar deze input automatisch wordt ingeladen, bijvoorbeeld door middel van een macro (dus niet handmatig in te vullen)</t>
  </si>
  <si>
    <t>Data en input (bron wordt vermeld)</t>
  </si>
  <si>
    <t>Input richtbedragen</t>
  </si>
  <si>
    <t xml:space="preserve">Beschrijving </t>
  </si>
  <si>
    <t>Ophalen efficiënte kosten EAV</t>
  </si>
  <si>
    <t>Berekening efficiënte kosten</t>
  </si>
  <si>
    <t xml:space="preserve">Berekening aandelen in totale efficiënte kosten </t>
  </si>
  <si>
    <t>EUR, pp 2021</t>
  </si>
  <si>
    <t>Grijze cijfers geven de uitkomst van een check berekening; dit is geen resultaat waarmee verder wordt gerekend</t>
  </si>
  <si>
    <t>2022</t>
  </si>
  <si>
    <t>Begininkomsten 2021</t>
  </si>
  <si>
    <t>X-factor 2022-2026</t>
  </si>
  <si>
    <t>EUR, pp 2022</t>
  </si>
  <si>
    <t>cpi 2022</t>
  </si>
  <si>
    <t>Begininkomsten en x-factoren 2022-2026</t>
  </si>
  <si>
    <t>Ten behoeve hiervan neemt ACM hier een berekening op van de richtbedragen voor de transport- en aansluitdienst, op basis van het gewijzigde x-factormodel voor de periode 2022-2026.</t>
  </si>
  <si>
    <t>EAV 2020</t>
  </si>
  <si>
    <t>cpi 2022-2026</t>
  </si>
  <si>
    <t>Efficiënte kosten 2026 AD</t>
  </si>
  <si>
    <t>EUR, pp 2026</t>
  </si>
  <si>
    <t>Efficiënte kosten 2026 TD</t>
  </si>
  <si>
    <t>Efficiënte kosten EAV 2026</t>
  </si>
  <si>
    <t>Efficiënte kosten 2026 AD PAV</t>
  </si>
  <si>
    <t>Efficiënte kosten 2026 AD EAV</t>
  </si>
  <si>
    <t>Aandeel TD in efficiënte kosten 2026</t>
  </si>
  <si>
    <t>Aandeel AD PAV in efficiënte kosten 2026</t>
  </si>
  <si>
    <t>Aandeel AD EAV in efficiënte kosten 2026</t>
  </si>
  <si>
    <t>Efficiënte kosten 2021 AD</t>
  </si>
  <si>
    <t>Efficiënte kosten EAV 2021</t>
  </si>
  <si>
    <t>Efficiënte kosten 2021 TD</t>
  </si>
  <si>
    <t>Aansluitdienst</t>
  </si>
  <si>
    <t>TI 2022 (exclusief correcties)</t>
  </si>
  <si>
    <t>CPI 2022-2026</t>
  </si>
  <si>
    <t>StatLine</t>
  </si>
  <si>
    <t>DNB</t>
  </si>
  <si>
    <t>Nominale PV TD 2022-2026</t>
  </si>
  <si>
    <t>Nominale PV AD 2022-2026</t>
  </si>
  <si>
    <t>2023</t>
  </si>
  <si>
    <t>EUR, pp 2023</t>
  </si>
  <si>
    <t>TI 2023 (exclusief correcties)</t>
  </si>
  <si>
    <t>cpi 2023</t>
  </si>
  <si>
    <t>Voor bedragen oorspronkelijk in prijspeil 2022</t>
  </si>
  <si>
    <t>Input verwijderingskosten gasaansluitingen kleinverbruikers</t>
  </si>
  <si>
    <t>Verwijderingen zonder verzoek</t>
  </si>
  <si>
    <t>Verwijderingen aansluitingen laagbouw (grondgebonden woningen en 2-op-1/n-op-1 grondgebonden woningen)</t>
  </si>
  <si>
    <t>Verwijderingen aansluitingen hoogbouw (niet-grondgebonden woningen)</t>
  </si>
  <si>
    <t>Ophalen gegevens</t>
  </si>
  <si>
    <t>Totaal aantal verwijderde aansluitingen (exclusief meerlengte)</t>
  </si>
  <si>
    <t>Totale kosten voor verwijdering van meerlengtemeters</t>
  </si>
  <si>
    <t>Verwijderingen zonder verzoek - Hoogbouw</t>
  </si>
  <si>
    <t>Verwijderingen zonder verzoek - Laagbouw</t>
  </si>
  <si>
    <t>Efficiente kosten per netbeheerder</t>
  </si>
  <si>
    <t>Efficiente verwijderingskosten zonder verzoek</t>
  </si>
  <si>
    <t>Totaal aantal verwijderde aansluitingen t/m 40 m3(n)/uur</t>
  </si>
  <si>
    <t>Totale kosten van verwijderde aansluitingen t/m 40 m3(n)/uur</t>
  </si>
  <si>
    <t>Totaal aantal verwijderde aansluitingen</t>
  </si>
  <si>
    <t>Totale kosten verwijderde aansluitingen</t>
  </si>
  <si>
    <t>Totale Inkomsten inclusief correcties</t>
  </si>
  <si>
    <t>x-factor</t>
  </si>
  <si>
    <t>2024</t>
  </si>
  <si>
    <t>Transportdienst</t>
  </si>
  <si>
    <t>Voor bedragen oorspronkelijk in prijspeil 2023</t>
  </si>
  <si>
    <t>EUR, pp 2024</t>
  </si>
  <si>
    <t>Correctie voor reeds in x-factorberekening opgenomen verwijderingskosten</t>
  </si>
  <si>
    <t>Toelichting bij bijzonderheden</t>
  </si>
  <si>
    <t>Op dit blad worden inputgegevens verzameld voor de nacalculatie verwijderingskosten gasaansluitingen grootverbruikers zonder verzoek.</t>
  </si>
  <si>
    <t>Verwijderingen aansluitingen lagedruknet</t>
  </si>
  <si>
    <t>Verwijderingen aansluitingen hogedruknet</t>
  </si>
  <si>
    <t>Totaal aantal verwijderde aansluitingen &gt;40 m3(n)/uur (exclusief meerlengte)</t>
  </si>
  <si>
    <t>Totale kosten van verwijderde aansluitingen &gt;40 m3(n)/uur (exclusief meerlengte)</t>
  </si>
  <si>
    <t>Totaal aantal verwijderde meerlengtemeters bij aansluitingen &gt;40 m3(n)/uur</t>
  </si>
  <si>
    <t>Lagedruknet</t>
  </si>
  <si>
    <t>Efficiente kosten per verwijderde aansluiting (exclusief meerlengte)</t>
  </si>
  <si>
    <t>Totaal aantal verwijderde meerlengtemeters</t>
  </si>
  <si>
    <t>Totale kosten van verwijderde aansluitingen (exclusief meerlengte)</t>
  </si>
  <si>
    <t>Efficiënte kosten per verwijderde meerlengtemeter</t>
  </si>
  <si>
    <t>Hogedruknet</t>
  </si>
  <si>
    <t>Input invoeding</t>
  </si>
  <si>
    <t>cpi 2024</t>
  </si>
  <si>
    <t>TI 2024 (exclusief correcties)</t>
  </si>
  <si>
    <r>
      <t>Er wordt gebruik gemaakt van de restwaarde</t>
    </r>
    <r>
      <rPr>
        <i/>
        <sz val="10"/>
        <rFont val="Arial"/>
        <family val="2"/>
      </rPr>
      <t xml:space="preserve"> aan het einde van de reguleringsperiode</t>
    </r>
    <r>
      <rPr>
        <sz val="10"/>
        <rFont val="Arial"/>
        <family val="2"/>
      </rPr>
      <t xml:space="preserve"> om te voorkomen dat de netbeheerder een dubbele vergoeding van de kapitaalkosten ontvangt. In het methodebesluit 2022-2026 zijn de geschatte kapitaalkosten immers gebaseerd op de GAW inclusief de gedesinvesteerde activa. </t>
    </r>
  </si>
  <si>
    <t>EUR, pp. 2026</t>
  </si>
  <si>
    <t>Verwijderingskosten gasnetten</t>
  </si>
  <si>
    <t>Desinvesteringen</t>
  </si>
  <si>
    <t>Opbrengsten en kosten</t>
  </si>
  <si>
    <t>Discontovoet</t>
  </si>
  <si>
    <t>1+ discontovoet van 2022 naar 2026</t>
  </si>
  <si>
    <t>1+%</t>
  </si>
  <si>
    <t>Parameters</t>
  </si>
  <si>
    <t>Berekening netto resterende activawaarde desinvesteringen</t>
  </si>
  <si>
    <t>Nacalculatiebedrag groei invoeding</t>
  </si>
  <si>
    <t>Rekenvolumes invoeding 2022-2026</t>
  </si>
  <si>
    <t>Kleinverbruik (t/m 40 m3/h)</t>
  </si>
  <si>
    <t>Profielgrootverbruik ( &gt;40 m3/h)</t>
  </si>
  <si>
    <t>Telemetriegrootverbruik (&lt; 16 bar) gestandaardiseerd</t>
  </si>
  <si>
    <t>EUR/jaar/m3/h</t>
  </si>
  <si>
    <t>Profielgrootverbruik (&gt; 40 m3/h)</t>
  </si>
  <si>
    <t>Telemetriegrootverbruik (&lt; 16 bar)</t>
  </si>
  <si>
    <t>Ontwikkeling ontvangen inkomsten voor invoeding via afname</t>
  </si>
  <si>
    <t>Wegingsfactoren invoeding</t>
  </si>
  <si>
    <t>Ontwikkeling volumes invoeding ten opzichte van rekenvolumes</t>
  </si>
  <si>
    <t>Samengestelde output</t>
  </si>
  <si>
    <t>Nacalculatiebedragen</t>
  </si>
  <si>
    <t>Precario</t>
  </si>
  <si>
    <t>Lokale heffingen totaal</t>
  </si>
  <si>
    <t>Op dit blad worden input gegevens uit het x-factor berekeningsbestand verzameld.</t>
  </si>
  <si>
    <t>Totale kosten voor verwijdering van meerlengtemeters bij aansluitingen &gt;40 m3(n)/uur</t>
  </si>
  <si>
    <t>In het GAW bestand wordt op basis van de aanschafwaarde, het jaar van aanschaf, de afschrijvingstermijn en het jaar van desinvesteren berekend wat de restwaarde van een gedesinvesteerde actief aan het einde van de reguleringsperiode is (ook als het actief gedurende de reguleringsperiode wordt gedesinvesteerd).</t>
  </si>
  <si>
    <t>Geschatte volumes methodebesluit 2022-2026</t>
  </si>
  <si>
    <t xml:space="preserve">Vanaf 2022 geldt dat de kosten voor het verwijderen van gasaansluitingen van grootverbruikers zonder verzoek worden nagecalculeerd op basis van efficiënte kosten. </t>
  </si>
  <si>
    <t>In de berekening van de efficiënte kosten per verwijderde gasaansluiting wordt onderscheid gemaakt naar lage- en hogedruknetten en meerlengtemeters (vanaf 25 meter).</t>
  </si>
  <si>
    <t>De efficiënte verwijderingskosten zonder verzoek worden verrekend in het transporttarief.</t>
  </si>
  <si>
    <t>Efficiënte kosten per verwijderde aansluiting (exclusief meerlengte)</t>
  </si>
  <si>
    <t>Efficiënte verwijderingskosten zonder verzoek</t>
  </si>
  <si>
    <t>Desinvesteringen van verwijderde gasactiva en verwijderingskosten van gasnetten worden op werkelijke basis nagecalculeerd. Enkel verwijderingen als gevolg van de afnemende benutting van het gasnet komen in aanmerking voor nacalculatie.</t>
  </si>
  <si>
    <t>Voor het transportdomein worden de operationele kosten voor het verwijderen van gasnetten hierbij opgeteld.</t>
  </si>
  <si>
    <t>Resterende activawaarde desinvesteringen</t>
  </si>
  <si>
    <t>Opbrengsten die op enigerlei wijze samenhangen met desinvesteringen</t>
  </si>
  <si>
    <t>Totaal resterende activawaarde desinvesteringen</t>
  </si>
  <si>
    <t>Op dit blad worden de gegevens van verwijderde desinvesteringen en de operationele kosten voor het verwijderen van gasnetten verzameld. Enkel verwijderingen als gevolg van de afnemende benutting van het gasnet worden meegenomen.</t>
  </si>
  <si>
    <t>Ophalen parameters</t>
  </si>
  <si>
    <t>Profielgrootverbruik (&gt;40 m3/h)</t>
  </si>
  <si>
    <t>Telemetriegrootverbruik (&lt;16 bar) gestandaardiseerd</t>
  </si>
  <si>
    <t>Telemetriegrootverbruik (&lt;16 bar)</t>
  </si>
  <si>
    <t>- Tot slot wordt voor elke nacalculatie bepaald op welk domein deze betrekking heeft. De nacalculatie wordt vervolgens toegevoegd aan het betreffende richtbedrag.</t>
  </si>
  <si>
    <t>Efficiënte kosten 2026 totaal</t>
  </si>
  <si>
    <t>Operationele verwijderingskosten gasnetten</t>
  </si>
  <si>
    <t xml:space="preserve">Er wordt gebruik gemaakt van de restwaarde aan het einde van de reguleringsperiode om te voorkomen dat de netbeheerder een dubbele vergoeding van de kapitaalkosten ontvangt. In het methodebesluit 2022-2026 zijn de geschatte kapitaalkosten immers gebaseerd op de GAW inclusief de inmiddels gedesinvesteerde activa. </t>
  </si>
  <si>
    <t>Operationele verwijderingskosten van gasnetten</t>
  </si>
  <si>
    <t>Efficiënte kosten</t>
  </si>
  <si>
    <t>Gegevens GAW</t>
  </si>
  <si>
    <t>GAW 2018</t>
  </si>
  <si>
    <t>EUR, pp 2018</t>
  </si>
  <si>
    <t>GAW 2019</t>
  </si>
  <si>
    <t>EUR, pp 2019</t>
  </si>
  <si>
    <t>GAW 2020</t>
  </si>
  <si>
    <t>WACC in x-factorberekening</t>
  </si>
  <si>
    <t>WACC bestaand vermogen incl. nacalculatie rente</t>
  </si>
  <si>
    <t>Productiviteitsverandering tot 2021</t>
  </si>
  <si>
    <t>Productiviteitsverandering 2021-2026</t>
  </si>
  <si>
    <t>Geschatte jaarlijkse CPI voor de periode 2022-2026</t>
  </si>
  <si>
    <t>RENDO incl. BV</t>
  </si>
  <si>
    <t>GAW AD</t>
  </si>
  <si>
    <t>GAW TD</t>
  </si>
  <si>
    <t>Nominale WACC begininkomstenjaar 2021</t>
  </si>
  <si>
    <t>Nominale WACC eindinkomstenjaar 2026</t>
  </si>
  <si>
    <t>Productiviteitsverandering AD</t>
  </si>
  <si>
    <t>Productiviteitsverandering TD</t>
  </si>
  <si>
    <t>SO totaal voor maatstaf TD 2022-2026</t>
  </si>
  <si>
    <t>SO totaal voor maatstaf AD 2022-2026 (EAV o.b.v. peiljaren)</t>
  </si>
  <si>
    <t>SO totaal voor maatstaf AD 2022-2026 (EAV o.b.v. 2020)</t>
  </si>
  <si>
    <t>Ophalen gegevens GAW</t>
  </si>
  <si>
    <t>CPI</t>
  </si>
  <si>
    <t>CPI 2019</t>
  </si>
  <si>
    <t>CPI 2020</t>
  </si>
  <si>
    <t>CPI 2021</t>
  </si>
  <si>
    <t>2019</t>
  </si>
  <si>
    <t>2020</t>
  </si>
  <si>
    <t>2021</t>
  </si>
  <si>
    <t>GAW TD incl. correctie Enduris en correctie RENDO voor start-GAW</t>
  </si>
  <si>
    <t>GAW TD in 2021</t>
  </si>
  <si>
    <t>Gemiddelde GAW TD in 2021</t>
  </si>
  <si>
    <t>Gemiddelde GAW AD in 2021</t>
  </si>
  <si>
    <t>GAW AD in 2021</t>
  </si>
  <si>
    <t>GAW AD incl. correctie Enduris</t>
  </si>
  <si>
    <t>Gewijzigd kostenbestand RNB G 2022-2026, tabblad 'Berekening kapitaalkosten AD', rij 161</t>
  </si>
  <si>
    <t>Gewijzigd kostenbestand RNB G 2022-2026, tabblad 'Berekening kapitaalkosten AD', rij 204</t>
  </si>
  <si>
    <t>Gewijzigd kostenbestand RNB G 2022-2026, tabblad 'Berekening kapitaalkosten AD', rij 247</t>
  </si>
  <si>
    <t>Gewijzigd kostenbestand RNB G 2022-2026, tabblad 'Berekening kapitaalkosten TD', rij 161</t>
  </si>
  <si>
    <t>Gewijzigd kostenbestand RNB G 2022-2026, tabblad 'Berekening kapitaalkosten TD', rij 204</t>
  </si>
  <si>
    <t>Gewijzigd kostenbestand RNB G 2022-2026, tabblad 'Berekening kapitaalkosten TD', rij 247</t>
  </si>
  <si>
    <t>Gewijzigde x-factorberekening RNB G 2022-2026, tabblad 'Reguleringsparameters', cel H13</t>
  </si>
  <si>
    <t>Gewijzigde x-factorberekening RNB G 2022-2026, tabblad 'Reguleringsparameters', cel H14</t>
  </si>
  <si>
    <t>Gewijzigde x-factorberekening RNB G 2022-2026, tabblad 'Reguleringsparameters', cel H26</t>
  </si>
  <si>
    <t xml:space="preserve"> </t>
  </si>
  <si>
    <t>Gewijzigde x-factorberekening RNB G 2022-2026, tabblad 'SO, BI &amp; PV', rij 12</t>
  </si>
  <si>
    <t>Gewijzigde x-factorberekening RNB G 2022-2026, tabblad 'SO, BI &amp; PV', rij 28</t>
  </si>
  <si>
    <t>Gewijzigde x-factorberekening RNB G 2022-2026, tabblad 'SO, BI &amp; PV', rij 29</t>
  </si>
  <si>
    <t>Gewijzigde x-factorberekening RNB G 2022-2026, tabblad 'Resultaat', cel H33</t>
  </si>
  <si>
    <t>Gewijzigde x-factorberekening RNB G 2022-2026, tabblad 'Resultaat', cel H35</t>
  </si>
  <si>
    <t>Gewijzigde x-factorberekening RNB G 2022-2026, tabblad 'Resultaat', cel H32</t>
  </si>
  <si>
    <t>Gewijzigde x-factorberekening RNB G 2022-2026, tabblad 'Resultaat', cel H34</t>
  </si>
  <si>
    <t>Verschil efficiënte vermogenskosten TD per SO</t>
  </si>
  <si>
    <t>Verschil efficiënte vermogenskosten TD per netbeheerder o.b.v. SO</t>
  </si>
  <si>
    <t>Verschil efficiënte vermogenskosten AD per SO (EAV o.b.v. peiljaren)</t>
  </si>
  <si>
    <t>Verschil efficiënte vermogenskosten AD per netbeheerder o.b.v. SO (EAV o.b.v. 2020)</t>
  </si>
  <si>
    <t>Reeds in x-factorberekening opgenomen verwijderingskosten gasaansluiting KV (zonder verzoek)</t>
  </si>
  <si>
    <t>SO Transportdienst</t>
  </si>
  <si>
    <t>Verwijderingskosten per eenheid SO</t>
  </si>
  <si>
    <t>Verdeling totale verwijderingskosten in begininkomsten op basis van SO</t>
  </si>
  <si>
    <t>Nog te vergoeden verwijderingskosten gasaansluiting zonder verzoek</t>
  </si>
  <si>
    <t>Per 1 januari 2022 zijn lokale heffingen afgeschaft. De kosten in deze nacalculatie betreffen enkel naheffingen van eerdere lokale heffingen.</t>
  </si>
  <si>
    <t>Om tot de ontwikkeling van ontvangen inkomsten voor invoeding via afname te komen, doorloopt de ACM de volgende stappen:</t>
  </si>
  <si>
    <t>3. De ontwikkeling van ontvangen inkomsten voor invoeding via afname volgt door de ontwikkeling van ontvangen inkomsten uit afname (uit stap 2) te vermenigvuldigen met het aandeel van de SO invoeding in de totale SO van de transportdienst.</t>
  </si>
  <si>
    <t xml:space="preserve">2. De ontwikkeling van ontvangen inkomsten uit afname wordt berekend door de ontwikkeling van volumes (uit stap 1) te vermenigvuldigen met de rolling forward wegingsfactoren. </t>
  </si>
  <si>
    <t>Om tot het nacalculatiebedrag te komen, doorloopt de ACM de volgende stappen:</t>
  </si>
  <si>
    <t>Gewijzigde x-factorberekening RNB G 2022-2026; tabblad '7) Totale kosten TD maatstaf', rij 75</t>
  </si>
  <si>
    <t>Gewijzigde x-factorberekening RNB G 2022 - 2026, tabblad  'Resultaat', regel 12</t>
  </si>
  <si>
    <t>Gewijzigde x-factorberekening RNB G 2022 - 2026, tabblad  'Resultaat', regel 16</t>
  </si>
  <si>
    <t>Gewijzigde x-factorberekening RNB G 2022 - 2026, tabblad  'Resultaat', regel 20</t>
  </si>
  <si>
    <t>Gewijzigde X-factorberekening RNB G 2022 - 2026, tabblad  '4) Berekeningen op parameters', cel W21</t>
  </si>
  <si>
    <t>GAW-bestand RNB-G 2022-2026 [RNB] tbv nacalcuatie desinvesteringen</t>
  </si>
  <si>
    <t>Gewijzigde x-factorberekening RNB G 2022 - 2026, tabblad 'Kosten 2015-2020', rij 128</t>
  </si>
  <si>
    <t>Gewijzigde x-factorberekening RNB G 2022 - 2026, tabblad 'Totale kosten AD maatstaf', rij 69</t>
  </si>
  <si>
    <t>Gewijzigde x-factorberekening RNB G 2022 - 2026, tabblad 'Resultaat', rij 34</t>
  </si>
  <si>
    <t>Gewijzigde x-factorberekening RNB G 2022 - 2026, tabblad 'Resultaat', rij 35</t>
  </si>
  <si>
    <t>Gewijzigde x-factorberekening RNB G 2022 - 2026, tabblad 'X-factor &amp; tariefruimte', rij 25</t>
  </si>
  <si>
    <t>Gewijzigde x-factorberekening RNB G 2022 - 2026, tabblad 'Resultaat', rij 16</t>
  </si>
  <si>
    <t>Gewijzigde x-factorberekening RNB G 2022 - 2026, tabblad 'Resultaat', rij 17</t>
  </si>
  <si>
    <t>Gewijzigde x-factorberekening RNB G 2022 - 2026, tabblad 'Resultaat', rij 12</t>
  </si>
  <si>
    <t>Gewijzigde x-factorberekening RNB G 2022 - 2026, tabblad 'Resultaat', rij 13</t>
  </si>
  <si>
    <t>Er is in de methodebesluiten dus geen afzonderlijke WACC vastgesteld voor de tussenliggende jaren 2022-2025. Deze afzonderlijke WACC is wel benodigd voor de nacalculatie van de WACC voor deze jaren.</t>
  </si>
  <si>
    <t>Door de afzonderlijke WACC te berekenen voor ieder tussenliggend jaar ziet de nacalculatie telkens op één jaar en is er geen sprake van een herverdeling van inkomsten over tijd.</t>
  </si>
  <si>
    <t>De nacalculatie komt vervolgens tot stand via de volgende stappen:</t>
  </si>
  <si>
    <t>Stap 4: Het verschil tussen de twee vermogenskosten vormt het nacalculatiebedrag voor de sector.</t>
  </si>
  <si>
    <t>Stap 5: Voor het aansluitdomein wordt dit bedrag gecorrigeerd voor het verschil tussen de SO op basis van de EAV in de peiljaren en de SO op basis van de EAV in enkel 2020.</t>
  </si>
  <si>
    <t>Stap 6: Dit bedrag wordt vervolgens op basis van de samengestelde output aan de individuele netbeheerders toebedeeld om tot het nacalculatiebedrag te komen.</t>
  </si>
  <si>
    <t>CPI van … naar 2010</t>
  </si>
  <si>
    <t>Dataset investeringen uit investeringsbestand</t>
  </si>
  <si>
    <t>Taken voor selectie</t>
  </si>
  <si>
    <t>TD</t>
  </si>
  <si>
    <t>Netbeheerder</t>
  </si>
  <si>
    <t>Type</t>
  </si>
  <si>
    <t>Activacategorie</t>
  </si>
  <si>
    <t>Overgenomen van [naam netbeheerder]</t>
  </si>
  <si>
    <t>Taak</t>
  </si>
  <si>
    <t>Combinatie type en taak</t>
  </si>
  <si>
    <t>AD</t>
  </si>
  <si>
    <t>Afschrijvingstermijn</t>
  </si>
  <si>
    <t>(Veronderstelde) investeringsdatum</t>
  </si>
  <si>
    <t>Investerings- bedrag</t>
  </si>
  <si>
    <t>Correctie startmoment</t>
  </si>
  <si>
    <t>Afschrijvingstermijn vanaf 2011</t>
  </si>
  <si>
    <t>Herijkt (veronderstelde) investeringsdatum</t>
  </si>
  <si>
    <t>Factor indexering naar ultimo 2010</t>
  </si>
  <si>
    <t>Herijkt (verondersteld) investeringsbedrag (in euro's)</t>
  </si>
  <si>
    <t>GAW ultimo 2010 (in euro's)</t>
  </si>
  <si>
    <t>Opmerkingen</t>
  </si>
  <si>
    <t>19 Onbekend</t>
  </si>
  <si>
    <t>CPI jaar t</t>
  </si>
  <si>
    <t>Berekening CPI-tabel</t>
  </si>
  <si>
    <t>Groeifactor</t>
  </si>
  <si>
    <t xml:space="preserve">CPI van … naar … </t>
  </si>
  <si>
    <t>Herijking GAW</t>
  </si>
  <si>
    <t>Op dit tabblad worden de desinvesteringen opgehaald die netbeheerders opgeven in de Reguleringsdata van het betreffende jaar. Deze desinvesteringen worden vervolgens herijkt naar het jaar ultimo 2010 en dienen ter input voor de betreffende GAW bestanden per netbeheerder.</t>
  </si>
  <si>
    <t>Coteq</t>
  </si>
  <si>
    <t>Omdat de kosten voor lokale heffingen niet beïnvloedbaar zijn door de netbeheerder worden deze op werkelijke basis nagecalculeerd.</t>
  </si>
  <si>
    <t>1. De ACM berekent de ontwikkeling van volumes in de transportdienst door het verschil te nemen tussen gerealiseerde volumes en rekenvolumes.</t>
  </si>
  <si>
    <t>Daarom wordt eerst de WACC berekend voor de tussenliggende jaren 2022-2025, uitgaande van het lineaire verloop van geschatte efficiënte kosten tussen 2021 en 2026.</t>
  </si>
  <si>
    <t>De kosten voor lokale heffingen worden afzonderlijk bepaald per gemeente, waardoor deze verschillen per netbeheerder. De netbeheerders kunnen daarom zelf geen invloed uitoefenen op de hoogte van deze kostenpost.</t>
  </si>
  <si>
    <t>Verrekende resterende activawaarde desinvesteringen</t>
  </si>
  <si>
    <t>Input netverliezen</t>
  </si>
  <si>
    <t>In 2022 zijn de energieprijzen voor gas sterk toegenomen. Door deze hoge energieprijzen is het voor de regionale netbeheerders duurder geworden om netverliezen in te kopen.</t>
  </si>
  <si>
    <t>Kosten netverliezen</t>
  </si>
  <si>
    <t>Efficiënte kosten netverliezen 2021</t>
  </si>
  <si>
    <t>Parameters voor berekeningen</t>
  </si>
  <si>
    <t>SO transportdienst voor maatstaf 2022-2026</t>
  </si>
  <si>
    <t>Berekening van ongedekte kosten netverliezen</t>
  </si>
  <si>
    <t>Nacalculatieberekening</t>
  </si>
  <si>
    <t>Nacalculatie op individuele basis (75%)</t>
  </si>
  <si>
    <t>Sectorgemiddelde ongedekte kosten netverliezen per SO</t>
  </si>
  <si>
    <t>Sectorgemiddelde ongedekte kosten per netbeheerder op basis van SO</t>
  </si>
  <si>
    <t>Nacalculatie op sectorgemiddelde basis (25%)</t>
  </si>
  <si>
    <t>Correctiebedrag</t>
  </si>
  <si>
    <t>Input parameters</t>
  </si>
  <si>
    <t>Deze parameters betreffen de CPI en het rentepercentage tariefcorrecties.</t>
  </si>
  <si>
    <t>Op dit blad worden inputgegevens verzameld voor relevante parameters in de berekening van de Totale Inkomsten.</t>
  </si>
  <si>
    <t>De ACM gebruikt het rentepercentage tariefcorrecties voor de vergoeding van de tijdwaarde van geld in het geval van het toekennen van correcties in de tarieven die volgen uit nacalculaties over eerdere jaren.</t>
  </si>
  <si>
    <t>De nacalculaties waarop het rentepercentage tariefcorrecties wordt toegepast kunnen zowel positief als negatief zijn; ACM past het rentepercentage tariefcorrecties symmetrisch toe.</t>
  </si>
  <si>
    <t>Rentepercentage wettelijke rente</t>
  </si>
  <si>
    <t>Rentepercentage ECB rente</t>
  </si>
  <si>
    <t>ECB</t>
  </si>
  <si>
    <t>Ophalen gegevens voor berekening CPI</t>
  </si>
  <si>
    <t>Ophalen gegevens voor berekening rentepercentage tariefcorrecties</t>
  </si>
  <si>
    <t>Schatting wettelijke rente eerste kwartaal</t>
  </si>
  <si>
    <t>Schatting wettelijke rente tweede kwartaal</t>
  </si>
  <si>
    <t>1 + CPI</t>
  </si>
  <si>
    <t>Op dit blad wordt voor de CPI en de wettelijke rente de mutatie tussen twee jaren berekend.</t>
  </si>
  <si>
    <t>Input overname private netten</t>
  </si>
  <si>
    <t>Op dit blad worden input gegevens verzameld voor de nacalculatie overname private netten, die volgt uit artikel 9 van de 'Beleidsregel ACM beoordeling doelmatige kosten van niet-reguliere uitbreidingsinvesteringen'.</t>
  </si>
  <si>
    <t>Voor de nacalculatie wordt gecorrigeerd voor zowel de kosten als de opbrengsten voortkomend uit de overname van een privaat net.</t>
  </si>
  <si>
    <t>Jaren</t>
  </si>
  <si>
    <t>Operationele kosten</t>
  </si>
  <si>
    <t>Inkomsten</t>
  </si>
  <si>
    <t>Overname private netten</t>
  </si>
  <si>
    <t>Voor deze nacalculatie wordt er gecorrigeerd voor de kosten en opbrengsten voortkomend uit de overname van een privaat net, omdat deze niet zijn meegenomen in het methodebesluit elektriciteit 2022-2026.</t>
  </si>
  <si>
    <t>De kosten staan gelijk aan de kapitaalkosten en de operationele kosten. De kapitaalkosten komen voort uit de investeringen in het private net, waarbij onderscheid wordt gemaakt tussen de initiële overname en latere investeringen.</t>
  </si>
  <si>
    <t>Vermogenskosten</t>
  </si>
  <si>
    <t>Overname private netten TD</t>
  </si>
  <si>
    <t>Overname private netten AD</t>
  </si>
  <si>
    <t>Het nacalculatiebedrag op werkelijke kostenbasis staat per netbeheerder gelijk aan zijn ongedekte kosten vermenigvuldigd met 75%.</t>
  </si>
  <si>
    <t>De nacalculatie wordt voor 75% berekend op basis van werkelijke kosten en voor 25% op basis van de sectorgemiddelde kosten.</t>
  </si>
  <si>
    <t>Op dit blad worden inputgegevens verzameld voor de nacalculatie verwijderingskosten gasaansluitingen kleinverbruikers zonder verzoek.</t>
  </si>
  <si>
    <t>Omdat de personeelsentiteit van RENDO tot en met 2019 deel uitmaakte van de transportdienst van de netbeheerder wordt er tot en met 2019 rekening gehouden met de GAW van RENDO inclusief de activa van de personeelsentiteit.</t>
  </si>
  <si>
    <t>De efficiënte verwijderingskosten per aansluiting staan afzonderlijk voor laag- en hoogbouw gelijk aan de gemiddelde kosten van de gehele sector.</t>
  </si>
  <si>
    <t>Bronverwijzijng</t>
  </si>
  <si>
    <t>In de berekening van de efficiënte kosten per verwijderde gasaansluiting wordt gebruik gemaakt van kostengegevens over verwijderingen zonder verzoek, waarbij onderscheid gemaakt wordt naar laag- en hoogbouw woningen.</t>
  </si>
  <si>
    <t>Netverliezen in methodebesluit</t>
  </si>
  <si>
    <t>Fraude en leegstand: In rekening gebrachte elektriciteit</t>
  </si>
  <si>
    <t>Fraude en leegstand: In rekening gebrachte overige kosten</t>
  </si>
  <si>
    <t>Fraude en leegstand: In rekening gebrachte transportvergoeding</t>
  </si>
  <si>
    <t>Opbrengsten mbt netverliezen 2020</t>
  </si>
  <si>
    <t>Opbrengsten mbt netverliezen 2019</t>
  </si>
  <si>
    <t>Opbrengsten mbt netverliezen 2018</t>
  </si>
  <si>
    <t>Reguleringsdata 2018, tabel 7A</t>
  </si>
  <si>
    <t>Reguleringsdata 2018, tabel 6</t>
  </si>
  <si>
    <t>Reguleringsdata 2019, tabel 7A</t>
  </si>
  <si>
    <t>Reguleringsdata 2019, tabel 6</t>
  </si>
  <si>
    <t>Reguleringsdata 2020, tabel 7A</t>
  </si>
  <si>
    <t>Reguleringsdata 2020, tabel 6</t>
  </si>
  <si>
    <t>cpi 2019</t>
  </si>
  <si>
    <t>cpi 2020</t>
  </si>
  <si>
    <t>cpi 2021</t>
  </si>
  <si>
    <t>Gewijzigde x-factorberekening RNB G 2022-2026, tabblad 'Resultaat', cel F32</t>
  </si>
  <si>
    <t>Reële productiviteitsverandering TD tot 2021</t>
  </si>
  <si>
    <t>Gemiddelde opbrengsten mbt netverliezen 2018-2020</t>
  </si>
  <si>
    <t>Geschatte opbrengsten mbt netverliezen in BI2021</t>
  </si>
  <si>
    <t>Geschatte opbrengsten mbt netverliezen in BI2021 per eenheid SO</t>
  </si>
  <si>
    <t>EUR/#, pp 2021</t>
  </si>
  <si>
    <t>Geschatte opbrengsten mbt netverliezen in BI2021 per netbeheerder</t>
  </si>
  <si>
    <t>Netto efficiënte kosten netverliezen 2021</t>
  </si>
  <si>
    <t>2025</t>
  </si>
  <si>
    <t>Gewijzigd SO-bestand RNB G 2022-2026, tabblad 'Rekenvolumes invoeding', rij 252</t>
  </si>
  <si>
    <t>Gewijzigd SO-bestand RNB G 2022-2026, tabblad 'Rekenvolumes invoeding', rij 253</t>
  </si>
  <si>
    <t>Gewijzigd SO-bestand RNB G 2022-2026, tabblad 'Rekenvolumes invoeding', rij 254</t>
  </si>
  <si>
    <t>Voor bedragen oorspronkelijk in prijspeil 2024</t>
  </si>
  <si>
    <t>Fraude en leegstand: In rekening gebracht gas</t>
  </si>
  <si>
    <t>Gewijzigde x-factorberekening RNB G 2022-2026, tabblad '9) Kosten netverliezen', regel 71</t>
  </si>
  <si>
    <t>Gewijzigde x-factorberekening RNB G 2022-2026, tabblad '3) SO, BI &amp; PV', rij 12</t>
  </si>
  <si>
    <t>Stap 1: Eerst worden de gemiddelde opbrengsten met betrekking tot netverliezen uit 2018-2020 berekend en naar het prijspeil en efficiëntieniveau van 2021 gebracht en verdeeld op basis van de samengestelde output.</t>
  </si>
  <si>
    <t>Stap 2: Deze opbrengsten worden afgetrokken van de geschatte efficiënte kosten voor netverliezen in 2021 uit het methodebesluit om tot de individuele vergoeding in de begininkomsten 2021 te komen;</t>
  </si>
  <si>
    <t>Het nacalculatiebedrag op sectorgemiddelde kostenbasis staat per netbeheerder gelijk aan de sectorgemiddelde kosten vermenigvuldigd met zijn samengestelde ouput, wat vervolgens vermenigvuldigd wordt met 25%.</t>
  </si>
  <si>
    <t>Vergoeding netverliezen uit methodebesluit</t>
  </si>
  <si>
    <t>Opbrengsten 2018, prijspeil 2020</t>
  </si>
  <si>
    <t>Opbrengsten 2019, prijspeil 2020</t>
  </si>
  <si>
    <t>Opbrengsten 2020, prijspeil 2020</t>
  </si>
  <si>
    <t>EUR, pp 2025</t>
  </si>
  <si>
    <t>Efficiente kosten per verwijderde aansluiting laagbouw</t>
  </si>
  <si>
    <t>Efficiente kosten per verwijderde aansluiting hoogbouw</t>
  </si>
  <si>
    <t>Efficiënte kosten per verwijderde aansluiting</t>
  </si>
  <si>
    <t>Gerealiseerde volumes invoeding 2023</t>
  </si>
  <si>
    <t>Wegingsfactoren invoeding 2023</t>
  </si>
  <si>
    <t>Liander</t>
  </si>
  <si>
    <t>Stedin</t>
  </si>
  <si>
    <t>cpi 2025</t>
  </si>
  <si>
    <t>TI 2025 (exclusief correcties)</t>
  </si>
  <si>
    <t>TD + PAV + EAV</t>
  </si>
  <si>
    <t>PAV + EAV</t>
  </si>
  <si>
    <t>PAV</t>
  </si>
  <si>
    <t>VOLUMES PROFIELVERBRUIK: AANTALLEN AANSLUITINGEN</t>
  </si>
  <si>
    <t>Kleinverbruikers</t>
  </si>
  <si>
    <t>=&lt; 10 m3(n)h, jaarverbruik &lt; 500 Nm3</t>
  </si>
  <si>
    <t>=&lt; 10 m3(n)h, jaarverbruik vanaf 500 Nm3 en &lt; 4.000 Nm3</t>
  </si>
  <si>
    <t>=&lt; 10 m3(n)h, jaarverbruik vanaf 4.000 Nm3</t>
  </si>
  <si>
    <t>&gt; 10 en =&lt; 16 m3(n)h</t>
  </si>
  <si>
    <t>&gt; 16 en =&lt; 25 m3(n)h</t>
  </si>
  <si>
    <t>&gt; 25 en =&lt; 40 m3(n)h</t>
  </si>
  <si>
    <t>Profielgrootverbruikers</t>
  </si>
  <si>
    <t>&gt; 40 en =&lt; 65 m3(n)h</t>
  </si>
  <si>
    <t>&gt; 65 en =&lt; 100 m3(n)h</t>
  </si>
  <si>
    <t>&gt; 100 en =&lt; 160 m3(n)h</t>
  </si>
  <si>
    <t>&gt; 160 en =&lt; 250 m3(n)h</t>
  </si>
  <si>
    <t>&gt; 250 m3(n)h</t>
  </si>
  <si>
    <t>VOLUMES TELEMETRIE: AANTALLEN AANSLUITINGEN</t>
  </si>
  <si>
    <t>Telemetrie &lt; 16 bar</t>
  </si>
  <si>
    <t>VOLUMES TELEMETRIE: GECONTRACTEERDE CAPACITEIT</t>
  </si>
  <si>
    <t>Hoge druk (&gt;= 200 Mbar en &lt; 16 Bar)</t>
  </si>
  <si>
    <t>Lage druk (&lt; 200 Mbar)</t>
  </si>
  <si>
    <t>Totaal volume indien geen onderscheid LD/HD: Standaard</t>
  </si>
  <si>
    <t>Rekencapaciteiten TD profielverbruikers</t>
  </si>
  <si>
    <t>Ophalen rekencapaciteiten TD profielverbruikers</t>
  </si>
  <si>
    <t>Wegingsfactoren TD</t>
  </si>
  <si>
    <t>Vastrecht (TOVT)</t>
  </si>
  <si>
    <t>Capaciteitsafhankelijk tarief (TAVTc)</t>
  </si>
  <si>
    <t>Capaciteitsafhankelijk tarief (TAVTc) gestandaardiseerd</t>
  </si>
  <si>
    <t xml:space="preserve">Ophalen wegingsfactoren TD </t>
  </si>
  <si>
    <t>Volumes kleinverbruik (t/m 40 m3/h)</t>
  </si>
  <si>
    <t>Volumes profielgrootverbruik (&gt; 40 m3/h)</t>
  </si>
  <si>
    <t>Volumes telemetriegrootverbruik (&lt; 16 bar)</t>
  </si>
  <si>
    <t>Samengestelde Output transportdienst</t>
  </si>
  <si>
    <t>SO-bestand RNB G 2022-2026, tabblad 'Berekening wegingsfactoren', rij 604</t>
  </si>
  <si>
    <t>SO-bestand RNB G 2022-2026, tabblad 'Berekening wegingsfactoren', rij 607</t>
  </si>
  <si>
    <t>SO-bestand RNB G 2022-2026, tabblad 'Berekening wegingsfactoren', rij 608</t>
  </si>
  <si>
    <t>SO-bestand RNB G 2022-2026, tabblad 'Berekening wegingsfactoren', rij 611</t>
  </si>
  <si>
    <t>SO-bestand RNB G 2022-2026, tabblad 'Berekening wegingsfactoren', rij 612</t>
  </si>
  <si>
    <t>SO-bestand RNB G 2022-2026, tabblad 'Berekening wegingsfactoren', rij 603</t>
  </si>
  <si>
    <t>SO transportdienst (exclusief invoeding) voor maatstaf 2022-2026</t>
  </si>
  <si>
    <t>SO-bestand RNB G 2022-2026, tabblad 'SO voor maatstaf', som van rijen 370-379</t>
  </si>
  <si>
    <t>De relatieve wijziging van de consumentenprijsindex wordt berekend uit het quotiënt van van deze prijsindex, gepubliceerd in de vierde maand voorafgaande aan het jaar t, en van deze index, gepubliceerd in de zestiende maand voorafgaande aan het jaar t, zoals deze maandelijks wordt vastgesteld door het CBS.</t>
  </si>
  <si>
    <t>De ACM hanteert vanaf 2022 de wettelijke rente als rentepercentage voor tariefcorrecties. De wettelijke rente wordt halfjaarlijks door De Nederlandsche Bank gepubliceerd.</t>
  </si>
  <si>
    <t>De ACM calculeert invoedingsvolumes na om de netbeheerder een vergoeding te bieden voor exra invoedingskosten a.g.v. veranderingen in de vraag naar invoeding gedurende de reguleringsperiode.</t>
  </si>
  <si>
    <t>De ACM heeft de geaggregeerde volumes, rolling forward wegingsfactoren en de ontwikkeling van ontvangen inkomsten voor invoeding via afname in een separaat Excelbestand berekend. Dit bestand wordt als bijlage gepubliceerd.</t>
  </si>
  <si>
    <t>Berekening van parameters</t>
  </si>
  <si>
    <t>Door de wettelijke rente toe te passen kunnen correctiebedragen uit eerdere jaren naar het prijspeil in het tarievenjaar 2025 worden gebracht.</t>
  </si>
  <si>
    <t>De geschatte vermogenskosten vormen onderdeel van de gewijzigde x-factorberekening. De ACM stelt de jaarlijkse geschatte vermogenskosten in de gewijzigde x-factorberekening vast door uit te gaan van een lineair verloop van de geschatte efficiënte kosten tussen 2021 en 2026.</t>
  </si>
  <si>
    <t>Stap 1: Het startpunt is de sectorgemiddelde GAW 2018-2020 in efficiëntie niveau 2021 en prijspeil 2021 uit het gewijzigde x-factorbestand.</t>
  </si>
  <si>
    <t>Stap 3: Vervolgens worden de vermogenskosten tweemaal berekend door de GAW te vermenigvuldigen met 1) de WACC die is af te leiden uit de gewijzigde x-factorberekening en 2) de herrekende WACC.</t>
  </si>
  <si>
    <t>Voor de nacalculatie risicovrije rente en de rente voor de kostenvoet vreemd vermogen wordt jaarlijks het absolute verschil berekend tussen de geschatte vermogenskosten en de vermogenskosten op basis van de herrekende WACC.</t>
  </si>
  <si>
    <t>Berekening verschil vermogenskosten TD n.a.v. herrekende WACC</t>
  </si>
  <si>
    <t>Berekening verschil vermogenskosten AD n.a.v. herrekende WACC</t>
  </si>
  <si>
    <t>WACC in gewijzigde x-factorberekening</t>
  </si>
  <si>
    <t>Toegestane extra inkomsten invoeding vóór correctie ontwikkeling afnamevolumes</t>
  </si>
  <si>
    <t>Toegestane extra inkomsten invoeding ná correctie ontwikkeling afnamevolumes</t>
  </si>
  <si>
    <t>Berekening gecorrigeerde ontwikkeling invoeding</t>
  </si>
  <si>
    <t>Stap 1: De ACM berekent de ontwikkeling van invoedingsvolumes door het verschil te nemen tussen gerealiseerde volumes en rekenvolumes.</t>
  </si>
  <si>
    <t xml:space="preserve">Stap 2: Het bruto nacalculatiebedrag wordt berekend door de ontwikkeling van invoedingsvolumes (uit stap 1) te vermenigvuldigen met de rolling forward wegingsfactoren. </t>
  </si>
  <si>
    <t>Stap 3: Het netto nacalculatiebedrag volgt door de ontwikkeling van ontvangen inkomsten voor invoeding via afname af te trekken van het bruto nacalculatiebedrag (uit stap 2)</t>
  </si>
  <si>
    <t>- Ten eerste worden de efficiënte kosten voor de eenmalige aansluitdienst (EAV) bepaald aan de hand van gegevens uit het gewijzigde x-factormodel.</t>
  </si>
  <si>
    <t>Hierop worden overgenomen private netten aan toegevoegd en vervolgens correcties op toegepast.</t>
  </si>
  <si>
    <t>Kolommen L tot Z zijn ingeklapt ten behoeve van het overzicht.</t>
  </si>
  <si>
    <t>Correctie voor reeds in gewijzigde x-factorberekening opgenomen verwijderingskosten</t>
  </si>
  <si>
    <t>Reeds in gewijzigde x-factorberekening opgenomen verwijderingskosten gasaansluiting zonder verzoek</t>
  </si>
  <si>
    <t>Reeds in gewijzigde x-factorberekening opgenomen verwijderingskosten gasaansluiting KV (zonder verzoek)</t>
  </si>
  <si>
    <t>Gewijzigde x-factorberekening RNB G 2022 - 2026</t>
  </si>
  <si>
    <t>Bestand is als bijlage gepubliceerd.</t>
  </si>
  <si>
    <t>https://www.dnb.nl/statistieken/data-zoeken/#/details/wettelijke-rente/dataset/2ed0b77d-72c5-47e8-8a3d-0c213048e11d/resource/b363a333-1ce1-4ba0-83b9-80bdf6f78fa0</t>
  </si>
  <si>
    <t>https://www.ecb.europa.eu/stats/policy_and_exchange_rates/key_ecb_interest_rates/html/index.nl.html</t>
  </si>
  <si>
    <t>WACC model met nagecalculeerde rentes</t>
  </si>
  <si>
    <t xml:space="preserve">StatLine </t>
  </si>
  <si>
    <t>https://opendata.cbs.nl/#/CBS/nl/dataset/70936ned/table?ts=1631782812900</t>
  </si>
  <si>
    <t>TI-berekening RNB-G 2024</t>
  </si>
  <si>
    <t>Gewijzigd kostenbestand RNB G 2022-2026</t>
  </si>
  <si>
    <t>GAW-bestand RNB-G 2022-2026 [RNB] tbv nacalculatie desinvesteringen</t>
  </si>
  <si>
    <t>X-factorberekening RNB G 2022-2026</t>
  </si>
  <si>
    <r>
      <t xml:space="preserve">Bestand is vanwege de omvang en complexiteit niet gepubliceerd, maar kan op verzoek worden toegestuurd. U kunt hiervoor mailen naar </t>
    </r>
    <r>
      <rPr>
        <u/>
        <sz val="10"/>
        <color rgb="FF0070C0"/>
        <rFont val="Arial"/>
        <family val="2"/>
      </rPr>
      <t>DTE-Tarievenbesluiten@acm.nl</t>
    </r>
    <r>
      <rPr>
        <sz val="10"/>
        <rFont val="Arial"/>
        <family val="2"/>
      </rPr>
      <t>.</t>
    </r>
  </si>
  <si>
    <t>https://www.acm.nl/nl/publicaties/herstel-x-factorberekening-regionale-netbeheerders-gas-2021-2026</t>
  </si>
  <si>
    <t>SO-bestand regionale netbeheerders gas 2022-2026</t>
  </si>
  <si>
    <t>Berekening x-factor bij gewijzigde x-factorbesluiten gas 2022-2026 | ACM.nl</t>
  </si>
  <si>
    <t>Gewijzigd kostenbestand regionale netbeheerders gas 2022-2026</t>
  </si>
  <si>
    <t>Gewijzigde X-factorberekening regionale netbeheerders gas 2022-2026 (28-09-2021)</t>
  </si>
  <si>
    <t>De totale inkomsten voor de regionale netbeheerders gas voor 2024 | ACM.nl</t>
  </si>
  <si>
    <t>Berekening totale inkomsten 2024 regionale netbeheerders gas</t>
  </si>
  <si>
    <t>Gewijzigd SO-bestand RNB-G 2022-2026</t>
  </si>
  <si>
    <t>SO-bestand RNB-G 2022-2026</t>
  </si>
  <si>
    <t>Gewijzigd so bestand regionale netbeheerders gas 2022-2026</t>
  </si>
  <si>
    <t>Input desinvesteringen afnemende benuttingsgraad (zowel TD als AD) en verwijderingskosten gasnetten (alleen TD)</t>
  </si>
  <si>
    <t>De netbeheerder geeft de kosten en opbrengsten op bij de ACM via een afzonderlijk informatieverzoek. De ACM toetst deze opgave onder andere op kostenefficiëntie.</t>
  </si>
  <si>
    <t>Investeringen bij overname 1 juli 2022</t>
  </si>
  <si>
    <t>Initiële overnamesom</t>
  </si>
  <si>
    <t>Hernieuwde overnamesom</t>
  </si>
  <si>
    <t>Uitbreidingsinvesteringen</t>
  </si>
  <si>
    <t>Uitbreidingsinvesteringen 2022</t>
  </si>
  <si>
    <t>Uitbreidingsinvesteringen 2023</t>
  </si>
  <si>
    <t>Afschrijftermijnen</t>
  </si>
  <si>
    <t>Resterende afschrijftermijn vanaf overname</t>
  </si>
  <si>
    <t>Afschrijftermijn uitbreidingsinvesteringen 2022</t>
  </si>
  <si>
    <t>Afschrijftermijn uitbreidingsinvesteringen 2023</t>
  </si>
  <si>
    <t>WACC</t>
  </si>
  <si>
    <t>Nominale WACC nieuw vermogen 2023</t>
  </si>
  <si>
    <t>Investeringen bij overname (1 juli 2022)</t>
  </si>
  <si>
    <t>Overnamesom (herwaardering)</t>
  </si>
  <si>
    <t>GAW 2022</t>
  </si>
  <si>
    <t>Afschrijvingen 2022</t>
  </si>
  <si>
    <t>Activawaarde per 31 december 2022</t>
  </si>
  <si>
    <t>GAW 2023</t>
  </si>
  <si>
    <t>Afschrijvingen 2023</t>
  </si>
  <si>
    <t>Activawaarde per 31 december 2023</t>
  </si>
  <si>
    <t>Ja</t>
  </si>
  <si>
    <t>Herstel x-factorberekening regionale netbeheerders gas 2021-2026 | ACM.nl</t>
  </si>
  <si>
    <t>Berekening input nacalculatie gewijzigd methodebesluit 2022-2024 regionale netbeheerders gas</t>
  </si>
  <si>
    <t>Berekening nacalculatie gewijzigd methodebesluit</t>
  </si>
  <si>
    <t>2026</t>
  </si>
  <si>
    <t>Rentestand op 31 augustus 2025</t>
  </si>
  <si>
    <t>cpi 2026</t>
  </si>
  <si>
    <t>TI 2026 (exclusief correcties)</t>
  </si>
  <si>
    <t>TI 2026 (inclusief overgenomen netten, exclusief correcties)</t>
  </si>
  <si>
    <t>TI-berekening 2026</t>
  </si>
  <si>
    <t>Correcties in tarieven 2026</t>
  </si>
  <si>
    <t>Totaalbedrag correcties in TI 2026</t>
  </si>
  <si>
    <t>Totale inkomsten 2026 (inclusief correcties)</t>
  </si>
  <si>
    <t>Uitbreidingsinvesteringen 2024</t>
  </si>
  <si>
    <t>Afschrijftermijn uitbreidingsinvesteringen 2024</t>
  </si>
  <si>
    <t>Operationele kosten 2024</t>
  </si>
  <si>
    <t>Inkomsten privaat net 2024</t>
  </si>
  <si>
    <t>Nominale WACC nieuw vermogen 2024</t>
  </si>
  <si>
    <t>Nacalculatiemodel WACC 2024, tabblad '1. Resultaat', cel M66</t>
  </si>
  <si>
    <t>Nacalculatiemodel WACC 2024, tabblad '1. Resultaat', cel L66</t>
  </si>
  <si>
    <t>GAW 2024</t>
  </si>
  <si>
    <t>Afschrijvingen 2024</t>
  </si>
  <si>
    <t>Activawaarde per 31 december 2024</t>
  </si>
  <si>
    <t>Kapitaalkosten 2024</t>
  </si>
  <si>
    <t>Totale kapitaalkosten 2024</t>
  </si>
  <si>
    <t>Nacalculatie private netten TD 2024</t>
  </si>
  <si>
    <t>Nacalculatiebedrag private netten TD</t>
  </si>
  <si>
    <t>Nacalculatie private netten AD 2024</t>
  </si>
  <si>
    <t>Mutatie rentepercentage van 2024 naar 2026</t>
  </si>
  <si>
    <t>Wettelijke rente 2026</t>
  </si>
  <si>
    <t>Voor bedragen oorspronkelijk in prijspeil 2025</t>
  </si>
  <si>
    <t>Lokale heffingen 2024</t>
  </si>
  <si>
    <t>Reguleringsdata 2024, tabel 3A</t>
  </si>
  <si>
    <t>Op dit blad worden input gegevens uit de reguleringsdata 2024 verzameld voor de nacalculatie van kosten voor lokale heffingen in 2024.</t>
  </si>
  <si>
    <t>Het nacalculatiebedrag staat gelijk aan de werkelijke kosten, die via de wettelijke rente naar prijspeil 2026 worden gebracht.</t>
  </si>
  <si>
    <t>Nacalculatiebedrag lokale heffingen 2024</t>
  </si>
  <si>
    <t>In deze nacalculatie worden lokale heffingen in 2024 op basis van werkelijke kosten nagecalculeerd.</t>
  </si>
  <si>
    <t>Deze berekening van de SO heeft uitsluitend betekenis binnen de context van de tarievenbesluiten 2026.</t>
  </si>
  <si>
    <t>Volumes transportdienst 2024</t>
  </si>
  <si>
    <t>Reguleringsdata 2024, tabel 4A</t>
  </si>
  <si>
    <t>Ophalen volumes transportdienst 2024</t>
  </si>
  <si>
    <t xml:space="preserve">Aggregatie volumes TD 2024 en berekening SO </t>
  </si>
  <si>
    <t>Gerealiseerde SO transportdienst 2024 (exclusief invoeding)</t>
  </si>
  <si>
    <t>Netverliezen 2024</t>
  </si>
  <si>
    <t>Voorschot netverliezen 2024 in tarieven 2024</t>
  </si>
  <si>
    <t>TI-berekening RNB-G 2024, tabblad 'TI-berekening 2024', rij 32</t>
  </si>
  <si>
    <t>Reguleringdata 2024, tabel 3A</t>
  </si>
  <si>
    <t>Reguleringdata 2024, tabel 7A</t>
  </si>
  <si>
    <t>Reguleringdata 2024, tabel 6</t>
  </si>
  <si>
    <t>Voorschot netverliezen 2024 in inkomsten 2024</t>
  </si>
  <si>
    <t>Correctiebedrag tarieven 2026</t>
  </si>
  <si>
    <t>Correctiebedrag tarieven 2026 na aftrek voorschot</t>
  </si>
  <si>
    <t>Behaalde vergoeding uit voorschot netverliezen 2024 in tarieven 2024</t>
  </si>
  <si>
    <t>Nacalculatie netverliezen 2024</t>
  </si>
  <si>
    <t>Aandeel individuele nacalculatie netverliezen 2024</t>
  </si>
  <si>
    <t>Ongedekte kosten netverliezen 2024</t>
  </si>
  <si>
    <t>Netto kosten netverliezen 2024</t>
  </si>
  <si>
    <t>Netto efficiënte kosten netverliezen 2024</t>
  </si>
  <si>
    <t>Nacalculatie netverliezen 2024 op individuele basis</t>
  </si>
  <si>
    <t>Nacalculatie netverliezen 2024 op sectorgemiddelde basis</t>
  </si>
  <si>
    <t>Op dit tabblad wordt de nacalculatie netverliezen 2024 berekend.</t>
  </si>
  <si>
    <t>Stap 3: Deze individuele vergoeding per netbeheerder wordt via de wettelijke formule naar prijspeil en efficiëntieniveau 2024 gebracht. Dit staat gelijk aan de vergoeding die de netbeheerder heeft ontvangen via het gewijzigde methodebesluit;</t>
  </si>
  <si>
    <t>Stap 4: De reeds vergoede kosten voor netverliezen in 2024 staan gelijk aan de som van de kostenschatting uit de methodebesluiten (stap 1-3) en de opbrengsten voor netverliezen in 2024;</t>
  </si>
  <si>
    <t>Stap 5: Per netbeheerder staan de ongedekte kosten voor netverliezen gelijk aan het verschil tussen de werkelijke kosten en de reeds vergoede kosten (stap 4). Dit zijn de kosten die in aanmerking komen voor nacalculatie.</t>
  </si>
  <si>
    <t>De som van bovenstaande twee regels staat gelijk aan de totale nacalculatie netverliezen 2024.</t>
  </si>
  <si>
    <t>In de tarieven 2024 is een voorschot op de nacalculatie netverliezen gas 2024 opgenomen. Het nacalculatiebedrag in de tarieven 2026 wordt hiervoor gecorrigeerd, rekening houdend met volumeveranderingen.</t>
  </si>
  <si>
    <t>Op dit blad worden input gegevens verzameld voor de nacalculatie van de risicovrije rente en de rente voor de kostenvoet vreemd vermogen in de WACC in 2024.</t>
  </si>
  <si>
    <t>De nacalculatie staat gelijk aan het verschil tussen de in het gewijzigde x-factorbesluit geschatte vermogenskosten voor 2024 en de vermogenskosten op basis van de herrekende WACC in 2024.</t>
  </si>
  <si>
    <t>Nominale WACC 2024</t>
  </si>
  <si>
    <t>Nacalculatiemodel WACC 2024</t>
  </si>
  <si>
    <t>Stap 2: De sectorgemiddelde GAW wordt met behulp van de productiviteitsverandering en de geschatte CPI naar het efficiëntie niveau en prijspeil 2024 gebracht.</t>
  </si>
  <si>
    <t>Berekening GAW AD in efficiëntieniveau en prijspeil 2024</t>
  </si>
  <si>
    <t>Gemiddelde GAW AD in 2024</t>
  </si>
  <si>
    <t>Gemiddelde GAW TD in 2024</t>
  </si>
  <si>
    <t>Nominale WACC 2024 in gewijzigde x-factorberekening</t>
  </si>
  <si>
    <t>EUR/#, pp 2024</t>
  </si>
  <si>
    <t>Efficiënte vermogenskosten AD 2024 in gewijzigde x-factorberekening (vóór nacalculatie rente)</t>
  </si>
  <si>
    <t>Efficiënte vermogenskosten AD 2024 (na nacalculatie rente)</t>
  </si>
  <si>
    <t>Verschil efficiënte vermogenskosten AD 2024</t>
  </si>
  <si>
    <t>Efficiënte vermogenskosten TD 2024 in gewijzigde x-factorberekening (vóór nacalculatie rente)</t>
  </si>
  <si>
    <t>Efficiënte vermogenskosten TD 2024 (na nacalculatie rente)</t>
  </si>
  <si>
    <t>Verschil efficiënte vermogenskosten TD 2024</t>
  </si>
  <si>
    <t>Nacalculatie risicovrije rente en de rente voor de kostenvoet vreemd vermogen AD 2024</t>
  </si>
  <si>
    <t>Nacalculatie risicovrije rente en de rente voor de kostenvoet vreemd vermogen TD 2024</t>
  </si>
  <si>
    <t>Nacalculatie risicovrije rente en de rente voor de kostenvoet vreemd vermogen 2024</t>
  </si>
  <si>
    <t>Berekening nacalculatie invoeding G 2024; tabblad 'Wegingsfactoren', rij 58</t>
  </si>
  <si>
    <t>Berekening nacalculatie invoeding G 2024; tabblad 'Wegingsfactoren', rij 59</t>
  </si>
  <si>
    <t>Berekening nacalculatie invoeding G 2024; tabblad 'Aggregatie volumes 2024', rij 108</t>
  </si>
  <si>
    <t>Berekening nacalculatie invoeding G 2024; tabblad 'Aggregatie volumes 2024', rij 109</t>
  </si>
  <si>
    <t>Berekening nacalculatie invoeding G 2024; tabblad 'Aggregatie volumes 2024', rij 110</t>
  </si>
  <si>
    <t>Berekening nacalculatie invoeding G 2024; tabblad 'Wegingsfactoren', rij 60</t>
  </si>
  <si>
    <t>Berekening nacalculatie invoeding G 2024; tabblad 'Vergoeding inv. ontw. TD', rij 41</t>
  </si>
  <si>
    <t>De rolling-forward wegingsfactoren zijn gelijk aan de wegingsfactoren uit het gewijzigde methodebesluit, aangepast naar prijspeil en efficiëntieniveau 2024.</t>
  </si>
  <si>
    <t>Gerealiseerde volumes invoeding 2024</t>
  </si>
  <si>
    <t>Nacalculatie invoeding 2024</t>
  </si>
  <si>
    <t>Desinvesteringen afnemende benutting 2024</t>
  </si>
  <si>
    <t>Enexis</t>
  </si>
  <si>
    <t>Reguleringsdata 2024, tabel 2B &amp; 2D</t>
  </si>
  <si>
    <t>Voor de desinvesteringen betreft het vaste activa die ná 2003 (transportdienst) of ná 2008 (aansluitdienst) zijn aangeschaft en in het jaar 2024 worden gedesinvesteerd.</t>
  </si>
  <si>
    <t>Reguleringsdata 2024, tabel 2B</t>
  </si>
  <si>
    <t>Reguleringsdata 2024, tabel 2D</t>
  </si>
  <si>
    <t>1+ discontovoet van 2022 naar 2024</t>
  </si>
  <si>
    <t>Gewijzigde X-factorberekening RNB G 2022 - 2026, tabblad  '4) Berekeningen op parameters', cel U21</t>
  </si>
  <si>
    <t>1+ discontovoet van 2024 naar 2026</t>
  </si>
  <si>
    <t>Tot slot wordt de verrekende resterende activawaarde op basis van de wettelijke rente naar het juiste prijspeil voor de tarieven 2026 gebracht.</t>
  </si>
  <si>
    <t>Desinvesteringen afnemende benuttingsgraad (zowel TD als AD) en verwijderingskosten gasnetten (alleen TD) 2024</t>
  </si>
  <si>
    <t>Desinvesteringen gas TD en verwijderingskosten gasnetten 2024</t>
  </si>
  <si>
    <t>Desinvesteringen gas AD 2024</t>
  </si>
  <si>
    <t>Input verwijderingskosten gasaansluitingen grootverbruikers</t>
  </si>
  <si>
    <t>Naar aanleiding van de CBb-uitspraak inzake het socialiseren van verwijderingskosten met verzoek worden in de tarieven 2026 enkel verwijderingskosten zonder verzoek nagecalculeerd.</t>
  </si>
  <si>
    <t>In de gewijzigde x-factorberekening is reeds een bedrag voor de verwijderingskosten gasaansluiting kleinverbruik zonder verzoek opgenomen. De kosten die in de gewijzigde x-factorberekening zijn opgenomen worden daarom met de CPI en de x-factor naar prijspeil en efficiëntieniveau 2024 gebracht en daarna in mindering gebracht op het nacalculatiebedrag voor verwijderingen zonder verzoek.</t>
  </si>
  <si>
    <t>Verwijderingskosten gasaansluitingen zonder verzoek kleinverbruikers 2024</t>
  </si>
  <si>
    <t>Totale reeds vergoede verwijderingskosten zonder verzoek in TI 2024</t>
  </si>
  <si>
    <t>Nacalculatie verwijderingskosten gasaansluitingen zonder verzoek kleinverbruikers 2024</t>
  </si>
  <si>
    <t>Verwijderingskosten gasaansluitingen zonder verzoek grootverbruikers 2024</t>
  </si>
  <si>
    <t>Nacalculatie verwijderingskosten gasaansluitingen zonder verzoek grootverbruikers 2024</t>
  </si>
  <si>
    <t>De op dit tabblad berekende bedragen zijn enkel van toepassing binnen de context van de berekening van de richtbedragen voor de tarievenbesluiten 2026.</t>
  </si>
  <si>
    <t>- Ten tweede worden de efficiënte kosten voor 2026 bepaald, onderverdeeld naar de transportdienst, de periodieke aansluitvergoeding (PAV) en de EAV.</t>
  </si>
  <si>
    <t>- Vervolgens worden de aandelen van iedere dienst in de efficiënte kosten van het jaar 2026 bepaald.</t>
  </si>
  <si>
    <t>- Op basis van de aandelen in de inkomsten voor het jaar 2026 worden de richtbedragen bepaald.</t>
  </si>
  <si>
    <t>TI 2026 (inclusief correcties)</t>
  </si>
  <si>
    <t>Aandeel TI TD 2026 o.b.v. ingroei</t>
  </si>
  <si>
    <t>Aandeel TI PAV 2026 o.b.v. ingroei</t>
  </si>
  <si>
    <t>Aandeel TI EAV 2026 o.b.v. ingroei</t>
  </si>
  <si>
    <t>Nacalculatie lokale heffingen 2024</t>
  </si>
  <si>
    <t>Nacalculatie netverliezen gas 2024</t>
  </si>
  <si>
    <t>Berekening totale inkomsten regionale netbeheerders gas 2026</t>
  </si>
  <si>
    <t>Tarievenbesluiten regionale netbeheerders gas 2026</t>
  </si>
  <si>
    <t>ACM/25/195757</t>
  </si>
  <si>
    <t>Dit Excel-bestand bevat de berekening van de Totale Inkomsten (TI) voor het jaar 2026 voor de regionale netbeheerders gas.</t>
  </si>
  <si>
    <t>Deze berekeningen maken onderdeel uit van de tarievenbesluiten gas 2026.</t>
  </si>
  <si>
    <t>Berekening nacalculatie invoeding G 2024</t>
  </si>
  <si>
    <t>Berekening input nacalculatie invoeding 2024 regionale netbeheerders gas</t>
  </si>
  <si>
    <t>Gewijzigde x-factorberekening regionale netbeheerders gas 2022-2026 (29-03-2024)</t>
  </si>
  <si>
    <t>Reguleringsdata 2018/2019/2020/2022/2023/2024</t>
  </si>
  <si>
    <t>Reguleringsdata 2018, Reguleringsdata 2019, Reguleringsdata 2020, Reguleringsdata 2022, Reguleringsdata 2023, Reguleringsdata 2024</t>
  </si>
  <si>
    <t>TI-berekening RNB-G 2025</t>
  </si>
  <si>
    <t>Berekening totale inkomsten 2025 regionale netbeheerders gas</t>
  </si>
  <si>
    <t>Berekening totale inkomsten 2025 regionale netbeheerders gas | ACM</t>
  </si>
  <si>
    <t>Op dit tabblad worden de totale inkomsten (inclusief correcties) berekend. Dit gebeurt door de wettelijke formule toe te passen op de begininkomsten, dit resulteert in de TI 2026 (exclusief correcties).</t>
  </si>
  <si>
    <t xml:space="preserve">Vanwege de onverwachte stijging van kosten voor netverliezen elektriciteit voert de ACM een nacalculatie uit sinds 2023. </t>
  </si>
  <si>
    <t>De nacalculatie voor netverliezen in 2024 wordt verwerkt in de tarieven 2026. Op dit tabblad wordt input opgehaald voor de berekening van deze nacalculatie.</t>
  </si>
  <si>
    <t>- Vervolgens worden op basis van de aandelen in de efficiënte kosten in de jaren 2021 en 2026 de aandelen in de inkomsten voor het jaar 2026 bepaald.</t>
  </si>
  <si>
    <t>De relevante wettelijke rente voor de tarieven 2026 betreft de rente vanaf 1 juli van het jaar waarop het tekort of overschot betrekking heeft tot 1 juli 2026.</t>
  </si>
  <si>
    <t>De wettelijke rente voor het eerste half jaar van 2026 is pas begin 2026 bekend. Daarom schat de ACM de wettelijke rente voor het eerste en tweede kwartaal van 2026 op basis van de gebruikelijke berekeningsmethode van het ECB.</t>
  </si>
  <si>
    <t>Berekening nacalculatie gederfde inkomsten faillissementen energieleveranciers</t>
  </si>
  <si>
    <t>De opgegeven gederfde inkomsten zijn exclusief btw. De ACM verhoogt de opgegeven gederfde inkomsten daarom met de btw.</t>
  </si>
  <si>
    <t>De te ontvangen vergoeding wordt vervolgens door toepassing van de heffingsrente naar het prijspeil van 2026 gebracht.</t>
  </si>
  <si>
    <t>All In Power B.V.</t>
  </si>
  <si>
    <t>Hollandsstroom B.V.</t>
  </si>
  <si>
    <t>De opgegeven gederfde inkomsten zijn exclusief btw.</t>
  </si>
  <si>
    <t>TD + PAV</t>
  </si>
  <si>
    <t>Nacalculatiemodel WACC 2024, tabblad 'Resultaat', cel M50</t>
  </si>
  <si>
    <t>Volumes transportdienst 2022</t>
  </si>
  <si>
    <t>Reguleringsdata 2022 - Tabel 4A</t>
  </si>
  <si>
    <t>Volumes transportdienst 2023</t>
  </si>
  <si>
    <t>Reguleringsdata 2023 - Tabel 4A</t>
  </si>
  <si>
    <t>Input samengestelde output transportdienst 2022-2024</t>
  </si>
  <si>
    <t>Samengestelde output transportdienst</t>
  </si>
  <si>
    <t>Op dit blad wordt de samengestelde output van de transportdienst in 2022 tot en met 2024 per netbeheerder berekend. Deze waarden zijn nodig als onderdeel van de nacalculatie netverliezen en de nacalculatie daling volumes gas.</t>
  </si>
  <si>
    <t>Ophalen volumes transportdienst 2022</t>
  </si>
  <si>
    <t>Ophalen volumes transportdienst 2023</t>
  </si>
  <si>
    <t xml:space="preserve">Aggregatie volumes TD 2022 en berekening SO </t>
  </si>
  <si>
    <t xml:space="preserve">Aggregatie volumes TD 2023 en berekening SO </t>
  </si>
  <si>
    <t>Gerealiseerde SO transportdienst 2022 (exclusief invoeding)</t>
  </si>
  <si>
    <t>Ophalen SO en (geaggregeerde) rekenvolumes transportdienst</t>
  </si>
  <si>
    <t>Berekenen ontwikkeling SO</t>
  </si>
  <si>
    <t>Ontwikkeling SO totaal</t>
  </si>
  <si>
    <t>Input daling volumes gas</t>
  </si>
  <si>
    <t>Input x-factor- en tarievenbesluiten</t>
  </si>
  <si>
    <t>Toegestane inkomsten tarievenbesluiten</t>
  </si>
  <si>
    <t>Aandeel transportdienst in toegestane inkomsten</t>
  </si>
  <si>
    <t>Aandeel TD in inkomsten 2023 o.b.v. ingroei</t>
  </si>
  <si>
    <t>Aandeel TD in inkomsten 2024 o.b.v. ingroei</t>
  </si>
  <si>
    <t>Aandeel TD in inkomsten 2022 o.b.v. ingroei</t>
  </si>
  <si>
    <t>Op basis van</t>
  </si>
  <si>
    <t>Begininkomsten TD oorspronkelijk methodebesluit</t>
  </si>
  <si>
    <t>Begininkomsten TD excl. correctie kapitaalkosten en netverliezen</t>
  </si>
  <si>
    <t>Begininkomsten TD incl. correctie kapitaalkosten, excl. Netverliezen</t>
  </si>
  <si>
    <t>Begininkomsten TD incl. correctie kapitaalkosten en netverliezen</t>
  </si>
  <si>
    <t>Eindinkomsten TD oorspronkelijk methodebesluit</t>
  </si>
  <si>
    <t>Eindinkomsten TD excl. correctie kapitaalkosten en netverliezen</t>
  </si>
  <si>
    <t>Eindinkomsten TD incl. correctie kapitaalkosten, excl. Netverliezen</t>
  </si>
  <si>
    <t>Eindinkomsten TD incl. correctie kapitaalkosten en netverliezen</t>
  </si>
  <si>
    <t>WACC BI2021</t>
  </si>
  <si>
    <t>WACC EI2026</t>
  </si>
  <si>
    <t>Reguliere kapitaalkosten in begininkomsten TD</t>
  </si>
  <si>
    <t>Met regulier bedoelen we kapitaalkosten vóór correctie agv nominaal stelsel</t>
  </si>
  <si>
    <t>TI-berekening gas 2022, tabblad 'TI-berekening 2022', regel 17</t>
  </si>
  <si>
    <t>TI-berekening gas 2022, tabblad 'Richtbedragen', regel 59</t>
  </si>
  <si>
    <t>TI-berekening gas 2023, tabblad 'TI-berekening 2023', regel 19</t>
  </si>
  <si>
    <t>TI-berekening gas 2023, tabblad 'Richtbedragen', regel 58</t>
  </si>
  <si>
    <t>TI-berekening gas 2024, tabblad 'TI-berekening 2024', regel 21</t>
  </si>
  <si>
    <t>TI-berekening gas 2024, tabblad 'Richtbedragen', regel 59</t>
  </si>
  <si>
    <t>X-factorberekening RNB-G REG2022, tabblad '7) Totale kosten TD maatstaf', regel 59</t>
  </si>
  <si>
    <t>X-factorberekening RNB-G REG2022, tabblad '7) Totale kosten TD maatstaf', regel 58</t>
  </si>
  <si>
    <t>X-factorberekening RNB-G REG2022, tabblad '11) BI &amp; EI TD', regel 49</t>
  </si>
  <si>
    <t>X-factorberekening RNB-G REG2022, tabblad '11) BI &amp; EI TD', regel 79</t>
  </si>
  <si>
    <t>X-factorberekening RNB-G REG2022, tabblad '11) BI &amp; EI TD', regel 80</t>
  </si>
  <si>
    <t>X-factorberekening RNB-G REG2022, tabblad '11) BI &amp; EI TD', regel 105</t>
  </si>
  <si>
    <t>X-factorberekening RNB-G REG2022, tabblad '11) BI &amp; EI TD', regel 98</t>
  </si>
  <si>
    <t>Reguleringsparameters</t>
  </si>
  <si>
    <t>Nominale productiviteitsverandering 2022-2026</t>
  </si>
  <si>
    <t>Inschatting jaarlijkse CPI voor de periode 2022-2026 (afgerond)</t>
  </si>
  <si>
    <t>X-factorberekening RNB-G REG2022, tabblad '11) BI &amp; EI TD', regel 28</t>
  </si>
  <si>
    <t>X-factorberekening RNB-G REG2022, tabblad '11) BI &amp; EI TD', regel 29</t>
  </si>
  <si>
    <t>Ophalen gegevens x-factor- en tarievenbesluiten</t>
  </si>
  <si>
    <t>Ophalen gegevens volumeontwikkeling transportdienst</t>
  </si>
  <si>
    <t>Mutatie rentepercentage</t>
  </si>
  <si>
    <t>Mutatie rentepercentage van 2022 naar 2026</t>
  </si>
  <si>
    <t>Mutatie rentepercentage van 2023 naar 2026</t>
  </si>
  <si>
    <t>Berekening aandeel kapitaalkosten o.b.v. ingroei</t>
  </si>
  <si>
    <t>Aandeel kapitaalkosten in begininkomsten transportdienst</t>
  </si>
  <si>
    <t>Totale kapitaalkosten in begininkomsten TD</t>
  </si>
  <si>
    <t>Aandeel totale kapitaalkosten in begininkomsten TD</t>
  </si>
  <si>
    <t>Aandeel kapitaalkosten in eindinkomsten transportdienst</t>
  </si>
  <si>
    <t>Correctie kapitaalkosten in eindinkomsten TD</t>
  </si>
  <si>
    <t>Totale kapitaalkosten in eindinkomsten TD</t>
  </si>
  <si>
    <t>Aandeel totale kapitaalkosten in eindinkomsten TD</t>
  </si>
  <si>
    <t>Correctie kapitaalkosten in begininkomsten TD</t>
  </si>
  <si>
    <t>Aandeel kapitaalkosten in TI 2022-2024 o.b.v. ingroei</t>
  </si>
  <si>
    <t>Aandeel kapitaalkosten in TI 2022 o.b.v. ingroei</t>
  </si>
  <si>
    <t>Aandeel kapitaalkosten in TI 2023 o.b.v. ingroei</t>
  </si>
  <si>
    <t>Aandeel kapitaalkosten in TI 2024 o.b.v. ingroei</t>
  </si>
  <si>
    <t>Toegestane inkomsten transportdienst</t>
  </si>
  <si>
    <t>TI transportdienst 2022</t>
  </si>
  <si>
    <t>TI transportdienst 2023</t>
  </si>
  <si>
    <t>TI transportdienst 2024</t>
  </si>
  <si>
    <t>TI transportdienst 2022 ter dekking van kapitaalkosten</t>
  </si>
  <si>
    <t>TI transportdienst 2023 ter dekking van kapitaalkosten</t>
  </si>
  <si>
    <t>TI transportdienst 2024 ter dekking van kapitaalkosten</t>
  </si>
  <si>
    <t>Ongedekte kosten als gevolg van volumeontwikkelingen</t>
  </si>
  <si>
    <t>Ongedekte kosten als gevolg van volumeontwikkelingen 2022</t>
  </si>
  <si>
    <t>Ongedekte kosten als gevolg van volumeontwikkelingen 2023</t>
  </si>
  <si>
    <t>Ongedekte kosten als gevolg van volumeontwikkelingen 2024</t>
  </si>
  <si>
    <t>Nacalculatiebedrag daling volumes gas in tarieven 2026</t>
  </si>
  <si>
    <t>Nacalculatie daling volumes gas 2022-2024</t>
  </si>
  <si>
    <t xml:space="preserve">Toegestane inkomsten transportdienst </t>
  </si>
  <si>
    <t>Berekening ongedekte kosten als gevolg van volumeontwikkeling ACM (origineel Dion)</t>
  </si>
  <si>
    <t>Ongedekte kosten als gevolg van volumeontwikkelingen prijspijl 2026</t>
  </si>
  <si>
    <t>Daling volumes gas 2022, 2023 en 2024</t>
  </si>
  <si>
    <t>Input risicovrije rente en de rente voor de kostenvoet vreemd vermogen</t>
  </si>
  <si>
    <t>X-factorberekening RNB-G REG2022, tabblad '11) BI &amp; EI TD', regel 53</t>
  </si>
  <si>
    <t>Reguliere kapitaalkosten in eindinkomsten TD</t>
  </si>
  <si>
    <t>Als eerst wordt berekend welke kosten in aanmerking komen voor nacalculatie. Dit zijn de kosten die netbeheerders niet vergoed hebben gekregen via de methodebesluiten 2022-2026 of via opbrengsten voor netverliezen in 2024. Deze kosten worden per netbeheerder als volgt berekend:</t>
  </si>
  <si>
    <t xml:space="preserve">Op dit tabblad staan bedragen rondom het faillissement van energieleveranciers in 2021 en in 2024. </t>
  </si>
  <si>
    <t>1) Als gevolg van de faillissementen van twee energieleveranciers in 2024 ontvangen de netbeheerders een vergoeding voor de gederfde inkomsten in 2024.</t>
  </si>
  <si>
    <t>Gederfde inkomsten per gefaillieerde energie leverancier uit 2024</t>
  </si>
  <si>
    <t>Verhaald bedrag voor gederfde inkomsten per gefaillieerde energie leverancier uit 2021</t>
  </si>
  <si>
    <t>Sepa Green Energy B.V.</t>
  </si>
  <si>
    <t>Informatieverzoek verhaald bedrag faillissementen leveranciers 2021</t>
  </si>
  <si>
    <t xml:space="preserve">Op dit tabblad worden twee berekeningen uitgevoerd. Enerzijds worden gederfde inkomsten door het faillissement van energieleveranciers in 2024 berekend. Anderzijds worden bedragen die eerder zijn vergoed wegens het faillissement van energieleveranciers in 2021, maar toch verhaald konden worden, nu in mindering gebracht. </t>
  </si>
  <si>
    <t>Nacalculatie gederfde inkomsten 2024</t>
  </si>
  <si>
    <t>Gederfde inkomsten per energieleverancier uit 2024</t>
  </si>
  <si>
    <t>Verhaald bedrag per energieleverancier uit 2021</t>
  </si>
  <si>
    <t>Nacalculatie verhaald bedrag gederfde inkomsten 2021</t>
  </si>
  <si>
    <t xml:space="preserve">Totaal nacalculatiebedrag gederfde inkomsten </t>
  </si>
  <si>
    <t>Btw</t>
  </si>
  <si>
    <t xml:space="preserve">Investeringen bij overname </t>
  </si>
  <si>
    <t>Investeringen bij overname</t>
  </si>
  <si>
    <t>Informatieverzoek private netten 2024</t>
  </si>
  <si>
    <t>Rendant - Overname private netten TD</t>
  </si>
  <si>
    <t xml:space="preserve">Rendant - Overname private netten AD </t>
  </si>
  <si>
    <t xml:space="preserve">Oostflakkee - Overname private netten TD </t>
  </si>
  <si>
    <t xml:space="preserve">Oostflakkee - Overname private netten AD </t>
  </si>
  <si>
    <t>Rendant - Ophalen gegevens TD</t>
  </si>
  <si>
    <t>Rendant - Ophalen gegevens AD</t>
  </si>
  <si>
    <t>Rendant - GAW berekeningen - investeringen TD bij overname</t>
  </si>
  <si>
    <t>Rendant - GAW berekeningen - investeringen AD bij overname</t>
  </si>
  <si>
    <t>Oostflakkee - GAW berekeningen - investeringen TD bij overname</t>
  </si>
  <si>
    <t>Oostflakkee - GAW berekeningen - investeringen AD bij overname</t>
  </si>
  <si>
    <t xml:space="preserve">Overnamesom </t>
  </si>
  <si>
    <t>Investeringen bij overname (1 juli 2023)</t>
  </si>
  <si>
    <t>Totale nacalculatie overname private netten TD en AD</t>
  </si>
  <si>
    <t xml:space="preserve">Naculatiebedrag private netten AD </t>
  </si>
  <si>
    <t>Rendant - Nacalculatie overname private netten TD en AD</t>
  </si>
  <si>
    <t xml:space="preserve">Oostflakkee - Ovphalen gegevens TD </t>
  </si>
  <si>
    <t xml:space="preserve">Oostflakkee - Overname gegevens AD </t>
  </si>
  <si>
    <t>Oostflakkee - Nacalculatie overname private netten TD en AD</t>
  </si>
  <si>
    <t>Kapitaalkosten 2023</t>
  </si>
  <si>
    <t>Totale kapitaalkosten 2023</t>
  </si>
  <si>
    <t>Mutatie rentepercentage van 2023 naar 2024</t>
  </si>
  <si>
    <t>(Geaggregeerde) rekenvolumes transportdienst</t>
  </si>
  <si>
    <t>Ontwikkeling SO vastrecht</t>
  </si>
  <si>
    <t>SO vastrecht o.b.v. rekenvolumes</t>
  </si>
  <si>
    <t>SO vastrecht o.b.v. volumes 2022</t>
  </si>
  <si>
    <t>SO vastrecht o.b.v. volumes 2023</t>
  </si>
  <si>
    <t>SO vastrecht o.b.v. volumes 2024</t>
  </si>
  <si>
    <t>Ontwikkeling SO excl. vastrecht</t>
  </si>
  <si>
    <t>Ontwikkeling SO 2023 t.o.v. rekenvolumes totaal</t>
  </si>
  <si>
    <t>Ontwikkeling SO 2024 t.o.v. rekenvolumes totaal</t>
  </si>
  <si>
    <t>Ontwikkeling SO vastrecht t.o.v. rekenvolumes 2022</t>
  </si>
  <si>
    <t>Ontwikkeling SO vastrecht t.o.v. rekenvolumes 2023</t>
  </si>
  <si>
    <t>Ontwikkeling SO vastrecht t.o.v. rekenvolumes 2024</t>
  </si>
  <si>
    <t>TI transportdienst 2023 ter dekking van operationele kosten</t>
  </si>
  <si>
    <t>TI transportdienst 2022 ter dekking van operationele kosten</t>
  </si>
  <si>
    <t>TI transportdienst 2024 ter dekking van operationele kosten</t>
  </si>
  <si>
    <t>Ontwikkeling SO 2022 t.o.v. rekenvolumes totaal</t>
  </si>
  <si>
    <t>Ontwikkeling SO excl. vastrecht 2022 t.o.v. rekenvolumes</t>
  </si>
  <si>
    <t>Ontwikkeling SO excl. vastrecht 2023 t.o.v. rekenvolumes</t>
  </si>
  <si>
    <t>Ontwikkeling SO excl. vastrecht 2024 t.o.v. rekenvolumes</t>
  </si>
  <si>
    <t>Volumes vastrecht (TOVT)</t>
  </si>
  <si>
    <t xml:space="preserve">Bijzonderheden: Het private net Oostflakkee is overgenomen op 28 december 2023. Omdat dit net in 2023 maar drie dagen in beheer was, zijn de operationele kosten en inkomsten in 2023 niet meegenomen in de berekening. </t>
  </si>
  <si>
    <t>SO-bestand RNB-G 2022-2026, tabblad '(Reken)volumes TD', rij 356</t>
  </si>
  <si>
    <t>SO-bestand RNB-G 2022-2026, tabblad '(Reken)volumes TD', rij 360</t>
  </si>
  <si>
    <t>SO-bestand RNB-G 2022-2026, tabblad '(Reken)volumes TD', rij 364</t>
  </si>
  <si>
    <t>Op dit blad wordt de input voor de berekening van de samengestelde output van de transportdienst in 2022 tot en met 2024 opgehaald. Deze waardes zijn nodig als onderdeel van de nacalculatie netverliezen 2024 en de nacalculatie daling volumes gas..</t>
  </si>
  <si>
    <t>In dit bestand worden de berekeningen gepresenteerd voor de vaststelling van de tarieven voor 2026, inclusief de berekening van de nacalculatiebedragen.</t>
  </si>
  <si>
    <t>Informatieverzoek private netten 2022</t>
  </si>
  <si>
    <t>Informatieverzoek private netten 2023</t>
  </si>
  <si>
    <t>Informatieverzoek private netten 2022, 2023, 2024</t>
  </si>
  <si>
    <t xml:space="preserve">Op dit tabblad worden inputgegevens opgehaald voor de nacalculatie daling volumes gas. </t>
  </si>
  <si>
    <t>Met deze gegevens kan worden bepaald hoe hoog de vergoeding voor kapitaalkosten en operationele kosten in de transportdienst is in de jaren 2022, 2023 en 2024.</t>
  </si>
  <si>
    <t>Berekening totale inkomsten 2022 regionale netbeheerders gas</t>
  </si>
  <si>
    <t>TI-berekening RNB-G 2022</t>
  </si>
  <si>
    <t>TI-berekening RNB-G 2023</t>
  </si>
  <si>
    <t>Berekening totale inkomsten 2023 regionale netbeheerders gas</t>
  </si>
  <si>
    <t>Berekening totale inkomsten 2022 regionaal netbeheer gas | ACM</t>
  </si>
  <si>
    <t>Berekening totale inkomsten 2023 regionaal netbeheer gas | ACM</t>
  </si>
  <si>
    <t>EUR, pp. 2024</t>
  </si>
  <si>
    <t>Informatieverzoek faillissementen leveranciers 2024</t>
  </si>
  <si>
    <t>Volgens deze berekeningsmethode staat de wettelijke rente gelijk aan de som van de ECB rente en 2,25%, met afronding van halve procenten of meer naar boven en overigens naar beneden.</t>
  </si>
  <si>
    <t>Voor het eerste en tweede kwartaal van 2026 wordt de stand van de ECB rente eind oktober toegepast. Omdat deze rentestand niet bekend is ten tijde van het vaststellen van de totale inkomsten gaat de ACM uit van de meest recente rentestand.</t>
  </si>
  <si>
    <t>De peildatum die hiervoor wordt aangehouden is 31 augustus 2025 om 23:59u.</t>
  </si>
  <si>
    <t>Berekening GAW TD in efficiëntieniveau en prijspeil 2024</t>
  </si>
  <si>
    <t>In de berekening wordt eerst de totale restwaarde in 2026 van de gedesinvesteerde activa via de discontovoet naar 2024 verdisconteerd. Dit bedrag wordt vervolgens verrekenend met eventuele opbrengsten uit de desinvesteringen.</t>
  </si>
  <si>
    <t xml:space="preserve">2) Als gevolg van de faillissementen van energieleveranciers in 2021 ontvingen de netbeheerders een vergoeding voor de gederfde inkomsten. Voor één van de energieleveranciers hebben netbeheerders deze toch kunnen verhalen. Daarom wordt het verhaalde bedrag in mindering gebracht. </t>
  </si>
  <si>
    <t>De berekening bevat de volgende stappen:</t>
  </si>
  <si>
    <t>1. Aggregeer de volumes voor ieder jaar zodat ze matchen met de indeling van wegingsfactoren</t>
  </si>
  <si>
    <t>2. Bereken voor iedere netbeheerder de totale SO voor de jaren 2022-2024 door de gerealiseerde volumes op elke tariefcategorie te vermenigvuldigen met de wegingsfactoren en alles bij elkaar op te tellen.</t>
  </si>
  <si>
    <t>3. Bereken voor iedere netbeheerder de ontwikkeling van de totale SO voor de jaren 2022-2024 ten opzichte van de totale SO in zijn x-factorbesluit.</t>
  </si>
  <si>
    <t>4. Herhaal stap 2 en 3 voor enkel de tariefcategorieën van vastrecht om de SO-ontwikkeling van vastrecht te bepalen.</t>
  </si>
  <si>
    <t>5. Bereken de volumedaling als gevolg van lagere benutting van aansluitingen door de SO-ontwikkeling van vastrecht uit stap 4 af te trekken van de totale SO-ontwikkeling uit stap 3.</t>
  </si>
  <si>
    <t>Op dit tabblad berekenen we de compensatie voor gemiste inkomsten ter vergoeding van niet-schaalbare kosten in de jaren 2022 tot en met 2024.</t>
  </si>
  <si>
    <t>1. We bepalen voor iedere netbeheerder hoe hoog zijn toegestane inkomsten zijn ter dekking van kapitaalkosten en van operationele kosten in de jaren 2022-2024.</t>
  </si>
  <si>
    <t>2. We berekenen voor iedere netbeheerder de gemiste inkomsten ter vergoeding van niet-schaalbare kosten door de volumedalingen te vermenigvuldigen met de toegestane inkomsten uit stap 1. Voor de inkomsten ter vergoeding van kapitaalkosten nemen we de volumedaling van de totale SO. Voor de inkomsten ter vergoeding van operationele kosten nemen we de ontwikkeling van de SO exclusief vastrecht.</t>
  </si>
  <si>
    <t>Nacalculatie gederfde inkomsten leveranciers 2024 + correctie 2021</t>
  </si>
  <si>
    <t>Input gederfde inkomsten faillissementen energieleveranciers</t>
  </si>
  <si>
    <t>2) Als gevolg van de faillissementen van zes energieleveranciers in 2021 hebben de netbeheerders eerder een vergoeding ontvangen voor de gederfde inkomsten. Voor één van de energieleveranciers hebben netbeheerders deze toch kunnen verhalen. Daarom wordt het verhaalde bedrag in mindering gebracht.</t>
  </si>
  <si>
    <t>De vergoedingen zijn exclusief btw genomen. De ACM verhoogt de opgegeven vergoedingen daarom met de btw.</t>
  </si>
  <si>
    <t>BTW</t>
  </si>
  <si>
    <t>- Ten tweede worden de efficiënte kosten voor 2021 en 2026 bepaald, onderverdeeld naar de transportdienst, de periodieke aansluitvergoeding (PAV) en de EAV.</t>
  </si>
  <si>
    <t>Overige opmerkingen</t>
  </si>
  <si>
    <t>Bevat bedrijfsvertrouwelijke gegevens? (j/n)</t>
  </si>
  <si>
    <t>Nee</t>
  </si>
  <si>
    <t>Mogelijkheden van bezwaar en beroep staan open tegen het besluit waarbij dit bestand hoort (zie kenmerken hierboven).</t>
  </si>
  <si>
    <t xml:space="preserve">Bij inhoudelijke verschillen tussen de berekening in dit bestand en de berekening zoals die volgt uit het bijbehorende besluit, is het besluit leidend. </t>
  </si>
  <si>
    <t>Tarievenmodules regionale netbeheerders gas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</si>
</sst>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0_-;_-* #,##0\-;_-* &quot;-&quot;??_-;_-@_-"/>
    <numFmt numFmtId="165" formatCode="_ * #,##0_ ;_ * \-#,##0_ ;_ * &quot;-&quot;??_ ;_ @_ "/>
    <numFmt numFmtId="166" formatCode="0.0%"/>
    <numFmt numFmtId="167" formatCode="_-* #,##0_-;_-* #,##0\-;_-* &quot;-&quot;_-;_-@_-"/>
    <numFmt numFmtId="168" formatCode="_-* #,##0.00_-;_-* #,##0.00\-;_-* &quot;-&quot;??_-;_-@_-"/>
    <numFmt numFmtId="169" formatCode="0.000%"/>
    <numFmt numFmtId="170" formatCode="_ * #,##0.00_ ;_ * \-#,##0.00_ ;_ * &quot;-&quot;_ ;_ @_ "/>
    <numFmt numFmtId="171" formatCode="0.00000%"/>
    <numFmt numFmtId="172" formatCode="_ * #,##0.000_ ;_ * \-#,##0.000_ ;_ * &quot;-&quot;??_ ;_ @_ "/>
    <numFmt numFmtId="173" formatCode="_ * #,##0.000_ ;_ * \-#,##0.000_ ;_ * &quot;-&quot;_ ;_ @_ "/>
    <numFmt numFmtId="174" formatCode="_ * #,##0.0_ ;_ * \-#,##0.0_ ;_ * &quot;-&quot;_ ;_ @_ "/>
    <numFmt numFmtId="175" formatCode="0.000"/>
    <numFmt numFmtId="176" formatCode="_ * #,##0.0_ ;_ * \-#,##0.0_ ;_ * &quot;-&quot;??_ ;_ @_ "/>
    <numFmt numFmtId="177" formatCode="_ * #,##0.0000_ ;_ * \-#,##0.0000_ ;_ * &quot;-&quot;_ ;_ @_ "/>
  </numFmts>
  <fonts count="7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1"/>
      <color theme="1"/>
      <name val="Calibri"/>
      <family val="2"/>
      <scheme val="minor"/>
    </font>
    <font>
      <b/>
      <sz val="11"/>
      <color indexed="8"/>
      <name val="Arial"/>
      <family val="2"/>
    </font>
    <font>
      <sz val="11"/>
      <color theme="1"/>
      <name val="Arial"/>
      <family val="2"/>
    </font>
    <font>
      <u/>
      <sz val="10"/>
      <color theme="10"/>
      <name val="Arial"/>
      <family val="2"/>
    </font>
    <font>
      <sz val="8"/>
      <name val="Calibri"/>
      <family val="2"/>
      <scheme val="minor"/>
    </font>
    <font>
      <sz val="9"/>
      <color indexed="81"/>
      <name val="Tahoma"/>
      <family val="2"/>
    </font>
    <font>
      <sz val="10"/>
      <color rgb="FF000000"/>
      <name val="Arial"/>
      <family val="2"/>
    </font>
    <font>
      <u/>
      <sz val="10"/>
      <color rgb="FF0070C0"/>
      <name val="Arial"/>
      <family val="2"/>
    </font>
    <font>
      <u/>
      <sz val="9.5"/>
      <color theme="10"/>
      <name val="Arial"/>
      <family val="2"/>
    </font>
    <font>
      <sz val="11"/>
      <name val="Calibri"/>
      <family val="2"/>
      <scheme val="minor"/>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E1FFE1"/>
        <bgColor indexed="64"/>
      </patternFill>
    </fill>
    <fill>
      <patternFill patternType="solid">
        <fgColor rgb="FF99FF99"/>
        <bgColor indexed="64"/>
      </patternFill>
    </fill>
    <fill>
      <patternFill patternType="solid">
        <fgColor theme="0" tint="-0.14996795556505021"/>
        <bgColor indexed="64"/>
      </patternFill>
    </fill>
    <fill>
      <patternFill patternType="solid">
        <fgColor indexed="9"/>
        <bgColor indexed="64"/>
      </patternFill>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s>
  <cellStyleXfs count="99">
    <xf numFmtId="0" fontId="0" fillId="0" borderId="0"/>
    <xf numFmtId="0" fontId="34" fillId="2" borderId="0" applyNumberFormat="0" applyBorder="0" applyAlignment="0" applyProtection="0"/>
    <xf numFmtId="0" fontId="35" fillId="3" borderId="0" applyNumberFormat="0" applyBorder="0" applyAlignment="0" applyProtection="0"/>
    <xf numFmtId="0" fontId="36" fillId="4" borderId="0" applyNumberFormat="0" applyBorder="0" applyAlignment="0" applyProtection="0"/>
    <xf numFmtId="0" fontId="37" fillId="0" borderId="0">
      <alignment vertical="top"/>
    </xf>
    <xf numFmtId="49" fontId="41" fillId="5" borderId="1">
      <alignment vertical="top"/>
    </xf>
    <xf numFmtId="49" fontId="38" fillId="23" borderId="1">
      <alignment vertical="top"/>
    </xf>
    <xf numFmtId="49" fontId="38" fillId="0" borderId="0">
      <alignment vertical="top"/>
    </xf>
    <xf numFmtId="43" fontId="37" fillId="16" borderId="0">
      <alignment vertical="top"/>
    </xf>
    <xf numFmtId="43" fontId="37" fillId="15" borderId="0">
      <alignment vertical="top"/>
    </xf>
    <xf numFmtId="43" fontId="37" fillId="13" borderId="0">
      <alignment vertical="top"/>
    </xf>
    <xf numFmtId="43" fontId="37" fillId="6" borderId="0">
      <alignment vertical="top"/>
    </xf>
    <xf numFmtId="43" fontId="37" fillId="8" borderId="0">
      <alignment vertical="top"/>
    </xf>
    <xf numFmtId="43" fontId="37" fillId="17" borderId="0">
      <alignment vertical="top"/>
    </xf>
    <xf numFmtId="49" fontId="42" fillId="0" borderId="0">
      <alignment vertical="top"/>
    </xf>
    <xf numFmtId="0" fontId="49" fillId="19" borderId="3" applyNumberFormat="0" applyAlignment="0" applyProtection="0"/>
    <xf numFmtId="0" fontId="50" fillId="20" borderId="4" applyNumberFormat="0" applyAlignment="0" applyProtection="0"/>
    <xf numFmtId="0" fontId="51" fillId="20" borderId="3" applyNumberFormat="0" applyAlignment="0" applyProtection="0"/>
    <xf numFmtId="0" fontId="52" fillId="0" borderId="5" applyNumberFormat="0" applyFill="0" applyAlignment="0" applyProtection="0"/>
    <xf numFmtId="0" fontId="46" fillId="21" borderId="6" applyNumberFormat="0" applyAlignment="0" applyProtection="0"/>
    <xf numFmtId="0" fontId="48" fillId="22" borderId="7" applyNumberFormat="0" applyFont="0" applyAlignment="0" applyProtection="0"/>
    <xf numFmtId="0" fontId="53" fillId="0" borderId="0" applyNumberFormat="0" applyFill="0" applyBorder="0" applyAlignment="0" applyProtection="0"/>
    <xf numFmtId="43" fontId="48" fillId="0" borderId="0" applyFont="0" applyFill="0" applyBorder="0" applyAlignment="0" applyProtection="0"/>
    <xf numFmtId="41" fontId="48" fillId="0" borderId="0" applyFont="0" applyFill="0" applyBorder="0" applyAlignment="0" applyProtection="0"/>
    <xf numFmtId="44" fontId="48" fillId="0" borderId="0" applyFont="0" applyFill="0" applyBorder="0" applyAlignment="0" applyProtection="0"/>
    <xf numFmtId="42" fontId="48" fillId="0" borderId="0" applyFont="0" applyFill="0" applyBorder="0" applyAlignment="0" applyProtection="0"/>
    <xf numFmtId="9" fontId="48" fillId="0" borderId="0" applyFont="0" applyFill="0" applyBorder="0" applyAlignment="0" applyProtection="0"/>
    <xf numFmtId="0" fontId="54" fillId="0" borderId="0" applyNumberFormat="0" applyFill="0" applyBorder="0" applyAlignment="0" applyProtection="0"/>
    <xf numFmtId="0" fontId="55" fillId="0" borderId="8" applyNumberFormat="0" applyFill="0" applyAlignment="0" applyProtection="0"/>
    <xf numFmtId="0" fontId="56" fillId="0" borderId="9" applyNumberFormat="0" applyFill="0" applyAlignment="0" applyProtection="0"/>
    <xf numFmtId="0" fontId="57" fillId="0" borderId="10" applyNumberFormat="0" applyFill="0" applyAlignment="0" applyProtection="0"/>
    <xf numFmtId="0" fontId="57" fillId="0" borderId="0" applyNumberFormat="0" applyFill="0" applyBorder="0" applyAlignment="0" applyProtection="0"/>
    <xf numFmtId="0" fontId="47" fillId="0" borderId="0" applyNumberFormat="0" applyFill="0" applyBorder="0" applyAlignment="0" applyProtection="0"/>
    <xf numFmtId="0" fontId="58" fillId="0" borderId="0" applyNumberFormat="0" applyFill="0" applyBorder="0" applyAlignment="0" applyProtection="0"/>
    <xf numFmtId="0" fontId="59" fillId="0" borderId="11" applyNumberFormat="0" applyFill="0" applyAlignment="0" applyProtection="0"/>
    <xf numFmtId="0" fontId="60"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60" fillId="27" borderId="0" applyNumberFormat="0" applyBorder="0" applyAlignment="0" applyProtection="0"/>
    <xf numFmtId="0" fontId="60"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60" fillId="31" borderId="0" applyNumberFormat="0" applyBorder="0" applyAlignment="0" applyProtection="0"/>
    <xf numFmtId="0" fontId="60" fillId="3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60" fillId="35" borderId="0" applyNumberFormat="0" applyBorder="0" applyAlignment="0" applyProtection="0"/>
    <xf numFmtId="0" fontId="60"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60" fillId="39" borderId="0" applyNumberFormat="0" applyBorder="0" applyAlignment="0" applyProtection="0"/>
    <xf numFmtId="0" fontId="60" fillId="40" borderId="0" applyNumberFormat="0" applyBorder="0" applyAlignment="0" applyProtection="0"/>
    <xf numFmtId="0" fontId="33" fillId="41" borderId="0" applyNumberFormat="0" applyBorder="0" applyAlignment="0" applyProtection="0"/>
    <xf numFmtId="0" fontId="33" fillId="42" borderId="0" applyNumberFormat="0" applyBorder="0" applyAlignment="0" applyProtection="0"/>
    <xf numFmtId="0" fontId="60" fillId="43" borderId="0" applyNumberFormat="0" applyBorder="0" applyAlignment="0" applyProtection="0"/>
    <xf numFmtId="0" fontId="60" fillId="44" borderId="0" applyNumberFormat="0" applyBorder="0" applyAlignment="0" applyProtection="0"/>
    <xf numFmtId="0" fontId="33" fillId="45" borderId="0" applyNumberFormat="0" applyBorder="0" applyAlignment="0" applyProtection="0"/>
    <xf numFmtId="0" fontId="33" fillId="46" borderId="0" applyNumberFormat="0" applyBorder="0" applyAlignment="0" applyProtection="0"/>
    <xf numFmtId="0" fontId="60" fillId="47" borderId="0" applyNumberFormat="0" applyBorder="0" applyAlignment="0" applyProtection="0"/>
    <xf numFmtId="0" fontId="61" fillId="0" borderId="0" applyNumberFormat="0" applyFill="0" applyBorder="0" applyAlignment="0" applyProtection="0"/>
    <xf numFmtId="43" fontId="48" fillId="0" borderId="0" applyFont="0" applyFill="0" applyBorder="0" applyAlignment="0" applyProtection="0"/>
    <xf numFmtId="9" fontId="48" fillId="0" borderId="0" applyFont="0" applyFill="0" applyBorder="0" applyAlignment="0" applyProtection="0"/>
    <xf numFmtId="0" fontId="53" fillId="0" borderId="0" applyNumberFormat="0" applyFill="0" applyBorder="0" applyAlignment="0" applyProtection="0"/>
    <xf numFmtId="165" fontId="37" fillId="7" borderId="0"/>
    <xf numFmtId="43" fontId="37" fillId="49" borderId="0">
      <alignment vertical="top"/>
    </xf>
    <xf numFmtId="43" fontId="37" fillId="50" borderId="0">
      <alignment vertical="top"/>
    </xf>
    <xf numFmtId="43" fontId="37" fillId="51" borderId="0" applyNumberFormat="0">
      <alignment vertical="top"/>
    </xf>
    <xf numFmtId="0" fontId="53" fillId="0" borderId="0" applyNumberFormat="0" applyFill="0" applyBorder="0" applyAlignment="0" applyProtection="0"/>
    <xf numFmtId="9" fontId="37" fillId="0" borderId="0" applyFont="0" applyFill="0" applyBorder="0" applyAlignment="0" applyProtection="0"/>
    <xf numFmtId="168" fontId="37" fillId="0" borderId="0" applyFont="0" applyFill="0" applyBorder="0" applyAlignment="0" applyProtection="0"/>
    <xf numFmtId="43" fontId="48" fillId="0" borderId="0" applyFont="0" applyFill="0" applyBorder="0" applyAlignment="0" applyProtection="0"/>
    <xf numFmtId="168" fontId="37" fillId="0" borderId="0" applyFont="0" applyFill="0" applyBorder="0" applyAlignment="0" applyProtection="0"/>
    <xf numFmtId="9" fontId="48" fillId="0" borderId="0" applyFont="0" applyFill="0" applyBorder="0" applyAlignment="0" applyProtection="0"/>
    <xf numFmtId="9" fontId="37" fillId="0" borderId="0" applyFont="0" applyFill="0" applyBorder="0" applyAlignment="0" applyProtection="0"/>
    <xf numFmtId="0" fontId="37" fillId="0" borderId="0"/>
    <xf numFmtId="0" fontId="37" fillId="0" borderId="0"/>
    <xf numFmtId="0" fontId="37" fillId="0" borderId="0" applyFill="0"/>
    <xf numFmtId="0" fontId="48" fillId="0" borderId="0"/>
    <xf numFmtId="0" fontId="37" fillId="0" borderId="0"/>
    <xf numFmtId="0" fontId="37" fillId="0" borderId="0"/>
    <xf numFmtId="0" fontId="37" fillId="0" borderId="0"/>
    <xf numFmtId="41" fontId="37" fillId="15" borderId="0">
      <alignment vertical="top"/>
    </xf>
    <xf numFmtId="0" fontId="37" fillId="0" borderId="0"/>
    <xf numFmtId="41" fontId="37" fillId="49" borderId="0">
      <alignment vertical="top"/>
    </xf>
    <xf numFmtId="0" fontId="22" fillId="0" borderId="0">
      <alignment vertical="top"/>
    </xf>
    <xf numFmtId="43" fontId="48" fillId="0" borderId="0" applyFont="0" applyFill="0" applyBorder="0" applyAlignment="0" applyProtection="0"/>
    <xf numFmtId="49" fontId="38" fillId="23" borderId="1">
      <alignment vertical="top"/>
    </xf>
    <xf numFmtId="9" fontId="48" fillId="0" borderId="0" applyFont="0" applyFill="0" applyBorder="0" applyAlignment="0" applyProtection="0"/>
    <xf numFmtId="41" fontId="37" fillId="50" borderId="0">
      <alignment vertical="top"/>
    </xf>
    <xf numFmtId="49" fontId="41" fillId="5" borderId="1">
      <alignment vertical="top"/>
    </xf>
    <xf numFmtId="41" fontId="37" fillId="49" borderId="0">
      <alignment vertical="top"/>
    </xf>
    <xf numFmtId="0" fontId="16" fillId="0" borderId="0">
      <alignment vertical="top"/>
    </xf>
    <xf numFmtId="10" fontId="37" fillId="0" borderId="0" applyFont="0" applyFill="0" applyBorder="0" applyAlignment="0" applyProtection="0">
      <alignment vertical="top"/>
    </xf>
    <xf numFmtId="0" fontId="37" fillId="0" borderId="0"/>
    <xf numFmtId="0" fontId="37" fillId="0" borderId="0"/>
    <xf numFmtId="9" fontId="37" fillId="0" borderId="0" applyFont="0" applyFill="0" applyBorder="0" applyAlignment="0" applyProtection="0"/>
    <xf numFmtId="168" fontId="37" fillId="0" borderId="0" applyFont="0" applyFill="0" applyBorder="0" applyAlignment="0" applyProtection="0"/>
    <xf numFmtId="0" fontId="37" fillId="0" borderId="0"/>
    <xf numFmtId="49" fontId="38" fillId="23" borderId="1">
      <alignment vertical="top"/>
    </xf>
  </cellStyleXfs>
  <cellXfs count="299">
    <xf numFmtId="0" fontId="0" fillId="0" borderId="0" xfId="0"/>
    <xf numFmtId="0" fontId="38" fillId="0" borderId="0" xfId="4" applyFont="1">
      <alignment vertical="top"/>
    </xf>
    <xf numFmtId="0" fontId="37" fillId="0" borderId="0" xfId="4">
      <alignment vertical="top"/>
    </xf>
    <xf numFmtId="0" fontId="39" fillId="0" borderId="0" xfId="4" applyFont="1">
      <alignment vertical="top"/>
    </xf>
    <xf numFmtId="0" fontId="42" fillId="0" borderId="0" xfId="4" applyFont="1">
      <alignment vertical="top"/>
    </xf>
    <xf numFmtId="0" fontId="43" fillId="0" borderId="0" xfId="4" applyFont="1">
      <alignment vertical="top"/>
    </xf>
    <xf numFmtId="49" fontId="38" fillId="23" borderId="1" xfId="6">
      <alignment vertical="top"/>
    </xf>
    <xf numFmtId="0" fontId="37" fillId="0" borderId="2" xfId="4" applyBorder="1" applyAlignment="1">
      <alignment horizontal="left" vertical="top" wrapText="1"/>
    </xf>
    <xf numFmtId="0" fontId="41" fillId="5" borderId="1" xfId="4" applyFont="1" applyFill="1" applyBorder="1">
      <alignment vertical="top"/>
    </xf>
    <xf numFmtId="0" fontId="40" fillId="5" borderId="1" xfId="4" applyFont="1" applyFill="1" applyBorder="1">
      <alignment vertical="top"/>
    </xf>
    <xf numFmtId="0" fontId="37" fillId="10" borderId="0" xfId="4" applyFill="1">
      <alignment vertical="top"/>
    </xf>
    <xf numFmtId="0" fontId="37" fillId="11" borderId="0" xfId="4" applyFill="1">
      <alignment vertical="top"/>
    </xf>
    <xf numFmtId="0" fontId="37" fillId="12" borderId="0" xfId="4" applyFill="1">
      <alignment vertical="top"/>
    </xf>
    <xf numFmtId="0" fontId="37" fillId="7" borderId="0" xfId="4" applyFill="1">
      <alignment vertical="top"/>
    </xf>
    <xf numFmtId="2" fontId="37" fillId="14" borderId="0" xfId="4" applyNumberFormat="1" applyFill="1">
      <alignment vertical="top"/>
    </xf>
    <xf numFmtId="1" fontId="37" fillId="0" borderId="0" xfId="4" applyNumberFormat="1">
      <alignment vertical="top"/>
    </xf>
    <xf numFmtId="1" fontId="42" fillId="0" borderId="0" xfId="4" applyNumberFormat="1" applyFont="1">
      <alignment vertical="top"/>
    </xf>
    <xf numFmtId="0" fontId="45" fillId="0" borderId="0" xfId="4" applyFont="1">
      <alignment vertical="top"/>
    </xf>
    <xf numFmtId="0" fontId="41" fillId="5" borderId="1" xfId="5" applyNumberFormat="1">
      <alignment vertical="top"/>
    </xf>
    <xf numFmtId="0" fontId="47" fillId="0" borderId="0" xfId="4" applyFont="1">
      <alignment vertical="top"/>
    </xf>
    <xf numFmtId="0" fontId="39" fillId="9" borderId="0" xfId="4" applyFont="1" applyFill="1">
      <alignment vertical="top"/>
    </xf>
    <xf numFmtId="0" fontId="39" fillId="11" borderId="0" xfId="4" applyFont="1" applyFill="1">
      <alignment vertical="top"/>
    </xf>
    <xf numFmtId="0" fontId="39" fillId="12" borderId="0" xfId="4" applyFont="1" applyFill="1">
      <alignment vertical="top"/>
    </xf>
    <xf numFmtId="0" fontId="37" fillId="18" borderId="0" xfId="4" applyFill="1">
      <alignment vertical="top"/>
    </xf>
    <xf numFmtId="49" fontId="39" fillId="23" borderId="0" xfId="6" applyFont="1" applyBorder="1">
      <alignment vertical="top"/>
    </xf>
    <xf numFmtId="49" fontId="37" fillId="23" borderId="2" xfId="6" applyFont="1" applyBorder="1">
      <alignment vertical="top"/>
    </xf>
    <xf numFmtId="49" fontId="38" fillId="0" borderId="0" xfId="7">
      <alignment vertical="top"/>
    </xf>
    <xf numFmtId="0" fontId="33" fillId="0" borderId="0" xfId="0" applyFont="1"/>
    <xf numFmtId="165" fontId="37" fillId="0" borderId="0" xfId="0" applyNumberFormat="1" applyFont="1"/>
    <xf numFmtId="165" fontId="41" fillId="5" borderId="1" xfId="0" applyNumberFormat="1" applyFont="1" applyFill="1" applyBorder="1" applyAlignment="1">
      <alignment vertical="top"/>
    </xf>
    <xf numFmtId="165" fontId="37" fillId="0" borderId="0" xfId="0" applyNumberFormat="1" applyFont="1" applyAlignment="1">
      <alignment vertical="top"/>
    </xf>
    <xf numFmtId="165" fontId="38" fillId="23" borderId="1" xfId="0" applyNumberFormat="1" applyFont="1" applyFill="1" applyBorder="1" applyAlignment="1">
      <alignment vertical="top"/>
    </xf>
    <xf numFmtId="165" fontId="33" fillId="0" borderId="0" xfId="0" applyNumberFormat="1" applyFont="1"/>
    <xf numFmtId="43" fontId="0" fillId="0" borderId="0" xfId="0" applyNumberFormat="1"/>
    <xf numFmtId="43" fontId="37" fillId="0" borderId="0" xfId="0" applyNumberFormat="1" applyFont="1"/>
    <xf numFmtId="43" fontId="37" fillId="17" borderId="0" xfId="13">
      <alignment vertical="top"/>
    </xf>
    <xf numFmtId="0" fontId="37" fillId="0" borderId="0" xfId="0" applyFont="1" applyAlignment="1">
      <alignment vertical="top"/>
    </xf>
    <xf numFmtId="165" fontId="37" fillId="16" borderId="0" xfId="8" applyNumberFormat="1">
      <alignment vertical="top"/>
    </xf>
    <xf numFmtId="165" fontId="37" fillId="15" borderId="0" xfId="9" applyNumberFormat="1">
      <alignment vertical="top"/>
    </xf>
    <xf numFmtId="0" fontId="37" fillId="0" borderId="0" xfId="0" applyFont="1"/>
    <xf numFmtId="49" fontId="38" fillId="0" borderId="1" xfId="6" applyFill="1">
      <alignment vertical="top"/>
    </xf>
    <xf numFmtId="165" fontId="38" fillId="0" borderId="1" xfId="0" applyNumberFormat="1" applyFont="1" applyBorder="1" applyAlignment="1">
      <alignment vertical="top"/>
    </xf>
    <xf numFmtId="0" fontId="59" fillId="0" borderId="0" xfId="0" applyFont="1"/>
    <xf numFmtId="43" fontId="33" fillId="0" borderId="0" xfId="0" applyNumberFormat="1" applyFont="1"/>
    <xf numFmtId="0" fontId="62" fillId="0" borderId="0" xfId="0" applyFont="1"/>
    <xf numFmtId="49" fontId="38" fillId="0" borderId="0" xfId="6" applyFill="1" applyBorder="1">
      <alignment vertical="top"/>
    </xf>
    <xf numFmtId="165" fontId="37" fillId="17" borderId="0" xfId="13" applyNumberFormat="1">
      <alignment vertical="top"/>
    </xf>
    <xf numFmtId="10" fontId="33" fillId="0" borderId="0" xfId="0" applyNumberFormat="1" applyFont="1"/>
    <xf numFmtId="166" fontId="37" fillId="17" borderId="0" xfId="61" applyNumberFormat="1" applyFont="1" applyFill="1" applyAlignment="1">
      <alignment vertical="top"/>
    </xf>
    <xf numFmtId="166" fontId="37" fillId="15" borderId="0" xfId="61" applyNumberFormat="1" applyFont="1" applyFill="1" applyAlignment="1">
      <alignment vertical="top"/>
    </xf>
    <xf numFmtId="0" fontId="38" fillId="23" borderId="1" xfId="6" applyNumberFormat="1">
      <alignment vertical="top"/>
    </xf>
    <xf numFmtId="167" fontId="33" fillId="15" borderId="0" xfId="0" applyNumberFormat="1" applyFont="1" applyFill="1"/>
    <xf numFmtId="165" fontId="33" fillId="17" borderId="0" xfId="0" applyNumberFormat="1" applyFont="1" applyFill="1"/>
    <xf numFmtId="165" fontId="33" fillId="15" borderId="0" xfId="0" applyNumberFormat="1" applyFont="1" applyFill="1"/>
    <xf numFmtId="164" fontId="33" fillId="16" borderId="0" xfId="0" applyNumberFormat="1" applyFont="1" applyFill="1"/>
    <xf numFmtId="10" fontId="37" fillId="17" borderId="0" xfId="61" applyNumberFormat="1" applyFont="1" applyFill="1" applyAlignment="1">
      <alignment vertical="top"/>
    </xf>
    <xf numFmtId="0" fontId="63" fillId="0" borderId="0" xfId="0" applyFont="1"/>
    <xf numFmtId="0" fontId="64" fillId="0" borderId="0" xfId="0" applyFont="1"/>
    <xf numFmtId="2" fontId="38" fillId="23" borderId="1" xfId="6" applyNumberFormat="1">
      <alignment vertical="top"/>
    </xf>
    <xf numFmtId="164" fontId="37" fillId="0" borderId="0" xfId="4" applyNumberFormat="1">
      <alignment vertical="top"/>
    </xf>
    <xf numFmtId="49" fontId="42" fillId="0" borderId="0" xfId="14">
      <alignment vertical="top"/>
    </xf>
    <xf numFmtId="43" fontId="37" fillId="49" borderId="0" xfId="64">
      <alignment vertical="top"/>
    </xf>
    <xf numFmtId="49" fontId="37" fillId="0" borderId="0" xfId="14" applyFont="1">
      <alignment vertical="top"/>
    </xf>
    <xf numFmtId="43" fontId="37" fillId="50" borderId="0" xfId="65">
      <alignment vertical="top"/>
    </xf>
    <xf numFmtId="43" fontId="37" fillId="13" borderId="0" xfId="10">
      <alignment vertical="top"/>
    </xf>
    <xf numFmtId="165" fontId="37" fillId="49" borderId="0" xfId="64" applyNumberFormat="1">
      <alignment vertical="top"/>
    </xf>
    <xf numFmtId="10" fontId="37" fillId="49" borderId="0" xfId="61" applyNumberFormat="1" applyFont="1" applyFill="1" applyAlignment="1">
      <alignment vertical="top"/>
    </xf>
    <xf numFmtId="43" fontId="37" fillId="49" borderId="2" xfId="64" applyBorder="1">
      <alignment vertical="top"/>
    </xf>
    <xf numFmtId="0" fontId="45" fillId="0" borderId="0" xfId="0" applyFont="1" applyAlignment="1">
      <alignment vertical="top"/>
    </xf>
    <xf numFmtId="49" fontId="37" fillId="0" borderId="0" xfId="7" applyFont="1">
      <alignment vertical="top"/>
    </xf>
    <xf numFmtId="0" fontId="37" fillId="0" borderId="0" xfId="4" applyAlignment="1">
      <alignment vertical="top" wrapText="1"/>
    </xf>
    <xf numFmtId="49" fontId="38" fillId="23" borderId="1" xfId="6" applyAlignment="1">
      <alignment vertical="top" wrapText="1"/>
    </xf>
    <xf numFmtId="167" fontId="37" fillId="0" borderId="0" xfId="4" applyNumberFormat="1">
      <alignment vertical="top"/>
    </xf>
    <xf numFmtId="0" fontId="37" fillId="0" borderId="0" xfId="0" quotePrefix="1" applyFont="1"/>
    <xf numFmtId="0" fontId="37" fillId="0" borderId="0" xfId="80"/>
    <xf numFmtId="0" fontId="32" fillId="0" borderId="0" xfId="0" applyFont="1"/>
    <xf numFmtId="0" fontId="31" fillId="0" borderId="0" xfId="0" applyFont="1"/>
    <xf numFmtId="0" fontId="31" fillId="0" borderId="0" xfId="0" quotePrefix="1" applyFont="1"/>
    <xf numFmtId="0" fontId="37" fillId="48" borderId="0" xfId="4" applyFill="1">
      <alignment vertical="top"/>
    </xf>
    <xf numFmtId="0" fontId="32" fillId="48" borderId="0" xfId="0" applyFont="1" applyFill="1"/>
    <xf numFmtId="165" fontId="37" fillId="48" borderId="0" xfId="64" applyNumberFormat="1" applyFill="1">
      <alignment vertical="top"/>
    </xf>
    <xf numFmtId="10" fontId="37" fillId="0" borderId="0" xfId="61" applyNumberFormat="1" applyFont="1" applyFill="1" applyAlignment="1">
      <alignment vertical="top"/>
    </xf>
    <xf numFmtId="0" fontId="30" fillId="0" borderId="0" xfId="0" quotePrefix="1" applyFont="1"/>
    <xf numFmtId="165" fontId="37" fillId="0" borderId="0" xfId="4" applyNumberFormat="1">
      <alignment vertical="top"/>
    </xf>
    <xf numFmtId="0" fontId="46" fillId="5" borderId="1" xfId="4" applyFont="1" applyFill="1" applyBorder="1">
      <alignment vertical="top"/>
    </xf>
    <xf numFmtId="0" fontId="53" fillId="0" borderId="0" xfId="62"/>
    <xf numFmtId="0" fontId="29" fillId="0" borderId="0" xfId="0" applyFont="1"/>
    <xf numFmtId="49" fontId="37" fillId="0" borderId="0" xfId="6" applyFont="1" applyFill="1" applyBorder="1">
      <alignment vertical="top"/>
    </xf>
    <xf numFmtId="0" fontId="28" fillId="0" borderId="0" xfId="0" applyFont="1"/>
    <xf numFmtId="165" fontId="37" fillId="0" borderId="0" xfId="9" applyNumberFormat="1" applyFill="1">
      <alignment vertical="top"/>
    </xf>
    <xf numFmtId="165" fontId="37" fillId="0" borderId="0" xfId="13" applyNumberFormat="1" applyFill="1">
      <alignment vertical="top"/>
    </xf>
    <xf numFmtId="0" fontId="27" fillId="0" borderId="0" xfId="0" applyFont="1"/>
    <xf numFmtId="0" fontId="38" fillId="0" borderId="0" xfId="82" applyFont="1"/>
    <xf numFmtId="165" fontId="38" fillId="23" borderId="1" xfId="6" applyNumberFormat="1">
      <alignment vertical="top"/>
    </xf>
    <xf numFmtId="0" fontId="26" fillId="0" borderId="0" xfId="0" applyFont="1"/>
    <xf numFmtId="0" fontId="46" fillId="5" borderId="1" xfId="5" applyNumberFormat="1" applyFont="1">
      <alignment vertical="top"/>
    </xf>
    <xf numFmtId="41" fontId="37" fillId="49" borderId="0" xfId="83">
      <alignment vertical="top"/>
    </xf>
    <xf numFmtId="165" fontId="37" fillId="0" borderId="0" xfId="64" applyNumberFormat="1" applyFill="1">
      <alignment vertical="top"/>
    </xf>
    <xf numFmtId="0" fontId="26" fillId="0" borderId="0" xfId="0" applyFont="1" applyAlignment="1">
      <alignment vertical="top"/>
    </xf>
    <xf numFmtId="43" fontId="37" fillId="0" borderId="0" xfId="4" applyNumberFormat="1">
      <alignment vertical="top"/>
    </xf>
    <xf numFmtId="43" fontId="38" fillId="23" borderId="1" xfId="6" applyNumberFormat="1">
      <alignment vertical="top"/>
    </xf>
    <xf numFmtId="165" fontId="37" fillId="17" borderId="0" xfId="64" applyNumberFormat="1" applyFill="1">
      <alignment vertical="top"/>
    </xf>
    <xf numFmtId="166" fontId="37" fillId="17" borderId="0" xfId="4" applyNumberFormat="1" applyFill="1">
      <alignment vertical="top"/>
    </xf>
    <xf numFmtId="43" fontId="37" fillId="17" borderId="0" xfId="64" applyFill="1">
      <alignment vertical="top"/>
    </xf>
    <xf numFmtId="43" fontId="46" fillId="5" borderId="1" xfId="5" applyNumberFormat="1" applyFont="1">
      <alignment vertical="top"/>
    </xf>
    <xf numFmtId="41" fontId="37" fillId="15" borderId="0" xfId="81">
      <alignment vertical="top"/>
    </xf>
    <xf numFmtId="169" fontId="37" fillId="0" borderId="0" xfId="61" applyNumberFormat="1" applyFont="1" applyAlignment="1">
      <alignment vertical="top"/>
    </xf>
    <xf numFmtId="41" fontId="37" fillId="17" borderId="0" xfId="83" applyFill="1">
      <alignment vertical="top"/>
    </xf>
    <xf numFmtId="0" fontId="25" fillId="0" borderId="0" xfId="0" applyFont="1"/>
    <xf numFmtId="165" fontId="37" fillId="17" borderId="0" xfId="9" applyNumberFormat="1" applyFill="1">
      <alignment vertical="top"/>
    </xf>
    <xf numFmtId="170" fontId="37" fillId="49" borderId="0" xfId="83" applyNumberFormat="1">
      <alignment vertical="top"/>
    </xf>
    <xf numFmtId="43" fontId="37" fillId="17" borderId="0" xfId="4" applyNumberFormat="1" applyFill="1">
      <alignment vertical="top"/>
    </xf>
    <xf numFmtId="0" fontId="0" fillId="0" borderId="0" xfId="0" applyAlignment="1">
      <alignment vertical="top"/>
    </xf>
    <xf numFmtId="41" fontId="37" fillId="0" borderId="0" xfId="83" applyFill="1">
      <alignment vertical="top"/>
    </xf>
    <xf numFmtId="41" fontId="37" fillId="15" borderId="0" xfId="4" applyNumberFormat="1" applyFill="1">
      <alignment vertical="top"/>
    </xf>
    <xf numFmtId="0" fontId="24" fillId="0" borderId="0" xfId="0" applyFont="1" applyAlignment="1">
      <alignment vertical="top"/>
    </xf>
    <xf numFmtId="43" fontId="26" fillId="0" borderId="0" xfId="0" applyNumberFormat="1" applyFont="1" applyAlignment="1">
      <alignment vertical="top"/>
    </xf>
    <xf numFmtId="43" fontId="26" fillId="17" borderId="0" xfId="0" applyNumberFormat="1" applyFont="1" applyFill="1" applyAlignment="1">
      <alignment vertical="top"/>
    </xf>
    <xf numFmtId="165" fontId="37" fillId="15" borderId="0" xfId="13" applyNumberFormat="1" applyFill="1">
      <alignment vertical="top"/>
    </xf>
    <xf numFmtId="41" fontId="37" fillId="17" borderId="0" xfId="81" applyFill="1">
      <alignment vertical="top"/>
    </xf>
    <xf numFmtId="0" fontId="37" fillId="0" borderId="0" xfId="82"/>
    <xf numFmtId="41" fontId="37" fillId="0" borderId="0" xfId="4" applyNumberFormat="1">
      <alignment vertical="top"/>
    </xf>
    <xf numFmtId="0" fontId="23" fillId="0" borderId="0" xfId="0" applyFont="1" applyAlignment="1">
      <alignment vertical="top"/>
    </xf>
    <xf numFmtId="10" fontId="23" fillId="0" borderId="0" xfId="0" applyNumberFormat="1" applyFont="1" applyAlignment="1">
      <alignment vertical="top"/>
    </xf>
    <xf numFmtId="165" fontId="37" fillId="0" borderId="0" xfId="70" applyNumberFormat="1" applyFont="1" applyAlignment="1">
      <alignment vertical="top"/>
    </xf>
    <xf numFmtId="41" fontId="37" fillId="0" borderId="0" xfId="81" applyFill="1">
      <alignment vertical="top"/>
    </xf>
    <xf numFmtId="0" fontId="23" fillId="0" borderId="0" xfId="75" applyFont="1"/>
    <xf numFmtId="41" fontId="37" fillId="16" borderId="0" xfId="81" applyFill="1">
      <alignment vertical="top"/>
    </xf>
    <xf numFmtId="0" fontId="21" fillId="0" borderId="0" xfId="0" quotePrefix="1" applyFont="1"/>
    <xf numFmtId="0" fontId="20" fillId="0" borderId="0" xfId="75" applyFont="1" applyAlignment="1">
      <alignment vertical="top"/>
    </xf>
    <xf numFmtId="0" fontId="59" fillId="0" borderId="0" xfId="75" applyFont="1" applyAlignment="1">
      <alignment vertical="top"/>
    </xf>
    <xf numFmtId="0" fontId="20" fillId="0" borderId="0" xfId="75" applyFont="1"/>
    <xf numFmtId="0" fontId="68" fillId="0" borderId="0" xfId="0" applyFont="1" applyAlignment="1">
      <alignment vertical="center"/>
    </xf>
    <xf numFmtId="10" fontId="37" fillId="49" borderId="0" xfId="83" applyNumberFormat="1">
      <alignment vertical="top"/>
    </xf>
    <xf numFmtId="10" fontId="37" fillId="17" borderId="0" xfId="83" applyNumberFormat="1" applyFill="1">
      <alignment vertical="top"/>
    </xf>
    <xf numFmtId="0" fontId="20" fillId="0" borderId="0" xfId="0" applyFont="1"/>
    <xf numFmtId="9" fontId="48" fillId="0" borderId="0" xfId="61" applyAlignment="1">
      <alignment vertical="top"/>
    </xf>
    <xf numFmtId="171" fontId="37" fillId="0" borderId="0" xfId="4" applyNumberFormat="1">
      <alignment vertical="top"/>
    </xf>
    <xf numFmtId="10" fontId="37" fillId="15" borderId="0" xfId="83" applyNumberFormat="1" applyFill="1">
      <alignment vertical="top"/>
    </xf>
    <xf numFmtId="170" fontId="37" fillId="15" borderId="0" xfId="81" applyNumberFormat="1">
      <alignment vertical="top"/>
    </xf>
    <xf numFmtId="49" fontId="38" fillId="23" borderId="1" xfId="86">
      <alignment vertical="top"/>
    </xf>
    <xf numFmtId="0" fontId="20" fillId="0" borderId="0" xfId="0" applyFont="1" applyAlignment="1">
      <alignment vertical="top"/>
    </xf>
    <xf numFmtId="10" fontId="20" fillId="0" borderId="0" xfId="0" applyNumberFormat="1" applyFont="1"/>
    <xf numFmtId="166" fontId="37" fillId="17" borderId="0" xfId="87" applyNumberFormat="1" applyFont="1" applyFill="1" applyAlignment="1">
      <alignment vertical="top"/>
    </xf>
    <xf numFmtId="0" fontId="19" fillId="0" borderId="0" xfId="75" applyFont="1" applyAlignment="1">
      <alignment vertical="top"/>
    </xf>
    <xf numFmtId="0" fontId="18" fillId="0" borderId="0" xfId="0" applyFont="1"/>
    <xf numFmtId="172" fontId="37" fillId="15" borderId="0" xfId="9" applyNumberFormat="1">
      <alignment vertical="top"/>
    </xf>
    <xf numFmtId="0" fontId="65" fillId="0" borderId="0" xfId="67" applyFont="1" applyBorder="1" applyAlignment="1">
      <alignment vertical="top" wrapText="1"/>
    </xf>
    <xf numFmtId="0" fontId="59" fillId="0" borderId="0" xfId="0" applyFont="1" applyAlignment="1">
      <alignment vertical="top"/>
    </xf>
    <xf numFmtId="41" fontId="37" fillId="51" borderId="0" xfId="66" applyNumberFormat="1">
      <alignment vertical="top"/>
    </xf>
    <xf numFmtId="173" fontId="37" fillId="17" borderId="0" xfId="13" applyNumberFormat="1">
      <alignment vertical="top"/>
    </xf>
    <xf numFmtId="49" fontId="38" fillId="23" borderId="0" xfId="6" applyBorder="1">
      <alignment vertical="top"/>
    </xf>
    <xf numFmtId="49" fontId="42" fillId="23" borderId="0" xfId="6" applyFont="1" applyBorder="1">
      <alignment vertical="top"/>
    </xf>
    <xf numFmtId="49" fontId="37" fillId="23" borderId="0" xfId="6" applyFont="1" applyBorder="1">
      <alignment vertical="top"/>
    </xf>
    <xf numFmtId="49" fontId="37" fillId="23" borderId="12" xfId="6" applyFont="1" applyBorder="1">
      <alignment vertical="top"/>
    </xf>
    <xf numFmtId="49" fontId="37" fillId="23" borderId="12" xfId="6" applyFont="1" applyBorder="1" applyAlignment="1">
      <alignment vertical="top" wrapText="1"/>
    </xf>
    <xf numFmtId="174" fontId="37" fillId="49" borderId="0" xfId="83" applyNumberFormat="1">
      <alignment vertical="top"/>
    </xf>
    <xf numFmtId="174" fontId="37" fillId="15" borderId="0" xfId="81" applyNumberFormat="1">
      <alignment vertical="top"/>
    </xf>
    <xf numFmtId="0" fontId="37" fillId="15" borderId="0" xfId="81" applyNumberFormat="1">
      <alignment vertical="top"/>
    </xf>
    <xf numFmtId="175" fontId="37" fillId="15" borderId="0" xfId="81" applyNumberFormat="1">
      <alignment vertical="top"/>
    </xf>
    <xf numFmtId="43" fontId="37" fillId="16" borderId="0" xfId="8">
      <alignment vertical="top"/>
    </xf>
    <xf numFmtId="10" fontId="37" fillId="17" borderId="0" xfId="0" applyNumberFormat="1" applyFont="1" applyFill="1" applyAlignment="1">
      <alignment vertical="top"/>
    </xf>
    <xf numFmtId="0" fontId="37" fillId="52" borderId="0" xfId="0" applyFont="1" applyFill="1" applyAlignment="1">
      <alignment vertical="top"/>
    </xf>
    <xf numFmtId="173" fontId="37" fillId="15" borderId="0" xfId="81" applyNumberFormat="1">
      <alignment vertical="top"/>
    </xf>
    <xf numFmtId="0" fontId="37" fillId="0" borderId="0" xfId="0" applyFont="1" applyAlignment="1">
      <alignment horizontal="center" vertical="top"/>
    </xf>
    <xf numFmtId="175" fontId="0" fillId="7" borderId="0" xfId="0" applyNumberFormat="1" applyFill="1" applyAlignment="1">
      <alignment vertical="top"/>
    </xf>
    <xf numFmtId="0" fontId="17" fillId="0" borderId="0" xfId="0" applyFont="1"/>
    <xf numFmtId="165" fontId="37" fillId="48" borderId="0" xfId="9" applyNumberFormat="1" applyFill="1">
      <alignment vertical="top"/>
    </xf>
    <xf numFmtId="41" fontId="37" fillId="48" borderId="0" xfId="83" applyFill="1">
      <alignment vertical="top"/>
    </xf>
    <xf numFmtId="0" fontId="17" fillId="0" borderId="0" xfId="0" applyFont="1" applyAlignment="1">
      <alignment vertical="top"/>
    </xf>
    <xf numFmtId="0" fontId="37" fillId="0" borderId="0" xfId="74" applyAlignment="1">
      <alignment vertical="top"/>
    </xf>
    <xf numFmtId="9" fontId="37" fillId="49" borderId="0" xfId="68" applyFill="1" applyAlignment="1">
      <alignment vertical="top"/>
    </xf>
    <xf numFmtId="43" fontId="41" fillId="5" borderId="1" xfId="5" applyNumberFormat="1">
      <alignment vertical="top"/>
    </xf>
    <xf numFmtId="0" fontId="38" fillId="0" borderId="0" xfId="74" applyFont="1" applyAlignment="1">
      <alignment vertical="top"/>
    </xf>
    <xf numFmtId="0" fontId="37" fillId="0" borderId="0" xfId="74"/>
    <xf numFmtId="0" fontId="59" fillId="0" borderId="0" xfId="74" applyFont="1" applyAlignment="1">
      <alignment vertical="top"/>
    </xf>
    <xf numFmtId="9" fontId="37" fillId="17" borderId="0" xfId="61" applyFont="1" applyFill="1" applyAlignment="1">
      <alignment vertical="top"/>
    </xf>
    <xf numFmtId="170" fontId="37" fillId="17" borderId="0" xfId="64" applyNumberFormat="1" applyFill="1">
      <alignment vertical="top"/>
    </xf>
    <xf numFmtId="0" fontId="37" fillId="51" borderId="0" xfId="66" applyNumberFormat="1">
      <alignment vertical="top"/>
    </xf>
    <xf numFmtId="166" fontId="37" fillId="15" borderId="0" xfId="73" applyNumberFormat="1" applyFont="1" applyFill="1" applyAlignment="1">
      <alignment vertical="top"/>
    </xf>
    <xf numFmtId="166" fontId="37" fillId="13" borderId="0" xfId="73" applyNumberFormat="1" applyFont="1" applyFill="1" applyAlignment="1">
      <alignment vertical="top"/>
    </xf>
    <xf numFmtId="0" fontId="41" fillId="5" borderId="1" xfId="89" applyNumberFormat="1">
      <alignment vertical="top"/>
    </xf>
    <xf numFmtId="43" fontId="37" fillId="7" borderId="0" xfId="64" applyFill="1">
      <alignment vertical="top"/>
    </xf>
    <xf numFmtId="43" fontId="37" fillId="0" borderId="0" xfId="74" applyNumberFormat="1" applyAlignment="1">
      <alignment vertical="top"/>
    </xf>
    <xf numFmtId="165" fontId="37" fillId="0" borderId="0" xfId="74" applyNumberFormat="1" applyAlignment="1">
      <alignment vertical="top"/>
    </xf>
    <xf numFmtId="0" fontId="16" fillId="0" borderId="0" xfId="91">
      <alignment vertical="top"/>
    </xf>
    <xf numFmtId="176" fontId="37" fillId="0" borderId="0" xfId="74" applyNumberFormat="1" applyAlignment="1">
      <alignment vertical="top"/>
    </xf>
    <xf numFmtId="166" fontId="37" fillId="49" borderId="0" xfId="92" applyNumberFormat="1" applyFill="1">
      <alignment vertical="top"/>
    </xf>
    <xf numFmtId="166" fontId="37" fillId="17" borderId="0" xfId="92" applyNumberFormat="1" applyFill="1">
      <alignment vertical="top"/>
    </xf>
    <xf numFmtId="43" fontId="37" fillId="0" borderId="0" xfId="13" applyFill="1">
      <alignment vertical="top"/>
    </xf>
    <xf numFmtId="43" fontId="38" fillId="23" borderId="1" xfId="86" applyNumberFormat="1">
      <alignment vertical="top"/>
    </xf>
    <xf numFmtId="165" fontId="37" fillId="15" borderId="0" xfId="4" applyNumberFormat="1" applyFill="1">
      <alignment vertical="top"/>
    </xf>
    <xf numFmtId="165" fontId="37" fillId="0" borderId="0" xfId="85" applyNumberFormat="1" applyFont="1" applyAlignment="1">
      <alignment vertical="top"/>
    </xf>
    <xf numFmtId="0" fontId="37" fillId="0" borderId="2" xfId="4" applyBorder="1">
      <alignment vertical="top"/>
    </xf>
    <xf numFmtId="0" fontId="65" fillId="0" borderId="2" xfId="67" applyFont="1" applyFill="1" applyBorder="1" applyAlignment="1">
      <alignment vertical="top" wrapText="1"/>
    </xf>
    <xf numFmtId="0" fontId="37" fillId="0" borderId="0" xfId="93"/>
    <xf numFmtId="49" fontId="38" fillId="0" borderId="0" xfId="86" applyFill="1" applyBorder="1">
      <alignment vertical="top"/>
    </xf>
    <xf numFmtId="0" fontId="38" fillId="48" borderId="0" xfId="74" applyFont="1" applyFill="1" applyAlignment="1">
      <alignment vertical="top"/>
    </xf>
    <xf numFmtId="0" fontId="15" fillId="0" borderId="0" xfId="0" applyFont="1" applyAlignment="1">
      <alignment vertical="top"/>
    </xf>
    <xf numFmtId="177" fontId="37" fillId="15" borderId="0" xfId="81" applyNumberFormat="1">
      <alignment vertical="top"/>
    </xf>
    <xf numFmtId="10" fontId="20" fillId="0" borderId="0" xfId="75" applyNumberFormat="1" applyFont="1" applyAlignment="1">
      <alignment vertical="top"/>
    </xf>
    <xf numFmtId="0" fontId="14" fillId="0" borderId="0" xfId="0" applyFont="1" applyAlignment="1">
      <alignment vertical="top"/>
    </xf>
    <xf numFmtId="0" fontId="14" fillId="0" borderId="0" xfId="0" applyFont="1"/>
    <xf numFmtId="0" fontId="14" fillId="0" borderId="0" xfId="75" applyFont="1" applyAlignment="1">
      <alignment vertical="top"/>
    </xf>
    <xf numFmtId="0" fontId="37" fillId="0" borderId="0" xfId="75" applyAlignment="1">
      <alignment vertical="top"/>
    </xf>
    <xf numFmtId="9" fontId="20" fillId="0" borderId="0" xfId="75" applyNumberFormat="1" applyFont="1" applyAlignment="1">
      <alignment vertical="top"/>
    </xf>
    <xf numFmtId="0" fontId="37" fillId="0" borderId="0" xfId="4" applyFill="1">
      <alignment vertical="top"/>
    </xf>
    <xf numFmtId="176" fontId="37" fillId="17" borderId="0" xfId="13" applyNumberFormat="1">
      <alignment vertical="top"/>
    </xf>
    <xf numFmtId="0" fontId="13" fillId="0" borderId="0" xfId="0" applyFont="1" applyAlignment="1">
      <alignment vertical="top"/>
    </xf>
    <xf numFmtId="0" fontId="37" fillId="0" borderId="0" xfId="4" applyFont="1">
      <alignment vertical="top"/>
    </xf>
    <xf numFmtId="0" fontId="26" fillId="0" borderId="0" xfId="0" applyFont="1" applyFill="1" applyAlignment="1">
      <alignment vertical="top"/>
    </xf>
    <xf numFmtId="0" fontId="37" fillId="0" borderId="0" xfId="4" applyAlignment="1">
      <alignment vertical="top"/>
    </xf>
    <xf numFmtId="49" fontId="38" fillId="0" borderId="0" xfId="4" applyNumberFormat="1" applyFont="1" applyAlignment="1">
      <alignment horizontal="right" vertical="top"/>
    </xf>
    <xf numFmtId="0" fontId="38" fillId="0" borderId="0" xfId="4" applyFont="1" applyAlignment="1">
      <alignment horizontal="right" vertical="top"/>
    </xf>
    <xf numFmtId="0" fontId="12" fillId="0" borderId="0" xfId="0" applyFont="1" applyAlignment="1">
      <alignment vertical="top"/>
    </xf>
    <xf numFmtId="0" fontId="12" fillId="0" borderId="0" xfId="0" quotePrefix="1" applyFont="1"/>
    <xf numFmtId="0" fontId="11" fillId="0" borderId="0" xfId="0" applyFont="1"/>
    <xf numFmtId="0" fontId="37" fillId="0" borderId="2" xfId="62" applyFont="1" applyBorder="1" applyAlignment="1">
      <alignment vertical="top" wrapText="1"/>
    </xf>
    <xf numFmtId="0" fontId="37" fillId="0" borderId="2" xfId="62" applyFont="1" applyFill="1" applyBorder="1" applyAlignment="1">
      <alignment vertical="top" wrapText="1"/>
    </xf>
    <xf numFmtId="49" fontId="38" fillId="23" borderId="1" xfId="6" applyFont="1">
      <alignment vertical="top"/>
    </xf>
    <xf numFmtId="0" fontId="37" fillId="0" borderId="2" xfId="4" applyFont="1" applyBorder="1">
      <alignment vertical="top"/>
    </xf>
    <xf numFmtId="0" fontId="65" fillId="0" borderId="2" xfId="62" applyFont="1" applyFill="1" applyBorder="1" applyAlignment="1">
      <alignment vertical="top" wrapText="1"/>
    </xf>
    <xf numFmtId="0" fontId="37" fillId="0" borderId="2" xfId="4" applyFont="1" applyBorder="1" applyAlignment="1">
      <alignment vertical="top" wrapText="1"/>
    </xf>
    <xf numFmtId="0" fontId="37" fillId="0" borderId="2" xfId="74" applyFont="1" applyBorder="1" applyAlignment="1">
      <alignment vertical="top"/>
    </xf>
    <xf numFmtId="0" fontId="65" fillId="0" borderId="2" xfId="62" applyFont="1" applyBorder="1"/>
    <xf numFmtId="0" fontId="65" fillId="0" borderId="0" xfId="67" applyFont="1" applyFill="1" applyBorder="1" applyAlignment="1">
      <alignment vertical="top" wrapText="1"/>
    </xf>
    <xf numFmtId="0" fontId="65" fillId="0" borderId="0" xfId="62" applyFont="1" applyBorder="1"/>
    <xf numFmtId="0" fontId="42" fillId="0" borderId="0" xfId="74" applyFont="1" applyAlignment="1">
      <alignment vertical="top"/>
    </xf>
    <xf numFmtId="49" fontId="38" fillId="23" borderId="1" xfId="98">
      <alignment vertical="top"/>
    </xf>
    <xf numFmtId="43" fontId="38" fillId="23" borderId="1" xfId="98" applyNumberFormat="1">
      <alignment vertical="top"/>
    </xf>
    <xf numFmtId="10" fontId="37" fillId="49" borderId="0" xfId="92" applyFill="1">
      <alignment vertical="top"/>
    </xf>
    <xf numFmtId="0" fontId="10" fillId="0" borderId="0" xfId="0" applyFont="1" applyAlignment="1">
      <alignment vertical="top"/>
    </xf>
    <xf numFmtId="0" fontId="10" fillId="0" borderId="0" xfId="75" applyFont="1" applyAlignment="1">
      <alignment vertical="top"/>
    </xf>
    <xf numFmtId="0" fontId="10" fillId="0" borderId="0" xfId="0" applyFont="1"/>
    <xf numFmtId="0" fontId="10" fillId="0" borderId="0" xfId="97" applyFont="1" applyAlignment="1">
      <alignment vertical="top"/>
    </xf>
    <xf numFmtId="0" fontId="9" fillId="0" borderId="0" xfId="0" applyFont="1" applyAlignment="1">
      <alignment vertical="top"/>
    </xf>
    <xf numFmtId="0" fontId="9" fillId="0" borderId="0" xfId="0" applyFont="1"/>
    <xf numFmtId="0" fontId="9" fillId="0" borderId="0" xfId="0" quotePrefix="1" applyFont="1"/>
    <xf numFmtId="0" fontId="47" fillId="48" borderId="0" xfId="4" applyFont="1" applyFill="1">
      <alignment vertical="top"/>
    </xf>
    <xf numFmtId="0" fontId="47" fillId="0" borderId="0" xfId="91" applyFont="1">
      <alignment vertical="top"/>
    </xf>
    <xf numFmtId="0" fontId="47" fillId="0" borderId="0" xfId="75" applyFont="1" applyAlignment="1">
      <alignment vertical="top"/>
    </xf>
    <xf numFmtId="0" fontId="53" fillId="0" borderId="0" xfId="62" applyAlignment="1">
      <alignment vertical="top"/>
    </xf>
    <xf numFmtId="0" fontId="70" fillId="0" borderId="0" xfId="62" applyFont="1"/>
    <xf numFmtId="0" fontId="8" fillId="0" borderId="0" xfId="0" applyFont="1"/>
    <xf numFmtId="0" fontId="0" fillId="0" borderId="0" xfId="0" applyFill="1" applyAlignment="1">
      <alignment vertical="top"/>
    </xf>
    <xf numFmtId="0" fontId="16" fillId="0" borderId="0" xfId="91" applyFill="1">
      <alignment vertical="top"/>
    </xf>
    <xf numFmtId="0" fontId="37" fillId="0" borderId="0" xfId="4" applyAlignment="1">
      <alignment horizontal="left" vertical="top" wrapText="1"/>
    </xf>
    <xf numFmtId="0" fontId="7" fillId="0" borderId="0" xfId="0" applyFont="1"/>
    <xf numFmtId="0" fontId="7" fillId="0" borderId="0" xfId="0" quotePrefix="1" applyFont="1"/>
    <xf numFmtId="0" fontId="37" fillId="0" borderId="0" xfId="82" applyFill="1"/>
    <xf numFmtId="0" fontId="17" fillId="0" borderId="0" xfId="0" applyFont="1" applyFill="1" applyAlignment="1">
      <alignment vertical="top"/>
    </xf>
    <xf numFmtId="0" fontId="37" fillId="0" borderId="0" xfId="74" applyFill="1" applyAlignment="1">
      <alignment vertical="top"/>
    </xf>
    <xf numFmtId="49" fontId="37" fillId="0" borderId="0" xfId="4" applyNumberFormat="1">
      <alignment vertical="top"/>
    </xf>
    <xf numFmtId="166" fontId="37" fillId="17" borderId="0" xfId="73" applyNumberFormat="1" applyFont="1" applyFill="1" applyAlignment="1">
      <alignment vertical="top"/>
    </xf>
    <xf numFmtId="10" fontId="7" fillId="0" borderId="0" xfId="0" applyNumberFormat="1" applyFont="1"/>
    <xf numFmtId="165" fontId="0" fillId="0" borderId="0" xfId="0" applyNumberFormat="1" applyAlignment="1">
      <alignment vertical="top"/>
    </xf>
    <xf numFmtId="41" fontId="37" fillId="17" borderId="0" xfId="66" applyNumberFormat="1" applyFill="1">
      <alignment vertical="top"/>
    </xf>
    <xf numFmtId="0" fontId="20" fillId="0" borderId="0" xfId="75" applyFont="1" applyFill="1" applyAlignment="1">
      <alignment vertical="top"/>
    </xf>
    <xf numFmtId="0" fontId="7" fillId="0" borderId="0" xfId="75" applyFont="1" applyAlignment="1">
      <alignment vertical="top"/>
    </xf>
    <xf numFmtId="166" fontId="37" fillId="49" borderId="0" xfId="61" applyNumberFormat="1" applyFont="1" applyFill="1" applyAlignment="1">
      <alignment vertical="top"/>
    </xf>
    <xf numFmtId="0" fontId="6" fillId="0" borderId="0" xfId="0" applyFont="1" applyAlignment="1">
      <alignment vertical="top"/>
    </xf>
    <xf numFmtId="0" fontId="47" fillId="0" borderId="0" xfId="0" applyFont="1" applyAlignment="1">
      <alignment vertical="top"/>
    </xf>
    <xf numFmtId="1" fontId="6" fillId="0" borderId="0" xfId="0" applyNumberFormat="1" applyFont="1" applyAlignment="1">
      <alignment vertical="top"/>
    </xf>
    <xf numFmtId="165" fontId="37" fillId="0" borderId="0" xfId="8" applyNumberFormat="1" applyFill="1">
      <alignment vertical="top"/>
    </xf>
    <xf numFmtId="0" fontId="5" fillId="0" borderId="0" xfId="0" applyFont="1" applyAlignment="1">
      <alignment vertical="top"/>
    </xf>
    <xf numFmtId="166" fontId="37" fillId="0" borderId="0" xfId="73" applyNumberFormat="1" applyFont="1" applyFill="1" applyAlignment="1">
      <alignment vertical="top"/>
    </xf>
    <xf numFmtId="41" fontId="37" fillId="49" borderId="0" xfId="81" applyNumberFormat="1" applyFill="1">
      <alignment vertical="top"/>
    </xf>
    <xf numFmtId="165" fontId="37" fillId="15" borderId="0" xfId="9" applyNumberFormat="1" applyFont="1">
      <alignment vertical="top"/>
    </xf>
    <xf numFmtId="165" fontId="37" fillId="49" borderId="0" xfId="64" applyNumberFormat="1" applyFont="1">
      <alignment vertical="top"/>
    </xf>
    <xf numFmtId="0" fontId="4" fillId="0" borderId="0" xfId="0" applyFont="1" applyAlignment="1">
      <alignment vertical="top"/>
    </xf>
    <xf numFmtId="0" fontId="38" fillId="0" borderId="0" xfId="4" applyFont="1" applyBorder="1">
      <alignment vertical="top"/>
    </xf>
    <xf numFmtId="0" fontId="37" fillId="0" borderId="0" xfId="4" applyBorder="1">
      <alignment vertical="top"/>
    </xf>
    <xf numFmtId="49" fontId="38" fillId="0" borderId="0" xfId="4" applyNumberFormat="1" applyFont="1">
      <alignment vertical="top"/>
    </xf>
    <xf numFmtId="0" fontId="37" fillId="0" borderId="0" xfId="74" applyFont="1" applyAlignment="1">
      <alignment vertical="top"/>
    </xf>
    <xf numFmtId="0" fontId="71" fillId="0" borderId="0" xfId="0" applyFont="1" applyAlignment="1">
      <alignment vertical="top"/>
    </xf>
    <xf numFmtId="41" fontId="37" fillId="49" borderId="0" xfId="83" applyFill="1">
      <alignment vertical="top"/>
    </xf>
    <xf numFmtId="41" fontId="37" fillId="7" borderId="0" xfId="83" applyFill="1">
      <alignment vertical="top"/>
    </xf>
    <xf numFmtId="166" fontId="37" fillId="0" borderId="0" xfId="92" applyNumberFormat="1" applyFill="1">
      <alignment vertical="top"/>
    </xf>
    <xf numFmtId="43" fontId="37" fillId="0" borderId="0" xfId="4" applyNumberFormat="1" applyFill="1">
      <alignment vertical="top"/>
    </xf>
    <xf numFmtId="0" fontId="37" fillId="0" borderId="0" xfId="74" applyFill="1"/>
    <xf numFmtId="165" fontId="37" fillId="16" borderId="0" xfId="4" applyNumberFormat="1" applyFont="1" applyFill="1">
      <alignment vertical="top"/>
    </xf>
    <xf numFmtId="43" fontId="47" fillId="0" borderId="0" xfId="4" applyNumberFormat="1" applyFont="1">
      <alignment vertical="top"/>
    </xf>
    <xf numFmtId="41" fontId="37" fillId="15" borderId="0" xfId="81" applyFill="1">
      <alignment vertical="top"/>
    </xf>
    <xf numFmtId="0" fontId="47" fillId="0" borderId="0" xfId="4" applyFont="1" applyFill="1">
      <alignment vertical="top"/>
    </xf>
    <xf numFmtId="165" fontId="37" fillId="49" borderId="0" xfId="64" applyNumberFormat="1" applyFont="1" applyFill="1">
      <alignment vertical="top"/>
    </xf>
    <xf numFmtId="0" fontId="3" fillId="0" borderId="0" xfId="0" applyFont="1" applyAlignment="1">
      <alignment vertical="top"/>
    </xf>
    <xf numFmtId="0" fontId="37" fillId="0" borderId="0" xfId="4" applyAlignment="1">
      <alignment horizontal="left" vertical="top" wrapText="1"/>
    </xf>
    <xf numFmtId="0" fontId="2" fillId="0" borderId="0" xfId="0" applyFont="1"/>
    <xf numFmtId="0" fontId="53" fillId="0" borderId="2" xfId="62" applyBorder="1"/>
    <xf numFmtId="0" fontId="53" fillId="0" borderId="2" xfId="62" applyBorder="1" applyAlignment="1">
      <alignment vertical="top" wrapText="1"/>
    </xf>
    <xf numFmtId="0" fontId="41" fillId="5" borderId="13" xfId="5" applyNumberFormat="1" applyBorder="1">
      <alignment vertical="top"/>
    </xf>
    <xf numFmtId="0" fontId="41" fillId="0" borderId="0" xfId="5" applyNumberFormat="1" applyFill="1" applyBorder="1">
      <alignment vertical="top"/>
    </xf>
    <xf numFmtId="0" fontId="2" fillId="0" borderId="0" xfId="0" applyFont="1" applyAlignment="1">
      <alignment vertical="top"/>
    </xf>
    <xf numFmtId="0" fontId="37" fillId="0" borderId="0" xfId="4" applyAlignment="1">
      <alignment horizontal="left" vertical="top"/>
    </xf>
    <xf numFmtId="0" fontId="1" fillId="0" borderId="0" xfId="0" quotePrefix="1" applyFont="1"/>
    <xf numFmtId="0" fontId="37" fillId="48" borderId="2" xfId="4" applyFill="1" applyBorder="1" applyAlignment="1">
      <alignment horizontal="left" vertical="top" wrapText="1"/>
    </xf>
    <xf numFmtId="0" fontId="37" fillId="0" borderId="0" xfId="4" applyAlignment="1">
      <alignment horizontal="left" vertical="top" wrapText="1"/>
    </xf>
    <xf numFmtId="0" fontId="37" fillId="0" borderId="0" xfId="80" applyAlignment="1">
      <alignment horizontal="left" wrapText="1"/>
    </xf>
    <xf numFmtId="49" fontId="37" fillId="0" borderId="0" xfId="7" applyFont="1" applyAlignment="1">
      <alignment horizontal="left" vertical="top" wrapText="1"/>
    </xf>
  </cellXfs>
  <cellStyles count="99">
    <cellStyle name="_x000d__x000a_JournalTemplate=C:\COMFO\CTALK\JOURSTD.TPL_x000d__x000a_LbStateAddress=3 3 0 251 1 89 2 311_x000d__x000a_LbStateJou 2" xfId="82" xr:uid="{DB3D1099-F489-4369-B80F-F949295E3D80}"/>
    <cellStyle name="_x000d__x000a_JournalTemplate=C:\COMFO\CTALK\JOURSTD.TPL_x000d__x000a_LbStateAddress=3 3 0 251 1 89 2 311_x000d__x000a_LbStateJou_CONCEPT invulmodule E 2012 - aanpassing tab 7" xfId="94" xr:uid="{0B4A3FCB-5C76-49FB-8418-0D9F7D66406F}"/>
    <cellStyle name="_kop1 Bladtitel" xfId="5" xr:uid="{00000000-0005-0000-0000-000000000000}"/>
    <cellStyle name="_kop1 Bladtitel 2" xfId="89" xr:uid="{77AA9CA7-17C8-4DB4-A453-7DC4AF7ED495}"/>
    <cellStyle name="_kop2 Bloktitel" xfId="6" xr:uid="{00000000-0005-0000-0000-000001000000}"/>
    <cellStyle name="_kop2 Bloktitel 2" xfId="86" xr:uid="{E0F3CA13-4B3F-4215-BCEC-B9B24936E124}"/>
    <cellStyle name="_kop2 Bloktitel 2 2" xfId="98" xr:uid="{9B42DC24-0B79-4C09-A608-7613F4D7A788}"/>
    <cellStyle name="_kop3 Subkop" xfId="7" xr:uid="{00000000-0005-0000-0000-000002000000}"/>
    <cellStyle name="20% - Accent1" xfId="36" builtinId="30" hidden="1"/>
    <cellStyle name="20% - Accent2" xfId="40" builtinId="34" hidden="1"/>
    <cellStyle name="20% - Accent3" xfId="44" builtinId="38" hidden="1"/>
    <cellStyle name="20% - Accent4" xfId="48" builtinId="42" hidden="1"/>
    <cellStyle name="20% - Accent5" xfId="52" builtinId="46" hidden="1"/>
    <cellStyle name="20% - Accent6" xfId="56" builtinId="50" hidden="1"/>
    <cellStyle name="40% - Accent1" xfId="37" builtinId="31" hidden="1"/>
    <cellStyle name="40% - Accent2" xfId="41" builtinId="35" hidden="1"/>
    <cellStyle name="40% - Accent3" xfId="45" builtinId="39" hidden="1"/>
    <cellStyle name="40% - Accent4" xfId="49" builtinId="43" hidden="1"/>
    <cellStyle name="40% - Accent5" xfId="53" builtinId="47" hidden="1"/>
    <cellStyle name="40% - Accent6" xfId="57" builtinId="51" hidden="1"/>
    <cellStyle name="60% - Accent1" xfId="38" builtinId="32" hidden="1"/>
    <cellStyle name="60% - Accent2" xfId="42" builtinId="36" hidden="1"/>
    <cellStyle name="60% - Accent3" xfId="46" builtinId="40" hidden="1"/>
    <cellStyle name="60% - Accent4" xfId="50" builtinId="44" hidden="1"/>
    <cellStyle name="60% - Accent5" xfId="54" builtinId="48" hidden="1"/>
    <cellStyle name="60% - Accent6" xfId="58" builtinId="52" hidden="1"/>
    <cellStyle name="Accent1" xfId="35" builtinId="29" hidden="1"/>
    <cellStyle name="Accent2" xfId="39" builtinId="33" hidden="1"/>
    <cellStyle name="Accent3" xfId="43" builtinId="37" hidden="1"/>
    <cellStyle name="Accent4" xfId="47" builtinId="41" hidden="1"/>
    <cellStyle name="Accent5" xfId="51" builtinId="45" hidden="1"/>
    <cellStyle name="Accent6" xfId="55" builtinId="49" hidden="1"/>
    <cellStyle name="Berekening" xfId="17" builtinId="22" hidden="1"/>
    <cellStyle name="Cel (tussen)resultaat" xfId="8" xr:uid="{00000000-0005-0000-0000-00001C000000}"/>
    <cellStyle name="Cel Berekening" xfId="9" xr:uid="{00000000-0005-0000-0000-00001D000000}"/>
    <cellStyle name="Cel Berekening 2" xfId="81" xr:uid="{64C68C5C-BD60-4364-B2EA-FE214186076F}"/>
    <cellStyle name="Cel Bijzonderheid" xfId="10" xr:uid="{00000000-0005-0000-0000-00001E000000}"/>
    <cellStyle name="Cel Dataverzoek" xfId="88" xr:uid="{E3F72FAD-65A0-482D-A8FC-45F77358FE0B}"/>
    <cellStyle name="Cel Input" xfId="11" xr:uid="{00000000-0005-0000-0000-00001F000000}"/>
    <cellStyle name="Cel Input 2" xfId="64" xr:uid="{00000000-0005-0000-0000-000020000000}"/>
    <cellStyle name="Cel Input 3" xfId="83" xr:uid="{F67CB7EF-86C2-4AAA-B6F9-14B229603E08}"/>
    <cellStyle name="Cel Input 3 2" xfId="90" xr:uid="{EECBB009-3096-4AD8-953A-623921CA64BB}"/>
    <cellStyle name="Cel Input Data" xfId="65" xr:uid="{00000000-0005-0000-0000-000021000000}"/>
    <cellStyle name="Cel n.v.t. (leeg)" xfId="66" xr:uid="{00000000-0005-0000-0000-000022000000}"/>
    <cellStyle name="Cel PM extern" xfId="12" xr:uid="{00000000-0005-0000-0000-000023000000}"/>
    <cellStyle name="Cel Verwijzing" xfId="13" xr:uid="{00000000-0005-0000-0000-000024000000}"/>
    <cellStyle name="Controlecel" xfId="19" builtinId="23" hidden="1"/>
    <cellStyle name="Gekoppelde cel" xfId="18" builtinId="24" hidden="1"/>
    <cellStyle name="Gevolgde hyperlink" xfId="59" builtinId="9" hidden="1"/>
    <cellStyle name="Goed" xfId="1" builtinId="26" hidden="1"/>
    <cellStyle name="Grijze cel" xfId="63" xr:uid="{00000000-0005-0000-0000-000029000000}"/>
    <cellStyle name="Hyperlink" xfId="21" builtinId="8" hidden="1"/>
    <cellStyle name="Hyperlink" xfId="62" builtinId="8"/>
    <cellStyle name="Hyperlink 2" xfId="67" xr:uid="{00000000-0005-0000-0000-00002C000000}"/>
    <cellStyle name="Invoer" xfId="15" builtinId="20" hidden="1"/>
    <cellStyle name="Komma" xfId="22" builtinId="3" hidden="1"/>
    <cellStyle name="Komma" xfId="60" builtinId="3" hidden="1"/>
    <cellStyle name="Komma [0]" xfId="23" builtinId="6" hidden="1"/>
    <cellStyle name="Komma 2" xfId="85" xr:uid="{B3949C48-D61E-4DB0-A4C1-E69A462A4D4E}"/>
    <cellStyle name="Komma 2 2" xfId="96" xr:uid="{EB20F910-1C25-40CE-A3D9-42DE1F9135C3}"/>
    <cellStyle name="Komma 3" xfId="69" xr:uid="{00000000-0005-0000-0000-000031000000}"/>
    <cellStyle name="Komma 4" xfId="70" xr:uid="{00000000-0005-0000-0000-000032000000}"/>
    <cellStyle name="Komma 5" xfId="71" xr:uid="{00000000-0005-0000-0000-000033000000}"/>
    <cellStyle name="Kop 1" xfId="28" builtinId="16" hidden="1"/>
    <cellStyle name="Kop 2" xfId="29" builtinId="17" hidden="1"/>
    <cellStyle name="Kop 3" xfId="30" builtinId="18" hidden="1"/>
    <cellStyle name="Kop 4" xfId="31" builtinId="19" hidden="1"/>
    <cellStyle name="Neutraal" xfId="3" builtinId="28" hidden="1"/>
    <cellStyle name="Notitie" xfId="20" builtinId="10" hidden="1"/>
    <cellStyle name="Ongeldig" xfId="2" builtinId="27" hidden="1"/>
    <cellStyle name="Procent" xfId="26" builtinId="5" hidden="1"/>
    <cellStyle name="Procent" xfId="61" builtinId="5"/>
    <cellStyle name="Procent 2" xfId="68" xr:uid="{00000000-0005-0000-0000-00003D000000}"/>
    <cellStyle name="Procent 2 2" xfId="95" xr:uid="{D3793806-6574-4C9C-B47C-163A655267E4}"/>
    <cellStyle name="Procent 2 3" xfId="87" xr:uid="{49484D78-3B2B-43FA-B6D8-11D27F1F7706}"/>
    <cellStyle name="Procent 3" xfId="72" xr:uid="{00000000-0005-0000-0000-00003E000000}"/>
    <cellStyle name="Procent 4" xfId="73" xr:uid="{00000000-0005-0000-0000-00003F000000}"/>
    <cellStyle name="Procent 5" xfId="92" xr:uid="{2B4CEF0B-BD83-452F-9412-C41DAECB8D01}"/>
    <cellStyle name="Standaard" xfId="0" builtinId="0"/>
    <cellStyle name="Standaard 2" xfId="74" xr:uid="{00000000-0005-0000-0000-000041000000}"/>
    <cellStyle name="Standaard 2 2" xfId="80" xr:uid="{018D6841-10FA-4212-AC2E-A44822A7D589}"/>
    <cellStyle name="Standaard 3" xfId="75" xr:uid="{00000000-0005-0000-0000-000042000000}"/>
    <cellStyle name="Standaard 3 10" xfId="97" xr:uid="{BC6D5BDE-71CF-431F-85D0-01A190E08E8F}"/>
    <cellStyle name="Standaard 4" xfId="76" xr:uid="{00000000-0005-0000-0000-000043000000}"/>
    <cellStyle name="Standaard 5" xfId="84" xr:uid="{56E829B3-6FE3-489A-8F8A-34672DD8B495}"/>
    <cellStyle name="Standaard 6" xfId="77" xr:uid="{00000000-0005-0000-0000-000044000000}"/>
    <cellStyle name="Standaard 6 2" xfId="93" xr:uid="{4D02D4C7-3D1D-4E75-9B79-02504428134B}"/>
    <cellStyle name="Standaard 7" xfId="78" xr:uid="{00000000-0005-0000-0000-000045000000}"/>
    <cellStyle name="Standaard 8" xfId="79" xr:uid="{00000000-0005-0000-0000-000046000000}"/>
    <cellStyle name="Standaard 9" xfId="91" xr:uid="{7979DAD1-DDBE-40BC-ABFA-5F7489066598}"/>
    <cellStyle name="Standaard ACM-DE" xfId="4" xr:uid="{00000000-0005-0000-0000-000047000000}"/>
    <cellStyle name="Titel" xfId="27" builtinId="15" hidden="1"/>
    <cellStyle name="Toelichting" xfId="14" xr:uid="{00000000-0005-0000-0000-000049000000}"/>
    <cellStyle name="Totaal" xfId="34" builtinId="25" hidden="1"/>
    <cellStyle name="Uitvoer" xfId="16" builtinId="21" hidden="1"/>
    <cellStyle name="Valuta" xfId="24" builtinId="4" hidden="1"/>
    <cellStyle name="Valuta [0]" xfId="25" builtinId="7" hidden="1"/>
    <cellStyle name="Verklarende tekst" xfId="33" builtinId="53" hidden="1"/>
    <cellStyle name="Waarschuwingstekst" xfId="32" builtinId="11" hidden="1"/>
  </cellStyles>
  <dxfs count="0"/>
  <tableStyles count="0" defaultTableStyle="TableStyleMedium2" defaultPivotStyle="PivotStyleLight16"/>
  <colors>
    <mruColors>
      <color rgb="FFE1FFE1"/>
      <color rgb="FFFFFFCC"/>
      <color rgb="FFCCFFFF"/>
      <color rgb="FFFFCC99"/>
      <color rgb="FFFF00FF"/>
      <color rgb="FFFF99FF"/>
      <color rgb="FFFFCCFF"/>
      <color rgb="FFFF66CC"/>
      <color rgb="FFCCFFCC"/>
      <color rgb="FFCCC8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8.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theme" Target="theme/theme1.xml"/><Relationship Id="rId53"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0.xml"/><Relationship Id="rId5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twoCellAnchor editAs="oneCell">
    <xdr:from>
      <xdr:col>1</xdr:col>
      <xdr:colOff>66675</xdr:colOff>
      <xdr:row>3</xdr:row>
      <xdr:rowOff>133351</xdr:rowOff>
    </xdr:from>
    <xdr:to>
      <xdr:col>1</xdr:col>
      <xdr:colOff>1905000</xdr:colOff>
      <xdr:row>10</xdr:row>
      <xdr:rowOff>94480</xdr:rowOff>
    </xdr:to>
    <xdr:pic>
      <xdr:nvPicPr>
        <xdr:cNvPr id="3" name="Afbeelding 2">
          <a:extLst>
            <a:ext uri="{FF2B5EF4-FFF2-40B4-BE49-F238E27FC236}">
              <a16:creationId xmlns:a16="http://schemas.microsoft.com/office/drawing/2014/main" id="{09A628CB-18AF-48D9-9EBF-70A76F0A4B08}"/>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19</xdr:row>
      <xdr:rowOff>8005</xdr:rowOff>
    </xdr:from>
    <xdr:to>
      <xdr:col>12</xdr:col>
      <xdr:colOff>126850</xdr:colOff>
      <xdr:row>23</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71350" y="3352338"/>
          <a:ext cx="1821500" cy="764823"/>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Tarievenbladen</a:t>
          </a:r>
          <a:endParaRPr kumimoji="0" lang="nl-NL" sz="14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5</xdr:col>
      <xdr:colOff>19051</xdr:colOff>
      <xdr:row>18</xdr:row>
      <xdr:rowOff>187280</xdr:rowOff>
    </xdr:from>
    <xdr:to>
      <xdr:col>8</xdr:col>
      <xdr:colOff>3283</xdr:colOff>
      <xdr:row>22</xdr:row>
      <xdr:rowOff>190105</xdr:rowOff>
    </xdr:to>
    <xdr:sp macro="" textlink="">
      <xdr:nvSpPr>
        <xdr:cNvPr id="5" name="Rechthoek 4">
          <a:extLst>
            <a:ext uri="{FF2B5EF4-FFF2-40B4-BE49-F238E27FC236}">
              <a16:creationId xmlns:a16="http://schemas.microsoft.com/office/drawing/2014/main" id="{00000000-0008-0000-0100-000005000000}"/>
            </a:ext>
          </a:extLst>
        </xdr:cNvPr>
        <xdr:cNvSpPr/>
      </xdr:nvSpPr>
      <xdr:spPr>
        <a:xfrm>
          <a:off x="3088218" y="3341113"/>
          <a:ext cx="1825732" cy="764825"/>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a:ea typeface="+mn-ea"/>
              <a:cs typeface="+mn-cs"/>
            </a:rPr>
            <a:t>Totale inkomsten 2026</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800" b="1" i="0" u="none" strike="noStrike" kern="0" cap="none" spc="0" normalizeH="0" baseline="0">
              <a:ln>
                <a:noFill/>
              </a:ln>
              <a:solidFill>
                <a:srgbClr val="FFFFFF"/>
              </a:solidFill>
              <a:effectLst/>
              <a:uLnTx/>
              <a:uFillTx/>
              <a:latin typeface="Arial"/>
              <a:ea typeface="+mn-ea"/>
              <a:cs typeface="+mn-cs"/>
            </a:rPr>
            <a:t>(dit bestand)</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3</xdr:col>
      <xdr:colOff>549007</xdr:colOff>
      <xdr:row>20</xdr:row>
      <xdr:rowOff>188693</xdr:rowOff>
    </xdr:from>
    <xdr:to>
      <xdr:col>5</xdr:col>
      <xdr:colOff>19051</xdr:colOff>
      <xdr:row>21</xdr:row>
      <xdr:rowOff>12620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14" idx="3"/>
          <a:endCxn id="5" idx="1"/>
        </xdr:cNvCxnSpPr>
      </xdr:nvCxnSpPr>
      <xdr:spPr>
        <a:xfrm flipV="1">
          <a:off x="2390507" y="3723526"/>
          <a:ext cx="697711"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20</xdr:row>
      <xdr:rowOff>188693</xdr:rowOff>
    </xdr:from>
    <xdr:to>
      <xdr:col>9</xdr:col>
      <xdr:colOff>146850</xdr:colOff>
      <xdr:row>21</xdr:row>
      <xdr:rowOff>9417</xdr:rowOff>
    </xdr:to>
    <xdr:cxnSp macro="">
      <xdr:nvCxnSpPr>
        <xdr:cNvPr id="9" name="Rechte verbindingslijn met pijl 8">
          <a:extLst>
            <a:ext uri="{FF2B5EF4-FFF2-40B4-BE49-F238E27FC236}">
              <a16:creationId xmlns:a16="http://schemas.microsoft.com/office/drawing/2014/main" id="{00000000-0008-0000-0100-000009000000}"/>
            </a:ext>
          </a:extLst>
        </xdr:cNvPr>
        <xdr:cNvCxnSpPr>
          <a:stCxn id="5" idx="3"/>
          <a:endCxn id="2" idx="1"/>
        </xdr:cNvCxnSpPr>
      </xdr:nvCxnSpPr>
      <xdr:spPr>
        <a:xfrm>
          <a:off x="4913950" y="3723526"/>
          <a:ext cx="757400"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19</xdr:row>
      <xdr:rowOff>33620</xdr:rowOff>
    </xdr:from>
    <xdr:to>
      <xdr:col>3</xdr:col>
      <xdr:colOff>549007</xdr:colOff>
      <xdr:row>22</xdr:row>
      <xdr:rowOff>182120</xdr:rowOff>
    </xdr:to>
    <xdr:sp macro="" textlink="">
      <xdr:nvSpPr>
        <xdr:cNvPr id="14" name="Rechthoek 13">
          <a:extLst>
            <a:ext uri="{FF2B5EF4-FFF2-40B4-BE49-F238E27FC236}">
              <a16:creationId xmlns:a16="http://schemas.microsoft.com/office/drawing/2014/main" id="{00000000-0008-0000-0100-00000E000000}"/>
            </a:ext>
          </a:extLst>
        </xdr:cNvPr>
        <xdr:cNvSpPr/>
      </xdr:nvSpPr>
      <xdr:spPr>
        <a:xfrm>
          <a:off x="179293" y="3424520"/>
          <a:ext cx="1817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11</xdr:row>
      <xdr:rowOff>78441</xdr:rowOff>
    </xdr:from>
    <xdr:to>
      <xdr:col>7</xdr:col>
      <xdr:colOff>635292</xdr:colOff>
      <xdr:row>15</xdr:row>
      <xdr:rowOff>81265</xdr:rowOff>
    </xdr:to>
    <xdr:sp macro="" textlink="">
      <xdr:nvSpPr>
        <xdr:cNvPr id="15" name="Stroomdiagram: Proces 14">
          <a:extLst>
            <a:ext uri="{FF2B5EF4-FFF2-40B4-BE49-F238E27FC236}">
              <a16:creationId xmlns:a16="http://schemas.microsoft.com/office/drawing/2014/main" id="{00000000-0008-0000-0100-00000F000000}"/>
            </a:ext>
          </a:extLst>
        </xdr:cNvPr>
        <xdr:cNvSpPr/>
      </xdr:nvSpPr>
      <xdr:spPr>
        <a:xfrm>
          <a:off x="2689410" y="194534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15</xdr:row>
      <xdr:rowOff>81265</xdr:rowOff>
    </xdr:from>
    <xdr:to>
      <xdr:col>6</xdr:col>
      <xdr:colOff>318084</xdr:colOff>
      <xdr:row>18</xdr:row>
      <xdr:rowOff>187280</xdr:rowOff>
    </xdr:to>
    <xdr:cxnSp macro="">
      <xdr:nvCxnSpPr>
        <xdr:cNvPr id="16" name="Rechte verbindingslijn met pijl 15">
          <a:extLst>
            <a:ext uri="{FF2B5EF4-FFF2-40B4-BE49-F238E27FC236}">
              <a16:creationId xmlns:a16="http://schemas.microsoft.com/office/drawing/2014/main" id="{00000000-0008-0000-0100-000010000000}"/>
            </a:ext>
          </a:extLst>
        </xdr:cNvPr>
        <xdr:cNvCxnSpPr>
          <a:stCxn id="15" idx="2"/>
          <a:endCxn id="5" idx="0"/>
        </xdr:cNvCxnSpPr>
      </xdr:nvCxnSpPr>
      <xdr:spPr>
        <a:xfrm>
          <a:off x="3997564" y="2663598"/>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Groot\AppData\Local\Microsoft\Windows\Temporary%20Internet%20Files\Content.Outlook\BV2YK9DL\kapitaalkostenmodel%20Classic%20ultimo%20201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exas\ek\07%20DN\103221%20NE5R%20(vanaf%202011)\13%20Data%20en%20berekeningen\Kapitaalkosten\100913%20Kapitaalkosten%20v6.5%20INT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12%20CODATA\06%20Ingevuld\NE\16%20RD\19.034792%20RD%202018\2%20Ruwe%20data\19.034798%20STED\STED%20-%20V01%20-%20NE-RD(i)-18-01%20-%20concep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tranet.acm.local/12%20CODATA/06%20Ingevuld/NE/16%20RD/19.034792%20RD%202018/2%20Ruwe%20data/19.034798%20STED/STED%20-%20V01%20-%20NE-RD(i)-18-01%20-%20concep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763103\Local%20Settings\Temporary%20Internet%20Files\OLK21C\NE-PRD(i)-10-01%20CONCEPT%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07%20DN\103407%20103408%20PRD%20NG%20NE%202009\3.%20Opzet%20informatieverzoek\Gas\NG-PRD(i)-10-01%20-%20CONCEPT%2015JANUARI%2020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exas\ek\Afdelingsdata%20DREV\07%20DN\Administratie%20Totale%20Inkomsten%20RNBs\03.%20TI%20administratie%20Gas\2.%20TI-recht\NG3R%20-%202009\TI-recht%202009%20REND%20-%20x-factoren%20NG3R%20na%20bob%20Re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TE\ALGEMEEN\Tarieven\Tarieven%202002%20netbeheerders\AuditMod%20I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08%20Netten\02%20Persoon\Groot\_Backup\Database\Basismodel%20CB%20NE\CB%20met%20activawaarde%20dte\Kopie%20van%20030205%20X_CB%20NE%20DEA%20Model%20CB%20met%20activawaarde%20d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nma.nl/images/103636_Gewijzigd_rekenmodel_x-factor_en_rekenvolumina22-1466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Data G"/>
      <sheetName val="Kapitaalkosten Gasaansluiting"/>
      <sheetName val="Data Gasaansluiting"/>
      <sheetName val="Netbeheerders"/>
      <sheetName val="Kapitaalkosten Classic"/>
      <sheetName val="Data E"/>
      <sheetName val="CPI en WACC"/>
    </sheetNames>
    <sheetDataSet>
      <sheetData sheetId="0" refreshError="1"/>
      <sheetData sheetId="1"/>
      <sheetData sheetId="2">
        <row r="1">
          <cell r="C1" t="str">
            <v>STEDIN</v>
          </cell>
        </row>
      </sheetData>
      <sheetData sheetId="3" refreshError="1"/>
      <sheetData sheetId="4">
        <row r="2">
          <cell r="B2" t="str">
            <v>ALLE</v>
          </cell>
        </row>
        <row r="3">
          <cell r="B3" t="str">
            <v>MOSA</v>
          </cell>
        </row>
        <row r="4">
          <cell r="B4" t="str">
            <v>ONS</v>
          </cell>
        </row>
        <row r="5">
          <cell r="B5" t="str">
            <v>COGAS</v>
          </cell>
        </row>
        <row r="6">
          <cell r="B6" t="str">
            <v>DELTA</v>
          </cell>
        </row>
        <row r="7">
          <cell r="B7" t="str">
            <v>DELTA HS</v>
          </cell>
        </row>
        <row r="8">
          <cell r="B8" t="str">
            <v>DELTA EXCL HS</v>
          </cell>
        </row>
        <row r="9">
          <cell r="B9" t="str">
            <v>ENDINET</v>
          </cell>
        </row>
        <row r="10">
          <cell r="B10" t="str">
            <v>ENEXIS</v>
          </cell>
        </row>
        <row r="11">
          <cell r="B11" t="str">
            <v>ENEXIS HS</v>
          </cell>
        </row>
        <row r="12">
          <cell r="B12" t="str">
            <v>ENEXIS EXCL HS</v>
          </cell>
        </row>
        <row r="13">
          <cell r="B13" t="str">
            <v>HAARLEMMERMEER</v>
          </cell>
        </row>
        <row r="14">
          <cell r="B14" t="str">
            <v>INTERGAS</v>
          </cell>
        </row>
        <row r="15">
          <cell r="B15" t="str">
            <v>LIANDER</v>
          </cell>
        </row>
        <row r="16">
          <cell r="B16" t="str">
            <v>LIANDER HS</v>
          </cell>
        </row>
        <row r="17">
          <cell r="B17" t="str">
            <v>LIANDER EXCL HS</v>
          </cell>
        </row>
        <row r="18">
          <cell r="B18" t="str">
            <v>OBRAGAS</v>
          </cell>
        </row>
        <row r="19">
          <cell r="B19" t="str">
            <v>RENDO</v>
          </cell>
        </row>
        <row r="20">
          <cell r="B20" t="str">
            <v>STEDIN</v>
          </cell>
        </row>
        <row r="21">
          <cell r="B21" t="str">
            <v>WESTLAND</v>
          </cell>
        </row>
        <row r="22">
          <cell r="B22" t="str">
            <v>ZEBRA</v>
          </cell>
        </row>
        <row r="23">
          <cell r="B23" t="str">
            <v>SECTOR EXCL HS</v>
          </cell>
        </row>
        <row r="24">
          <cell r="B24" t="str">
            <v>SECTOR HS</v>
          </cell>
        </row>
        <row r="25">
          <cell r="B25" t="str">
            <v>SECTOR</v>
          </cell>
        </row>
      </sheetData>
      <sheetData sheetId="5"/>
      <sheetData sheetId="6"/>
      <sheetData sheetId="7">
        <row r="6">
          <cell r="C6" t="str">
            <v>CPI</v>
          </cell>
        </row>
        <row r="7">
          <cell r="C7">
            <v>2.5000000000000001E-2</v>
          </cell>
        </row>
        <row r="8">
          <cell r="C8">
            <v>4.7E-2</v>
          </cell>
        </row>
        <row r="9">
          <cell r="C9">
            <v>3.3000000000000002E-2</v>
          </cell>
        </row>
        <row r="10">
          <cell r="C10">
            <v>2.1000000000000001E-2</v>
          </cell>
        </row>
        <row r="11">
          <cell r="C11">
            <v>1.0999999999999999E-2</v>
          </cell>
        </row>
        <row r="12">
          <cell r="C12">
            <v>1.7999999999999999E-2</v>
          </cell>
        </row>
        <row r="13">
          <cell r="C13">
            <v>1.4E-2</v>
          </cell>
        </row>
        <row r="14">
          <cell r="C14">
            <v>1.0999999999999999E-2</v>
          </cell>
        </row>
        <row r="15">
          <cell r="C15">
            <v>3.2000000000000001E-2</v>
          </cell>
        </row>
        <row r="16">
          <cell r="C16">
            <v>3.0000000000000001E-3</v>
          </cell>
        </row>
        <row r="17">
          <cell r="C17">
            <v>1.4999999999999999E-2</v>
          </cell>
        </row>
        <row r="18">
          <cell r="C18">
            <v>2.5999999999999999E-2</v>
          </cell>
        </row>
        <row r="19">
          <cell r="C19">
            <v>2.3E-2</v>
          </cell>
        </row>
        <row r="20">
          <cell r="C20">
            <v>2.8000000000000001E-2</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ebeheer"/>
      <sheetName val="Toelichting"/>
      <sheetName val="Kapitaalkosten"/>
      <sheetName val="Opm bij Data E"/>
      <sheetName val="Data E"/>
      <sheetName val="Data G"/>
      <sheetName val="Bronnen"/>
      <sheetName val="Kapitaalkosten NG3R en NE4R"/>
      <sheetName val="Overzicht netbeheerders"/>
      <sheetName val="Kapitaalkosten Gasaansluiting"/>
      <sheetName val="Data Gasaansluiting"/>
      <sheetName val="CPI en WACC"/>
      <sheetName val="Netbeheerders"/>
    </sheetNames>
    <sheetDataSet>
      <sheetData sheetId="0"/>
      <sheetData sheetId="1"/>
      <sheetData sheetId="2"/>
      <sheetData sheetId="3"/>
      <sheetData sheetId="4"/>
      <sheetData sheetId="5"/>
      <sheetData sheetId="6"/>
      <sheetData sheetId="7"/>
      <sheetData sheetId="8"/>
      <sheetData sheetId="9"/>
      <sheetData sheetId="10"/>
      <sheetData sheetId="11">
        <row r="6">
          <cell r="C6" t="str">
            <v>CPI</v>
          </cell>
          <cell r="D6" t="str">
            <v>WACC</v>
          </cell>
        </row>
        <row r="7">
          <cell r="B7">
            <v>2001</v>
          </cell>
          <cell r="C7">
            <v>2.5000000000000001E-2</v>
          </cell>
          <cell r="D7">
            <v>6.6000000000000003E-2</v>
          </cell>
        </row>
        <row r="8">
          <cell r="B8">
            <v>2002</v>
          </cell>
          <cell r="C8">
            <v>4.7E-2</v>
          </cell>
          <cell r="D8">
            <v>6.6000000000000003E-2</v>
          </cell>
        </row>
        <row r="9">
          <cell r="B9">
            <v>2003</v>
          </cell>
          <cell r="C9">
            <v>3.3000000000000002E-2</v>
          </cell>
          <cell r="D9">
            <v>6.6000000000000003E-2</v>
          </cell>
        </row>
        <row r="10">
          <cell r="B10">
            <v>2004</v>
          </cell>
          <cell r="C10">
            <v>2.1000000000000001E-2</v>
          </cell>
          <cell r="D10">
            <v>6.6000000000000003E-2</v>
          </cell>
        </row>
        <row r="11">
          <cell r="B11">
            <v>2005</v>
          </cell>
          <cell r="C11">
            <v>1.0999999999999999E-2</v>
          </cell>
          <cell r="D11">
            <v>6.6000000000000003E-2</v>
          </cell>
        </row>
        <row r="12">
          <cell r="B12">
            <v>2006</v>
          </cell>
          <cell r="C12">
            <v>1.7999999999999999E-2</v>
          </cell>
          <cell r="D12">
            <v>6.6000000000000003E-2</v>
          </cell>
        </row>
        <row r="13">
          <cell r="B13">
            <v>2007</v>
          </cell>
          <cell r="C13">
            <v>1.4E-2</v>
          </cell>
          <cell r="D13">
            <v>5.8000000000000003E-2</v>
          </cell>
        </row>
        <row r="14">
          <cell r="B14">
            <v>2008</v>
          </cell>
          <cell r="C14">
            <v>1.0999999999999999E-2</v>
          </cell>
          <cell r="D14">
            <v>5.5E-2</v>
          </cell>
        </row>
        <row r="15">
          <cell r="B15">
            <v>2009</v>
          </cell>
          <cell r="C15">
            <v>3.2000000000000001E-2</v>
          </cell>
          <cell r="D15">
            <v>5.5E-2</v>
          </cell>
        </row>
        <row r="16">
          <cell r="B16">
            <v>2010</v>
          </cell>
          <cell r="C16">
            <v>3.0000000000000001E-3</v>
          </cell>
          <cell r="D16">
            <v>5.5E-2</v>
          </cell>
        </row>
        <row r="17">
          <cell r="B17">
            <v>2011</v>
          </cell>
          <cell r="D17">
            <v>6.2E-2</v>
          </cell>
        </row>
        <row r="18">
          <cell r="B18">
            <v>2012</v>
          </cell>
          <cell r="D18">
            <v>6.2E-2</v>
          </cell>
        </row>
        <row r="19">
          <cell r="B19">
            <v>2013</v>
          </cell>
          <cell r="D19">
            <v>6.2E-2</v>
          </cell>
        </row>
        <row r="20">
          <cell r="B20">
            <v>2014</v>
          </cell>
          <cell r="D20">
            <v>0</v>
          </cell>
        </row>
        <row r="21">
          <cell r="B21">
            <v>2015</v>
          </cell>
          <cell r="D21">
            <v>0</v>
          </cell>
        </row>
        <row r="22">
          <cell r="B22">
            <v>2016</v>
          </cell>
          <cell r="D22">
            <v>0</v>
          </cell>
        </row>
        <row r="23">
          <cell r="B23">
            <v>2017</v>
          </cell>
          <cell r="D23">
            <v>0</v>
          </cell>
        </row>
        <row r="24">
          <cell r="B24">
            <v>2018</v>
          </cell>
          <cell r="D24">
            <v>0</v>
          </cell>
        </row>
        <row r="25">
          <cell r="B25">
            <v>2019</v>
          </cell>
          <cell r="D25">
            <v>0</v>
          </cell>
        </row>
        <row r="26">
          <cell r="B26">
            <v>2020</v>
          </cell>
          <cell r="D26">
            <v>0</v>
          </cell>
        </row>
      </sheetData>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 1 - Adresgegevens"/>
      <sheetName val="Tabel 2A - Investeringen"/>
      <sheetName val="Tabel 2B - Desinvesteringen"/>
      <sheetName val="Tabel 2C - Private netten"/>
      <sheetName val="Tabel 3A - Operationele kosten"/>
      <sheetName val="Tabel 3B - Specificaties inkoop"/>
      <sheetName val="Tabel 4A - Omzet transport"/>
      <sheetName val="Tabel 4B - Volumes invoeding"/>
      <sheetName val="Tabel 5A - Omzet PAV"/>
      <sheetName val="Tabel 5B - Bijdrage EAV"/>
      <sheetName val="Tabel 6 - Totale opbrengsten"/>
      <sheetName val="Tabel 7 - Overige opbrengsten"/>
      <sheetName val="Tabel 8A - Meetdomein (des)inv."/>
      <sheetName val="Tabel 8B - Meetdomein overig"/>
    </sheetNames>
    <sheetDataSet>
      <sheetData sheetId="0"/>
      <sheetData sheetId="1"/>
      <sheetData sheetId="2"/>
      <sheetData sheetId="3"/>
      <sheetData sheetId="4"/>
      <sheetData sheetId="5">
        <row r="33">
          <cell r="R33">
            <v>110754495.11999999</v>
          </cell>
        </row>
        <row r="57">
          <cell r="R57">
            <v>2687274.2512000003</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 1 - Adresgegevens"/>
      <sheetName val="Tabel 2A - Investeringen"/>
      <sheetName val="Tabel 2B - Desinvesteringen"/>
      <sheetName val="Tabel 2C - Private netten"/>
      <sheetName val="Tabel 3A - Operationele kosten"/>
      <sheetName val="Tabel 3B - Specificaties inkoop"/>
      <sheetName val="Tabel 4A - Omzet transport"/>
      <sheetName val="Tabel 4B - Volumes invoeding"/>
      <sheetName val="Tabel 5A - Omzet PAV"/>
      <sheetName val="Tabel 5B - Bijdrage EAV"/>
      <sheetName val="Tabel 6 - Totale opbrengsten"/>
      <sheetName val="Tabel 7 - Overige opbrengsten"/>
      <sheetName val="Tabel 8A - Meetdomein (des)inv."/>
      <sheetName val="Tabel 8B - Meetdomein overig"/>
    </sheetNames>
    <sheetDataSet>
      <sheetData sheetId="0"/>
      <sheetData sheetId="1"/>
      <sheetData sheetId="2"/>
      <sheetData sheetId="3"/>
      <sheetData sheetId="4"/>
      <sheetData sheetId="5">
        <row r="33">
          <cell r="R33">
            <v>110754495.11999999</v>
          </cell>
        </row>
        <row r="57">
          <cell r="R57">
            <v>2687274.2512000003</v>
          </cell>
        </row>
      </sheetData>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 1 - Adresgegevens"/>
      <sheetName val="Tabel 2A - Bijz mutaties activa"/>
      <sheetName val="Tabel 3 - Operationele Kosten "/>
      <sheetName val="Tabel 4 - Omzet Transportdienst"/>
      <sheetName val="Tabel 5A - Omzet PAV"/>
      <sheetName val="Tabel 5B - Bijdrage EAV"/>
      <sheetName val="Tabel 6 - Opbrengsten"/>
      <sheetName val="Tabel 7 - Volumes invoeding"/>
      <sheetName val="Tabel 8 - Toelichting"/>
    </sheetNames>
    <sheetDataSet>
      <sheetData sheetId="0" refreshError="1"/>
      <sheetData sheetId="1">
        <row r="46">
          <cell r="F46">
            <v>0</v>
          </cell>
          <cell r="J46">
            <v>0</v>
          </cell>
          <cell r="N46">
            <v>0</v>
          </cell>
          <cell r="R46">
            <v>0</v>
          </cell>
          <cell r="V46">
            <v>0</v>
          </cell>
          <cell r="Z46">
            <v>0</v>
          </cell>
          <cell r="AD46">
            <v>0</v>
          </cell>
          <cell r="AH46">
            <v>0</v>
          </cell>
          <cell r="AL46">
            <v>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 1 - Adresgegevens"/>
      <sheetName val="Tabel 2 - Investeringen"/>
      <sheetName val="Tabel 2A - Bijz mutaties activa"/>
      <sheetName val="Tabel 3 - OPEX Transport"/>
      <sheetName val="Tabel 3A - OPEX Gasaansl"/>
      <sheetName val="Tabel 4 - Omzet transportdienst"/>
      <sheetName val="Tabel 5 - PAV Aansluitingen"/>
      <sheetName val="Tabel 5A - EAV Aansluitingen"/>
      <sheetName val="Tabel 6-Benutte cap grootverbr"/>
      <sheetName val="Tabel 7 - Toelichting"/>
    </sheetNames>
    <sheetDataSet>
      <sheetData sheetId="0" refreshError="1"/>
      <sheetData sheetId="1" refreshError="1"/>
      <sheetData sheetId="2">
        <row r="39">
          <cell r="H39">
            <v>0</v>
          </cell>
          <cell r="L39">
            <v>0</v>
          </cell>
          <cell r="P39">
            <v>0</v>
          </cell>
          <cell r="T39">
            <v>0</v>
          </cell>
          <cell r="X39">
            <v>0</v>
          </cell>
          <cell r="AB39">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Nacalc LH2009 (REND)"/>
      <sheetName val="Lokale heffingen (LH)"/>
      <sheetName val="TI-recht 2009 (per heden)"/>
      <sheetName val="Vanaf hier oorspr. bestand --&gt; "/>
      <sheetName val="x-factor"/>
      <sheetName val="Eindinkomsten"/>
      <sheetName val="Productiviteit"/>
      <sheetName val="Kosten"/>
      <sheetName val="SO"/>
      <sheetName val="Sectortarieven"/>
      <sheetName val="Tarieven"/>
      <sheetName val="Rekenvol"/>
      <sheetName val="Volumes"/>
      <sheetName val="ORV"/>
      <sheetName val="CPI"/>
      <sheetName val="Graadda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2)"/>
      <sheetName val="constants"/>
      <sheetName val="Data"/>
      <sheetName val="Calc"/>
      <sheetName val="Results"/>
    </sheetNames>
    <sheetDataSet>
      <sheetData sheetId="0"/>
      <sheetData sheetId="1">
        <row r="3">
          <cell r="E3">
            <v>6.2E-2</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x-factor"/>
      <sheetName val="Eindinkomsten"/>
      <sheetName val="Productiviteit TD"/>
      <sheetName val="Kosten AD"/>
      <sheetName val="Kosten TD"/>
      <sheetName val="Vergoedingen AD"/>
      <sheetName val="SO"/>
      <sheetName val="Wegingsfactor TD"/>
      <sheetName val="Wegingsfactor AD"/>
      <sheetName val="Rekenvolumes"/>
      <sheetName val="Volumes"/>
      <sheetName val="ORV"/>
      <sheetName val="CPI&amp;WA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4">
          <cell r="D14">
            <v>6.2E-2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hyperlink" Target="https://opendata.cbs.nl/" TargetMode="External"/><Relationship Id="rId13" Type="http://schemas.openxmlformats.org/officeDocument/2006/relationships/printerSettings" Target="../printerSettings/printerSettings3.bin"/><Relationship Id="rId3" Type="http://schemas.openxmlformats.org/officeDocument/2006/relationships/hyperlink" Target="https://www.acm.nl/nl/publicaties/herstel-x-factorberekening-regionale-netbeheerders-gas-2021-2026" TargetMode="External"/><Relationship Id="rId7" Type="http://schemas.openxmlformats.org/officeDocument/2006/relationships/hyperlink" Target="https://www.acm.nl/nl/publicaties/berekening-x-factor-bij-gewijzigde-x-factorbesluiten-gas-2022-2026?_exception_statuscode=404&amp;arguments_sanitized=%2BLZFmU3mG3vbbQ%3D%3D" TargetMode="External"/><Relationship Id="rId12" Type="http://schemas.openxmlformats.org/officeDocument/2006/relationships/hyperlink" Target="https://www.acm.nl/nl/publicaties/berekening-totale-inkomsten-2023-regionaal-netbeheer-gas" TargetMode="External"/><Relationship Id="rId2" Type="http://schemas.openxmlformats.org/officeDocument/2006/relationships/hyperlink" Target="https://www.ecb.europa.eu/stats/policy_and_exchange_rates/key_ecb_interest_rates/html/index.nl.html" TargetMode="External"/><Relationship Id="rId1" Type="http://schemas.openxmlformats.org/officeDocument/2006/relationships/hyperlink" Target="https://www.dnb.nl/statistieken/data-zoeken/" TargetMode="External"/><Relationship Id="rId6" Type="http://schemas.openxmlformats.org/officeDocument/2006/relationships/hyperlink" Target="https://www.acm.nl/nl/publicaties/de-totale-inkomsten-voor-de-regionale-netbeheerders-gas-voor-2024" TargetMode="External"/><Relationship Id="rId11" Type="http://schemas.openxmlformats.org/officeDocument/2006/relationships/hyperlink" Target="https://www.acm.nl/nl/publicaties/berekening-totale-inkomsten-2022-regionaal-netbeheer-gas" TargetMode="External"/><Relationship Id="rId5" Type="http://schemas.openxmlformats.org/officeDocument/2006/relationships/hyperlink" Target="https://www.acm.nl/nl/publicaties/berekening-x-factor-bij-gewijzigde-x-factorbesluiten-gas-2022-2026?_exception_statuscode=404&amp;arguments_sanitized=%2BLZFmU3mG3vbbQ%3D%3D" TargetMode="External"/><Relationship Id="rId10" Type="http://schemas.openxmlformats.org/officeDocument/2006/relationships/hyperlink" Target="https://www.acm.nl/nl/publicaties/berekening-totale-inkomsten-2025-regionale-netbeheerders-gas" TargetMode="External"/><Relationship Id="rId4" Type="http://schemas.openxmlformats.org/officeDocument/2006/relationships/hyperlink" Target="https://www.acm.nl/nl/publicaties/berekening-x-factor-bij-gewijzigde-x-factorbesluiten-gas-2022-2026?_exception_statuscode=404&amp;arguments_sanitized=%2BLZFmU3mG3vbbQ%3D%3D" TargetMode="External"/><Relationship Id="rId9" Type="http://schemas.openxmlformats.org/officeDocument/2006/relationships/hyperlink" Target="https://www.acm.nl/nl/publicaties/herstel-x-factorberekening-regionale-netbeheerders-gas-2021-2026"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C8D9"/>
  </sheetPr>
  <dimension ref="A2:E38"/>
  <sheetViews>
    <sheetView showGridLines="0" tabSelected="1" zoomScale="85" zoomScaleNormal="85" workbookViewId="0">
      <pane ySplit="3" topLeftCell="A4" activePane="bottomLeft" state="frozen"/>
      <selection activeCell="Q27" sqref="Q27"/>
      <selection pane="bottomLeft" activeCell="A4" sqref="A4"/>
    </sheetView>
  </sheetViews>
  <sheetFormatPr defaultColWidth="9.1796875" defaultRowHeight="12.5" x14ac:dyDescent="0.35"/>
  <cols>
    <col min="1" max="1" width="2.81640625" style="2" customWidth="1"/>
    <col min="2" max="2" width="39.81640625" style="2" customWidth="1"/>
    <col min="3" max="3" width="91.81640625" style="2" customWidth="1"/>
    <col min="4" max="16384" width="9.1796875" style="2"/>
  </cols>
  <sheetData>
    <row r="2" spans="1:5" s="9" customFormat="1" ht="18" x14ac:dyDescent="0.35">
      <c r="A2" s="8"/>
      <c r="B2" s="8" t="s">
        <v>681</v>
      </c>
    </row>
    <row r="13" spans="1:5" s="6" customFormat="1" ht="13" x14ac:dyDescent="0.35">
      <c r="B13" s="6" t="s">
        <v>0</v>
      </c>
    </row>
    <row r="15" spans="1:5" x14ac:dyDescent="0.35">
      <c r="B15" s="7" t="s">
        <v>1</v>
      </c>
      <c r="C15" s="295" t="s">
        <v>683</v>
      </c>
      <c r="E15" s="19"/>
    </row>
    <row r="16" spans="1:5" x14ac:dyDescent="0.35">
      <c r="B16" s="7" t="s">
        <v>2</v>
      </c>
      <c r="C16" s="7" t="s">
        <v>681</v>
      </c>
    </row>
    <row r="17" spans="2:5" x14ac:dyDescent="0.35">
      <c r="B17" s="7" t="s">
        <v>3</v>
      </c>
      <c r="C17" s="7"/>
    </row>
    <row r="18" spans="2:5" x14ac:dyDescent="0.35">
      <c r="B18" s="7" t="s">
        <v>4</v>
      </c>
      <c r="C18" s="7" t="s">
        <v>682</v>
      </c>
    </row>
    <row r="19" spans="2:5" x14ac:dyDescent="0.35">
      <c r="B19" s="7" t="s">
        <v>5</v>
      </c>
      <c r="C19" s="7"/>
    </row>
    <row r="20" spans="2:5" x14ac:dyDescent="0.35">
      <c r="B20" s="7" t="s">
        <v>6</v>
      </c>
      <c r="C20" s="295"/>
    </row>
    <row r="21" spans="2:5" x14ac:dyDescent="0.35">
      <c r="B21" s="7" t="s">
        <v>7</v>
      </c>
      <c r="C21" s="7" t="s">
        <v>902</v>
      </c>
    </row>
    <row r="22" spans="2:5" x14ac:dyDescent="0.35">
      <c r="B22" s="7" t="s">
        <v>897</v>
      </c>
      <c r="C22" s="7"/>
    </row>
    <row r="25" spans="2:5" s="6" customFormat="1" ht="13" x14ac:dyDescent="0.35">
      <c r="B25" s="6" t="s">
        <v>8</v>
      </c>
    </row>
    <row r="27" spans="2:5" x14ac:dyDescent="0.35">
      <c r="B27" s="7" t="s">
        <v>9</v>
      </c>
      <c r="C27" s="7" t="s">
        <v>555</v>
      </c>
      <c r="E27" s="19"/>
    </row>
    <row r="28" spans="2:5" x14ac:dyDescent="0.35">
      <c r="B28" s="7" t="s">
        <v>10</v>
      </c>
      <c r="C28" s="7" t="s">
        <v>555</v>
      </c>
    </row>
    <row r="29" spans="2:5" ht="25" x14ac:dyDescent="0.35">
      <c r="B29" s="7" t="s">
        <v>11</v>
      </c>
      <c r="C29" s="7" t="s">
        <v>555</v>
      </c>
    </row>
    <row r="30" spans="2:5" x14ac:dyDescent="0.35">
      <c r="B30" s="7" t="s">
        <v>898</v>
      </c>
      <c r="C30" s="7" t="s">
        <v>899</v>
      </c>
    </row>
    <row r="31" spans="2:5" x14ac:dyDescent="0.35">
      <c r="B31" s="7" t="s">
        <v>12</v>
      </c>
      <c r="C31" s="7"/>
    </row>
    <row r="32" spans="2:5" x14ac:dyDescent="0.35">
      <c r="B32" s="7" t="s">
        <v>897</v>
      </c>
      <c r="C32" s="7"/>
    </row>
    <row r="33" spans="2:4" ht="13" x14ac:dyDescent="0.35">
      <c r="B33" s="286"/>
      <c r="C33" s="286"/>
      <c r="D33" s="5"/>
    </row>
    <row r="34" spans="2:4" x14ac:dyDescent="0.35">
      <c r="B34" s="296" t="s">
        <v>900</v>
      </c>
      <c r="C34" s="296"/>
    </row>
    <row r="35" spans="2:4" x14ac:dyDescent="0.35">
      <c r="B35" s="286"/>
      <c r="C35" s="286"/>
    </row>
    <row r="36" spans="2:4" s="6" customFormat="1" ht="13" x14ac:dyDescent="0.35">
      <c r="B36" s="6" t="s">
        <v>13</v>
      </c>
    </row>
    <row r="38" spans="2:4" x14ac:dyDescent="0.35">
      <c r="B38" s="2" t="s">
        <v>901</v>
      </c>
    </row>
  </sheetData>
  <mergeCells count="1">
    <mergeCell ref="B34:C34"/>
  </mergeCells>
  <phoneticPr fontId="66" type="noConversion"/>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350D3-7710-44AC-A744-6A184FA7891E}">
  <sheetPr>
    <tabColor rgb="FFE1FFE1"/>
  </sheetPr>
  <dimension ref="A2:V137"/>
  <sheetViews>
    <sheetView showGridLines="0" zoomScale="85" zoomScaleNormal="85" workbookViewId="0">
      <pane xSplit="6" ySplit="9" topLeftCell="G10" activePane="bottomRight" state="frozen"/>
      <selection activeCell="Q27" sqref="Q27"/>
      <selection pane="topRight" activeCell="Q27" sqref="Q27"/>
      <selection pane="bottomLeft" activeCell="Q27" sqref="Q27"/>
      <selection pane="bottomRight" activeCell="G10" sqref="G10"/>
    </sheetView>
  </sheetViews>
  <sheetFormatPr defaultColWidth="9.26953125" defaultRowHeight="12.5" x14ac:dyDescent="0.35"/>
  <cols>
    <col min="1" max="1" width="4" style="2" customWidth="1"/>
    <col min="2" max="2" width="41.453125" style="2" customWidth="1"/>
    <col min="3"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3" width="13.26953125" style="2" customWidth="1"/>
    <col min="14" max="14" width="14.26953125" style="2" bestFit="1" customWidth="1"/>
    <col min="15" max="17" width="13.26953125" style="2" customWidth="1"/>
    <col min="18" max="19" width="2.7265625" style="2" customWidth="1"/>
    <col min="20" max="20" width="24.7265625" style="2" customWidth="1"/>
    <col min="21" max="21" width="2.7265625" style="2" customWidth="1"/>
    <col min="22" max="22" width="13.7265625" style="2" customWidth="1"/>
    <col min="23" max="23" width="2.7265625" style="2" customWidth="1"/>
    <col min="24" max="38" width="13.7265625" style="2" customWidth="1"/>
    <col min="39" max="16384" width="9.26953125" style="2"/>
  </cols>
  <sheetData>
    <row r="2" spans="2:22" s="18" customFormat="1" ht="18" x14ac:dyDescent="0.35">
      <c r="B2" s="18" t="s">
        <v>712</v>
      </c>
    </row>
    <row r="4" spans="2:22" ht="13" x14ac:dyDescent="0.35">
      <c r="B4" s="1" t="s">
        <v>29</v>
      </c>
      <c r="C4" s="1"/>
      <c r="D4" s="1"/>
    </row>
    <row r="5" spans="2:22" s="246" customFormat="1" ht="25.9" customHeight="1" x14ac:dyDescent="0.25">
      <c r="B5" s="297" t="s">
        <v>861</v>
      </c>
      <c r="C5" s="297"/>
      <c r="D5" s="297"/>
      <c r="E5" s="297"/>
      <c r="F5" s="297"/>
      <c r="G5" s="297"/>
      <c r="H5" s="297"/>
      <c r="I5" s="297"/>
      <c r="J5" s="297"/>
      <c r="K5" s="297"/>
      <c r="L5" s="297"/>
      <c r="M5" s="297"/>
    </row>
    <row r="6" spans="2:22" x14ac:dyDescent="0.35">
      <c r="B6" s="2" t="s">
        <v>592</v>
      </c>
      <c r="H6" s="19"/>
    </row>
    <row r="8" spans="2:22" s="6" customFormat="1" ht="13" x14ac:dyDescent="0.35">
      <c r="B8" s="6" t="s">
        <v>45</v>
      </c>
      <c r="F8" s="6" t="s">
        <v>27</v>
      </c>
      <c r="H8" s="6" t="s">
        <v>28</v>
      </c>
      <c r="J8" s="6" t="s">
        <v>49</v>
      </c>
      <c r="L8" s="6" t="s">
        <v>88</v>
      </c>
      <c r="M8" s="6" t="s">
        <v>65</v>
      </c>
      <c r="N8" s="6" t="s">
        <v>66</v>
      </c>
      <c r="O8" s="6" t="s">
        <v>67</v>
      </c>
      <c r="P8" s="6" t="s">
        <v>68</v>
      </c>
      <c r="Q8" s="6" t="s">
        <v>69</v>
      </c>
      <c r="T8" s="6" t="s">
        <v>46</v>
      </c>
      <c r="V8" s="6" t="s">
        <v>47</v>
      </c>
    </row>
    <row r="11" spans="2:22" s="6" customFormat="1" ht="13" x14ac:dyDescent="0.35">
      <c r="B11" s="6" t="s">
        <v>837</v>
      </c>
    </row>
    <row r="13" spans="2:22" ht="13" x14ac:dyDescent="0.35">
      <c r="B13" s="1" t="s">
        <v>856</v>
      </c>
    </row>
    <row r="14" spans="2:22" x14ac:dyDescent="0.35">
      <c r="B14" s="2" t="s">
        <v>190</v>
      </c>
      <c r="F14" s="2" t="s">
        <v>70</v>
      </c>
      <c r="J14" s="105">
        <f>SUM(L14:Q14)</f>
        <v>7214625.9451234872</v>
      </c>
      <c r="L14" s="96">
        <v>141944.87595628412</v>
      </c>
      <c r="M14" s="96">
        <v>2282439.1565265926</v>
      </c>
      <c r="N14" s="96">
        <v>2524370.8748670518</v>
      </c>
      <c r="O14" s="96">
        <v>104555.48666666665</v>
      </c>
      <c r="P14" s="96">
        <v>2107343.808447673</v>
      </c>
      <c r="Q14" s="96">
        <v>53971.742659219308</v>
      </c>
      <c r="T14" s="2" t="s">
        <v>858</v>
      </c>
    </row>
    <row r="15" spans="2:22" x14ac:dyDescent="0.35">
      <c r="B15" s="2" t="s">
        <v>219</v>
      </c>
      <c r="F15" s="2" t="s">
        <v>70</v>
      </c>
      <c r="J15" s="105">
        <f>SUM(L15:Q15)</f>
        <v>25812.481396162319</v>
      </c>
      <c r="L15" s="96">
        <v>482</v>
      </c>
      <c r="M15" s="96">
        <v>8172.8942186880095</v>
      </c>
      <c r="N15" s="96">
        <v>8866.3311111111088</v>
      </c>
      <c r="O15" s="96">
        <v>313.7233333333333</v>
      </c>
      <c r="P15" s="96">
        <v>7369.606621918756</v>
      </c>
      <c r="Q15" s="96">
        <v>607.92611111111103</v>
      </c>
      <c r="T15" s="2" t="s">
        <v>859</v>
      </c>
    </row>
    <row r="16" spans="2:22" x14ac:dyDescent="0.35">
      <c r="B16" s="2" t="s">
        <v>221</v>
      </c>
      <c r="F16" s="2" t="s">
        <v>70</v>
      </c>
      <c r="J16" s="105">
        <f>SUM(L16:Q16)</f>
        <v>8752.3333945550876</v>
      </c>
      <c r="L16" s="96">
        <v>118.66666666666667</v>
      </c>
      <c r="M16" s="96">
        <v>2649.0247520179205</v>
      </c>
      <c r="N16" s="96">
        <v>2882.3599999999992</v>
      </c>
      <c r="O16" s="96">
        <v>87.978666666666683</v>
      </c>
      <c r="P16" s="96">
        <v>2180.8802796601235</v>
      </c>
      <c r="Q16" s="96">
        <v>833.42302954371007</v>
      </c>
      <c r="T16" s="2" t="s">
        <v>860</v>
      </c>
    </row>
    <row r="18" spans="2:22" s="6" customFormat="1" ht="13" x14ac:dyDescent="0.35">
      <c r="B18" s="6" t="s">
        <v>708</v>
      </c>
    </row>
    <row r="19" spans="2:22" x14ac:dyDescent="0.35">
      <c r="M19" s="83"/>
      <c r="N19" s="83"/>
      <c r="O19" s="83"/>
      <c r="P19" s="83"/>
      <c r="Q19" s="83"/>
    </row>
    <row r="20" spans="2:22" ht="13" x14ac:dyDescent="0.35">
      <c r="B20" s="1" t="s">
        <v>447</v>
      </c>
    </row>
    <row r="22" spans="2:22" ht="13" x14ac:dyDescent="0.35">
      <c r="B22" s="1" t="s">
        <v>448</v>
      </c>
    </row>
    <row r="23" spans="2:22" x14ac:dyDescent="0.35">
      <c r="B23" s="2" t="s">
        <v>449</v>
      </c>
      <c r="F23" s="2" t="s">
        <v>70</v>
      </c>
      <c r="J23" s="105">
        <f>SUM(L23:Q23)</f>
        <v>897799</v>
      </c>
      <c r="L23" s="96">
        <v>9393</v>
      </c>
      <c r="M23" s="96">
        <v>225367</v>
      </c>
      <c r="N23" s="96">
        <v>321912</v>
      </c>
      <c r="O23" s="96">
        <v>7316</v>
      </c>
      <c r="P23" s="96">
        <v>327172</v>
      </c>
      <c r="Q23" s="96">
        <v>6639</v>
      </c>
      <c r="T23" s="2" t="s">
        <v>709</v>
      </c>
      <c r="V23" s="19"/>
    </row>
    <row r="24" spans="2:22" x14ac:dyDescent="0.35">
      <c r="B24" s="2" t="s">
        <v>450</v>
      </c>
      <c r="F24" s="2" t="s">
        <v>70</v>
      </c>
      <c r="J24" s="105">
        <f t="shared" ref="J24:J28" si="0">SUM(L24:Q24)</f>
        <v>6025564</v>
      </c>
      <c r="L24" s="96">
        <v>124783</v>
      </c>
      <c r="M24" s="96">
        <v>1955996</v>
      </c>
      <c r="N24" s="96">
        <v>2106354</v>
      </c>
      <c r="O24" s="96">
        <v>91654</v>
      </c>
      <c r="P24" s="96">
        <v>1700609</v>
      </c>
      <c r="Q24" s="96">
        <v>46168</v>
      </c>
      <c r="T24" s="2" t="s">
        <v>709</v>
      </c>
    </row>
    <row r="25" spans="2:22" x14ac:dyDescent="0.35">
      <c r="B25" s="2" t="s">
        <v>451</v>
      </c>
      <c r="F25" s="2" t="s">
        <v>70</v>
      </c>
      <c r="J25" s="105">
        <f t="shared" si="0"/>
        <v>156518</v>
      </c>
      <c r="L25" s="96">
        <v>4980</v>
      </c>
      <c r="M25" s="96">
        <v>56666</v>
      </c>
      <c r="N25" s="96">
        <v>55285</v>
      </c>
      <c r="O25" s="96">
        <v>3470</v>
      </c>
      <c r="P25" s="96">
        <v>35124</v>
      </c>
      <c r="Q25" s="96">
        <v>993</v>
      </c>
      <c r="T25" s="2" t="s">
        <v>709</v>
      </c>
    </row>
    <row r="26" spans="2:22" x14ac:dyDescent="0.35">
      <c r="B26" s="2" t="s">
        <v>452</v>
      </c>
      <c r="F26" s="2" t="s">
        <v>70</v>
      </c>
      <c r="J26" s="105">
        <f t="shared" si="0"/>
        <v>28819</v>
      </c>
      <c r="L26" s="96">
        <v>170</v>
      </c>
      <c r="M26" s="96">
        <v>7836</v>
      </c>
      <c r="N26" s="96">
        <v>11836</v>
      </c>
      <c r="O26" s="96">
        <v>627</v>
      </c>
      <c r="P26" s="96">
        <v>7992</v>
      </c>
      <c r="Q26" s="96">
        <v>358</v>
      </c>
      <c r="T26" s="2" t="s">
        <v>709</v>
      </c>
    </row>
    <row r="27" spans="2:22" x14ac:dyDescent="0.35">
      <c r="B27" s="2" t="s">
        <v>453</v>
      </c>
      <c r="F27" s="2" t="s">
        <v>70</v>
      </c>
      <c r="J27" s="105">
        <f t="shared" si="0"/>
        <v>60006</v>
      </c>
      <c r="L27" s="96">
        <v>1820</v>
      </c>
      <c r="M27" s="96">
        <v>22993</v>
      </c>
      <c r="N27" s="96">
        <v>19442</v>
      </c>
      <c r="O27" s="96">
        <v>862</v>
      </c>
      <c r="P27" s="96">
        <v>14539</v>
      </c>
      <c r="Q27" s="96">
        <v>350</v>
      </c>
      <c r="T27" s="2" t="s">
        <v>709</v>
      </c>
    </row>
    <row r="28" spans="2:22" x14ac:dyDescent="0.35">
      <c r="B28" s="2" t="s">
        <v>454</v>
      </c>
      <c r="F28" s="2" t="s">
        <v>70</v>
      </c>
      <c r="J28" s="105">
        <f t="shared" si="0"/>
        <v>23212</v>
      </c>
      <c r="L28" s="96">
        <v>593</v>
      </c>
      <c r="M28" s="96">
        <v>8050</v>
      </c>
      <c r="N28" s="96">
        <v>7933</v>
      </c>
      <c r="O28" s="96">
        <v>310</v>
      </c>
      <c r="P28" s="96">
        <v>6074</v>
      </c>
      <c r="Q28" s="96">
        <v>252</v>
      </c>
      <c r="T28" s="2" t="s">
        <v>709</v>
      </c>
    </row>
    <row r="30" spans="2:22" ht="13" x14ac:dyDescent="0.35">
      <c r="B30" s="1" t="s">
        <v>455</v>
      </c>
    </row>
    <row r="31" spans="2:22" x14ac:dyDescent="0.35">
      <c r="B31" s="2" t="s">
        <v>456</v>
      </c>
      <c r="F31" s="2" t="s">
        <v>70</v>
      </c>
      <c r="J31" s="105">
        <f t="shared" ref="J31:J35" si="1">SUM(L31:Q31)</f>
        <v>9012</v>
      </c>
      <c r="L31" s="96">
        <v>229</v>
      </c>
      <c r="M31" s="96">
        <v>2940</v>
      </c>
      <c r="N31" s="96">
        <v>3213</v>
      </c>
      <c r="O31" s="96">
        <v>125</v>
      </c>
      <c r="P31" s="96">
        <v>2389</v>
      </c>
      <c r="Q31" s="96">
        <v>116</v>
      </c>
      <c r="T31" s="2" t="s">
        <v>709</v>
      </c>
    </row>
    <row r="32" spans="2:22" x14ac:dyDescent="0.35">
      <c r="B32" s="2" t="s">
        <v>457</v>
      </c>
      <c r="F32" s="2" t="s">
        <v>70</v>
      </c>
      <c r="J32" s="105">
        <f t="shared" si="1"/>
        <v>9708</v>
      </c>
      <c r="L32" s="96">
        <v>168</v>
      </c>
      <c r="M32" s="96">
        <v>2952</v>
      </c>
      <c r="N32" s="96">
        <v>3464</v>
      </c>
      <c r="O32" s="96">
        <v>123</v>
      </c>
      <c r="P32" s="96">
        <v>2808</v>
      </c>
      <c r="Q32" s="96">
        <v>193</v>
      </c>
      <c r="T32" s="2" t="s">
        <v>709</v>
      </c>
    </row>
    <row r="33" spans="2:20" x14ac:dyDescent="0.35">
      <c r="B33" s="2" t="s">
        <v>458</v>
      </c>
      <c r="F33" s="2" t="s">
        <v>70</v>
      </c>
      <c r="J33" s="105">
        <f t="shared" si="1"/>
        <v>4020</v>
      </c>
      <c r="L33" s="96">
        <v>49</v>
      </c>
      <c r="M33" s="96">
        <v>1297</v>
      </c>
      <c r="N33" s="96">
        <v>1251</v>
      </c>
      <c r="O33" s="96">
        <v>32</v>
      </c>
      <c r="P33" s="96">
        <v>1237</v>
      </c>
      <c r="Q33" s="96">
        <v>154</v>
      </c>
      <c r="T33" s="2" t="s">
        <v>709</v>
      </c>
    </row>
    <row r="34" spans="2:20" x14ac:dyDescent="0.35">
      <c r="B34" s="2" t="s">
        <v>459</v>
      </c>
      <c r="F34" s="2" t="s">
        <v>70</v>
      </c>
      <c r="J34" s="105">
        <f t="shared" si="1"/>
        <v>1176</v>
      </c>
      <c r="L34" s="96">
        <v>29</v>
      </c>
      <c r="M34" s="96">
        <v>394</v>
      </c>
      <c r="N34" s="96">
        <v>377</v>
      </c>
      <c r="O34" s="96">
        <v>19</v>
      </c>
      <c r="P34" s="96">
        <v>274</v>
      </c>
      <c r="Q34" s="96">
        <v>83</v>
      </c>
      <c r="T34" s="2" t="s">
        <v>709</v>
      </c>
    </row>
    <row r="35" spans="2:20" x14ac:dyDescent="0.35">
      <c r="B35" s="2" t="s">
        <v>460</v>
      </c>
      <c r="F35" s="2" t="s">
        <v>70</v>
      </c>
      <c r="J35" s="105">
        <f t="shared" si="1"/>
        <v>506</v>
      </c>
      <c r="L35" s="96">
        <v>10</v>
      </c>
      <c r="M35" s="96">
        <v>177</v>
      </c>
      <c r="N35" s="96">
        <v>77</v>
      </c>
      <c r="O35" s="96">
        <v>3</v>
      </c>
      <c r="P35" s="96">
        <v>216</v>
      </c>
      <c r="Q35" s="96">
        <v>23</v>
      </c>
      <c r="T35" s="2" t="s">
        <v>709</v>
      </c>
    </row>
    <row r="37" spans="2:20" ht="13" x14ac:dyDescent="0.35">
      <c r="B37" s="1" t="s">
        <v>461</v>
      </c>
    </row>
    <row r="39" spans="2:20" x14ac:dyDescent="0.35">
      <c r="B39" s="2" t="s">
        <v>462</v>
      </c>
      <c r="F39" s="2" t="s">
        <v>70</v>
      </c>
      <c r="J39" s="105">
        <f>SUM(L39:Q39)</f>
        <v>8373</v>
      </c>
      <c r="L39" s="96">
        <v>118</v>
      </c>
      <c r="M39" s="96">
        <v>2599</v>
      </c>
      <c r="N39" s="96">
        <v>2799</v>
      </c>
      <c r="O39" s="96">
        <v>87</v>
      </c>
      <c r="P39" s="96">
        <v>2065</v>
      </c>
      <c r="Q39" s="96">
        <v>705</v>
      </c>
      <c r="T39" s="2" t="s">
        <v>709</v>
      </c>
    </row>
    <row r="41" spans="2:20" ht="13" x14ac:dyDescent="0.35">
      <c r="B41" s="1" t="s">
        <v>463</v>
      </c>
    </row>
    <row r="43" spans="2:20" x14ac:dyDescent="0.35">
      <c r="B43" s="2" t="s">
        <v>464</v>
      </c>
      <c r="F43" s="2" t="s">
        <v>70</v>
      </c>
      <c r="J43" s="105">
        <f t="shared" ref="J43:J44" si="2">SUM(L43:Q43)</f>
        <v>679277</v>
      </c>
      <c r="L43" s="96">
        <v>24620</v>
      </c>
      <c r="M43" s="96"/>
      <c r="N43" s="96">
        <v>629549</v>
      </c>
      <c r="O43" s="96">
        <v>25108</v>
      </c>
      <c r="P43" s="96"/>
      <c r="Q43" s="96"/>
      <c r="T43" s="2" t="s">
        <v>709</v>
      </c>
    </row>
    <row r="44" spans="2:20" x14ac:dyDescent="0.35">
      <c r="B44" s="2" t="s">
        <v>465</v>
      </c>
      <c r="F44" s="2" t="s">
        <v>70</v>
      </c>
      <c r="J44" s="105">
        <f t="shared" si="2"/>
        <v>125837</v>
      </c>
      <c r="L44" s="96">
        <v>6478</v>
      </c>
      <c r="M44" s="96"/>
      <c r="N44" s="96">
        <v>116519</v>
      </c>
      <c r="O44" s="96">
        <v>2840</v>
      </c>
      <c r="P44" s="96"/>
      <c r="Q44" s="96"/>
      <c r="T44" s="2" t="s">
        <v>709</v>
      </c>
    </row>
    <row r="46" spans="2:20" x14ac:dyDescent="0.35">
      <c r="B46" s="2" t="s">
        <v>466</v>
      </c>
      <c r="F46" s="2" t="s">
        <v>70</v>
      </c>
      <c r="J46" s="105">
        <f>SUM(L46:Q46)</f>
        <v>1712430</v>
      </c>
      <c r="L46" s="96"/>
      <c r="M46" s="96">
        <v>760246</v>
      </c>
      <c r="N46" s="96"/>
      <c r="O46" s="96"/>
      <c r="P46" s="96">
        <v>642028</v>
      </c>
      <c r="Q46" s="96">
        <v>310156</v>
      </c>
      <c r="T46" s="2" t="s">
        <v>709</v>
      </c>
    </row>
    <row r="48" spans="2:20" s="6" customFormat="1" ht="13" x14ac:dyDescent="0.35">
      <c r="B48" s="6" t="s">
        <v>710</v>
      </c>
    </row>
    <row r="49" spans="2:20" x14ac:dyDescent="0.35">
      <c r="M49" s="83"/>
      <c r="N49" s="83"/>
      <c r="O49" s="83"/>
      <c r="P49" s="83"/>
      <c r="Q49" s="83"/>
    </row>
    <row r="50" spans="2:20" ht="13" x14ac:dyDescent="0.35">
      <c r="B50" s="1" t="s">
        <v>447</v>
      </c>
    </row>
    <row r="52" spans="2:20" ht="13" x14ac:dyDescent="0.35">
      <c r="B52" s="1" t="s">
        <v>448</v>
      </c>
    </row>
    <row r="53" spans="2:20" x14ac:dyDescent="0.35">
      <c r="B53" s="2" t="s">
        <v>449</v>
      </c>
      <c r="F53" s="2" t="s">
        <v>70</v>
      </c>
      <c r="J53" s="105">
        <f>SUM(L53:Q53)</f>
        <v>1291123.2394442032</v>
      </c>
      <c r="L53" s="96">
        <v>16036</v>
      </c>
      <c r="M53" s="96">
        <v>347685.3776790417</v>
      </c>
      <c r="N53" s="96">
        <v>458344.19178082194</v>
      </c>
      <c r="O53" s="96">
        <v>12268.14</v>
      </c>
      <c r="P53" s="96">
        <v>446799.20999103948</v>
      </c>
      <c r="Q53" s="96">
        <v>9990.3199932997923</v>
      </c>
      <c r="T53" s="2" t="s">
        <v>711</v>
      </c>
    </row>
    <row r="54" spans="2:20" x14ac:dyDescent="0.35">
      <c r="B54" s="2" t="s">
        <v>450</v>
      </c>
      <c r="F54" s="2" t="s">
        <v>70</v>
      </c>
      <c r="J54" s="105">
        <f t="shared" ref="J54:J58" si="3">SUM(L54:Q54)</f>
        <v>5644224.0687873596</v>
      </c>
      <c r="L54" s="96">
        <v>118989</v>
      </c>
      <c r="M54" s="96">
        <v>1841210.5407401437</v>
      </c>
      <c r="N54" s="96">
        <v>1975814.5424312914</v>
      </c>
      <c r="O54" s="96">
        <v>87210.8</v>
      </c>
      <c r="P54" s="96">
        <v>1578022.5186379927</v>
      </c>
      <c r="Q54" s="96">
        <v>42976.666977931345</v>
      </c>
      <c r="T54" s="2" t="s">
        <v>711</v>
      </c>
    </row>
    <row r="55" spans="2:20" x14ac:dyDescent="0.35">
      <c r="B55" s="2" t="s">
        <v>451</v>
      </c>
      <c r="F55" s="2" t="s">
        <v>70</v>
      </c>
      <c r="J55" s="105">
        <f t="shared" si="3"/>
        <v>99121.262786333202</v>
      </c>
      <c r="L55" s="96">
        <v>3098</v>
      </c>
      <c r="M55" s="96">
        <v>34806.896816182008</v>
      </c>
      <c r="N55" s="96">
        <v>35413.358921340565</v>
      </c>
      <c r="O55" s="96">
        <v>2202.04</v>
      </c>
      <c r="P55" s="96">
        <v>22934.861418330769</v>
      </c>
      <c r="Q55" s="96">
        <v>666.10563047986909</v>
      </c>
      <c r="T55" s="2" t="s">
        <v>711</v>
      </c>
    </row>
    <row r="56" spans="2:20" x14ac:dyDescent="0.35">
      <c r="B56" s="2" t="s">
        <v>452</v>
      </c>
      <c r="F56" s="2" t="s">
        <v>70</v>
      </c>
      <c r="J56" s="105">
        <f t="shared" si="3"/>
        <v>28369.566988084796</v>
      </c>
      <c r="L56" s="96">
        <v>172</v>
      </c>
      <c r="M56" s="96">
        <v>7693.1298282183125</v>
      </c>
      <c r="N56" s="96">
        <v>11651.317808219177</v>
      </c>
      <c r="O56" s="96">
        <v>616.76</v>
      </c>
      <c r="P56" s="96">
        <v>7882.5821172555043</v>
      </c>
      <c r="Q56" s="96">
        <v>353.77723439180386</v>
      </c>
      <c r="T56" s="2" t="s">
        <v>711</v>
      </c>
    </row>
    <row r="57" spans="2:20" x14ac:dyDescent="0.35">
      <c r="B57" s="2" t="s">
        <v>453</v>
      </c>
      <c r="F57" s="2" t="s">
        <v>70</v>
      </c>
      <c r="J57" s="105">
        <f t="shared" si="3"/>
        <v>58473.277648498151</v>
      </c>
      <c r="L57" s="96">
        <v>1770</v>
      </c>
      <c r="M57" s="96">
        <v>22324.685051607616</v>
      </c>
      <c r="N57" s="96">
        <v>18988.663010467822</v>
      </c>
      <c r="O57" s="96">
        <v>840.58</v>
      </c>
      <c r="P57" s="96">
        <v>14210.092108294933</v>
      </c>
      <c r="Q57" s="96">
        <v>339.25747812777536</v>
      </c>
      <c r="T57" s="2" t="s">
        <v>711</v>
      </c>
    </row>
    <row r="58" spans="2:20" x14ac:dyDescent="0.35">
      <c r="B58" s="2" t="s">
        <v>454</v>
      </c>
      <c r="F58" s="2" t="s">
        <v>70</v>
      </c>
      <c r="J58" s="105">
        <f t="shared" si="3"/>
        <v>22729.963159128118</v>
      </c>
      <c r="L58" s="96">
        <v>577</v>
      </c>
      <c r="M58" s="96">
        <v>7864.3687471239982</v>
      </c>
      <c r="N58" s="96">
        <v>7792.41095890411</v>
      </c>
      <c r="O58" s="96">
        <v>302.29000000000002</v>
      </c>
      <c r="P58" s="96">
        <v>5941.2478814644137</v>
      </c>
      <c r="Q58" s="96">
        <v>252.64557163559556</v>
      </c>
      <c r="T58" s="2" t="s">
        <v>711</v>
      </c>
    </row>
    <row r="60" spans="2:20" ht="13" x14ac:dyDescent="0.35">
      <c r="B60" s="1" t="s">
        <v>455</v>
      </c>
    </row>
    <row r="61" spans="2:20" x14ac:dyDescent="0.35">
      <c r="B61" s="2" t="s">
        <v>456</v>
      </c>
      <c r="F61" s="2" t="s">
        <v>70</v>
      </c>
      <c r="J61" s="105">
        <f t="shared" ref="J61:J65" si="4">SUM(L61:Q61)</f>
        <v>8850.2228189042653</v>
      </c>
      <c r="L61" s="96">
        <v>226</v>
      </c>
      <c r="M61" s="96">
        <v>2883.5119107479522</v>
      </c>
      <c r="N61" s="96">
        <v>3145.6325000000011</v>
      </c>
      <c r="O61" s="96">
        <v>122.25</v>
      </c>
      <c r="P61" s="96">
        <v>2360.0366666666664</v>
      </c>
      <c r="Q61" s="96">
        <v>112.79174148964563</v>
      </c>
      <c r="T61" s="2" t="s">
        <v>711</v>
      </c>
    </row>
    <row r="62" spans="2:20" x14ac:dyDescent="0.35">
      <c r="B62" s="2" t="s">
        <v>457</v>
      </c>
      <c r="F62" s="2" t="s">
        <v>70</v>
      </c>
      <c r="J62" s="105">
        <f t="shared" si="4"/>
        <v>9525.5688890748552</v>
      </c>
      <c r="L62" s="96">
        <v>168</v>
      </c>
      <c r="M62" s="96">
        <v>2885.5124630298105</v>
      </c>
      <c r="N62" s="96">
        <v>3412.1574999999998</v>
      </c>
      <c r="O62" s="96">
        <v>118.84</v>
      </c>
      <c r="P62" s="96">
        <v>2753.4973333333332</v>
      </c>
      <c r="Q62" s="96">
        <v>187.56159271171305</v>
      </c>
      <c r="T62" s="2" t="s">
        <v>711</v>
      </c>
    </row>
    <row r="63" spans="2:20" x14ac:dyDescent="0.35">
      <c r="B63" s="2" t="s">
        <v>458</v>
      </c>
      <c r="F63" s="2" t="s">
        <v>70</v>
      </c>
      <c r="J63" s="105">
        <f t="shared" si="4"/>
        <v>3930.9456021176029</v>
      </c>
      <c r="L63" s="96">
        <v>50</v>
      </c>
      <c r="M63" s="96">
        <v>1258.0419717872196</v>
      </c>
      <c r="N63" s="96">
        <v>1228.135</v>
      </c>
      <c r="O63" s="96">
        <v>31.17</v>
      </c>
      <c r="P63" s="96">
        <v>1204.7494444444446</v>
      </c>
      <c r="Q63" s="96">
        <v>158.84918588593879</v>
      </c>
      <c r="T63" s="2" t="s">
        <v>711</v>
      </c>
    </row>
    <row r="64" spans="2:20" x14ac:dyDescent="0.35">
      <c r="B64" s="2" t="s">
        <v>459</v>
      </c>
      <c r="F64" s="2" t="s">
        <v>70</v>
      </c>
      <c r="J64" s="105">
        <f t="shared" si="4"/>
        <v>1149.6160272973843</v>
      </c>
      <c r="L64" s="96">
        <v>29</v>
      </c>
      <c r="M64" s="96">
        <v>389.75930712877289</v>
      </c>
      <c r="N64" s="96">
        <v>361.73916666666668</v>
      </c>
      <c r="O64" s="96">
        <v>17.78</v>
      </c>
      <c r="P64" s="96">
        <v>272.995</v>
      </c>
      <c r="Q64" s="96">
        <v>78.342553501944636</v>
      </c>
      <c r="T64" s="2" t="s">
        <v>711</v>
      </c>
    </row>
    <row r="65" spans="2:20" x14ac:dyDescent="0.35">
      <c r="B65" s="2" t="s">
        <v>460</v>
      </c>
      <c r="F65" s="2" t="s">
        <v>70</v>
      </c>
      <c r="J65" s="105">
        <f t="shared" si="4"/>
        <v>485.9099930192192</v>
      </c>
      <c r="L65" s="96">
        <v>10</v>
      </c>
      <c r="M65" s="96">
        <v>175.68812216401685</v>
      </c>
      <c r="N65" s="96">
        <v>75.592500000000015</v>
      </c>
      <c r="O65" s="96">
        <v>3.04</v>
      </c>
      <c r="P65" s="96">
        <v>198.42666666666668</v>
      </c>
      <c r="Q65" s="96">
        <v>23.162704188535638</v>
      </c>
      <c r="T65" s="2" t="s">
        <v>711</v>
      </c>
    </row>
    <row r="67" spans="2:20" ht="13" x14ac:dyDescent="0.35">
      <c r="B67" s="1" t="s">
        <v>461</v>
      </c>
    </row>
    <row r="69" spans="2:20" x14ac:dyDescent="0.35">
      <c r="B69" s="2" t="s">
        <v>462</v>
      </c>
      <c r="F69" s="2" t="s">
        <v>70</v>
      </c>
      <c r="J69" s="105">
        <f>SUM(L69:Q69)</f>
        <v>8280.5852758514411</v>
      </c>
      <c r="L69" s="96">
        <v>121</v>
      </c>
      <c r="M69" s="96">
        <v>2579.748553758629</v>
      </c>
      <c r="N69" s="96">
        <v>2770.2975000000006</v>
      </c>
      <c r="O69" s="96">
        <v>88.712999999999994</v>
      </c>
      <c r="P69" s="96">
        <v>2036.9535419126325</v>
      </c>
      <c r="Q69" s="96">
        <v>683.87268018018017</v>
      </c>
      <c r="T69" s="2" t="s">
        <v>711</v>
      </c>
    </row>
    <row r="71" spans="2:20" ht="13" x14ac:dyDescent="0.35">
      <c r="B71" s="1" t="s">
        <v>463</v>
      </c>
    </row>
    <row r="73" spans="2:20" x14ac:dyDescent="0.35">
      <c r="B73" s="2" t="s">
        <v>464</v>
      </c>
      <c r="F73" s="2" t="s">
        <v>70</v>
      </c>
      <c r="J73" s="105">
        <f>SUM(L73:Q73)</f>
        <v>679554.31416666671</v>
      </c>
      <c r="L73" s="96">
        <v>22564</v>
      </c>
      <c r="M73" s="96"/>
      <c r="N73" s="96">
        <v>631815.51416666666</v>
      </c>
      <c r="O73" s="96">
        <v>25174.799999999999</v>
      </c>
      <c r="P73" s="96"/>
      <c r="Q73" s="96"/>
      <c r="T73" s="2" t="s">
        <v>711</v>
      </c>
    </row>
    <row r="74" spans="2:20" x14ac:dyDescent="0.35">
      <c r="B74" s="2" t="s">
        <v>465</v>
      </c>
      <c r="F74" s="2" t="s">
        <v>70</v>
      </c>
      <c r="J74" s="105">
        <f>SUM(L74:Q74)</f>
        <v>123997.04916666666</v>
      </c>
      <c r="L74" s="96">
        <v>6941</v>
      </c>
      <c r="M74" s="96"/>
      <c r="N74" s="96">
        <v>114152.84916666667</v>
      </c>
      <c r="O74" s="96">
        <v>2903.2</v>
      </c>
      <c r="P74" s="96"/>
      <c r="Q74" s="96"/>
      <c r="T74" s="2" t="s">
        <v>711</v>
      </c>
    </row>
    <row r="76" spans="2:20" x14ac:dyDescent="0.35">
      <c r="B76" s="2" t="s">
        <v>466</v>
      </c>
      <c r="F76" s="2" t="s">
        <v>70</v>
      </c>
      <c r="J76" s="105">
        <f>SUM(L76:Q76)</f>
        <v>1707023.0259445279</v>
      </c>
      <c r="L76" s="96"/>
      <c r="M76" s="96">
        <v>752800.60098651855</v>
      </c>
      <c r="N76" s="96"/>
      <c r="O76" s="96"/>
      <c r="P76" s="96">
        <v>645622.89263235836</v>
      </c>
      <c r="Q76" s="96">
        <v>308599.53232565097</v>
      </c>
      <c r="T76" s="2" t="s">
        <v>711</v>
      </c>
    </row>
    <row r="78" spans="2:20" s="6" customFormat="1" ht="13" x14ac:dyDescent="0.35">
      <c r="B78" s="6" t="s">
        <v>593</v>
      </c>
    </row>
    <row r="79" spans="2:20" x14ac:dyDescent="0.35">
      <c r="M79" s="83"/>
      <c r="N79" s="83"/>
      <c r="O79" s="83"/>
      <c r="P79" s="83"/>
      <c r="Q79" s="83"/>
    </row>
    <row r="80" spans="2:20" ht="13" x14ac:dyDescent="0.35">
      <c r="B80" s="1" t="s">
        <v>447</v>
      </c>
    </row>
    <row r="82" spans="1:22" ht="13" x14ac:dyDescent="0.35">
      <c r="A82" s="206"/>
      <c r="B82" s="1" t="s">
        <v>448</v>
      </c>
    </row>
    <row r="83" spans="1:22" x14ac:dyDescent="0.35">
      <c r="A83" s="206"/>
      <c r="B83" s="2" t="s">
        <v>449</v>
      </c>
      <c r="F83" s="2" t="s">
        <v>70</v>
      </c>
      <c r="J83" s="105">
        <f t="shared" ref="J83:J88" si="5">SUM(L83:Q83)</f>
        <v>1442109.2345123033</v>
      </c>
      <c r="L83" s="96">
        <v>19857</v>
      </c>
      <c r="M83" s="96">
        <v>404078.44546306098</v>
      </c>
      <c r="N83" s="96">
        <v>510615.31956944062</v>
      </c>
      <c r="O83" s="96">
        <v>14886.96</v>
      </c>
      <c r="P83" s="96">
        <v>481638.22800333705</v>
      </c>
      <c r="Q83" s="96">
        <v>11033.281476464641</v>
      </c>
      <c r="T83" s="2" t="s">
        <v>594</v>
      </c>
      <c r="V83" s="19"/>
    </row>
    <row r="84" spans="1:22" x14ac:dyDescent="0.35">
      <c r="A84" s="206"/>
      <c r="B84" s="2" t="s">
        <v>450</v>
      </c>
      <c r="F84" s="2" t="s">
        <v>70</v>
      </c>
      <c r="J84" s="105">
        <f t="shared" si="5"/>
        <v>5464430.1954413485</v>
      </c>
      <c r="L84" s="96">
        <v>114773</v>
      </c>
      <c r="M84" s="96">
        <v>1776032.0819168524</v>
      </c>
      <c r="N84" s="96">
        <v>1914763.9671693449</v>
      </c>
      <c r="O84" s="96">
        <v>84213.35</v>
      </c>
      <c r="P84" s="96">
        <v>1532866.8475126682</v>
      </c>
      <c r="Q84" s="96">
        <v>41780.94884248219</v>
      </c>
      <c r="T84" s="2" t="s">
        <v>594</v>
      </c>
    </row>
    <row r="85" spans="1:22" x14ac:dyDescent="0.35">
      <c r="A85" s="206"/>
      <c r="B85" s="2" t="s">
        <v>451</v>
      </c>
      <c r="F85" s="2" t="s">
        <v>70</v>
      </c>
      <c r="J85" s="105">
        <f t="shared" si="5"/>
        <v>78207.597479080592</v>
      </c>
      <c r="L85" s="96">
        <v>2398</v>
      </c>
      <c r="M85" s="96">
        <v>27013.637050708352</v>
      </c>
      <c r="N85" s="96">
        <v>28184.669403957454</v>
      </c>
      <c r="O85" s="96">
        <v>1726.19</v>
      </c>
      <c r="P85" s="96">
        <v>18317.128729452477</v>
      </c>
      <c r="Q85" s="96">
        <v>567.97229496230887</v>
      </c>
      <c r="T85" s="2" t="s">
        <v>594</v>
      </c>
    </row>
    <row r="86" spans="1:22" x14ac:dyDescent="0.35">
      <c r="A86" s="206"/>
      <c r="B86" s="2" t="s">
        <v>452</v>
      </c>
      <c r="F86" s="2" t="s">
        <v>70</v>
      </c>
      <c r="J86" s="105">
        <f t="shared" si="5"/>
        <v>27883.450213418495</v>
      </c>
      <c r="L86" s="96">
        <v>173</v>
      </c>
      <c r="M86" s="96">
        <v>7538.3933094757067</v>
      </c>
      <c r="N86" s="96">
        <v>11465.398902053472</v>
      </c>
      <c r="O86" s="96">
        <v>603.16</v>
      </c>
      <c r="P86" s="96">
        <v>7753.344284390063</v>
      </c>
      <c r="Q86" s="96">
        <v>350.15371749925163</v>
      </c>
      <c r="T86" s="2" t="s">
        <v>594</v>
      </c>
    </row>
    <row r="87" spans="1:22" x14ac:dyDescent="0.35">
      <c r="A87" s="206"/>
      <c r="B87" s="2" t="s">
        <v>453</v>
      </c>
      <c r="F87" s="2" t="s">
        <v>70</v>
      </c>
      <c r="J87" s="105">
        <f t="shared" si="5"/>
        <v>57022.558046723614</v>
      </c>
      <c r="L87" s="96">
        <v>1724</v>
      </c>
      <c r="M87" s="96">
        <v>21709.641493439027</v>
      </c>
      <c r="N87" s="96">
        <v>18540.860662050647</v>
      </c>
      <c r="O87" s="96">
        <v>829.21</v>
      </c>
      <c r="P87" s="96">
        <v>13884.229624273887</v>
      </c>
      <c r="Q87" s="96">
        <v>334.61626696004987</v>
      </c>
      <c r="T87" s="2" t="s">
        <v>594</v>
      </c>
    </row>
    <row r="88" spans="1:22" x14ac:dyDescent="0.35">
      <c r="A88" s="206"/>
      <c r="B88" s="2" t="s">
        <v>454</v>
      </c>
      <c r="F88" s="2" t="s">
        <v>70</v>
      </c>
      <c r="J88" s="105">
        <f t="shared" si="5"/>
        <v>22233.449619412015</v>
      </c>
      <c r="L88" s="96">
        <v>567</v>
      </c>
      <c r="M88" s="96">
        <v>7657.5424829805197</v>
      </c>
      <c r="N88" s="96">
        <v>7629.5901639344265</v>
      </c>
      <c r="O88" s="96">
        <v>292.79000000000002</v>
      </c>
      <c r="P88" s="96">
        <v>5831.2459584723765</v>
      </c>
      <c r="Q88" s="96">
        <v>255.28101402469241</v>
      </c>
      <c r="T88" s="2" t="s">
        <v>594</v>
      </c>
    </row>
    <row r="89" spans="1:22" x14ac:dyDescent="0.35">
      <c r="A89" s="206"/>
    </row>
    <row r="90" spans="1:22" ht="13" x14ac:dyDescent="0.35">
      <c r="A90" s="206"/>
      <c r="B90" s="1" t="s">
        <v>455</v>
      </c>
    </row>
    <row r="91" spans="1:22" x14ac:dyDescent="0.35">
      <c r="A91" s="206"/>
      <c r="B91" s="2" t="s">
        <v>456</v>
      </c>
      <c r="F91" s="2" t="s">
        <v>70</v>
      </c>
      <c r="J91" s="105">
        <f>SUM(L91:Q91)</f>
        <v>8661.5371398719089</v>
      </c>
      <c r="L91" s="96">
        <v>224</v>
      </c>
      <c r="M91" s="96">
        <v>2834.1414948832612</v>
      </c>
      <c r="N91" s="96">
        <v>3065.9424999999997</v>
      </c>
      <c r="O91" s="96">
        <v>118.19</v>
      </c>
      <c r="P91" s="96">
        <v>2319.1861111111111</v>
      </c>
      <c r="Q91" s="96">
        <v>100.07703387753756</v>
      </c>
      <c r="T91" s="2" t="s">
        <v>594</v>
      </c>
    </row>
    <row r="92" spans="1:22" x14ac:dyDescent="0.35">
      <c r="A92" s="206"/>
      <c r="B92" s="2" t="s">
        <v>457</v>
      </c>
      <c r="F92" s="2" t="s">
        <v>70</v>
      </c>
      <c r="J92" s="105">
        <f>SUM(L92:Q92)</f>
        <v>9312.1394569243221</v>
      </c>
      <c r="L92" s="96">
        <v>168</v>
      </c>
      <c r="M92" s="96">
        <v>2815.7821693701203</v>
      </c>
      <c r="N92" s="96">
        <v>3348.0050000000006</v>
      </c>
      <c r="O92" s="96">
        <v>114.85</v>
      </c>
      <c r="P92" s="96">
        <v>2703.42</v>
      </c>
      <c r="Q92" s="96">
        <v>162.08228755420211</v>
      </c>
      <c r="T92" s="2" t="s">
        <v>594</v>
      </c>
    </row>
    <row r="93" spans="1:22" x14ac:dyDescent="0.35">
      <c r="A93" s="206"/>
      <c r="B93" s="2" t="s">
        <v>458</v>
      </c>
      <c r="F93" s="2" t="s">
        <v>70</v>
      </c>
      <c r="J93" s="105">
        <f>SUM(L93:Q93)</f>
        <v>3819.641965170515</v>
      </c>
      <c r="L93" s="96">
        <v>51</v>
      </c>
      <c r="M93" s="96">
        <v>1230.0751023190448</v>
      </c>
      <c r="N93" s="96">
        <v>1191.5458333333331</v>
      </c>
      <c r="O93" s="96">
        <v>30</v>
      </c>
      <c r="P93" s="96">
        <v>1175.2683333333332</v>
      </c>
      <c r="Q93" s="96">
        <v>141.75269618480388</v>
      </c>
      <c r="T93" s="2" t="s">
        <v>594</v>
      </c>
    </row>
    <row r="94" spans="1:22" x14ac:dyDescent="0.35">
      <c r="A94" s="206"/>
      <c r="B94" s="2" t="s">
        <v>459</v>
      </c>
      <c r="F94" s="2" t="s">
        <v>70</v>
      </c>
      <c r="J94" s="105">
        <f>SUM(L94:Q94)</f>
        <v>1104.4109326783027</v>
      </c>
      <c r="L94" s="96">
        <v>28</v>
      </c>
      <c r="M94" s="96">
        <v>378.22844548713306</v>
      </c>
      <c r="N94" s="96">
        <v>347.10083333333336</v>
      </c>
      <c r="O94" s="96">
        <v>17</v>
      </c>
      <c r="P94" s="96">
        <v>262.70444444444445</v>
      </c>
      <c r="Q94" s="96">
        <v>71.37720941339191</v>
      </c>
      <c r="T94" s="2" t="s">
        <v>594</v>
      </c>
    </row>
    <row r="95" spans="1:22" x14ac:dyDescent="0.35">
      <c r="A95" s="206"/>
      <c r="B95" s="2" t="s">
        <v>460</v>
      </c>
      <c r="F95" s="2" t="s">
        <v>70</v>
      </c>
      <c r="J95" s="105">
        <f>SUM(L95:Q95)</f>
        <v>452.90033636309897</v>
      </c>
      <c r="L95" s="96">
        <v>11</v>
      </c>
      <c r="M95" s="96">
        <v>171.36761894859001</v>
      </c>
      <c r="N95" s="96">
        <v>69.162499999999994</v>
      </c>
      <c r="O95" s="96">
        <v>2</v>
      </c>
      <c r="P95" s="96">
        <v>187.18222222222224</v>
      </c>
      <c r="Q95" s="96">
        <v>12.187995192286733</v>
      </c>
      <c r="T95" s="2" t="s">
        <v>594</v>
      </c>
    </row>
    <row r="96" spans="1:22" x14ac:dyDescent="0.35">
      <c r="A96" s="206"/>
    </row>
    <row r="97" spans="1:20" ht="13" x14ac:dyDescent="0.35">
      <c r="A97" s="206"/>
      <c r="B97" s="1" t="s">
        <v>461</v>
      </c>
    </row>
    <row r="98" spans="1:20" x14ac:dyDescent="0.35">
      <c r="A98" s="206"/>
    </row>
    <row r="99" spans="1:20" x14ac:dyDescent="0.35">
      <c r="A99" s="206"/>
      <c r="B99" s="2" t="s">
        <v>462</v>
      </c>
      <c r="F99" s="2" t="s">
        <v>70</v>
      </c>
      <c r="J99" s="105">
        <f>SUM(L99:Q99)</f>
        <v>8199.6717625398232</v>
      </c>
      <c r="L99" s="96">
        <v>116</v>
      </c>
      <c r="M99" s="96">
        <v>2540.6497574222681</v>
      </c>
      <c r="N99" s="96">
        <v>2745.2133333333331</v>
      </c>
      <c r="O99" s="96">
        <v>89.566999999999993</v>
      </c>
      <c r="P99" s="96">
        <v>2021.7938584474889</v>
      </c>
      <c r="Q99" s="96">
        <v>686.44781333673347</v>
      </c>
      <c r="T99" s="2" t="s">
        <v>594</v>
      </c>
    </row>
    <row r="100" spans="1:20" x14ac:dyDescent="0.35">
      <c r="A100" s="206"/>
    </row>
    <row r="101" spans="1:20" ht="13" x14ac:dyDescent="0.35">
      <c r="A101" s="206"/>
      <c r="B101" s="1" t="s">
        <v>463</v>
      </c>
    </row>
    <row r="102" spans="1:20" x14ac:dyDescent="0.35">
      <c r="A102" s="206"/>
    </row>
    <row r="103" spans="1:20" x14ac:dyDescent="0.35">
      <c r="A103" s="206"/>
      <c r="B103" s="2" t="s">
        <v>464</v>
      </c>
      <c r="F103" s="2" t="s">
        <v>70</v>
      </c>
      <c r="J103" s="105">
        <f>SUM(L103:Q103)</f>
        <v>684674.67249999999</v>
      </c>
      <c r="L103" s="96">
        <v>21982</v>
      </c>
      <c r="M103" s="96"/>
      <c r="N103" s="96">
        <v>637427.17249999999</v>
      </c>
      <c r="O103" s="96">
        <v>25265.5</v>
      </c>
      <c r="P103" s="96"/>
      <c r="Q103" s="96"/>
      <c r="T103" s="2" t="s">
        <v>594</v>
      </c>
    </row>
    <row r="104" spans="1:20" x14ac:dyDescent="0.35">
      <c r="A104" s="206"/>
      <c r="B104" s="2" t="s">
        <v>465</v>
      </c>
      <c r="F104" s="2" t="s">
        <v>70</v>
      </c>
      <c r="J104" s="105">
        <f>SUM(L104:Q104)</f>
        <v>121851.77333333333</v>
      </c>
      <c r="L104" s="96">
        <v>6962</v>
      </c>
      <c r="M104" s="96"/>
      <c r="N104" s="96">
        <v>112035.65333333334</v>
      </c>
      <c r="O104" s="96">
        <v>2854.12</v>
      </c>
      <c r="P104" s="96"/>
      <c r="Q104" s="96"/>
      <c r="T104" s="2" t="s">
        <v>594</v>
      </c>
    </row>
    <row r="105" spans="1:20" x14ac:dyDescent="0.35">
      <c r="A105" s="206"/>
    </row>
    <row r="106" spans="1:20" x14ac:dyDescent="0.35">
      <c r="A106" s="206"/>
      <c r="B106" s="2" t="s">
        <v>466</v>
      </c>
      <c r="F106" s="2" t="s">
        <v>70</v>
      </c>
      <c r="J106" s="105">
        <f>SUM(L106:Q106)</f>
        <v>1705303.6236692944</v>
      </c>
      <c r="L106" s="96"/>
      <c r="M106" s="96">
        <v>745772.27735213307</v>
      </c>
      <c r="N106" s="96"/>
      <c r="O106" s="96"/>
      <c r="P106" s="96">
        <v>652103.8183446792</v>
      </c>
      <c r="Q106" s="96">
        <v>307427.5279724822</v>
      </c>
      <c r="T106" s="2" t="s">
        <v>594</v>
      </c>
    </row>
    <row r="108" spans="1:20" s="6" customFormat="1" ht="13" x14ac:dyDescent="0.35">
      <c r="B108" s="6" t="s">
        <v>467</v>
      </c>
    </row>
    <row r="110" spans="1:20" ht="13" x14ac:dyDescent="0.35">
      <c r="B110" s="26" t="s">
        <v>448</v>
      </c>
    </row>
    <row r="111" spans="1:20" x14ac:dyDescent="0.35">
      <c r="B111" s="2" t="s">
        <v>449</v>
      </c>
      <c r="F111" s="2" t="s">
        <v>70</v>
      </c>
      <c r="H111" s="156">
        <v>1.5</v>
      </c>
      <c r="T111" s="2" t="s">
        <v>594</v>
      </c>
    </row>
    <row r="112" spans="1:20" x14ac:dyDescent="0.35">
      <c r="B112" s="2" t="s">
        <v>450</v>
      </c>
      <c r="F112" s="2" t="s">
        <v>70</v>
      </c>
      <c r="H112" s="96">
        <v>3</v>
      </c>
      <c r="T112" s="2" t="s">
        <v>594</v>
      </c>
    </row>
    <row r="113" spans="2:20" x14ac:dyDescent="0.35">
      <c r="B113" s="2" t="s">
        <v>451</v>
      </c>
      <c r="F113" s="2" t="s">
        <v>70</v>
      </c>
      <c r="H113" s="96">
        <v>6</v>
      </c>
      <c r="T113" s="2" t="s">
        <v>594</v>
      </c>
    </row>
    <row r="114" spans="2:20" x14ac:dyDescent="0.35">
      <c r="B114" s="2" t="s">
        <v>452</v>
      </c>
      <c r="F114" s="2" t="s">
        <v>70</v>
      </c>
      <c r="H114" s="96">
        <v>10</v>
      </c>
      <c r="T114" s="2" t="s">
        <v>594</v>
      </c>
    </row>
    <row r="115" spans="2:20" x14ac:dyDescent="0.35">
      <c r="B115" s="2" t="s">
        <v>453</v>
      </c>
      <c r="F115" s="2" t="s">
        <v>70</v>
      </c>
      <c r="H115" s="96">
        <v>16</v>
      </c>
      <c r="T115" s="2" t="s">
        <v>594</v>
      </c>
    </row>
    <row r="116" spans="2:20" x14ac:dyDescent="0.35">
      <c r="B116" s="2" t="s">
        <v>454</v>
      </c>
      <c r="F116" s="2" t="s">
        <v>70</v>
      </c>
      <c r="H116" s="96">
        <v>25</v>
      </c>
      <c r="T116" s="2" t="s">
        <v>594</v>
      </c>
    </row>
    <row r="118" spans="2:20" ht="13" x14ac:dyDescent="0.35">
      <c r="B118" s="1" t="s">
        <v>455</v>
      </c>
    </row>
    <row r="119" spans="2:20" x14ac:dyDescent="0.35">
      <c r="B119" s="2" t="s">
        <v>456</v>
      </c>
      <c r="F119" s="2" t="s">
        <v>70</v>
      </c>
      <c r="H119" s="96">
        <v>40</v>
      </c>
      <c r="T119" s="2" t="s">
        <v>594</v>
      </c>
    </row>
    <row r="120" spans="2:20" x14ac:dyDescent="0.35">
      <c r="B120" s="2" t="s">
        <v>457</v>
      </c>
      <c r="F120" s="2" t="s">
        <v>70</v>
      </c>
      <c r="H120" s="96">
        <v>65</v>
      </c>
      <c r="T120" s="2" t="s">
        <v>594</v>
      </c>
    </row>
    <row r="121" spans="2:20" x14ac:dyDescent="0.35">
      <c r="B121" s="2" t="s">
        <v>458</v>
      </c>
      <c r="F121" s="2" t="s">
        <v>70</v>
      </c>
      <c r="H121" s="96">
        <v>100</v>
      </c>
      <c r="T121" s="2" t="s">
        <v>594</v>
      </c>
    </row>
    <row r="122" spans="2:20" x14ac:dyDescent="0.35">
      <c r="B122" s="2" t="s">
        <v>459</v>
      </c>
      <c r="F122" s="2" t="s">
        <v>70</v>
      </c>
      <c r="H122" s="96">
        <v>160</v>
      </c>
      <c r="T122" s="2" t="s">
        <v>594</v>
      </c>
    </row>
    <row r="123" spans="2:20" x14ac:dyDescent="0.35">
      <c r="B123" s="2" t="s">
        <v>460</v>
      </c>
      <c r="F123" s="2" t="s">
        <v>70</v>
      </c>
      <c r="H123" s="96">
        <v>250</v>
      </c>
      <c r="T123" s="2" t="s">
        <v>594</v>
      </c>
    </row>
    <row r="125" spans="2:20" s="6" customFormat="1" ht="13" x14ac:dyDescent="0.35">
      <c r="B125" s="6" t="s">
        <v>469</v>
      </c>
    </row>
    <row r="127" spans="2:20" ht="13" x14ac:dyDescent="0.35">
      <c r="B127" s="26" t="s">
        <v>190</v>
      </c>
    </row>
    <row r="128" spans="2:20" x14ac:dyDescent="0.35">
      <c r="B128" s="2" t="s">
        <v>470</v>
      </c>
      <c r="F128" s="2" t="s">
        <v>70</v>
      </c>
      <c r="H128" s="96">
        <v>17.99807557038752</v>
      </c>
      <c r="T128" s="2" t="s">
        <v>483</v>
      </c>
    </row>
    <row r="129" spans="2:20" x14ac:dyDescent="0.35">
      <c r="B129" s="2" t="s">
        <v>471</v>
      </c>
      <c r="F129" s="2" t="s">
        <v>70</v>
      </c>
      <c r="H129" s="96">
        <v>26.043085449153235</v>
      </c>
      <c r="T129" s="2" t="s">
        <v>478</v>
      </c>
    </row>
    <row r="131" spans="2:20" ht="13" x14ac:dyDescent="0.35">
      <c r="B131" s="26" t="s">
        <v>194</v>
      </c>
    </row>
    <row r="132" spans="2:20" x14ac:dyDescent="0.35">
      <c r="B132" s="2" t="s">
        <v>470</v>
      </c>
      <c r="F132" s="2" t="s">
        <v>70</v>
      </c>
      <c r="H132" s="96">
        <v>18</v>
      </c>
      <c r="T132" s="2" t="s">
        <v>479</v>
      </c>
    </row>
    <row r="133" spans="2:20" x14ac:dyDescent="0.35">
      <c r="B133" s="2" t="s">
        <v>471</v>
      </c>
      <c r="F133" s="2" t="s">
        <v>70</v>
      </c>
      <c r="H133" s="96">
        <v>25.909433727611123</v>
      </c>
      <c r="T133" s="2" t="s">
        <v>480</v>
      </c>
    </row>
    <row r="135" spans="2:20" ht="13" x14ac:dyDescent="0.35">
      <c r="B135" s="26" t="s">
        <v>195</v>
      </c>
    </row>
    <row r="136" spans="2:20" x14ac:dyDescent="0.35">
      <c r="B136" s="2" t="s">
        <v>470</v>
      </c>
      <c r="F136" s="2" t="s">
        <v>70</v>
      </c>
      <c r="H136" s="96">
        <v>747.293089917673</v>
      </c>
      <c r="T136" s="2" t="s">
        <v>481</v>
      </c>
    </row>
    <row r="137" spans="2:20" x14ac:dyDescent="0.35">
      <c r="B137" s="2" t="s">
        <v>472</v>
      </c>
      <c r="F137" s="2" t="s">
        <v>70</v>
      </c>
      <c r="H137" s="96">
        <v>21.965623005145261</v>
      </c>
      <c r="T137" s="2" t="s">
        <v>482</v>
      </c>
    </row>
  </sheetData>
  <mergeCells count="1">
    <mergeCell ref="B5:M5"/>
  </mergeCells>
  <phoneticPr fontId="6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701DA-CED1-43C0-A932-06D3EBDBA00B}">
  <sheetPr>
    <tabColor rgb="FFE1FFE1"/>
  </sheetPr>
  <dimension ref="B1:W37"/>
  <sheetViews>
    <sheetView showGridLines="0" zoomScale="85" zoomScaleNormal="85" workbookViewId="0">
      <pane xSplit="7" ySplit="9" topLeftCell="H10" activePane="bottomRight" state="frozen"/>
      <selection pane="topRight" activeCell="H1" sqref="H1"/>
      <selection pane="bottomLeft" activeCell="A8" sqref="A8"/>
      <selection pane="bottomRight" activeCell="H10" sqref="H10"/>
    </sheetView>
  </sheetViews>
  <sheetFormatPr defaultColWidth="9.26953125" defaultRowHeight="12.5" x14ac:dyDescent="0.35"/>
  <cols>
    <col min="1" max="1" width="4.54296875" style="260" customWidth="1"/>
    <col min="2" max="2" width="66.453125" style="260" customWidth="1"/>
    <col min="3" max="3" width="1.7265625" style="260" customWidth="1"/>
    <col min="4" max="4" width="14.54296875" style="260" customWidth="1"/>
    <col min="5" max="5" width="2.453125" style="260" customWidth="1"/>
    <col min="6" max="6" width="13" style="260" customWidth="1"/>
    <col min="7" max="8" width="2.453125" style="260" customWidth="1"/>
    <col min="9" max="9" width="13" style="260" bestFit="1" customWidth="1"/>
    <col min="10" max="10" width="2.453125" style="260" customWidth="1"/>
    <col min="11" max="11" width="14" style="260" bestFit="1" customWidth="1"/>
    <col min="12" max="12" width="2.54296875" style="260" customWidth="1"/>
    <col min="13" max="16" width="14" style="260" customWidth="1"/>
    <col min="17" max="17" width="18" style="260" customWidth="1"/>
    <col min="18" max="18" width="14" style="260" customWidth="1"/>
    <col min="19" max="20" width="2.453125" style="260" customWidth="1"/>
    <col min="21" max="21" width="73.7265625" style="260" bestFit="1" customWidth="1"/>
    <col min="22" max="16384" width="9.26953125" style="260"/>
  </cols>
  <sheetData>
    <row r="1" spans="2:23" s="2" customFormat="1" x14ac:dyDescent="0.35"/>
    <row r="2" spans="2:23" s="95" customFormat="1" ht="18" x14ac:dyDescent="0.35">
      <c r="B2" s="18" t="s">
        <v>723</v>
      </c>
    </row>
    <row r="3" spans="2:23" s="2" customFormat="1" x14ac:dyDescent="0.35"/>
    <row r="4" spans="2:23" s="2" customFormat="1" ht="13" x14ac:dyDescent="0.35">
      <c r="B4" s="1" t="s">
        <v>29</v>
      </c>
      <c r="C4" s="1"/>
      <c r="D4" s="1"/>
    </row>
    <row r="5" spans="2:23" s="2" customFormat="1" x14ac:dyDescent="0.35">
      <c r="B5" s="69" t="s">
        <v>866</v>
      </c>
      <c r="I5" s="19"/>
    </row>
    <row r="6" spans="2:23" s="2" customFormat="1" x14ac:dyDescent="0.35">
      <c r="B6" s="69" t="s">
        <v>867</v>
      </c>
      <c r="I6" s="19"/>
    </row>
    <row r="7" spans="2:23" s="2" customFormat="1" x14ac:dyDescent="0.35">
      <c r="B7" s="69"/>
      <c r="I7" s="19"/>
    </row>
    <row r="8" spans="2:23" s="6" customFormat="1" ht="13" x14ac:dyDescent="0.35">
      <c r="B8" s="6" t="s">
        <v>45</v>
      </c>
      <c r="D8" s="6" t="s">
        <v>730</v>
      </c>
      <c r="F8" s="6" t="s">
        <v>27</v>
      </c>
      <c r="I8" s="6" t="s">
        <v>28</v>
      </c>
      <c r="K8" s="6" t="s">
        <v>49</v>
      </c>
      <c r="M8" s="6" t="s">
        <v>88</v>
      </c>
      <c r="N8" s="6" t="s">
        <v>65</v>
      </c>
      <c r="O8" s="6" t="s">
        <v>66</v>
      </c>
      <c r="P8" s="6" t="s">
        <v>67</v>
      </c>
      <c r="Q8" s="6" t="s">
        <v>68</v>
      </c>
      <c r="R8" s="6" t="s">
        <v>69</v>
      </c>
      <c r="U8" s="6" t="s">
        <v>46</v>
      </c>
      <c r="W8" s="6" t="s">
        <v>47</v>
      </c>
    </row>
    <row r="9" spans="2:23" s="2" customFormat="1" x14ac:dyDescent="0.35"/>
    <row r="10" spans="2:23" s="2" customFormat="1" x14ac:dyDescent="0.35"/>
    <row r="11" spans="2:23" s="6" customFormat="1" ht="13" x14ac:dyDescent="0.35">
      <c r="B11" s="6" t="s">
        <v>724</v>
      </c>
    </row>
    <row r="13" spans="2:23" ht="13" x14ac:dyDescent="0.35">
      <c r="B13" s="148" t="s">
        <v>725</v>
      </c>
      <c r="K13" s="89"/>
    </row>
    <row r="14" spans="2:23" x14ac:dyDescent="0.35">
      <c r="B14" s="260" t="s">
        <v>129</v>
      </c>
      <c r="F14" s="260" t="s">
        <v>110</v>
      </c>
      <c r="M14" s="96">
        <v>22364849.838650633</v>
      </c>
      <c r="N14" s="96">
        <v>364778627.52034658</v>
      </c>
      <c r="O14" s="96">
        <v>395721843.36583602</v>
      </c>
      <c r="P14" s="96">
        <v>16383453.319744868</v>
      </c>
      <c r="Q14" s="96">
        <v>321623425.23223299</v>
      </c>
      <c r="R14" s="96">
        <v>18980681.998230651</v>
      </c>
      <c r="U14" s="260" t="s">
        <v>743</v>
      </c>
    </row>
    <row r="15" spans="2:23" x14ac:dyDescent="0.35">
      <c r="B15" s="260" t="s">
        <v>137</v>
      </c>
      <c r="F15" s="260" t="s">
        <v>136</v>
      </c>
      <c r="M15" s="96">
        <v>24576733.487693179</v>
      </c>
      <c r="N15" s="96">
        <v>400891711.64486086</v>
      </c>
      <c r="O15" s="96">
        <v>435056594.5964002</v>
      </c>
      <c r="P15" s="96">
        <v>18002138.507735662</v>
      </c>
      <c r="Q15" s="96">
        <v>353464144.33022404</v>
      </c>
      <c r="R15" s="96">
        <v>20821808.152059022</v>
      </c>
      <c r="U15" s="260" t="s">
        <v>745</v>
      </c>
    </row>
    <row r="16" spans="2:23" x14ac:dyDescent="0.35">
      <c r="B16" s="260" t="s">
        <v>177</v>
      </c>
      <c r="F16" s="260" t="s">
        <v>160</v>
      </c>
      <c r="M16" s="96">
        <v>24795466.415733647</v>
      </c>
      <c r="N16" s="96">
        <v>404499737.04966456</v>
      </c>
      <c r="O16" s="96">
        <v>439146126.5856064</v>
      </c>
      <c r="P16" s="96">
        <v>18160557.326603733</v>
      </c>
      <c r="Q16" s="96">
        <v>356645321.62919599</v>
      </c>
      <c r="R16" s="96">
        <v>20967560.809123434</v>
      </c>
      <c r="U16" s="260" t="s">
        <v>747</v>
      </c>
    </row>
    <row r="18" spans="2:23" ht="13" x14ac:dyDescent="0.35">
      <c r="B18" s="148" t="s">
        <v>726</v>
      </c>
    </row>
    <row r="19" spans="2:23" x14ac:dyDescent="0.35">
      <c r="B19" s="2" t="s">
        <v>729</v>
      </c>
      <c r="F19" s="260" t="s">
        <v>72</v>
      </c>
      <c r="M19" s="259">
        <v>0.75085338954503056</v>
      </c>
      <c r="N19" s="259">
        <v>0.74996913489254102</v>
      </c>
      <c r="O19" s="259">
        <v>0.73986901131257143</v>
      </c>
      <c r="P19" s="259">
        <v>0.75300924270873693</v>
      </c>
      <c r="Q19" s="259">
        <v>0.75019402539056568</v>
      </c>
      <c r="R19" s="259">
        <v>0.80444318983722551</v>
      </c>
      <c r="U19" s="260" t="s">
        <v>744</v>
      </c>
    </row>
    <row r="20" spans="2:23" x14ac:dyDescent="0.35">
      <c r="B20" s="2" t="s">
        <v>727</v>
      </c>
      <c r="F20" s="260" t="s">
        <v>72</v>
      </c>
      <c r="M20" s="259">
        <v>0.74236679947895268</v>
      </c>
      <c r="N20" s="259">
        <v>0.74148316280034643</v>
      </c>
      <c r="O20" s="259">
        <v>0.73116860181319177</v>
      </c>
      <c r="P20" s="259">
        <v>0.74458412761300519</v>
      </c>
      <c r="Q20" s="259">
        <v>0.74171198772573732</v>
      </c>
      <c r="R20" s="259">
        <v>0.79738241890007111</v>
      </c>
      <c r="U20" s="260" t="s">
        <v>746</v>
      </c>
    </row>
    <row r="21" spans="2:23" x14ac:dyDescent="0.35">
      <c r="B21" s="2" t="s">
        <v>728</v>
      </c>
      <c r="F21" s="260" t="s">
        <v>72</v>
      </c>
      <c r="M21" s="259">
        <v>0.73388020941287468</v>
      </c>
      <c r="N21" s="259">
        <v>0.73299719070815184</v>
      </c>
      <c r="O21" s="259">
        <v>0.72246819231381232</v>
      </c>
      <c r="P21" s="259">
        <v>0.73615901251727367</v>
      </c>
      <c r="Q21" s="259">
        <v>0.73322995006090896</v>
      </c>
      <c r="R21" s="259">
        <v>0.79032164796291671</v>
      </c>
      <c r="U21" s="260" t="s">
        <v>748</v>
      </c>
    </row>
    <row r="23" spans="2:23" ht="13" x14ac:dyDescent="0.35">
      <c r="B23" s="148" t="s">
        <v>731</v>
      </c>
    </row>
    <row r="24" spans="2:23" x14ac:dyDescent="0.35">
      <c r="B24" s="260" t="s">
        <v>741</v>
      </c>
      <c r="D24" s="2" t="s">
        <v>739</v>
      </c>
      <c r="F24" s="2" t="s">
        <v>105</v>
      </c>
      <c r="I24" s="96">
        <v>379815326.26128149</v>
      </c>
      <c r="U24" s="260" t="s">
        <v>749</v>
      </c>
      <c r="W24" s="260" t="s">
        <v>742</v>
      </c>
    </row>
    <row r="25" spans="2:23" x14ac:dyDescent="0.35">
      <c r="B25" s="260" t="s">
        <v>732</v>
      </c>
      <c r="D25" s="2" t="s">
        <v>739</v>
      </c>
      <c r="F25" s="2" t="s">
        <v>105</v>
      </c>
      <c r="I25" s="96">
        <v>662017154.33689165</v>
      </c>
      <c r="U25" s="260" t="s">
        <v>751</v>
      </c>
    </row>
    <row r="26" spans="2:23" x14ac:dyDescent="0.35">
      <c r="B26" s="260" t="s">
        <v>733</v>
      </c>
      <c r="D26" s="2" t="s">
        <v>739</v>
      </c>
      <c r="F26" s="2" t="s">
        <v>105</v>
      </c>
      <c r="I26" s="96">
        <v>837085846.22654307</v>
      </c>
      <c r="U26" s="260" t="s">
        <v>752</v>
      </c>
    </row>
    <row r="27" spans="2:23" x14ac:dyDescent="0.35">
      <c r="B27" s="260" t="s">
        <v>734</v>
      </c>
      <c r="D27" s="2" t="s">
        <v>739</v>
      </c>
      <c r="F27" s="2" t="s">
        <v>105</v>
      </c>
      <c r="I27" s="96">
        <v>859101389.19927979</v>
      </c>
      <c r="U27" s="260" t="s">
        <v>755</v>
      </c>
    </row>
    <row r="29" spans="2:23" ht="13" x14ac:dyDescent="0.35">
      <c r="B29" s="148" t="s">
        <v>735</v>
      </c>
    </row>
    <row r="30" spans="2:23" x14ac:dyDescent="0.35">
      <c r="B30" s="260" t="s">
        <v>741</v>
      </c>
      <c r="D30" s="2" t="s">
        <v>740</v>
      </c>
      <c r="F30" s="2" t="s">
        <v>117</v>
      </c>
      <c r="I30" s="96">
        <v>359796898.51298791</v>
      </c>
      <c r="U30" s="260" t="s">
        <v>750</v>
      </c>
      <c r="W30" s="260" t="s">
        <v>742</v>
      </c>
    </row>
    <row r="31" spans="2:23" x14ac:dyDescent="0.35">
      <c r="B31" s="260" t="s">
        <v>736</v>
      </c>
      <c r="D31" s="2" t="s">
        <v>740</v>
      </c>
      <c r="F31" s="2" t="s">
        <v>117</v>
      </c>
      <c r="I31" s="96">
        <v>693019858.85834277</v>
      </c>
      <c r="U31" s="264" t="s">
        <v>797</v>
      </c>
    </row>
    <row r="32" spans="2:23" x14ac:dyDescent="0.35">
      <c r="B32" s="260" t="s">
        <v>737</v>
      </c>
      <c r="D32" s="2" t="s">
        <v>740</v>
      </c>
      <c r="F32" s="2" t="s">
        <v>117</v>
      </c>
      <c r="I32" s="96">
        <v>776759237.39233088</v>
      </c>
      <c r="U32" s="260" t="s">
        <v>753</v>
      </c>
    </row>
    <row r="33" spans="2:21" x14ac:dyDescent="0.35">
      <c r="B33" s="260" t="s">
        <v>738</v>
      </c>
      <c r="D33" s="2" t="s">
        <v>740</v>
      </c>
      <c r="F33" s="2" t="s">
        <v>117</v>
      </c>
      <c r="I33" s="96">
        <v>798769874.44232631</v>
      </c>
      <c r="U33" s="260" t="s">
        <v>754</v>
      </c>
    </row>
    <row r="35" spans="2:21" ht="13" x14ac:dyDescent="0.35">
      <c r="B35" s="148" t="s">
        <v>756</v>
      </c>
    </row>
    <row r="36" spans="2:21" x14ac:dyDescent="0.35">
      <c r="B36" s="2" t="s">
        <v>757</v>
      </c>
      <c r="F36" s="260" t="s">
        <v>72</v>
      </c>
      <c r="I36" s="66">
        <v>2.5441281586564557E-3</v>
      </c>
      <c r="U36" s="260" t="s">
        <v>759</v>
      </c>
    </row>
    <row r="37" spans="2:21" x14ac:dyDescent="0.35">
      <c r="B37" s="2" t="s">
        <v>758</v>
      </c>
      <c r="F37" s="260" t="s">
        <v>72</v>
      </c>
      <c r="I37" s="259">
        <v>1.7999999999999999E-2</v>
      </c>
      <c r="U37" s="260" t="s">
        <v>760</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7AFE8-F1AC-4654-B2C5-8FF88E38D9BD}">
  <sheetPr>
    <tabColor rgb="FFE1FFE1"/>
  </sheetPr>
  <dimension ref="A1:X51"/>
  <sheetViews>
    <sheetView showGridLines="0" zoomScale="85" zoomScaleNormal="85" workbookViewId="0">
      <pane xSplit="6" ySplit="10" topLeftCell="G11" activePane="bottomRight" state="frozen"/>
      <selection pane="topRight" activeCell="G1" sqref="G1"/>
      <selection pane="bottomLeft" activeCell="A12" sqref="A12"/>
      <selection pane="bottomRight" activeCell="G11" sqref="G11"/>
    </sheetView>
  </sheetViews>
  <sheetFormatPr defaultColWidth="9.26953125" defaultRowHeight="12.5" x14ac:dyDescent="0.35"/>
  <cols>
    <col min="1" max="1" width="4.7265625" style="98" customWidth="1"/>
    <col min="2" max="2" width="58.26953125" style="98" customWidth="1"/>
    <col min="3" max="3" width="1.7265625" style="98" customWidth="1"/>
    <col min="4" max="4" width="2.54296875" style="98" customWidth="1"/>
    <col min="5" max="5" width="2.453125" style="98" customWidth="1"/>
    <col min="6" max="6" width="13" style="98" customWidth="1"/>
    <col min="7" max="7" width="2.453125" style="98" customWidth="1"/>
    <col min="8" max="8" width="11.453125" style="98" customWidth="1"/>
    <col min="9" max="9" width="2.453125" style="98" customWidth="1"/>
    <col min="10" max="10" width="14" style="98" bestFit="1" customWidth="1"/>
    <col min="11" max="11" width="2.54296875" style="98" customWidth="1"/>
    <col min="12" max="17" width="14" style="98" customWidth="1"/>
    <col min="18" max="18" width="2.453125" style="98" customWidth="1"/>
    <col min="19" max="19" width="21" style="98" customWidth="1"/>
    <col min="20" max="16384" width="9.26953125" style="98"/>
  </cols>
  <sheetData>
    <row r="1" spans="2:21" s="2" customFormat="1" x14ac:dyDescent="0.35"/>
    <row r="2" spans="2:21" s="95" customFormat="1" ht="18" x14ac:dyDescent="0.35">
      <c r="B2" s="18" t="s">
        <v>349</v>
      </c>
    </row>
    <row r="3" spans="2:21" s="2" customFormat="1" x14ac:dyDescent="0.35"/>
    <row r="4" spans="2:21" s="2" customFormat="1" ht="13" x14ac:dyDescent="0.35">
      <c r="B4" s="1" t="s">
        <v>29</v>
      </c>
      <c r="C4" s="1"/>
      <c r="D4" s="1"/>
    </row>
    <row r="5" spans="2:21" s="2" customFormat="1" ht="13" x14ac:dyDescent="0.35">
      <c r="B5" s="2" t="s">
        <v>350</v>
      </c>
      <c r="C5" s="1"/>
      <c r="D5" s="1"/>
    </row>
    <row r="6" spans="2:21" s="2" customFormat="1" x14ac:dyDescent="0.35">
      <c r="B6" s="2" t="s">
        <v>695</v>
      </c>
      <c r="H6" s="19"/>
    </row>
    <row r="7" spans="2:21" s="2" customFormat="1" x14ac:dyDescent="0.35">
      <c r="B7" s="69" t="s">
        <v>696</v>
      </c>
      <c r="H7" s="19"/>
    </row>
    <row r="8" spans="2:21" s="2" customFormat="1" x14ac:dyDescent="0.35">
      <c r="B8" s="69"/>
      <c r="H8" s="19"/>
    </row>
    <row r="9" spans="2:21" s="6" customFormat="1" ht="13" x14ac:dyDescent="0.35">
      <c r="B9" s="6" t="s">
        <v>45</v>
      </c>
      <c r="F9" s="6" t="s">
        <v>27</v>
      </c>
      <c r="H9" s="6" t="s">
        <v>28</v>
      </c>
      <c r="J9" s="6" t="s">
        <v>49</v>
      </c>
      <c r="L9" s="6" t="s">
        <v>88</v>
      </c>
      <c r="M9" s="6" t="s">
        <v>65</v>
      </c>
      <c r="N9" s="6" t="s">
        <v>66</v>
      </c>
      <c r="O9" s="6" t="s">
        <v>67</v>
      </c>
      <c r="P9" s="6" t="s">
        <v>68</v>
      </c>
      <c r="Q9" s="6" t="s">
        <v>69</v>
      </c>
      <c r="S9" s="6" t="s">
        <v>46</v>
      </c>
      <c r="U9" s="6" t="s">
        <v>47</v>
      </c>
    </row>
    <row r="10" spans="2:21" s="2" customFormat="1" x14ac:dyDescent="0.35"/>
    <row r="11" spans="2:21" s="2" customFormat="1" x14ac:dyDescent="0.35"/>
    <row r="12" spans="2:21" s="6" customFormat="1" ht="13" x14ac:dyDescent="0.35">
      <c r="B12" s="6" t="s">
        <v>351</v>
      </c>
    </row>
    <row r="13" spans="2:21" s="169" customFormat="1" x14ac:dyDescent="0.35"/>
    <row r="14" spans="2:21" s="201" customFormat="1" ht="13" x14ac:dyDescent="0.25">
      <c r="B14" s="45" t="s">
        <v>401</v>
      </c>
      <c r="C14" s="2"/>
      <c r="D14" s="2"/>
      <c r="E14" s="2"/>
      <c r="F14" s="202"/>
    </row>
    <row r="15" spans="2:21" s="201" customFormat="1" x14ac:dyDescent="0.25">
      <c r="B15" s="195" t="s">
        <v>424</v>
      </c>
      <c r="C15" s="2"/>
      <c r="D15" s="2"/>
      <c r="E15" s="2"/>
      <c r="F15" s="2" t="s">
        <v>230</v>
      </c>
      <c r="L15" s="96">
        <v>0</v>
      </c>
      <c r="M15" s="96">
        <v>0</v>
      </c>
      <c r="N15" s="96">
        <v>68136.289432364487</v>
      </c>
      <c r="O15" s="96">
        <v>0</v>
      </c>
      <c r="P15" s="96">
        <v>0</v>
      </c>
      <c r="Q15" s="96">
        <v>0</v>
      </c>
      <c r="S15" s="2" t="s">
        <v>402</v>
      </c>
    </row>
    <row r="16" spans="2:21" s="201" customFormat="1" x14ac:dyDescent="0.25">
      <c r="B16" s="195" t="s">
        <v>397</v>
      </c>
      <c r="C16" s="2"/>
      <c r="D16" s="2"/>
      <c r="E16" s="2"/>
      <c r="F16" s="2" t="s">
        <v>230</v>
      </c>
      <c r="L16" s="96">
        <v>296</v>
      </c>
      <c r="M16" s="96">
        <v>338341.48364207731</v>
      </c>
      <c r="N16" s="96">
        <v>3777.2212936876767</v>
      </c>
      <c r="O16" s="96">
        <v>0</v>
      </c>
      <c r="P16" s="96">
        <v>43906.519999999975</v>
      </c>
      <c r="Q16" s="96">
        <v>0</v>
      </c>
      <c r="S16" s="2" t="s">
        <v>402</v>
      </c>
    </row>
    <row r="17" spans="1:19" s="201" customFormat="1" x14ac:dyDescent="0.25">
      <c r="B17" s="195" t="s">
        <v>398</v>
      </c>
      <c r="C17" s="2"/>
      <c r="D17" s="2"/>
      <c r="E17" s="2"/>
      <c r="F17" s="2" t="s">
        <v>230</v>
      </c>
      <c r="L17" s="96">
        <v>226</v>
      </c>
      <c r="M17" s="96">
        <v>144761.03999999983</v>
      </c>
      <c r="N17" s="96">
        <v>23283.608117251351</v>
      </c>
      <c r="O17" s="96">
        <v>0</v>
      </c>
      <c r="P17" s="96">
        <v>199891.10999999993</v>
      </c>
      <c r="Q17" s="96">
        <v>0</v>
      </c>
      <c r="S17" s="2" t="s">
        <v>403</v>
      </c>
    </row>
    <row r="18" spans="1:19" s="201" customFormat="1" x14ac:dyDescent="0.35"/>
    <row r="19" spans="1:19" s="201" customFormat="1" ht="13" x14ac:dyDescent="0.25">
      <c r="B19" s="45" t="s">
        <v>400</v>
      </c>
      <c r="C19" s="2"/>
      <c r="D19" s="2"/>
      <c r="E19" s="2"/>
      <c r="F19" s="202"/>
    </row>
    <row r="20" spans="1:19" s="201" customFormat="1" x14ac:dyDescent="0.25">
      <c r="B20" s="195" t="s">
        <v>424</v>
      </c>
      <c r="C20" s="2"/>
      <c r="D20" s="2"/>
      <c r="E20" s="2"/>
      <c r="F20" s="2" t="s">
        <v>232</v>
      </c>
      <c r="L20" s="96">
        <v>0</v>
      </c>
      <c r="M20" s="96">
        <v>0</v>
      </c>
      <c r="N20" s="96">
        <v>92849.209494752635</v>
      </c>
      <c r="O20" s="96">
        <v>0</v>
      </c>
      <c r="P20" s="96">
        <v>0</v>
      </c>
      <c r="Q20" s="96">
        <v>0</v>
      </c>
      <c r="S20" s="2" t="s">
        <v>404</v>
      </c>
    </row>
    <row r="21" spans="1:19" s="201" customFormat="1" x14ac:dyDescent="0.25">
      <c r="B21" s="195" t="s">
        <v>397</v>
      </c>
      <c r="C21" s="2"/>
      <c r="D21" s="2"/>
      <c r="E21" s="2"/>
      <c r="F21" s="2" t="s">
        <v>232</v>
      </c>
      <c r="L21" s="96">
        <v>0</v>
      </c>
      <c r="M21" s="96">
        <v>361441.53088511043</v>
      </c>
      <c r="N21" s="96">
        <v>6508.8589675875764</v>
      </c>
      <c r="O21" s="96">
        <v>0</v>
      </c>
      <c r="P21" s="96">
        <v>47285.129999999961</v>
      </c>
      <c r="Q21" s="96">
        <v>0</v>
      </c>
      <c r="S21" s="2" t="s">
        <v>404</v>
      </c>
    </row>
    <row r="22" spans="1:19" s="201" customFormat="1" x14ac:dyDescent="0.25">
      <c r="B22" s="195" t="s">
        <v>398</v>
      </c>
      <c r="C22" s="2"/>
      <c r="D22" s="2"/>
      <c r="E22" s="2"/>
      <c r="F22" s="2" t="s">
        <v>232</v>
      </c>
      <c r="L22" s="96">
        <v>0</v>
      </c>
      <c r="M22" s="96">
        <v>231231.12999999998</v>
      </c>
      <c r="N22" s="96">
        <v>35900.116539833398</v>
      </c>
      <c r="O22" s="96">
        <v>192.68</v>
      </c>
      <c r="P22" s="96">
        <v>195001.82000000004</v>
      </c>
      <c r="Q22" s="96">
        <v>0</v>
      </c>
      <c r="S22" s="2" t="s">
        <v>405</v>
      </c>
    </row>
    <row r="23" spans="1:19" s="201" customFormat="1" x14ac:dyDescent="0.35"/>
    <row r="24" spans="1:19" s="201" customFormat="1" ht="13" x14ac:dyDescent="0.25">
      <c r="B24" s="45" t="s">
        <v>399</v>
      </c>
      <c r="C24" s="2"/>
      <c r="D24" s="2"/>
      <c r="E24" s="2"/>
      <c r="F24" s="202"/>
    </row>
    <row r="25" spans="1:19" s="201" customFormat="1" x14ac:dyDescent="0.25">
      <c r="B25" s="195" t="s">
        <v>424</v>
      </c>
      <c r="C25" s="2"/>
      <c r="D25" s="2"/>
      <c r="E25" s="2"/>
      <c r="F25" s="2" t="s">
        <v>96</v>
      </c>
      <c r="L25" s="96">
        <v>0</v>
      </c>
      <c r="M25" s="96">
        <v>0</v>
      </c>
      <c r="N25" s="96">
        <v>338993.16779187752</v>
      </c>
      <c r="O25" s="96">
        <v>1102.6199999999999</v>
      </c>
      <c r="P25" s="96">
        <v>92621.01999999999</v>
      </c>
      <c r="Q25" s="96">
        <v>0</v>
      </c>
      <c r="S25" s="2" t="s">
        <v>406</v>
      </c>
    </row>
    <row r="26" spans="1:19" s="201" customFormat="1" x14ac:dyDescent="0.25">
      <c r="B26" s="195" t="s">
        <v>397</v>
      </c>
      <c r="C26" s="2"/>
      <c r="D26" s="2"/>
      <c r="E26" s="2"/>
      <c r="F26" s="2" t="s">
        <v>96</v>
      </c>
      <c r="L26" s="96">
        <v>0</v>
      </c>
      <c r="M26" s="96">
        <v>283505.3120024883</v>
      </c>
      <c r="N26" s="96">
        <v>6453.9323930081655</v>
      </c>
      <c r="O26" s="96">
        <v>0</v>
      </c>
      <c r="P26" s="96">
        <v>53221.710000000006</v>
      </c>
      <c r="Q26" s="96">
        <v>0</v>
      </c>
      <c r="S26" s="2" t="s">
        <v>406</v>
      </c>
    </row>
    <row r="27" spans="1:19" s="201" customFormat="1" x14ac:dyDescent="0.25">
      <c r="B27" s="195" t="s">
        <v>398</v>
      </c>
      <c r="C27" s="2"/>
      <c r="D27" s="2"/>
      <c r="E27" s="2"/>
      <c r="F27" s="2" t="s">
        <v>96</v>
      </c>
      <c r="L27" s="96">
        <v>0</v>
      </c>
      <c r="M27" s="96">
        <v>106459.13000000048</v>
      </c>
      <c r="N27" s="96">
        <v>111990.89633615169</v>
      </c>
      <c r="O27" s="96">
        <v>56.71</v>
      </c>
      <c r="P27" s="96">
        <v>151533.64000000019</v>
      </c>
      <c r="Q27" s="96">
        <v>0</v>
      </c>
      <c r="S27" s="2" t="s">
        <v>407</v>
      </c>
    </row>
    <row r="28" spans="1:19" s="201" customFormat="1" x14ac:dyDescent="0.35"/>
    <row r="29" spans="1:19" s="2" customFormat="1" ht="13" x14ac:dyDescent="0.35">
      <c r="B29" s="1" t="s">
        <v>395</v>
      </c>
      <c r="M29" s="83"/>
      <c r="N29" s="83"/>
      <c r="O29" s="83"/>
      <c r="P29" s="83"/>
      <c r="Q29" s="83"/>
    </row>
    <row r="30" spans="1:19" s="2" customFormat="1" x14ac:dyDescent="0.35">
      <c r="A30" s="203"/>
      <c r="B30" s="2" t="s">
        <v>352</v>
      </c>
      <c r="F30" s="2" t="s">
        <v>105</v>
      </c>
      <c r="L30" s="96">
        <v>387578.53175849176</v>
      </c>
      <c r="M30" s="96">
        <v>6967906.6656788541</v>
      </c>
      <c r="N30" s="96">
        <v>7257609.7463143384</v>
      </c>
      <c r="O30" s="96">
        <v>294041.30620461947</v>
      </c>
      <c r="P30" s="96">
        <v>6073955.0590023557</v>
      </c>
      <c r="Q30" s="96">
        <v>1034437.6159310647</v>
      </c>
      <c r="S30" s="2" t="s">
        <v>425</v>
      </c>
    </row>
    <row r="31" spans="1:19" s="2" customFormat="1" x14ac:dyDescent="0.25">
      <c r="A31" s="206"/>
      <c r="B31" s="87"/>
      <c r="F31" s="166"/>
      <c r="J31" s="89"/>
      <c r="L31" s="97"/>
      <c r="M31" s="97"/>
      <c r="N31" s="97"/>
      <c r="O31" s="97"/>
      <c r="P31" s="97"/>
      <c r="Q31" s="97"/>
    </row>
    <row r="32" spans="1:19" s="2" customFormat="1" ht="13" x14ac:dyDescent="0.25">
      <c r="A32" s="206"/>
      <c r="B32" s="45" t="s">
        <v>598</v>
      </c>
      <c r="F32" s="202"/>
      <c r="J32" s="89"/>
      <c r="L32" s="97"/>
      <c r="M32" s="97"/>
      <c r="N32" s="97"/>
      <c r="O32" s="97"/>
      <c r="P32" s="97"/>
      <c r="Q32" s="97"/>
    </row>
    <row r="33" spans="1:24" s="2" customFormat="1" x14ac:dyDescent="0.35">
      <c r="A33" s="206"/>
      <c r="B33" s="2" t="s">
        <v>351</v>
      </c>
      <c r="F33" s="2" t="s">
        <v>160</v>
      </c>
      <c r="J33" s="89"/>
      <c r="L33" s="96">
        <v>-297693</v>
      </c>
      <c r="M33" s="96">
        <v>14408584.739999998</v>
      </c>
      <c r="N33" s="96">
        <v>21696317.940000005</v>
      </c>
      <c r="O33" s="96">
        <v>89889.51</v>
      </c>
      <c r="P33" s="96">
        <v>25494868.190000001</v>
      </c>
      <c r="Q33" s="96">
        <v>3918850.03</v>
      </c>
      <c r="S33" s="2" t="s">
        <v>601</v>
      </c>
      <c r="X33" s="19"/>
    </row>
    <row r="34" spans="1:24" s="2" customFormat="1" x14ac:dyDescent="0.25">
      <c r="A34" s="206"/>
      <c r="B34" s="195" t="s">
        <v>424</v>
      </c>
      <c r="F34" s="2" t="s">
        <v>160</v>
      </c>
      <c r="J34" s="89"/>
      <c r="L34" s="96">
        <v>51041</v>
      </c>
      <c r="M34" s="96">
        <v>2269385.9500000002</v>
      </c>
      <c r="N34" s="96">
        <v>5035085.2059859838</v>
      </c>
      <c r="O34" s="96">
        <v>23931.61</v>
      </c>
      <c r="P34" s="96">
        <v>5238779.5254198248</v>
      </c>
      <c r="Q34" s="96">
        <v>0</v>
      </c>
      <c r="S34" s="2" t="s">
        <v>602</v>
      </c>
    </row>
    <row r="35" spans="1:24" s="2" customFormat="1" x14ac:dyDescent="0.25">
      <c r="A35" s="206"/>
      <c r="B35" s="195" t="s">
        <v>397</v>
      </c>
      <c r="F35" s="2" t="s">
        <v>160</v>
      </c>
      <c r="J35" s="89"/>
      <c r="L35" s="96">
        <v>0</v>
      </c>
      <c r="M35" s="96">
        <v>199208.48933688481</v>
      </c>
      <c r="N35" s="96">
        <v>3228.5025552474003</v>
      </c>
      <c r="O35" s="96">
        <v>0</v>
      </c>
      <c r="P35" s="96">
        <v>14172.279999999993</v>
      </c>
      <c r="Q35" s="96">
        <v>0</v>
      </c>
      <c r="S35" s="2" t="s">
        <v>602</v>
      </c>
    </row>
    <row r="36" spans="1:24" s="2" customFormat="1" x14ac:dyDescent="0.25">
      <c r="A36" s="206"/>
      <c r="B36" s="195" t="s">
        <v>398</v>
      </c>
      <c r="F36" s="2" t="s">
        <v>160</v>
      </c>
      <c r="J36" s="89"/>
      <c r="L36" s="96">
        <v>6930</v>
      </c>
      <c r="M36" s="96">
        <v>325226.75</v>
      </c>
      <c r="N36" s="96">
        <v>422957.09741068271</v>
      </c>
      <c r="O36" s="96">
        <v>0</v>
      </c>
      <c r="P36" s="96">
        <v>547158.08999999601</v>
      </c>
      <c r="Q36" s="96">
        <v>0</v>
      </c>
      <c r="S36" s="2" t="s">
        <v>603</v>
      </c>
    </row>
    <row r="37" spans="1:24" s="2" customFormat="1" x14ac:dyDescent="0.25">
      <c r="A37" s="206"/>
      <c r="B37" s="87"/>
      <c r="F37" s="166"/>
      <c r="J37" s="89"/>
      <c r="L37" s="97"/>
      <c r="M37" s="97"/>
      <c r="N37" s="97"/>
      <c r="O37" s="97"/>
      <c r="P37" s="97"/>
      <c r="Q37" s="97"/>
    </row>
    <row r="38" spans="1:24" s="2" customFormat="1" x14ac:dyDescent="0.35">
      <c r="A38" s="206"/>
      <c r="B38" s="87" t="s">
        <v>599</v>
      </c>
      <c r="F38" s="2" t="s">
        <v>160</v>
      </c>
      <c r="L38" s="182"/>
      <c r="M38" s="96">
        <v>5263003.9506905992</v>
      </c>
      <c r="N38" s="96">
        <v>9209111.7490670923</v>
      </c>
      <c r="O38" s="182"/>
      <c r="P38" s="96">
        <v>6222131.1476470418</v>
      </c>
      <c r="Q38" s="96">
        <v>1632037.259899134</v>
      </c>
      <c r="S38" s="2" t="s">
        <v>600</v>
      </c>
    </row>
    <row r="39" spans="1:24" s="2" customFormat="1" x14ac:dyDescent="0.35">
      <c r="A39" s="206"/>
      <c r="B39" s="87"/>
      <c r="J39" s="167"/>
      <c r="K39" s="78"/>
      <c r="L39" s="168"/>
      <c r="M39" s="168"/>
      <c r="N39" s="168"/>
      <c r="O39" s="168"/>
      <c r="P39" s="168"/>
      <c r="Q39" s="168"/>
    </row>
    <row r="40" spans="1:24" s="6" customFormat="1" ht="13" x14ac:dyDescent="0.35">
      <c r="B40" s="6" t="s">
        <v>353</v>
      </c>
    </row>
    <row r="41" spans="1:24" s="78" customFormat="1" ht="12" customHeight="1" x14ac:dyDescent="0.25">
      <c r="A41" s="2"/>
      <c r="B41" s="87"/>
      <c r="F41" s="166"/>
      <c r="J41" s="89"/>
      <c r="K41" s="2"/>
      <c r="L41" s="97"/>
      <c r="M41" s="97"/>
      <c r="N41" s="97"/>
      <c r="O41" s="97"/>
      <c r="P41" s="97"/>
      <c r="Q41" s="97"/>
      <c r="S41" s="2"/>
    </row>
    <row r="42" spans="1:24" s="78" customFormat="1" x14ac:dyDescent="0.35">
      <c r="A42" s="203"/>
      <c r="B42" s="87" t="s">
        <v>354</v>
      </c>
      <c r="F42" s="2" t="s">
        <v>70</v>
      </c>
      <c r="J42" s="89"/>
      <c r="K42" s="2"/>
      <c r="L42" s="96">
        <v>16401680.494385676</v>
      </c>
      <c r="M42" s="96">
        <v>266533758.56356135</v>
      </c>
      <c r="N42" s="96">
        <v>285455588.10709691</v>
      </c>
      <c r="O42" s="96">
        <v>12040239.024494292</v>
      </c>
      <c r="P42" s="96">
        <v>235138144.63941851</v>
      </c>
      <c r="Q42" s="96">
        <v>14228771.512728186</v>
      </c>
      <c r="S42" s="2" t="s">
        <v>426</v>
      </c>
    </row>
    <row r="43" spans="1:24" s="78" customFormat="1" x14ac:dyDescent="0.35">
      <c r="A43" s="203"/>
      <c r="B43" s="87" t="s">
        <v>484</v>
      </c>
      <c r="F43" s="2" t="s">
        <v>70</v>
      </c>
      <c r="J43" s="89"/>
      <c r="K43" s="89"/>
      <c r="L43" s="96">
        <v>16378191.921518842</v>
      </c>
      <c r="M43" s="96">
        <v>266309125.89958686</v>
      </c>
      <c r="N43" s="96">
        <v>285253178.05322069</v>
      </c>
      <c r="O43" s="96">
        <v>11960708.825466996</v>
      </c>
      <c r="P43" s="96">
        <v>235054769.69438812</v>
      </c>
      <c r="Q43" s="96">
        <v>14216353.026773611</v>
      </c>
      <c r="R43" s="89"/>
      <c r="S43" s="170" t="s">
        <v>485</v>
      </c>
    </row>
    <row r="44" spans="1:24" s="78" customFormat="1" x14ac:dyDescent="0.35">
      <c r="A44" s="203"/>
      <c r="B44" s="87"/>
      <c r="F44" s="2"/>
      <c r="J44" s="89"/>
      <c r="K44" s="89"/>
      <c r="L44" s="89"/>
      <c r="M44" s="89"/>
      <c r="N44" s="89"/>
      <c r="O44" s="89"/>
      <c r="P44" s="89"/>
      <c r="Q44" s="89"/>
      <c r="R44" s="89"/>
      <c r="S44" s="204"/>
    </row>
    <row r="45" spans="1:24" s="203" customFormat="1" x14ac:dyDescent="0.35">
      <c r="B45" s="2" t="s">
        <v>412</v>
      </c>
      <c r="F45" s="203" t="s">
        <v>72</v>
      </c>
      <c r="H45" s="133">
        <v>-7.5913637800173505E-4</v>
      </c>
      <c r="S45" s="2" t="s">
        <v>411</v>
      </c>
    </row>
    <row r="46" spans="1:24" s="203" customFormat="1" x14ac:dyDescent="0.35">
      <c r="B46" s="2"/>
      <c r="W46" s="2"/>
    </row>
    <row r="47" spans="1:24" s="170" customFormat="1" ht="12" customHeight="1" x14ac:dyDescent="0.35">
      <c r="A47" s="203"/>
      <c r="B47" s="231" t="s">
        <v>609</v>
      </c>
      <c r="F47" s="170" t="s">
        <v>72</v>
      </c>
      <c r="H47" s="171">
        <v>0.75</v>
      </c>
      <c r="J47" s="89"/>
      <c r="V47" s="112"/>
    </row>
    <row r="48" spans="1:24" s="169" customFormat="1" x14ac:dyDescent="0.35">
      <c r="J48" s="89"/>
    </row>
    <row r="49" s="169" customFormat="1" x14ac:dyDescent="0.35"/>
    <row r="50" s="169" customFormat="1" x14ac:dyDescent="0.35"/>
    <row r="51" s="169" customFormat="1" x14ac:dyDescent="0.35"/>
  </sheetData>
  <phoneticPr fontId="66" type="noConversion"/>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DCD56-8395-46F8-8F5F-2075D305BC90}">
  <sheetPr>
    <tabColor rgb="FFE1FFE1"/>
  </sheetPr>
  <dimension ref="A1:AB54"/>
  <sheetViews>
    <sheetView showGridLines="0" zoomScale="85" zoomScaleNormal="85" workbookViewId="0">
      <pane xSplit="6" ySplit="12" topLeftCell="G13" activePane="bottomRight" state="frozen"/>
      <selection activeCell="Q27" sqref="Q27"/>
      <selection pane="topRight" activeCell="Q27" sqref="Q27"/>
      <selection pane="bottomLeft" activeCell="Q27" sqref="Q27"/>
      <selection pane="bottomRight" activeCell="G13" sqref="G13"/>
    </sheetView>
  </sheetViews>
  <sheetFormatPr defaultColWidth="9.26953125" defaultRowHeight="12.5" x14ac:dyDescent="0.35"/>
  <cols>
    <col min="1" max="1" width="4.7265625" style="129" customWidth="1"/>
    <col min="2" max="2" width="58.26953125" style="129" customWidth="1"/>
    <col min="3" max="3" width="1.7265625" style="129" customWidth="1"/>
    <col min="4" max="4" width="2.54296875" style="129" customWidth="1"/>
    <col min="5" max="5" width="2.453125" style="129" customWidth="1"/>
    <col min="6" max="6" width="13" style="129" customWidth="1"/>
    <col min="7" max="7" width="2.453125" style="129" customWidth="1"/>
    <col min="8" max="8" width="11.453125" style="129" customWidth="1"/>
    <col min="9" max="9" width="2.453125" style="129" customWidth="1"/>
    <col min="10" max="10" width="14" style="129" bestFit="1" customWidth="1"/>
    <col min="11" max="11" width="2.54296875" style="129" customWidth="1"/>
    <col min="12" max="12" width="14" style="129" customWidth="1"/>
    <col min="13" max="14" width="14.7265625" style="129" bestFit="1" customWidth="1"/>
    <col min="15" max="15" width="14" style="129" customWidth="1"/>
    <col min="16" max="16" width="14.7265625" style="129" bestFit="1" customWidth="1"/>
    <col min="17" max="17" width="14" style="129" customWidth="1"/>
    <col min="18" max="18" width="2.453125" style="129" customWidth="1"/>
    <col min="19" max="19" width="14" style="129" customWidth="1"/>
    <col min="20" max="20" width="2.453125" style="129" customWidth="1"/>
    <col min="21" max="21" width="15.7265625" style="129" customWidth="1"/>
    <col min="22" max="22" width="2.453125" style="129" customWidth="1"/>
    <col min="23" max="16384" width="9.26953125" style="129"/>
  </cols>
  <sheetData>
    <row r="1" spans="2:25" s="2" customFormat="1" x14ac:dyDescent="0.35"/>
    <row r="2" spans="2:25" s="95" customFormat="1" ht="18" x14ac:dyDescent="0.35">
      <c r="B2" s="18" t="s">
        <v>796</v>
      </c>
    </row>
    <row r="3" spans="2:25" s="2" customFormat="1" x14ac:dyDescent="0.35"/>
    <row r="4" spans="2:25" s="2" customFormat="1" ht="13" x14ac:dyDescent="0.35">
      <c r="B4" s="1" t="s">
        <v>29</v>
      </c>
      <c r="C4" s="1"/>
      <c r="D4" s="1"/>
    </row>
    <row r="5" spans="2:25" s="2" customFormat="1" ht="13" x14ac:dyDescent="0.25">
      <c r="B5" s="39" t="s">
        <v>621</v>
      </c>
      <c r="C5" s="1"/>
      <c r="D5" s="1"/>
    </row>
    <row r="6" spans="2:25" s="2" customFormat="1" ht="13" x14ac:dyDescent="0.25">
      <c r="B6" s="39" t="s">
        <v>622</v>
      </c>
      <c r="C6" s="1"/>
      <c r="D6" s="1"/>
    </row>
    <row r="7" spans="2:25" s="2" customFormat="1" ht="13" x14ac:dyDescent="0.25">
      <c r="B7" s="39"/>
      <c r="C7" s="1"/>
      <c r="D7" s="1"/>
    </row>
    <row r="8" spans="2:25" s="2" customFormat="1" ht="13" x14ac:dyDescent="0.35">
      <c r="B8" s="4" t="s">
        <v>162</v>
      </c>
      <c r="C8" s="1"/>
      <c r="D8" s="1"/>
    </row>
    <row r="9" spans="2:25" s="2" customFormat="1" ht="13" x14ac:dyDescent="0.25">
      <c r="B9" s="39" t="s">
        <v>391</v>
      </c>
      <c r="C9" s="1"/>
      <c r="D9" s="1"/>
    </row>
    <row r="10" spans="2:25" s="2" customFormat="1" x14ac:dyDescent="0.35"/>
    <row r="11" spans="2:25" s="6" customFormat="1" ht="13" x14ac:dyDescent="0.35">
      <c r="B11" s="6" t="s">
        <v>45</v>
      </c>
      <c r="F11" s="6" t="s">
        <v>27</v>
      </c>
      <c r="H11" s="6" t="s">
        <v>28</v>
      </c>
      <c r="J11" s="6" t="s">
        <v>49</v>
      </c>
      <c r="L11" s="6" t="s">
        <v>88</v>
      </c>
      <c r="M11" s="6" t="s">
        <v>65</v>
      </c>
      <c r="N11" s="6" t="s">
        <v>66</v>
      </c>
      <c r="O11" s="6" t="s">
        <v>67</v>
      </c>
      <c r="P11" s="6" t="s">
        <v>68</v>
      </c>
      <c r="Q11" s="6" t="s">
        <v>69</v>
      </c>
      <c r="S11" s="6" t="s">
        <v>64</v>
      </c>
      <c r="U11" s="6" t="s">
        <v>239</v>
      </c>
      <c r="W11" s="6" t="s">
        <v>46</v>
      </c>
      <c r="Y11" s="6" t="s">
        <v>47</v>
      </c>
    </row>
    <row r="12" spans="2:25" s="2" customFormat="1" x14ac:dyDescent="0.35"/>
    <row r="13" spans="2:25" s="2" customFormat="1" x14ac:dyDescent="0.35"/>
    <row r="14" spans="2:25" s="6" customFormat="1" ht="13" x14ac:dyDescent="0.35">
      <c r="B14" s="6" t="s">
        <v>228</v>
      </c>
    </row>
    <row r="16" spans="2:25" ht="13" x14ac:dyDescent="0.35">
      <c r="B16" s="130" t="s">
        <v>240</v>
      </c>
    </row>
    <row r="17" spans="2:23" x14ac:dyDescent="0.25">
      <c r="B17" s="131" t="s">
        <v>229</v>
      </c>
      <c r="F17" s="131" t="s">
        <v>230</v>
      </c>
      <c r="K17" s="2"/>
      <c r="L17" s="65">
        <v>30652480.316061754</v>
      </c>
      <c r="M17" s="65">
        <v>394254915.4142642</v>
      </c>
      <c r="N17" s="65">
        <v>474872325.14985597</v>
      </c>
      <c r="O17" s="65">
        <v>13550831.825132813</v>
      </c>
      <c r="P17" s="65">
        <v>523512609.75456166</v>
      </c>
      <c r="Q17" s="65">
        <v>4445816.9122776175</v>
      </c>
      <c r="R17" s="2"/>
      <c r="S17" s="65">
        <v>23909206.87880842</v>
      </c>
      <c r="T17" s="2"/>
      <c r="W17" s="2" t="s">
        <v>263</v>
      </c>
    </row>
    <row r="18" spans="2:23" x14ac:dyDescent="0.25">
      <c r="B18" s="131" t="s">
        <v>231</v>
      </c>
      <c r="F18" s="131" t="s">
        <v>232</v>
      </c>
      <c r="K18" s="2"/>
      <c r="L18" s="65">
        <v>32381728.118142974</v>
      </c>
      <c r="M18" s="65">
        <v>430824188.62226701</v>
      </c>
      <c r="N18" s="65">
        <v>498196289.91242325</v>
      </c>
      <c r="O18" s="65">
        <v>13877279.674869154</v>
      </c>
      <c r="P18" s="65">
        <v>553547665.17372274</v>
      </c>
      <c r="Q18" s="65">
        <v>5306249.0338292299</v>
      </c>
      <c r="R18" s="2"/>
      <c r="S18" s="65">
        <v>26571132.509465653</v>
      </c>
      <c r="T18" s="2"/>
      <c r="W18" s="2" t="s">
        <v>264</v>
      </c>
    </row>
    <row r="19" spans="2:23" x14ac:dyDescent="0.25">
      <c r="B19" s="129" t="s">
        <v>233</v>
      </c>
      <c r="F19" s="131" t="s">
        <v>96</v>
      </c>
      <c r="K19" s="2"/>
      <c r="L19" s="65">
        <v>33655137.099942259</v>
      </c>
      <c r="M19" s="65">
        <v>470682349.42935896</v>
      </c>
      <c r="N19" s="65">
        <v>515359430.54450917</v>
      </c>
      <c r="O19" s="65">
        <v>14509438.926430915</v>
      </c>
      <c r="P19" s="65">
        <v>584621308.46684813</v>
      </c>
      <c r="Q19" s="65">
        <v>6144622.2314581117</v>
      </c>
      <c r="R19" s="2"/>
      <c r="S19" s="65">
        <v>27870432.564941615</v>
      </c>
      <c r="T19" s="2"/>
      <c r="W19" s="2" t="s">
        <v>265</v>
      </c>
    </row>
    <row r="20" spans="2:23" x14ac:dyDescent="0.35">
      <c r="W20" s="2"/>
    </row>
    <row r="21" spans="2:23" ht="13" x14ac:dyDescent="0.35">
      <c r="B21" s="130" t="s">
        <v>241</v>
      </c>
    </row>
    <row r="22" spans="2:23" x14ac:dyDescent="0.25">
      <c r="B22" s="131" t="s">
        <v>229</v>
      </c>
      <c r="F22" s="131" t="s">
        <v>230</v>
      </c>
      <c r="K22" s="2"/>
      <c r="L22" s="65">
        <v>88606458.440240785</v>
      </c>
      <c r="M22" s="65">
        <v>2031930430.9568429</v>
      </c>
      <c r="N22" s="65">
        <v>2192572173.8942842</v>
      </c>
      <c r="O22" s="65">
        <v>134235076.96486095</v>
      </c>
      <c r="P22" s="65">
        <v>1599840013.6930697</v>
      </c>
      <c r="Q22" s="65">
        <v>114950789.67042841</v>
      </c>
      <c r="R22" s="2"/>
      <c r="S22" s="65">
        <v>133331815.58543745</v>
      </c>
      <c r="T22" s="2"/>
      <c r="U22" s="65">
        <v>136082375.25258124</v>
      </c>
      <c r="W22" s="2" t="s">
        <v>266</v>
      </c>
    </row>
    <row r="23" spans="2:23" x14ac:dyDescent="0.25">
      <c r="B23" s="131" t="s">
        <v>231</v>
      </c>
      <c r="F23" s="131" t="s">
        <v>232</v>
      </c>
      <c r="K23" s="2"/>
      <c r="L23" s="65">
        <v>87159418.324196801</v>
      </c>
      <c r="M23" s="65">
        <v>2125583728.4493718</v>
      </c>
      <c r="N23" s="65">
        <v>2208864039.1738081</v>
      </c>
      <c r="O23" s="65">
        <v>131656865.26070504</v>
      </c>
      <c r="P23" s="65">
        <v>1642805785.3970008</v>
      </c>
      <c r="Q23" s="65">
        <v>114564740.14767645</v>
      </c>
      <c r="R23" s="2"/>
      <c r="S23" s="65">
        <v>137813406.4031584</v>
      </c>
      <c r="T23" s="2"/>
      <c r="U23" s="65">
        <v>133674859.88588828</v>
      </c>
      <c r="W23" s="2" t="s">
        <v>267</v>
      </c>
    </row>
    <row r="24" spans="2:23" x14ac:dyDescent="0.25">
      <c r="B24" s="129" t="s">
        <v>233</v>
      </c>
      <c r="F24" s="131" t="s">
        <v>96</v>
      </c>
      <c r="K24" s="2"/>
      <c r="L24" s="65">
        <v>85929787.491672069</v>
      </c>
      <c r="M24" s="65">
        <v>2227267699.5519772</v>
      </c>
      <c r="N24" s="65">
        <v>2242584564.1130085</v>
      </c>
      <c r="O24" s="65">
        <v>130593520.99825928</v>
      </c>
      <c r="P24" s="65">
        <v>1670805630.1382911</v>
      </c>
      <c r="Q24" s="65">
        <v>112196988.28063172</v>
      </c>
      <c r="R24" s="2"/>
      <c r="S24" s="65">
        <v>139065836.12812001</v>
      </c>
      <c r="T24" s="2"/>
      <c r="U24" s="178"/>
      <c r="W24" s="2" t="s">
        <v>268</v>
      </c>
    </row>
    <row r="26" spans="2:23" s="6" customFormat="1" ht="13" x14ac:dyDescent="0.35">
      <c r="B26" s="6" t="s">
        <v>186</v>
      </c>
    </row>
    <row r="28" spans="2:23" ht="13" x14ac:dyDescent="0.35">
      <c r="B28" s="1" t="s">
        <v>234</v>
      </c>
    </row>
    <row r="29" spans="2:23" x14ac:dyDescent="0.35">
      <c r="B29" s="2" t="s">
        <v>242</v>
      </c>
      <c r="F29" s="129" t="s">
        <v>72</v>
      </c>
      <c r="H29" s="133">
        <v>3.4000000000000002E-2</v>
      </c>
      <c r="W29" s="2" t="s">
        <v>269</v>
      </c>
    </row>
    <row r="30" spans="2:23" x14ac:dyDescent="0.35">
      <c r="B30" s="2" t="s">
        <v>243</v>
      </c>
      <c r="F30" s="129" t="s">
        <v>72</v>
      </c>
      <c r="H30" s="133">
        <v>3.6999999999999998E-2</v>
      </c>
      <c r="W30" s="2" t="s">
        <v>270</v>
      </c>
    </row>
    <row r="31" spans="2:23" x14ac:dyDescent="0.35">
      <c r="B31" s="2"/>
    </row>
    <row r="32" spans="2:23" ht="13" x14ac:dyDescent="0.35">
      <c r="B32" s="1" t="s">
        <v>235</v>
      </c>
    </row>
    <row r="33" spans="1:28" x14ac:dyDescent="0.35">
      <c r="A33" s="257"/>
      <c r="B33" s="2" t="s">
        <v>623</v>
      </c>
      <c r="F33" s="129" t="s">
        <v>72</v>
      </c>
      <c r="H33" s="133">
        <v>0.05</v>
      </c>
      <c r="W33" s="258" t="s">
        <v>707</v>
      </c>
      <c r="AB33" s="240"/>
    </row>
    <row r="34" spans="1:28" x14ac:dyDescent="0.35">
      <c r="B34" s="2"/>
      <c r="H34" s="205"/>
    </row>
    <row r="35" spans="1:28" ht="13" x14ac:dyDescent="0.35">
      <c r="B35" s="1" t="s">
        <v>244</v>
      </c>
    </row>
    <row r="36" spans="1:28" x14ac:dyDescent="0.35">
      <c r="B36" s="2" t="s">
        <v>236</v>
      </c>
      <c r="F36" s="129" t="s">
        <v>72</v>
      </c>
      <c r="H36" s="133">
        <v>-3.6868648042002516E-2</v>
      </c>
      <c r="W36" s="2" t="s">
        <v>276</v>
      </c>
    </row>
    <row r="37" spans="1:28" x14ac:dyDescent="0.35">
      <c r="B37" s="2" t="s">
        <v>237</v>
      </c>
      <c r="F37" s="129" t="s">
        <v>72</v>
      </c>
      <c r="H37" s="133">
        <v>-3.1175556579387642E-2</v>
      </c>
      <c r="W37" s="2" t="s">
        <v>277</v>
      </c>
    </row>
    <row r="38" spans="1:28" x14ac:dyDescent="0.35">
      <c r="B38" s="2"/>
      <c r="H38" s="200"/>
    </row>
    <row r="39" spans="1:28" ht="13" x14ac:dyDescent="0.35">
      <c r="B39" s="1" t="s">
        <v>245</v>
      </c>
      <c r="H39" s="200"/>
    </row>
    <row r="40" spans="1:28" x14ac:dyDescent="0.35">
      <c r="B40" s="2" t="s">
        <v>236</v>
      </c>
      <c r="F40" s="129" t="s">
        <v>72</v>
      </c>
      <c r="H40" s="133">
        <v>-7.5913637800173461E-4</v>
      </c>
      <c r="W40" s="2" t="s">
        <v>278</v>
      </c>
    </row>
    <row r="41" spans="1:28" x14ac:dyDescent="0.35">
      <c r="B41" s="2" t="s">
        <v>237</v>
      </c>
      <c r="F41" s="129" t="s">
        <v>72</v>
      </c>
      <c r="H41" s="133">
        <v>2.5444272186812E-3</v>
      </c>
      <c r="W41" s="2" t="s">
        <v>279</v>
      </c>
    </row>
    <row r="42" spans="1:28" x14ac:dyDescent="0.35">
      <c r="B42" s="2"/>
    </row>
    <row r="43" spans="1:28" s="2" customFormat="1" x14ac:dyDescent="0.35">
      <c r="A43" s="129"/>
      <c r="B43" s="2" t="s">
        <v>238</v>
      </c>
      <c r="F43" s="2" t="s">
        <v>72</v>
      </c>
      <c r="H43" s="133">
        <v>1.7999999999999999E-2</v>
      </c>
      <c r="W43" s="2" t="s">
        <v>271</v>
      </c>
    </row>
    <row r="44" spans="1:28" x14ac:dyDescent="0.35">
      <c r="B44" s="2"/>
    </row>
    <row r="45" spans="1:28" ht="13" x14ac:dyDescent="0.35">
      <c r="B45" s="1" t="s">
        <v>199</v>
      </c>
    </row>
    <row r="46" spans="1:28" x14ac:dyDescent="0.35">
      <c r="B46" s="87" t="s">
        <v>248</v>
      </c>
      <c r="F46" s="129" t="s">
        <v>70</v>
      </c>
      <c r="J46" s="105">
        <f>SUM(L46:Q46)</f>
        <v>264524640.82615989</v>
      </c>
      <c r="K46" s="2"/>
      <c r="L46" s="96">
        <v>5120838.4661773751</v>
      </c>
      <c r="M46" s="96">
        <v>83821433.468037471</v>
      </c>
      <c r="N46" s="96">
        <v>94615610.206328645</v>
      </c>
      <c r="O46" s="96">
        <v>3719013.8211027142</v>
      </c>
      <c r="P46" s="96">
        <v>73837318.031333953</v>
      </c>
      <c r="Q46" s="96">
        <v>3410426.8331797407</v>
      </c>
      <c r="W46" s="2" t="s">
        <v>274</v>
      </c>
    </row>
    <row r="47" spans="1:28" x14ac:dyDescent="0.35">
      <c r="B47" s="87" t="s">
        <v>247</v>
      </c>
      <c r="F47" s="129" t="s">
        <v>70</v>
      </c>
      <c r="J47" s="105">
        <f>SUM(L47:Q47)</f>
        <v>280366757.95199353</v>
      </c>
      <c r="K47" s="2"/>
      <c r="L47" s="96">
        <v>5505982.2846343154</v>
      </c>
      <c r="M47" s="96">
        <v>89278102.858918875</v>
      </c>
      <c r="N47" s="96">
        <v>99477334.853988722</v>
      </c>
      <c r="O47" s="96">
        <v>3971361.9924819255</v>
      </c>
      <c r="P47" s="96">
        <v>78559150.739823759</v>
      </c>
      <c r="Q47" s="96">
        <v>3574825.2221459462</v>
      </c>
      <c r="W47" s="2" t="s">
        <v>275</v>
      </c>
    </row>
    <row r="48" spans="1:28" ht="12" customHeight="1" x14ac:dyDescent="0.35">
      <c r="B48" s="87" t="s">
        <v>246</v>
      </c>
      <c r="F48" s="129" t="s">
        <v>70</v>
      </c>
      <c r="J48" s="105">
        <f>SUM(L48:Q48)</f>
        <v>829798182.34168494</v>
      </c>
      <c r="K48" s="2"/>
      <c r="L48" s="96">
        <v>16401680.494385676</v>
      </c>
      <c r="M48" s="96">
        <v>266533758.56356135</v>
      </c>
      <c r="N48" s="96">
        <v>285455588.10709691</v>
      </c>
      <c r="O48" s="96">
        <v>12040239.024494292</v>
      </c>
      <c r="P48" s="96">
        <v>235138144.63941851</v>
      </c>
      <c r="Q48" s="96">
        <v>14228771.512728186</v>
      </c>
      <c r="W48" s="2" t="s">
        <v>273</v>
      </c>
    </row>
    <row r="54" spans="21:21" x14ac:dyDescent="0.35">
      <c r="U54" s="144" t="s">
        <v>272</v>
      </c>
    </row>
  </sheetData>
  <phoneticPr fontId="66"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8B803-1F1D-45C6-B26C-35CCBC874DEC}">
  <sheetPr>
    <tabColor rgb="FFE1FFE1"/>
  </sheetPr>
  <dimension ref="A1:U39"/>
  <sheetViews>
    <sheetView showGridLines="0" zoomScale="85" zoomScaleNormal="85" workbookViewId="0">
      <pane xSplit="6" ySplit="16" topLeftCell="G17" activePane="bottomRight" state="frozen"/>
      <selection activeCell="Q27" sqref="Q27"/>
      <selection pane="topRight" activeCell="Q27" sqref="Q27"/>
      <selection pane="bottomLeft" activeCell="Q27" sqref="Q27"/>
      <selection pane="bottomRight" activeCell="G17" sqref="G17"/>
    </sheetView>
  </sheetViews>
  <sheetFormatPr defaultColWidth="9.26953125" defaultRowHeight="12.5" x14ac:dyDescent="0.35"/>
  <cols>
    <col min="1" max="1" width="4.7265625" style="98" customWidth="1"/>
    <col min="2" max="2" width="58.26953125" style="98" customWidth="1"/>
    <col min="3" max="3" width="1.7265625" style="98" customWidth="1"/>
    <col min="4" max="4" width="2.54296875" style="98" customWidth="1"/>
    <col min="5" max="5" width="2.453125" style="98" customWidth="1"/>
    <col min="6" max="6" width="13" style="98" customWidth="1"/>
    <col min="7" max="7" width="2.453125" style="98" customWidth="1"/>
    <col min="8" max="8" width="11.453125" style="98" customWidth="1"/>
    <col min="9" max="9" width="2.453125" style="98" customWidth="1"/>
    <col min="10" max="10" width="14" style="98" bestFit="1" customWidth="1"/>
    <col min="11" max="11" width="2.54296875" style="98" customWidth="1"/>
    <col min="12" max="17" width="14" style="98" customWidth="1"/>
    <col min="18" max="18" width="2.453125" style="98" customWidth="1"/>
    <col min="19" max="16384" width="9.26953125" style="98"/>
  </cols>
  <sheetData>
    <row r="1" spans="2:21" s="2" customFormat="1" x14ac:dyDescent="0.35"/>
    <row r="2" spans="2:21" s="95" customFormat="1" ht="18" x14ac:dyDescent="0.35">
      <c r="B2" s="18" t="s">
        <v>175</v>
      </c>
    </row>
    <row r="3" spans="2:21" s="2" customFormat="1" x14ac:dyDescent="0.35"/>
    <row r="4" spans="2:21" s="2" customFormat="1" ht="13" x14ac:dyDescent="0.35">
      <c r="B4" s="1" t="s">
        <v>29</v>
      </c>
      <c r="C4" s="1"/>
      <c r="D4" s="1"/>
    </row>
    <row r="5" spans="2:21" s="2" customFormat="1" ht="13" x14ac:dyDescent="0.35">
      <c r="B5" s="2" t="s">
        <v>488</v>
      </c>
      <c r="C5" s="1"/>
      <c r="D5" s="1"/>
    </row>
    <row r="6" spans="2:21" s="2" customFormat="1" x14ac:dyDescent="0.35">
      <c r="B6" s="2" t="s">
        <v>489</v>
      </c>
      <c r="H6" s="19"/>
    </row>
    <row r="7" spans="2:21" s="2" customFormat="1" x14ac:dyDescent="0.35">
      <c r="B7" s="62"/>
      <c r="H7" s="19"/>
    </row>
    <row r="8" spans="2:21" s="2" customFormat="1" x14ac:dyDescent="0.35">
      <c r="B8" s="2" t="s">
        <v>647</v>
      </c>
      <c r="H8" s="19"/>
    </row>
    <row r="9" spans="2:21" s="2" customFormat="1" x14ac:dyDescent="0.35">
      <c r="B9" s="62"/>
      <c r="H9" s="19"/>
    </row>
    <row r="10" spans="2:21" s="2" customFormat="1" x14ac:dyDescent="0.35">
      <c r="B10" s="62" t="s">
        <v>290</v>
      </c>
      <c r="H10" s="19"/>
    </row>
    <row r="11" spans="2:21" s="2" customFormat="1" x14ac:dyDescent="0.35">
      <c r="B11" s="62" t="s">
        <v>345</v>
      </c>
      <c r="H11" s="19"/>
    </row>
    <row r="12" spans="2:21" s="2" customFormat="1" x14ac:dyDescent="0.35">
      <c r="B12" s="62" t="s">
        <v>292</v>
      </c>
      <c r="H12" s="19"/>
    </row>
    <row r="13" spans="2:21" s="2" customFormat="1" x14ac:dyDescent="0.35">
      <c r="B13" s="62" t="s">
        <v>291</v>
      </c>
      <c r="H13" s="19"/>
    </row>
    <row r="14" spans="2:21" s="2" customFormat="1" x14ac:dyDescent="0.35">
      <c r="B14" s="62"/>
      <c r="H14" s="19"/>
    </row>
    <row r="15" spans="2:21" s="6" customFormat="1" ht="13" x14ac:dyDescent="0.35">
      <c r="B15" s="6" t="s">
        <v>45</v>
      </c>
      <c r="F15" s="6" t="s">
        <v>27</v>
      </c>
      <c r="H15" s="6" t="s">
        <v>28</v>
      </c>
      <c r="J15" s="6" t="s">
        <v>49</v>
      </c>
      <c r="L15" s="6" t="s">
        <v>88</v>
      </c>
      <c r="M15" s="6" t="s">
        <v>65</v>
      </c>
      <c r="N15" s="6" t="s">
        <v>66</v>
      </c>
      <c r="O15" s="6" t="s">
        <v>67</v>
      </c>
      <c r="P15" s="6" t="s">
        <v>68</v>
      </c>
      <c r="Q15" s="6" t="s">
        <v>69</v>
      </c>
      <c r="S15" s="6" t="s">
        <v>46</v>
      </c>
      <c r="U15" s="6" t="s">
        <v>47</v>
      </c>
    </row>
    <row r="16" spans="2:21" s="2" customFormat="1" x14ac:dyDescent="0.35"/>
    <row r="17" spans="1:19" s="2" customFormat="1" x14ac:dyDescent="0.35"/>
    <row r="18" spans="1:19" s="6" customFormat="1" ht="13" x14ac:dyDescent="0.35">
      <c r="B18" s="6" t="s">
        <v>206</v>
      </c>
    </row>
    <row r="19" spans="1:19" s="2" customFormat="1" x14ac:dyDescent="0.35"/>
    <row r="20" spans="1:19" s="2" customFormat="1" x14ac:dyDescent="0.35">
      <c r="B20" s="2" t="s">
        <v>190</v>
      </c>
      <c r="F20" s="2" t="s">
        <v>70</v>
      </c>
      <c r="J20" s="114">
        <f>SUM(L20:Q20)</f>
        <v>25</v>
      </c>
      <c r="L20" s="96">
        <v>0</v>
      </c>
      <c r="M20" s="96">
        <v>0</v>
      </c>
      <c r="N20" s="96">
        <v>0</v>
      </c>
      <c r="O20" s="96">
        <v>0</v>
      </c>
      <c r="P20" s="96">
        <v>25</v>
      </c>
      <c r="Q20" s="96">
        <v>0</v>
      </c>
      <c r="S20" s="2" t="s">
        <v>420</v>
      </c>
    </row>
    <row r="21" spans="1:19" s="2" customFormat="1" x14ac:dyDescent="0.35">
      <c r="B21" s="2" t="s">
        <v>219</v>
      </c>
      <c r="F21" s="2" t="s">
        <v>70</v>
      </c>
      <c r="J21" s="114">
        <f>SUM(L21:Q21)</f>
        <v>23.333333333333332</v>
      </c>
      <c r="L21" s="96">
        <v>0</v>
      </c>
      <c r="M21" s="96">
        <v>0</v>
      </c>
      <c r="N21" s="96">
        <v>23.333333333333332</v>
      </c>
      <c r="O21" s="96">
        <v>0</v>
      </c>
      <c r="P21" s="96">
        <v>0</v>
      </c>
      <c r="Q21" s="96">
        <v>0</v>
      </c>
      <c r="S21" s="2" t="s">
        <v>421</v>
      </c>
    </row>
    <row r="22" spans="1:19" s="2" customFormat="1" x14ac:dyDescent="0.35">
      <c r="B22" s="2" t="s">
        <v>220</v>
      </c>
      <c r="F22" s="2" t="s">
        <v>70</v>
      </c>
      <c r="J22" s="114">
        <f>SUM(L22:Q22)</f>
        <v>28435.309574131996</v>
      </c>
      <c r="L22" s="96">
        <v>1069.3333333333333</v>
      </c>
      <c r="M22" s="96">
        <v>10226.555555555555</v>
      </c>
      <c r="N22" s="96">
        <v>9187.3333333333339</v>
      </c>
      <c r="O22" s="96">
        <v>3620.6666666666665</v>
      </c>
      <c r="P22" s="96">
        <v>3766.0606245853473</v>
      </c>
      <c r="Q22" s="96">
        <v>565.36006065775757</v>
      </c>
      <c r="S22" s="2" t="s">
        <v>422</v>
      </c>
    </row>
    <row r="23" spans="1:19" s="2" customFormat="1" x14ac:dyDescent="0.35">
      <c r="L23" s="113"/>
      <c r="M23" s="113"/>
      <c r="N23" s="113"/>
      <c r="O23" s="113"/>
      <c r="P23" s="113"/>
      <c r="Q23" s="113"/>
      <c r="R23" s="113"/>
    </row>
    <row r="24" spans="1:19" s="6" customFormat="1" ht="13" x14ac:dyDescent="0.35">
      <c r="B24" s="6" t="s">
        <v>438</v>
      </c>
    </row>
    <row r="25" spans="1:19" x14ac:dyDescent="0.35">
      <c r="A25" s="210"/>
    </row>
    <row r="26" spans="1:19" x14ac:dyDescent="0.25">
      <c r="A26" s="210"/>
      <c r="B26" s="2" t="s">
        <v>190</v>
      </c>
      <c r="F26" s="98" t="s">
        <v>70</v>
      </c>
      <c r="J26" s="114">
        <f>SUM(L26:Q26)</f>
        <v>25</v>
      </c>
      <c r="L26" s="96">
        <v>0</v>
      </c>
      <c r="M26" s="96">
        <v>0</v>
      </c>
      <c r="N26" s="96">
        <v>0</v>
      </c>
      <c r="O26" s="96">
        <v>0</v>
      </c>
      <c r="P26" s="96">
        <v>25</v>
      </c>
      <c r="Q26" s="96">
        <v>0</v>
      </c>
      <c r="S26" s="120" t="s">
        <v>642</v>
      </c>
    </row>
    <row r="27" spans="1:19" x14ac:dyDescent="0.25">
      <c r="A27" s="210"/>
      <c r="B27" s="2" t="s">
        <v>219</v>
      </c>
      <c r="F27" s="98" t="s">
        <v>70</v>
      </c>
      <c r="J27" s="114">
        <f>SUM(L27:Q27)</f>
        <v>0</v>
      </c>
      <c r="L27" s="96">
        <v>0</v>
      </c>
      <c r="M27" s="96">
        <v>0</v>
      </c>
      <c r="N27" s="96">
        <v>0</v>
      </c>
      <c r="O27" s="96">
        <v>0</v>
      </c>
      <c r="P27" s="96">
        <v>0</v>
      </c>
      <c r="Q27" s="96">
        <v>0</v>
      </c>
      <c r="S27" s="120" t="s">
        <v>643</v>
      </c>
    </row>
    <row r="28" spans="1:19" x14ac:dyDescent="0.25">
      <c r="A28" s="210"/>
      <c r="B28" s="2" t="s">
        <v>220</v>
      </c>
      <c r="F28" s="98" t="s">
        <v>70</v>
      </c>
      <c r="J28" s="114">
        <f>SUM(L28:Q28)</f>
        <v>53840.837289138472</v>
      </c>
      <c r="L28" s="96">
        <v>4460</v>
      </c>
      <c r="M28" s="96">
        <v>21609.252700000001</v>
      </c>
      <c r="N28" s="96">
        <v>17674</v>
      </c>
      <c r="O28" s="96">
        <v>4565</v>
      </c>
      <c r="P28" s="96">
        <v>4785.9539380153547</v>
      </c>
      <c r="Q28" s="96">
        <v>746.63065112311631</v>
      </c>
      <c r="S28" s="120" t="s">
        <v>644</v>
      </c>
    </row>
    <row r="30" spans="1:19" s="6" customFormat="1" ht="13" x14ac:dyDescent="0.35">
      <c r="B30" s="6" t="s">
        <v>439</v>
      </c>
    </row>
    <row r="31" spans="1:19" x14ac:dyDescent="0.35">
      <c r="A31" s="210"/>
    </row>
    <row r="32" spans="1:19" s="2" customFormat="1" x14ac:dyDescent="0.35">
      <c r="A32" s="210"/>
      <c r="B32" s="2" t="s">
        <v>190</v>
      </c>
      <c r="F32" s="98" t="s">
        <v>193</v>
      </c>
      <c r="H32" s="110">
        <v>29.574175433735139</v>
      </c>
      <c r="L32" s="113"/>
      <c r="M32" s="113"/>
      <c r="N32" s="113"/>
      <c r="O32" s="113"/>
      <c r="P32" s="113"/>
      <c r="Q32" s="113"/>
      <c r="R32" s="113"/>
      <c r="S32" s="235" t="s">
        <v>640</v>
      </c>
    </row>
    <row r="33" spans="1:19" s="2" customFormat="1" x14ac:dyDescent="0.35">
      <c r="A33" s="210"/>
      <c r="B33" s="2" t="s">
        <v>219</v>
      </c>
      <c r="F33" s="98" t="s">
        <v>193</v>
      </c>
      <c r="H33" s="110">
        <v>29.422402347261787</v>
      </c>
      <c r="L33" s="113"/>
      <c r="M33" s="113"/>
      <c r="N33" s="113"/>
      <c r="O33" s="113"/>
      <c r="P33" s="113"/>
      <c r="Q33" s="113"/>
      <c r="R33" s="113"/>
      <c r="S33" s="235" t="s">
        <v>641</v>
      </c>
    </row>
    <row r="34" spans="1:19" s="2" customFormat="1" x14ac:dyDescent="0.35">
      <c r="A34" s="210"/>
      <c r="B34" s="2" t="s">
        <v>221</v>
      </c>
      <c r="F34" s="98" t="s">
        <v>193</v>
      </c>
      <c r="H34" s="110">
        <v>24.943864256551674</v>
      </c>
      <c r="L34" s="113"/>
      <c r="M34" s="113"/>
      <c r="N34" s="113"/>
      <c r="O34" s="113"/>
      <c r="P34" s="113"/>
      <c r="Q34" s="113"/>
      <c r="R34" s="113"/>
      <c r="S34" s="235" t="s">
        <v>645</v>
      </c>
    </row>
    <row r="36" spans="1:19" s="6" customFormat="1" ht="13" x14ac:dyDescent="0.35">
      <c r="B36" s="6" t="s">
        <v>196</v>
      </c>
    </row>
    <row r="37" spans="1:19" x14ac:dyDescent="0.35">
      <c r="A37" s="210"/>
    </row>
    <row r="38" spans="1:19" x14ac:dyDescent="0.35">
      <c r="A38" s="210"/>
      <c r="B38" s="2" t="s">
        <v>196</v>
      </c>
      <c r="F38" s="235" t="s">
        <v>160</v>
      </c>
      <c r="J38" s="114">
        <f>SUM(L38:Q38)</f>
        <v>-55416.6997649716</v>
      </c>
      <c r="L38" s="96">
        <v>-1954.2443401205801</v>
      </c>
      <c r="M38" s="96">
        <v>-21056.117774024053</v>
      </c>
      <c r="N38" s="96">
        <v>-17056.218908828298</v>
      </c>
      <c r="O38" s="96">
        <v>-7118.0444961067406</v>
      </c>
      <c r="P38" s="96">
        <v>-7607.3488287502942</v>
      </c>
      <c r="Q38" s="96">
        <v>-624.72541714163617</v>
      </c>
      <c r="S38" s="235" t="s">
        <v>646</v>
      </c>
    </row>
    <row r="39" spans="1:19" x14ac:dyDescent="0.35">
      <c r="A39" s="210"/>
    </row>
  </sheetData>
  <phoneticPr fontId="66"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B18E2-825B-4453-A438-A8331D0EC598}">
  <sheetPr>
    <tabColor rgb="FFE1FFE1"/>
  </sheetPr>
  <dimension ref="B2:U107"/>
  <sheetViews>
    <sheetView showGridLines="0" zoomScale="85" zoomScaleNormal="85" workbookViewId="0">
      <pane xSplit="6" ySplit="8" topLeftCell="G9" activePane="bottomRight" state="frozen"/>
      <selection activeCell="R103" sqref="Q90:R103"/>
      <selection pane="topRight" activeCell="R103" sqref="Q90:R103"/>
      <selection pane="bottomLeft" activeCell="R103" sqref="Q90:R103"/>
      <selection pane="bottomRight" activeCell="G9" sqref="G9"/>
    </sheetView>
  </sheetViews>
  <sheetFormatPr defaultColWidth="9.26953125" defaultRowHeight="12.75" customHeight="1" x14ac:dyDescent="0.35"/>
  <cols>
    <col min="1" max="1" width="4" style="2" customWidth="1"/>
    <col min="2" max="2" width="18.453125" style="2" customWidth="1"/>
    <col min="3" max="3" width="17.54296875" style="2" bestFit="1" customWidth="1"/>
    <col min="4" max="4" width="15" style="2" bestFit="1" customWidth="1"/>
    <col min="5" max="5" width="42.453125" style="2" bestFit="1" customWidth="1"/>
    <col min="6" max="6" width="9.54296875" style="2" customWidth="1"/>
    <col min="7" max="7" width="21.7265625" style="2" customWidth="1"/>
    <col min="8" max="8" width="14.26953125" style="2" customWidth="1"/>
    <col min="9" max="9" width="12.54296875" style="2" customWidth="1"/>
    <col min="10" max="10" width="19.7265625" style="2" customWidth="1"/>
    <col min="11" max="11" width="16.7265625" style="2" customWidth="1"/>
    <col min="12" max="12" width="12.54296875" style="30" customWidth="1"/>
    <col min="13" max="14" width="13" style="30" bestFit="1" customWidth="1"/>
    <col min="15" max="15" width="18.453125" style="30" customWidth="1"/>
    <col min="16" max="16" width="13" style="30" bestFit="1" customWidth="1"/>
    <col min="17" max="17" width="20.7265625" style="30" bestFit="1" customWidth="1"/>
    <col min="18" max="18" width="19.26953125" style="2" customWidth="1"/>
    <col min="19" max="19" width="21.26953125" style="2" customWidth="1"/>
    <col min="20" max="20" width="2.7265625" style="2" customWidth="1"/>
    <col min="21" max="34" width="13.7265625" style="2" customWidth="1"/>
    <col min="35" max="16384" width="9.26953125" style="2"/>
  </cols>
  <sheetData>
    <row r="2" spans="2:17" s="18" customFormat="1" ht="18" x14ac:dyDescent="0.35">
      <c r="B2" s="18" t="s">
        <v>341</v>
      </c>
      <c r="L2" s="29"/>
      <c r="M2" s="29"/>
      <c r="N2" s="29"/>
      <c r="O2" s="29"/>
      <c r="P2" s="29"/>
      <c r="Q2" s="29"/>
    </row>
    <row r="4" spans="2:17" ht="12.75" customHeight="1" x14ac:dyDescent="0.35">
      <c r="B4" s="1" t="s">
        <v>101</v>
      </c>
      <c r="C4" s="1"/>
      <c r="D4" s="1"/>
      <c r="J4"/>
    </row>
    <row r="5" spans="2:17" ht="12.75" customHeight="1" x14ac:dyDescent="0.25">
      <c r="B5" s="211" t="s">
        <v>342</v>
      </c>
      <c r="C5" s="70"/>
      <c r="D5" s="70"/>
      <c r="E5" s="70"/>
      <c r="F5" s="70"/>
      <c r="H5" s="19"/>
      <c r="Q5" s="27"/>
    </row>
    <row r="6" spans="2:17" ht="12" customHeight="1" x14ac:dyDescent="0.25">
      <c r="Q6" s="82"/>
    </row>
    <row r="7" spans="2:17" s="6" customFormat="1" ht="12.75" customHeight="1" x14ac:dyDescent="0.35">
      <c r="B7" s="6" t="s">
        <v>45</v>
      </c>
      <c r="F7" s="6" t="s">
        <v>27</v>
      </c>
      <c r="H7" s="6" t="s">
        <v>28</v>
      </c>
      <c r="L7" s="31"/>
      <c r="M7" s="31"/>
      <c r="N7" s="31"/>
      <c r="O7" s="31"/>
      <c r="P7" s="31"/>
      <c r="Q7" s="31"/>
    </row>
    <row r="9" spans="2:17" ht="12.5" x14ac:dyDescent="0.35">
      <c r="L9" s="2"/>
      <c r="M9" s="2"/>
      <c r="N9" s="2"/>
      <c r="O9" s="2"/>
      <c r="P9" s="2"/>
      <c r="Q9" s="2"/>
    </row>
    <row r="10" spans="2:17" s="6" customFormat="1" ht="13" x14ac:dyDescent="0.35">
      <c r="B10" s="6" t="s">
        <v>315</v>
      </c>
    </row>
    <row r="11" spans="2:17" ht="12.5" x14ac:dyDescent="0.35">
      <c r="L11" s="2"/>
      <c r="M11" s="2"/>
      <c r="N11" s="2"/>
      <c r="O11" s="2"/>
      <c r="P11" s="2"/>
      <c r="Q11" s="2"/>
    </row>
    <row r="12" spans="2:17" ht="13" x14ac:dyDescent="0.35">
      <c r="B12" s="26" t="s">
        <v>315</v>
      </c>
      <c r="L12" s="2"/>
      <c r="M12" s="2"/>
      <c r="N12" s="2"/>
      <c r="O12" s="2"/>
      <c r="P12" s="2"/>
      <c r="Q12" s="2"/>
    </row>
    <row r="13" spans="2:17" ht="12.5" x14ac:dyDescent="0.35">
      <c r="B13" s="2">
        <v>2004</v>
      </c>
      <c r="H13" s="150">
        <f>Parameters!O27</f>
        <v>1.0921157604180827</v>
      </c>
      <c r="L13" s="2"/>
      <c r="M13" s="2"/>
      <c r="N13" s="2"/>
      <c r="O13" s="2"/>
      <c r="P13" s="2"/>
      <c r="Q13" s="2"/>
    </row>
    <row r="14" spans="2:17" ht="12.5" x14ac:dyDescent="0.35">
      <c r="B14" s="2">
        <v>2005</v>
      </c>
      <c r="H14" s="150">
        <f>Parameters!O28</f>
        <v>1.0802331952701116</v>
      </c>
      <c r="L14" s="2"/>
      <c r="M14" s="2"/>
      <c r="N14" s="2"/>
      <c r="O14" s="2"/>
      <c r="P14" s="2"/>
      <c r="Q14" s="2"/>
    </row>
    <row r="15" spans="2:17" ht="12.5" x14ac:dyDescent="0.35">
      <c r="B15" s="2">
        <v>2006</v>
      </c>
      <c r="H15" s="150">
        <f>Parameters!O29</f>
        <v>1.0611328047839999</v>
      </c>
      <c r="L15" s="2"/>
      <c r="M15" s="2"/>
      <c r="N15" s="2"/>
      <c r="O15" s="2"/>
      <c r="P15" s="2"/>
      <c r="Q15" s="2"/>
    </row>
    <row r="16" spans="2:17" ht="12.5" x14ac:dyDescent="0.35">
      <c r="B16" s="2">
        <v>2007</v>
      </c>
      <c r="H16" s="150">
        <f>Parameters!O30</f>
        <v>1.0464820559999997</v>
      </c>
      <c r="L16" s="2"/>
      <c r="M16" s="2"/>
      <c r="N16" s="2"/>
      <c r="O16" s="2"/>
      <c r="P16" s="2"/>
      <c r="Q16" s="2"/>
    </row>
    <row r="17" spans="2:21" ht="12.5" x14ac:dyDescent="0.35">
      <c r="B17" s="2">
        <v>2008</v>
      </c>
      <c r="H17" s="150">
        <f>Parameters!O31</f>
        <v>1.035096</v>
      </c>
      <c r="L17" s="2"/>
      <c r="M17" s="2"/>
      <c r="N17" s="2"/>
      <c r="O17" s="2"/>
      <c r="P17" s="2"/>
      <c r="Q17" s="2"/>
    </row>
    <row r="18" spans="2:21" ht="12.5" x14ac:dyDescent="0.35">
      <c r="B18" s="2">
        <v>2009</v>
      </c>
      <c r="H18" s="150">
        <f>Parameters!O32</f>
        <v>1.0029999999999999</v>
      </c>
      <c r="L18" s="2"/>
      <c r="M18" s="2"/>
      <c r="N18" s="2"/>
      <c r="O18" s="2"/>
      <c r="P18" s="2"/>
      <c r="Q18" s="2"/>
    </row>
    <row r="19" spans="2:21" ht="12.5" x14ac:dyDescent="0.35">
      <c r="B19" s="2">
        <v>2010</v>
      </c>
      <c r="H19" s="150">
        <f>Parameters!O33</f>
        <v>1</v>
      </c>
      <c r="L19" s="2"/>
      <c r="M19" s="2"/>
      <c r="N19" s="2"/>
      <c r="O19" s="2"/>
      <c r="P19" s="2"/>
      <c r="Q19" s="2"/>
    </row>
    <row r="20" spans="2:21" ht="12.5" x14ac:dyDescent="0.35">
      <c r="L20" s="2"/>
      <c r="M20" s="2"/>
      <c r="N20" s="2"/>
      <c r="O20" s="2"/>
      <c r="P20" s="2"/>
      <c r="Q20" s="2"/>
    </row>
    <row r="21" spans="2:21" s="6" customFormat="1" ht="13" x14ac:dyDescent="0.35">
      <c r="U21" s="6" t="s">
        <v>393</v>
      </c>
    </row>
    <row r="22" spans="2:21" s="112" customFormat="1" ht="14.5" x14ac:dyDescent="0.35"/>
    <row r="23" spans="2:21" s="45" customFormat="1" ht="13" x14ac:dyDescent="0.35">
      <c r="B23" s="151" t="s">
        <v>316</v>
      </c>
      <c r="C23" s="151"/>
      <c r="D23" s="151"/>
      <c r="E23" s="151"/>
      <c r="F23" s="151"/>
      <c r="G23" s="151"/>
      <c r="H23" s="152" t="s">
        <v>317</v>
      </c>
      <c r="I23" s="151"/>
      <c r="J23" s="151"/>
      <c r="K23" s="151"/>
      <c r="L23" s="151"/>
      <c r="M23" s="151"/>
      <c r="N23" s="151"/>
      <c r="O23" s="151"/>
      <c r="P23" s="153" t="s">
        <v>318</v>
      </c>
      <c r="Q23" s="151"/>
      <c r="R23" s="151"/>
      <c r="S23" s="151"/>
    </row>
    <row r="24" spans="2:21" s="45" customFormat="1" ht="39.75" customHeight="1" x14ac:dyDescent="0.35">
      <c r="B24" s="154" t="s">
        <v>319</v>
      </c>
      <c r="C24" s="154" t="s">
        <v>320</v>
      </c>
      <c r="D24" s="154" t="s">
        <v>321</v>
      </c>
      <c r="E24" s="154" t="s">
        <v>322</v>
      </c>
      <c r="F24" s="154" t="s">
        <v>323</v>
      </c>
      <c r="G24" s="155" t="s">
        <v>324</v>
      </c>
      <c r="H24" s="154" t="s">
        <v>318</v>
      </c>
      <c r="I24" s="154" t="s">
        <v>325</v>
      </c>
      <c r="J24" s="154" t="s">
        <v>326</v>
      </c>
      <c r="K24" s="155" t="s">
        <v>327</v>
      </c>
      <c r="L24" s="155" t="s">
        <v>328</v>
      </c>
      <c r="M24" s="155" t="s">
        <v>329</v>
      </c>
      <c r="N24" s="155" t="s">
        <v>330</v>
      </c>
      <c r="O24" s="155" t="s">
        <v>331</v>
      </c>
      <c r="P24" s="155" t="s">
        <v>332</v>
      </c>
      <c r="Q24" s="155" t="s">
        <v>333</v>
      </c>
      <c r="R24" s="155" t="s">
        <v>334</v>
      </c>
      <c r="S24" s="154" t="s">
        <v>335</v>
      </c>
    </row>
    <row r="25" spans="2:21" ht="12.5" x14ac:dyDescent="0.35">
      <c r="B25" s="96" t="s">
        <v>343</v>
      </c>
      <c r="C25" s="96" t="s">
        <v>181</v>
      </c>
      <c r="D25" s="96" t="s">
        <v>336</v>
      </c>
      <c r="E25" s="96" t="s">
        <v>650</v>
      </c>
      <c r="F25" s="96" t="s">
        <v>325</v>
      </c>
      <c r="G25" s="105" t="str">
        <f t="shared" ref="G25:G40" si="0">C25&amp;" "&amp;F25</f>
        <v>Desinvesteringen AD</v>
      </c>
      <c r="H25" s="105">
        <f t="shared" ref="H25:I27" si="1">IF($F25=H$24,1,0)</f>
        <v>0</v>
      </c>
      <c r="I25" s="105">
        <f t="shared" si="1"/>
        <v>1</v>
      </c>
      <c r="J25" s="96">
        <v>39</v>
      </c>
      <c r="K25" s="96">
        <v>2009</v>
      </c>
      <c r="L25" s="96">
        <v>9915.771093998359</v>
      </c>
      <c r="M25" s="156">
        <v>0.5</v>
      </c>
      <c r="N25" s="157">
        <f t="shared" ref="N25:N40" si="2">IF(OR(J25=0,J25+K25+M25&lt;2011),0,MIN(J25,J25+M25+K25-2011))</f>
        <v>37.5</v>
      </c>
      <c r="O25" s="158">
        <f t="shared" ref="O25:O40" si="3">MAX(2011,K25)</f>
        <v>2011</v>
      </c>
      <c r="P25" s="159">
        <f t="shared" ref="P25:P40" si="4">IF(K25&lt;2011,IF(F25=$P$23,VLOOKUP(K25,$B$13:$H$19,7),1),0)</f>
        <v>1</v>
      </c>
      <c r="Q25" s="160">
        <f t="shared" ref="Q25:Q40" si="5">IF(K25&lt;2011,L25-(J25-N25)*L25/J25,L25)</f>
        <v>9534.3952826907298</v>
      </c>
      <c r="R25" s="160">
        <f t="shared" ref="R25:R40" si="6">Q25*P25</f>
        <v>9534.3952826907298</v>
      </c>
      <c r="S25" s="96"/>
      <c r="U25" s="206" t="s">
        <v>652</v>
      </c>
    </row>
    <row r="26" spans="2:21" ht="12.5" x14ac:dyDescent="0.35">
      <c r="B26" s="96" t="s">
        <v>343</v>
      </c>
      <c r="C26" s="96" t="s">
        <v>181</v>
      </c>
      <c r="D26" s="96" t="s">
        <v>336</v>
      </c>
      <c r="E26" s="96" t="s">
        <v>650</v>
      </c>
      <c r="F26" s="96" t="s">
        <v>325</v>
      </c>
      <c r="G26" s="105" t="str">
        <f t="shared" si="0"/>
        <v>Desinvesteringen AD</v>
      </c>
      <c r="H26" s="105">
        <f t="shared" si="1"/>
        <v>0</v>
      </c>
      <c r="I26" s="105">
        <f t="shared" si="1"/>
        <v>1</v>
      </c>
      <c r="J26" s="96">
        <v>39</v>
      </c>
      <c r="K26" s="96">
        <v>2010</v>
      </c>
      <c r="L26" s="96">
        <v>18556.050187144829</v>
      </c>
      <c r="M26" s="156">
        <v>0.5</v>
      </c>
      <c r="N26" s="157">
        <f t="shared" si="2"/>
        <v>38.5</v>
      </c>
      <c r="O26" s="158">
        <f t="shared" si="3"/>
        <v>2011</v>
      </c>
      <c r="P26" s="159">
        <f t="shared" si="4"/>
        <v>1</v>
      </c>
      <c r="Q26" s="160">
        <f t="shared" si="5"/>
        <v>18318.152107822458</v>
      </c>
      <c r="R26" s="160">
        <f t="shared" si="6"/>
        <v>18318.152107822458</v>
      </c>
      <c r="S26" s="96"/>
    </row>
    <row r="27" spans="2:21" ht="12.5" x14ac:dyDescent="0.35">
      <c r="B27" s="96" t="s">
        <v>343</v>
      </c>
      <c r="C27" s="96" t="s">
        <v>181</v>
      </c>
      <c r="D27" s="96" t="s">
        <v>336</v>
      </c>
      <c r="E27" s="96" t="s">
        <v>650</v>
      </c>
      <c r="F27" s="96" t="s">
        <v>325</v>
      </c>
      <c r="G27" s="105" t="str">
        <f t="shared" si="0"/>
        <v>Desinvesteringen AD</v>
      </c>
      <c r="H27" s="105">
        <f t="shared" si="1"/>
        <v>0</v>
      </c>
      <c r="I27" s="105">
        <f t="shared" si="1"/>
        <v>1</v>
      </c>
      <c r="J27" s="96">
        <v>39</v>
      </c>
      <c r="K27" s="96">
        <v>2011</v>
      </c>
      <c r="L27" s="96">
        <v>17617.871874854114</v>
      </c>
      <c r="M27" s="156">
        <v>0.5</v>
      </c>
      <c r="N27" s="157">
        <f t="shared" si="2"/>
        <v>39</v>
      </c>
      <c r="O27" s="158">
        <f t="shared" si="3"/>
        <v>2011</v>
      </c>
      <c r="P27" s="159">
        <f t="shared" si="4"/>
        <v>0</v>
      </c>
      <c r="Q27" s="160">
        <f t="shared" si="5"/>
        <v>17617.871874854114</v>
      </c>
      <c r="R27" s="160">
        <f t="shared" si="6"/>
        <v>0</v>
      </c>
      <c r="S27" s="96"/>
    </row>
    <row r="28" spans="2:21" ht="12.5" x14ac:dyDescent="0.35">
      <c r="B28" s="96" t="s">
        <v>343</v>
      </c>
      <c r="C28" s="96" t="s">
        <v>181</v>
      </c>
      <c r="D28" s="96" t="s">
        <v>336</v>
      </c>
      <c r="E28" s="96" t="s">
        <v>650</v>
      </c>
      <c r="F28" s="96" t="s">
        <v>325</v>
      </c>
      <c r="G28" s="105" t="str">
        <f t="shared" si="0"/>
        <v>Desinvesteringen AD</v>
      </c>
      <c r="H28" s="105">
        <f t="shared" ref="H28:I94" si="7">IF($F28=H$24,1,0)</f>
        <v>0</v>
      </c>
      <c r="I28" s="105">
        <f t="shared" si="7"/>
        <v>1</v>
      </c>
      <c r="J28" s="96">
        <v>39</v>
      </c>
      <c r="K28" s="96">
        <v>2012</v>
      </c>
      <c r="L28" s="96">
        <v>14765.30951423873</v>
      </c>
      <c r="M28" s="156">
        <v>0.5</v>
      </c>
      <c r="N28" s="157">
        <f t="shared" si="2"/>
        <v>39</v>
      </c>
      <c r="O28" s="158">
        <f t="shared" si="3"/>
        <v>2012</v>
      </c>
      <c r="P28" s="159">
        <f t="shared" si="4"/>
        <v>0</v>
      </c>
      <c r="Q28" s="160">
        <f t="shared" si="5"/>
        <v>14765.30951423873</v>
      </c>
      <c r="R28" s="160">
        <f t="shared" si="6"/>
        <v>0</v>
      </c>
      <c r="S28" s="96"/>
    </row>
    <row r="29" spans="2:21" ht="12.5" x14ac:dyDescent="0.35">
      <c r="B29" s="96" t="s">
        <v>343</v>
      </c>
      <c r="C29" s="96" t="s">
        <v>181</v>
      </c>
      <c r="D29" s="96" t="s">
        <v>336</v>
      </c>
      <c r="E29" s="96" t="s">
        <v>650</v>
      </c>
      <c r="F29" s="96" t="s">
        <v>325</v>
      </c>
      <c r="G29" s="105" t="str">
        <f t="shared" si="0"/>
        <v>Desinvesteringen AD</v>
      </c>
      <c r="H29" s="105">
        <f t="shared" si="7"/>
        <v>0</v>
      </c>
      <c r="I29" s="105">
        <f t="shared" si="7"/>
        <v>1</v>
      </c>
      <c r="J29" s="96">
        <v>39</v>
      </c>
      <c r="K29" s="96">
        <v>2013</v>
      </c>
      <c r="L29" s="96">
        <v>25210.665194773093</v>
      </c>
      <c r="M29" s="156">
        <v>0.5</v>
      </c>
      <c r="N29" s="157">
        <f t="shared" si="2"/>
        <v>39</v>
      </c>
      <c r="O29" s="158">
        <f t="shared" si="3"/>
        <v>2013</v>
      </c>
      <c r="P29" s="159">
        <f t="shared" si="4"/>
        <v>0</v>
      </c>
      <c r="Q29" s="160">
        <f t="shared" si="5"/>
        <v>25210.665194773093</v>
      </c>
      <c r="R29" s="160">
        <f t="shared" si="6"/>
        <v>0</v>
      </c>
      <c r="S29" s="96"/>
    </row>
    <row r="30" spans="2:21" ht="12.5" x14ac:dyDescent="0.35">
      <c r="B30" s="96" t="s">
        <v>343</v>
      </c>
      <c r="C30" s="96" t="s">
        <v>181</v>
      </c>
      <c r="D30" s="96" t="s">
        <v>336</v>
      </c>
      <c r="E30" s="96" t="s">
        <v>650</v>
      </c>
      <c r="F30" s="96" t="s">
        <v>325</v>
      </c>
      <c r="G30" s="105" t="str">
        <f t="shared" si="0"/>
        <v>Desinvesteringen AD</v>
      </c>
      <c r="H30" s="105">
        <f t="shared" si="7"/>
        <v>0</v>
      </c>
      <c r="I30" s="105">
        <f t="shared" si="7"/>
        <v>1</v>
      </c>
      <c r="J30" s="96">
        <v>39</v>
      </c>
      <c r="K30" s="96">
        <v>2014</v>
      </c>
      <c r="L30" s="96">
        <v>23982.611040609136</v>
      </c>
      <c r="M30" s="156">
        <v>0.5</v>
      </c>
      <c r="N30" s="157">
        <f t="shared" si="2"/>
        <v>39</v>
      </c>
      <c r="O30" s="158">
        <f t="shared" si="3"/>
        <v>2014</v>
      </c>
      <c r="P30" s="159">
        <f t="shared" si="4"/>
        <v>0</v>
      </c>
      <c r="Q30" s="160">
        <f t="shared" si="5"/>
        <v>23982.611040609136</v>
      </c>
      <c r="R30" s="160">
        <f t="shared" si="6"/>
        <v>0</v>
      </c>
      <c r="S30" s="96"/>
    </row>
    <row r="31" spans="2:21" ht="12.5" x14ac:dyDescent="0.35">
      <c r="B31" s="96" t="s">
        <v>343</v>
      </c>
      <c r="C31" s="96" t="s">
        <v>181</v>
      </c>
      <c r="D31" s="96" t="s">
        <v>336</v>
      </c>
      <c r="E31" s="96" t="s">
        <v>650</v>
      </c>
      <c r="F31" s="96" t="s">
        <v>325</v>
      </c>
      <c r="G31" s="105" t="str">
        <f t="shared" si="0"/>
        <v>Desinvesteringen AD</v>
      </c>
      <c r="H31" s="105">
        <f t="shared" si="7"/>
        <v>0</v>
      </c>
      <c r="I31" s="105">
        <f t="shared" si="7"/>
        <v>1</v>
      </c>
      <c r="J31" s="96">
        <v>39</v>
      </c>
      <c r="K31" s="96">
        <v>2015</v>
      </c>
      <c r="L31" s="96">
        <v>12607.734580439583</v>
      </c>
      <c r="M31" s="156">
        <v>0.5</v>
      </c>
      <c r="N31" s="157">
        <f t="shared" si="2"/>
        <v>39</v>
      </c>
      <c r="O31" s="158">
        <f t="shared" si="3"/>
        <v>2015</v>
      </c>
      <c r="P31" s="159">
        <f t="shared" si="4"/>
        <v>0</v>
      </c>
      <c r="Q31" s="160">
        <f t="shared" si="5"/>
        <v>12607.734580439583</v>
      </c>
      <c r="R31" s="160">
        <f t="shared" si="6"/>
        <v>0</v>
      </c>
      <c r="S31" s="96"/>
    </row>
    <row r="32" spans="2:21" ht="12.5" x14ac:dyDescent="0.35">
      <c r="B32" s="96" t="s">
        <v>343</v>
      </c>
      <c r="C32" s="96" t="s">
        <v>181</v>
      </c>
      <c r="D32" s="96" t="s">
        <v>336</v>
      </c>
      <c r="E32" s="96" t="s">
        <v>650</v>
      </c>
      <c r="F32" s="96" t="s">
        <v>325</v>
      </c>
      <c r="G32" s="105" t="str">
        <f t="shared" si="0"/>
        <v>Desinvesteringen AD</v>
      </c>
      <c r="H32" s="105">
        <f t="shared" si="7"/>
        <v>0</v>
      </c>
      <c r="I32" s="105">
        <f t="shared" si="7"/>
        <v>1</v>
      </c>
      <c r="J32" s="96">
        <v>39</v>
      </c>
      <c r="K32" s="96">
        <v>2016</v>
      </c>
      <c r="L32" s="96">
        <v>16945.694420115055</v>
      </c>
      <c r="M32" s="156">
        <v>0.5</v>
      </c>
      <c r="N32" s="157">
        <f t="shared" si="2"/>
        <v>39</v>
      </c>
      <c r="O32" s="158">
        <f t="shared" si="3"/>
        <v>2016</v>
      </c>
      <c r="P32" s="159">
        <f t="shared" si="4"/>
        <v>0</v>
      </c>
      <c r="Q32" s="160">
        <f t="shared" si="5"/>
        <v>16945.694420115055</v>
      </c>
      <c r="R32" s="160">
        <f t="shared" si="6"/>
        <v>0</v>
      </c>
      <c r="S32" s="96"/>
    </row>
    <row r="33" spans="2:19" ht="12.5" x14ac:dyDescent="0.35">
      <c r="B33" s="96" t="s">
        <v>343</v>
      </c>
      <c r="C33" s="96" t="s">
        <v>181</v>
      </c>
      <c r="D33" s="96" t="s">
        <v>336</v>
      </c>
      <c r="E33" s="96" t="s">
        <v>650</v>
      </c>
      <c r="F33" s="96" t="s">
        <v>325</v>
      </c>
      <c r="G33" s="105" t="str">
        <f t="shared" si="0"/>
        <v>Desinvesteringen AD</v>
      </c>
      <c r="H33" s="105">
        <f t="shared" si="7"/>
        <v>0</v>
      </c>
      <c r="I33" s="105">
        <f t="shared" si="7"/>
        <v>1</v>
      </c>
      <c r="J33" s="96">
        <v>39</v>
      </c>
      <c r="K33" s="96">
        <v>2017</v>
      </c>
      <c r="L33" s="96">
        <v>17254.646397123073</v>
      </c>
      <c r="M33" s="156">
        <v>0.5</v>
      </c>
      <c r="N33" s="157">
        <f t="shared" si="2"/>
        <v>39</v>
      </c>
      <c r="O33" s="158">
        <f t="shared" si="3"/>
        <v>2017</v>
      </c>
      <c r="P33" s="159">
        <f t="shared" si="4"/>
        <v>0</v>
      </c>
      <c r="Q33" s="160">
        <f t="shared" si="5"/>
        <v>17254.646397123073</v>
      </c>
      <c r="R33" s="160">
        <f t="shared" si="6"/>
        <v>0</v>
      </c>
      <c r="S33" s="96"/>
    </row>
    <row r="34" spans="2:19" ht="12.5" x14ac:dyDescent="0.35">
      <c r="B34" s="96" t="s">
        <v>343</v>
      </c>
      <c r="C34" s="96" t="s">
        <v>181</v>
      </c>
      <c r="D34" s="96" t="s">
        <v>336</v>
      </c>
      <c r="E34" s="96" t="s">
        <v>650</v>
      </c>
      <c r="F34" s="96" t="s">
        <v>325</v>
      </c>
      <c r="G34" s="105" t="str">
        <f t="shared" si="0"/>
        <v>Desinvesteringen AD</v>
      </c>
      <c r="H34" s="105">
        <f t="shared" si="7"/>
        <v>0</v>
      </c>
      <c r="I34" s="105">
        <f t="shared" si="7"/>
        <v>1</v>
      </c>
      <c r="J34" s="96">
        <v>39</v>
      </c>
      <c r="K34" s="96">
        <v>2018</v>
      </c>
      <c r="L34" s="96">
        <v>16828.040262695427</v>
      </c>
      <c r="M34" s="156">
        <v>0.5</v>
      </c>
      <c r="N34" s="157">
        <f t="shared" si="2"/>
        <v>39</v>
      </c>
      <c r="O34" s="158">
        <f t="shared" si="3"/>
        <v>2018</v>
      </c>
      <c r="P34" s="159">
        <f t="shared" si="4"/>
        <v>0</v>
      </c>
      <c r="Q34" s="160">
        <f t="shared" si="5"/>
        <v>16828.040262695427</v>
      </c>
      <c r="R34" s="160">
        <f t="shared" si="6"/>
        <v>0</v>
      </c>
      <c r="S34" s="96"/>
    </row>
    <row r="35" spans="2:19" ht="12.5" x14ac:dyDescent="0.35">
      <c r="B35" s="96" t="s">
        <v>343</v>
      </c>
      <c r="C35" s="96" t="s">
        <v>181</v>
      </c>
      <c r="D35" s="96" t="s">
        <v>336</v>
      </c>
      <c r="E35" s="96" t="s">
        <v>650</v>
      </c>
      <c r="F35" s="96" t="s">
        <v>325</v>
      </c>
      <c r="G35" s="105" t="str">
        <f t="shared" si="0"/>
        <v>Desinvesteringen AD</v>
      </c>
      <c r="H35" s="105">
        <f t="shared" si="7"/>
        <v>0</v>
      </c>
      <c r="I35" s="105">
        <f t="shared" si="7"/>
        <v>1</v>
      </c>
      <c r="J35" s="96">
        <v>39</v>
      </c>
      <c r="K35" s="96">
        <v>2019</v>
      </c>
      <c r="L35" s="96">
        <v>19010.262871146759</v>
      </c>
      <c r="M35" s="156">
        <v>0.5</v>
      </c>
      <c r="N35" s="157">
        <f t="shared" si="2"/>
        <v>39</v>
      </c>
      <c r="O35" s="158">
        <f t="shared" si="3"/>
        <v>2019</v>
      </c>
      <c r="P35" s="159">
        <f t="shared" si="4"/>
        <v>0</v>
      </c>
      <c r="Q35" s="160">
        <f t="shared" si="5"/>
        <v>19010.262871146759</v>
      </c>
      <c r="R35" s="160">
        <f t="shared" si="6"/>
        <v>0</v>
      </c>
      <c r="S35" s="96"/>
    </row>
    <row r="36" spans="2:19" ht="12.5" x14ac:dyDescent="0.35">
      <c r="B36" s="96" t="s">
        <v>343</v>
      </c>
      <c r="C36" s="96" t="s">
        <v>181</v>
      </c>
      <c r="D36" s="96" t="s">
        <v>336</v>
      </c>
      <c r="E36" s="96" t="s">
        <v>650</v>
      </c>
      <c r="F36" s="96" t="s">
        <v>325</v>
      </c>
      <c r="G36" s="105" t="str">
        <f t="shared" si="0"/>
        <v>Desinvesteringen AD</v>
      </c>
      <c r="H36" s="105">
        <f t="shared" si="7"/>
        <v>0</v>
      </c>
      <c r="I36" s="105">
        <f t="shared" si="7"/>
        <v>1</v>
      </c>
      <c r="J36" s="96">
        <v>39</v>
      </c>
      <c r="K36" s="96">
        <v>2020</v>
      </c>
      <c r="L36" s="96">
        <v>18544.384972876691</v>
      </c>
      <c r="M36" s="156">
        <v>0.5</v>
      </c>
      <c r="N36" s="157">
        <f t="shared" si="2"/>
        <v>39</v>
      </c>
      <c r="O36" s="158">
        <f t="shared" si="3"/>
        <v>2020</v>
      </c>
      <c r="P36" s="159">
        <f t="shared" si="4"/>
        <v>0</v>
      </c>
      <c r="Q36" s="160">
        <f t="shared" si="5"/>
        <v>18544.384972876691</v>
      </c>
      <c r="R36" s="160">
        <f t="shared" si="6"/>
        <v>0</v>
      </c>
      <c r="S36" s="96"/>
    </row>
    <row r="37" spans="2:19" ht="12.5" x14ac:dyDescent="0.35">
      <c r="B37" s="96" t="s">
        <v>343</v>
      </c>
      <c r="C37" s="96" t="s">
        <v>181</v>
      </c>
      <c r="D37" s="96" t="s">
        <v>336</v>
      </c>
      <c r="E37" s="96" t="s">
        <v>650</v>
      </c>
      <c r="F37" s="96" t="s">
        <v>325</v>
      </c>
      <c r="G37" s="105" t="str">
        <f t="shared" si="0"/>
        <v>Desinvesteringen AD</v>
      </c>
      <c r="H37" s="105">
        <f t="shared" si="7"/>
        <v>0</v>
      </c>
      <c r="I37" s="105">
        <f t="shared" si="7"/>
        <v>1</v>
      </c>
      <c r="J37" s="96">
        <v>39</v>
      </c>
      <c r="K37" s="96">
        <v>2021</v>
      </c>
      <c r="L37" s="96">
        <v>14866.860170166345</v>
      </c>
      <c r="M37" s="156">
        <v>0.5</v>
      </c>
      <c r="N37" s="157">
        <f t="shared" si="2"/>
        <v>39</v>
      </c>
      <c r="O37" s="158">
        <f t="shared" si="3"/>
        <v>2021</v>
      </c>
      <c r="P37" s="159">
        <f t="shared" si="4"/>
        <v>0</v>
      </c>
      <c r="Q37" s="160">
        <f t="shared" si="5"/>
        <v>14866.860170166345</v>
      </c>
      <c r="R37" s="160">
        <f t="shared" si="6"/>
        <v>0</v>
      </c>
      <c r="S37" s="96"/>
    </row>
    <row r="38" spans="2:19" ht="12.5" x14ac:dyDescent="0.35">
      <c r="B38" s="96" t="s">
        <v>343</v>
      </c>
      <c r="C38" s="96" t="s">
        <v>181</v>
      </c>
      <c r="D38" s="96" t="s">
        <v>336</v>
      </c>
      <c r="E38" s="96" t="s">
        <v>650</v>
      </c>
      <c r="F38" s="96" t="s">
        <v>325</v>
      </c>
      <c r="G38" s="105" t="str">
        <f t="shared" si="0"/>
        <v>Desinvesteringen AD</v>
      </c>
      <c r="H38" s="105">
        <f t="shared" si="7"/>
        <v>0</v>
      </c>
      <c r="I38" s="105">
        <f t="shared" si="7"/>
        <v>1</v>
      </c>
      <c r="J38" s="96">
        <v>39</v>
      </c>
      <c r="K38" s="96">
        <v>2022</v>
      </c>
      <c r="L38" s="96">
        <v>6708.8838239206298</v>
      </c>
      <c r="M38" s="156">
        <v>0.5</v>
      </c>
      <c r="N38" s="157">
        <f t="shared" si="2"/>
        <v>39</v>
      </c>
      <c r="O38" s="158">
        <f t="shared" si="3"/>
        <v>2022</v>
      </c>
      <c r="P38" s="159">
        <f t="shared" si="4"/>
        <v>0</v>
      </c>
      <c r="Q38" s="160">
        <f t="shared" si="5"/>
        <v>6708.8838239206298</v>
      </c>
      <c r="R38" s="160">
        <f t="shared" si="6"/>
        <v>0</v>
      </c>
      <c r="S38" s="96"/>
    </row>
    <row r="39" spans="2:19" ht="12.5" x14ac:dyDescent="0.35">
      <c r="B39" s="96" t="s">
        <v>343</v>
      </c>
      <c r="C39" s="96" t="s">
        <v>181</v>
      </c>
      <c r="D39" s="96" t="s">
        <v>336</v>
      </c>
      <c r="E39" s="96" t="s">
        <v>650</v>
      </c>
      <c r="F39" s="96" t="s">
        <v>325</v>
      </c>
      <c r="G39" s="105" t="str">
        <f t="shared" si="0"/>
        <v>Desinvesteringen AD</v>
      </c>
      <c r="H39" s="105">
        <f t="shared" si="7"/>
        <v>0</v>
      </c>
      <c r="I39" s="105">
        <f t="shared" si="7"/>
        <v>1</v>
      </c>
      <c r="J39" s="96">
        <v>39</v>
      </c>
      <c r="K39" s="96">
        <v>2023</v>
      </c>
      <c r="L39" s="96">
        <v>385.20689655172413</v>
      </c>
      <c r="M39" s="156">
        <v>0.5</v>
      </c>
      <c r="N39" s="157">
        <f t="shared" si="2"/>
        <v>39</v>
      </c>
      <c r="O39" s="158">
        <f t="shared" si="3"/>
        <v>2023</v>
      </c>
      <c r="P39" s="159">
        <f t="shared" si="4"/>
        <v>0</v>
      </c>
      <c r="Q39" s="160">
        <f t="shared" si="5"/>
        <v>385.20689655172413</v>
      </c>
      <c r="R39" s="160">
        <f t="shared" si="6"/>
        <v>0</v>
      </c>
      <c r="S39" s="96"/>
    </row>
    <row r="40" spans="2:19" ht="12.5" x14ac:dyDescent="0.35">
      <c r="B40" s="96" t="s">
        <v>651</v>
      </c>
      <c r="C40" s="96" t="s">
        <v>181</v>
      </c>
      <c r="D40" s="96" t="s">
        <v>336</v>
      </c>
      <c r="E40" s="96" t="s">
        <v>650</v>
      </c>
      <c r="F40" s="96" t="s">
        <v>325</v>
      </c>
      <c r="G40" s="105" t="str">
        <f t="shared" si="0"/>
        <v>Desinvesteringen AD</v>
      </c>
      <c r="H40" s="105">
        <f t="shared" si="7"/>
        <v>0</v>
      </c>
      <c r="I40" s="105">
        <f t="shared" si="7"/>
        <v>1</v>
      </c>
      <c r="J40" s="96">
        <v>39</v>
      </c>
      <c r="K40" s="96">
        <v>2009</v>
      </c>
      <c r="L40" s="96">
        <v>139689.70000000001</v>
      </c>
      <c r="M40" s="156">
        <v>0.5</v>
      </c>
      <c r="N40" s="157">
        <f t="shared" si="2"/>
        <v>37.5</v>
      </c>
      <c r="O40" s="158">
        <f t="shared" si="3"/>
        <v>2011</v>
      </c>
      <c r="P40" s="159">
        <f t="shared" si="4"/>
        <v>1</v>
      </c>
      <c r="Q40" s="160">
        <f t="shared" si="5"/>
        <v>134317.01923076925</v>
      </c>
      <c r="R40" s="160">
        <f t="shared" si="6"/>
        <v>134317.01923076925</v>
      </c>
      <c r="S40" s="96"/>
    </row>
    <row r="41" spans="2:19" ht="12.5" x14ac:dyDescent="0.35">
      <c r="B41" s="96" t="s">
        <v>651</v>
      </c>
      <c r="C41" s="96" t="s">
        <v>181</v>
      </c>
      <c r="D41" s="96" t="s">
        <v>336</v>
      </c>
      <c r="E41" s="96" t="s">
        <v>650</v>
      </c>
      <c r="F41" s="96" t="s">
        <v>325</v>
      </c>
      <c r="G41" s="105" t="str">
        <f t="shared" ref="G41:G74" si="8">C41&amp;" "&amp;F41</f>
        <v>Desinvesteringen AD</v>
      </c>
      <c r="H41" s="105">
        <f t="shared" si="7"/>
        <v>0</v>
      </c>
      <c r="I41" s="105">
        <f t="shared" si="7"/>
        <v>1</v>
      </c>
      <c r="J41" s="96">
        <v>39</v>
      </c>
      <c r="K41" s="96">
        <v>2010</v>
      </c>
      <c r="L41" s="96">
        <v>280071.55000000005</v>
      </c>
      <c r="M41" s="156">
        <v>0.5</v>
      </c>
      <c r="N41" s="157">
        <f t="shared" ref="N41:N88" si="9">IF(OR(J41=0,J41+K41+M41&lt;2011),0,MIN(J41,J41+M41+K41-2011))</f>
        <v>38.5</v>
      </c>
      <c r="O41" s="158">
        <f t="shared" ref="O41:O88" si="10">MAX(2011,K41)</f>
        <v>2011</v>
      </c>
      <c r="P41" s="159">
        <f t="shared" ref="P41:P88" si="11">IF(K41&lt;2011,IF(F41=$P$23,VLOOKUP(K41,$B$13:$H$19,7),1),0)</f>
        <v>1</v>
      </c>
      <c r="Q41" s="160">
        <f t="shared" ref="Q41:Q88" si="12">IF(K41&lt;2011,L41-(J41-N41)*L41/J41,L41)</f>
        <v>276480.88910256414</v>
      </c>
      <c r="R41" s="160">
        <f t="shared" ref="R41:R88" si="13">Q41*P41</f>
        <v>276480.88910256414</v>
      </c>
      <c r="S41" s="96"/>
    </row>
    <row r="42" spans="2:19" ht="12.5" x14ac:dyDescent="0.35">
      <c r="B42" s="96" t="s">
        <v>651</v>
      </c>
      <c r="C42" s="96" t="s">
        <v>181</v>
      </c>
      <c r="D42" s="96" t="s">
        <v>336</v>
      </c>
      <c r="E42" s="96" t="s">
        <v>650</v>
      </c>
      <c r="F42" s="96" t="s">
        <v>325</v>
      </c>
      <c r="G42" s="105" t="str">
        <f t="shared" si="8"/>
        <v>Desinvesteringen AD</v>
      </c>
      <c r="H42" s="105">
        <f t="shared" si="7"/>
        <v>0</v>
      </c>
      <c r="I42" s="105">
        <f t="shared" si="7"/>
        <v>1</v>
      </c>
      <c r="J42" s="96">
        <v>39</v>
      </c>
      <c r="K42" s="96">
        <v>2011</v>
      </c>
      <c r="L42" s="96">
        <v>369585.64</v>
      </c>
      <c r="M42" s="156">
        <v>0.5</v>
      </c>
      <c r="N42" s="157">
        <f t="shared" si="9"/>
        <v>39</v>
      </c>
      <c r="O42" s="158">
        <f t="shared" si="10"/>
        <v>2011</v>
      </c>
      <c r="P42" s="159">
        <f t="shared" si="11"/>
        <v>0</v>
      </c>
      <c r="Q42" s="160">
        <f t="shared" si="12"/>
        <v>369585.64</v>
      </c>
      <c r="R42" s="160">
        <f t="shared" si="13"/>
        <v>0</v>
      </c>
      <c r="S42" s="96"/>
    </row>
    <row r="43" spans="2:19" ht="12.5" x14ac:dyDescent="0.35">
      <c r="B43" s="96" t="s">
        <v>651</v>
      </c>
      <c r="C43" s="96" t="s">
        <v>181</v>
      </c>
      <c r="D43" s="96" t="s">
        <v>336</v>
      </c>
      <c r="E43" s="96" t="s">
        <v>650</v>
      </c>
      <c r="F43" s="96" t="s">
        <v>325</v>
      </c>
      <c r="G43" s="105" t="str">
        <f t="shared" si="8"/>
        <v>Desinvesteringen AD</v>
      </c>
      <c r="H43" s="105">
        <f t="shared" si="7"/>
        <v>0</v>
      </c>
      <c r="I43" s="105">
        <f t="shared" si="7"/>
        <v>1</v>
      </c>
      <c r="J43" s="96">
        <v>39</v>
      </c>
      <c r="K43" s="96">
        <v>2012</v>
      </c>
      <c r="L43" s="96">
        <v>22363.24</v>
      </c>
      <c r="M43" s="156">
        <v>0.5</v>
      </c>
      <c r="N43" s="157">
        <f t="shared" si="9"/>
        <v>39</v>
      </c>
      <c r="O43" s="158">
        <f t="shared" si="10"/>
        <v>2012</v>
      </c>
      <c r="P43" s="159">
        <f t="shared" si="11"/>
        <v>0</v>
      </c>
      <c r="Q43" s="160">
        <f t="shared" si="12"/>
        <v>22363.24</v>
      </c>
      <c r="R43" s="160">
        <f t="shared" si="13"/>
        <v>0</v>
      </c>
      <c r="S43" s="96"/>
    </row>
    <row r="44" spans="2:19" ht="12.5" x14ac:dyDescent="0.35">
      <c r="B44" s="96" t="s">
        <v>651</v>
      </c>
      <c r="C44" s="96" t="s">
        <v>181</v>
      </c>
      <c r="D44" s="96" t="s">
        <v>336</v>
      </c>
      <c r="E44" s="96" t="s">
        <v>650</v>
      </c>
      <c r="F44" s="96" t="s">
        <v>325</v>
      </c>
      <c r="G44" s="105" t="str">
        <f t="shared" si="8"/>
        <v>Desinvesteringen AD</v>
      </c>
      <c r="H44" s="105">
        <f t="shared" si="7"/>
        <v>0</v>
      </c>
      <c r="I44" s="105">
        <f t="shared" si="7"/>
        <v>1</v>
      </c>
      <c r="J44" s="96">
        <v>39</v>
      </c>
      <c r="K44" s="96">
        <v>2013</v>
      </c>
      <c r="L44" s="96">
        <v>452339.00000000006</v>
      </c>
      <c r="M44" s="156">
        <v>0.5</v>
      </c>
      <c r="N44" s="157">
        <f t="shared" si="9"/>
        <v>39</v>
      </c>
      <c r="O44" s="158">
        <f t="shared" si="10"/>
        <v>2013</v>
      </c>
      <c r="P44" s="159">
        <f t="shared" si="11"/>
        <v>0</v>
      </c>
      <c r="Q44" s="160">
        <f t="shared" si="12"/>
        <v>452339.00000000006</v>
      </c>
      <c r="R44" s="160">
        <f t="shared" si="13"/>
        <v>0</v>
      </c>
      <c r="S44" s="96"/>
    </row>
    <row r="45" spans="2:19" ht="12.5" x14ac:dyDescent="0.35">
      <c r="B45" s="96" t="s">
        <v>651</v>
      </c>
      <c r="C45" s="96" t="s">
        <v>181</v>
      </c>
      <c r="D45" s="96" t="s">
        <v>336</v>
      </c>
      <c r="E45" s="96" t="s">
        <v>650</v>
      </c>
      <c r="F45" s="96" t="s">
        <v>325</v>
      </c>
      <c r="G45" s="105" t="str">
        <f t="shared" si="8"/>
        <v>Desinvesteringen AD</v>
      </c>
      <c r="H45" s="105">
        <f t="shared" si="7"/>
        <v>0</v>
      </c>
      <c r="I45" s="105">
        <f t="shared" si="7"/>
        <v>1</v>
      </c>
      <c r="J45" s="96">
        <v>39</v>
      </c>
      <c r="K45" s="96">
        <v>2014</v>
      </c>
      <c r="L45" s="96">
        <v>323951.54999999993</v>
      </c>
      <c r="M45" s="156">
        <v>0.5</v>
      </c>
      <c r="N45" s="157">
        <f t="shared" si="9"/>
        <v>39</v>
      </c>
      <c r="O45" s="158">
        <f t="shared" si="10"/>
        <v>2014</v>
      </c>
      <c r="P45" s="159">
        <f t="shared" si="11"/>
        <v>0</v>
      </c>
      <c r="Q45" s="160">
        <f t="shared" si="12"/>
        <v>323951.54999999993</v>
      </c>
      <c r="R45" s="160">
        <f t="shared" si="13"/>
        <v>0</v>
      </c>
      <c r="S45" s="96"/>
    </row>
    <row r="46" spans="2:19" ht="12.5" x14ac:dyDescent="0.35">
      <c r="B46" s="96" t="s">
        <v>651</v>
      </c>
      <c r="C46" s="96" t="s">
        <v>181</v>
      </c>
      <c r="D46" s="96" t="s">
        <v>336</v>
      </c>
      <c r="E46" s="96" t="s">
        <v>650</v>
      </c>
      <c r="F46" s="96" t="s">
        <v>325</v>
      </c>
      <c r="G46" s="105" t="str">
        <f t="shared" si="8"/>
        <v>Desinvesteringen AD</v>
      </c>
      <c r="H46" s="105">
        <f t="shared" si="7"/>
        <v>0</v>
      </c>
      <c r="I46" s="105">
        <f t="shared" si="7"/>
        <v>1</v>
      </c>
      <c r="J46" s="96">
        <v>39</v>
      </c>
      <c r="K46" s="96">
        <v>2015</v>
      </c>
      <c r="L46" s="96">
        <v>299101.28999999998</v>
      </c>
      <c r="M46" s="156">
        <v>0.5</v>
      </c>
      <c r="N46" s="157">
        <f t="shared" si="9"/>
        <v>39</v>
      </c>
      <c r="O46" s="158">
        <f t="shared" si="10"/>
        <v>2015</v>
      </c>
      <c r="P46" s="159">
        <f t="shared" si="11"/>
        <v>0</v>
      </c>
      <c r="Q46" s="160">
        <f t="shared" si="12"/>
        <v>299101.28999999998</v>
      </c>
      <c r="R46" s="160">
        <f t="shared" si="13"/>
        <v>0</v>
      </c>
      <c r="S46" s="96"/>
    </row>
    <row r="47" spans="2:19" ht="12.5" x14ac:dyDescent="0.35">
      <c r="B47" s="96" t="s">
        <v>651</v>
      </c>
      <c r="C47" s="96" t="s">
        <v>181</v>
      </c>
      <c r="D47" s="96" t="s">
        <v>336</v>
      </c>
      <c r="E47" s="96" t="s">
        <v>650</v>
      </c>
      <c r="F47" s="96" t="s">
        <v>325</v>
      </c>
      <c r="G47" s="105" t="str">
        <f t="shared" si="8"/>
        <v>Desinvesteringen AD</v>
      </c>
      <c r="H47" s="105">
        <f t="shared" si="7"/>
        <v>0</v>
      </c>
      <c r="I47" s="105">
        <f t="shared" si="7"/>
        <v>1</v>
      </c>
      <c r="J47" s="96">
        <v>39</v>
      </c>
      <c r="K47" s="96">
        <v>2016</v>
      </c>
      <c r="L47" s="96">
        <v>330579.39</v>
      </c>
      <c r="M47" s="156">
        <v>0.5</v>
      </c>
      <c r="N47" s="157">
        <f t="shared" si="9"/>
        <v>39</v>
      </c>
      <c r="O47" s="158">
        <f t="shared" si="10"/>
        <v>2016</v>
      </c>
      <c r="P47" s="159">
        <f t="shared" si="11"/>
        <v>0</v>
      </c>
      <c r="Q47" s="160">
        <f t="shared" si="12"/>
        <v>330579.39</v>
      </c>
      <c r="R47" s="160">
        <f t="shared" si="13"/>
        <v>0</v>
      </c>
      <c r="S47" s="96"/>
    </row>
    <row r="48" spans="2:19" ht="12.5" x14ac:dyDescent="0.35">
      <c r="B48" s="96" t="s">
        <v>651</v>
      </c>
      <c r="C48" s="96" t="s">
        <v>181</v>
      </c>
      <c r="D48" s="96" t="s">
        <v>336</v>
      </c>
      <c r="E48" s="96" t="s">
        <v>650</v>
      </c>
      <c r="F48" s="96" t="s">
        <v>325</v>
      </c>
      <c r="G48" s="105" t="str">
        <f t="shared" si="8"/>
        <v>Desinvesteringen AD</v>
      </c>
      <c r="H48" s="105">
        <f t="shared" si="7"/>
        <v>0</v>
      </c>
      <c r="I48" s="105">
        <f t="shared" si="7"/>
        <v>1</v>
      </c>
      <c r="J48" s="96">
        <v>39</v>
      </c>
      <c r="K48" s="96">
        <v>2017</v>
      </c>
      <c r="L48" s="96">
        <v>284048.7</v>
      </c>
      <c r="M48" s="156">
        <v>0.5</v>
      </c>
      <c r="N48" s="157">
        <f t="shared" si="9"/>
        <v>39</v>
      </c>
      <c r="O48" s="158">
        <f t="shared" si="10"/>
        <v>2017</v>
      </c>
      <c r="P48" s="159">
        <f t="shared" si="11"/>
        <v>0</v>
      </c>
      <c r="Q48" s="160">
        <f t="shared" si="12"/>
        <v>284048.7</v>
      </c>
      <c r="R48" s="160">
        <f t="shared" si="13"/>
        <v>0</v>
      </c>
      <c r="S48" s="96"/>
    </row>
    <row r="49" spans="2:19" ht="12.5" x14ac:dyDescent="0.35">
      <c r="B49" s="96" t="s">
        <v>651</v>
      </c>
      <c r="C49" s="96" t="s">
        <v>181</v>
      </c>
      <c r="D49" s="96" t="s">
        <v>336</v>
      </c>
      <c r="E49" s="96" t="s">
        <v>650</v>
      </c>
      <c r="F49" s="96" t="s">
        <v>325</v>
      </c>
      <c r="G49" s="105" t="str">
        <f t="shared" si="8"/>
        <v>Desinvesteringen AD</v>
      </c>
      <c r="H49" s="105">
        <f t="shared" si="7"/>
        <v>0</v>
      </c>
      <c r="I49" s="105">
        <f t="shared" si="7"/>
        <v>1</v>
      </c>
      <c r="J49" s="96">
        <v>39</v>
      </c>
      <c r="K49" s="96">
        <v>2018</v>
      </c>
      <c r="L49" s="96">
        <v>175855.03</v>
      </c>
      <c r="M49" s="156">
        <v>0.5</v>
      </c>
      <c r="N49" s="157">
        <f t="shared" si="9"/>
        <v>39</v>
      </c>
      <c r="O49" s="158">
        <f t="shared" si="10"/>
        <v>2018</v>
      </c>
      <c r="P49" s="159">
        <f t="shared" si="11"/>
        <v>0</v>
      </c>
      <c r="Q49" s="160">
        <f t="shared" si="12"/>
        <v>175855.03</v>
      </c>
      <c r="R49" s="160">
        <f t="shared" si="13"/>
        <v>0</v>
      </c>
      <c r="S49" s="96"/>
    </row>
    <row r="50" spans="2:19" ht="12.5" x14ac:dyDescent="0.35">
      <c r="B50" s="96" t="s">
        <v>651</v>
      </c>
      <c r="C50" s="96" t="s">
        <v>181</v>
      </c>
      <c r="D50" s="96" t="s">
        <v>336</v>
      </c>
      <c r="E50" s="96" t="s">
        <v>650</v>
      </c>
      <c r="F50" s="96" t="s">
        <v>325</v>
      </c>
      <c r="G50" s="105" t="str">
        <f t="shared" si="8"/>
        <v>Desinvesteringen AD</v>
      </c>
      <c r="H50" s="105">
        <f t="shared" si="7"/>
        <v>0</v>
      </c>
      <c r="I50" s="105">
        <f t="shared" si="7"/>
        <v>1</v>
      </c>
      <c r="J50" s="96">
        <v>39</v>
      </c>
      <c r="K50" s="96">
        <v>2019</v>
      </c>
      <c r="L50" s="96">
        <v>245594.31</v>
      </c>
      <c r="M50" s="156">
        <v>0.5</v>
      </c>
      <c r="N50" s="157">
        <f t="shared" si="9"/>
        <v>39</v>
      </c>
      <c r="O50" s="158">
        <f t="shared" si="10"/>
        <v>2019</v>
      </c>
      <c r="P50" s="159">
        <f t="shared" si="11"/>
        <v>0</v>
      </c>
      <c r="Q50" s="160">
        <f t="shared" si="12"/>
        <v>245594.31</v>
      </c>
      <c r="R50" s="160">
        <f t="shared" si="13"/>
        <v>0</v>
      </c>
      <c r="S50" s="96"/>
    </row>
    <row r="51" spans="2:19" ht="12.5" x14ac:dyDescent="0.35">
      <c r="B51" s="96" t="s">
        <v>651</v>
      </c>
      <c r="C51" s="96" t="s">
        <v>181</v>
      </c>
      <c r="D51" s="96" t="s">
        <v>336</v>
      </c>
      <c r="E51" s="96" t="s">
        <v>650</v>
      </c>
      <c r="F51" s="96" t="s">
        <v>325</v>
      </c>
      <c r="G51" s="105" t="str">
        <f t="shared" si="8"/>
        <v>Desinvesteringen AD</v>
      </c>
      <c r="H51" s="105">
        <f t="shared" si="7"/>
        <v>0</v>
      </c>
      <c r="I51" s="105">
        <f t="shared" si="7"/>
        <v>1</v>
      </c>
      <c r="J51" s="96">
        <v>39</v>
      </c>
      <c r="K51" s="96">
        <v>2020</v>
      </c>
      <c r="L51" s="96">
        <v>215753.19999999998</v>
      </c>
      <c r="M51" s="156">
        <v>0.5</v>
      </c>
      <c r="N51" s="157">
        <f t="shared" si="9"/>
        <v>39</v>
      </c>
      <c r="O51" s="158">
        <f t="shared" si="10"/>
        <v>2020</v>
      </c>
      <c r="P51" s="159">
        <f t="shared" si="11"/>
        <v>0</v>
      </c>
      <c r="Q51" s="160">
        <f t="shared" si="12"/>
        <v>215753.19999999998</v>
      </c>
      <c r="R51" s="160">
        <f t="shared" si="13"/>
        <v>0</v>
      </c>
      <c r="S51" s="96"/>
    </row>
    <row r="52" spans="2:19" ht="12.5" x14ac:dyDescent="0.35">
      <c r="B52" s="96" t="s">
        <v>651</v>
      </c>
      <c r="C52" s="96" t="s">
        <v>181</v>
      </c>
      <c r="D52" s="96" t="s">
        <v>336</v>
      </c>
      <c r="E52" s="96" t="s">
        <v>650</v>
      </c>
      <c r="F52" s="96" t="s">
        <v>325</v>
      </c>
      <c r="G52" s="105" t="str">
        <f t="shared" si="8"/>
        <v>Desinvesteringen AD</v>
      </c>
      <c r="H52" s="105">
        <f t="shared" si="7"/>
        <v>0</v>
      </c>
      <c r="I52" s="105">
        <f t="shared" si="7"/>
        <v>1</v>
      </c>
      <c r="J52" s="96">
        <v>39</v>
      </c>
      <c r="K52" s="96">
        <v>2021</v>
      </c>
      <c r="L52" s="96">
        <v>309936.43</v>
      </c>
      <c r="M52" s="156">
        <v>0.5</v>
      </c>
      <c r="N52" s="157">
        <f t="shared" si="9"/>
        <v>39</v>
      </c>
      <c r="O52" s="158">
        <f t="shared" si="10"/>
        <v>2021</v>
      </c>
      <c r="P52" s="159">
        <f t="shared" si="11"/>
        <v>0</v>
      </c>
      <c r="Q52" s="160">
        <f t="shared" si="12"/>
        <v>309936.43</v>
      </c>
      <c r="R52" s="160">
        <f t="shared" si="13"/>
        <v>0</v>
      </c>
      <c r="S52" s="96"/>
    </row>
    <row r="53" spans="2:19" ht="12.5" x14ac:dyDescent="0.35">
      <c r="B53" s="96" t="s">
        <v>440</v>
      </c>
      <c r="C53" s="96" t="s">
        <v>181</v>
      </c>
      <c r="D53" s="96" t="s">
        <v>336</v>
      </c>
      <c r="E53" s="96" t="s">
        <v>650</v>
      </c>
      <c r="F53" s="96" t="s">
        <v>318</v>
      </c>
      <c r="G53" s="105" t="str">
        <f t="shared" si="8"/>
        <v>Desinvesteringen TD</v>
      </c>
      <c r="H53" s="105">
        <f t="shared" si="7"/>
        <v>1</v>
      </c>
      <c r="I53" s="105">
        <f t="shared" si="7"/>
        <v>0</v>
      </c>
      <c r="J53" s="96">
        <v>45</v>
      </c>
      <c r="K53" s="96">
        <v>2008</v>
      </c>
      <c r="L53" s="96">
        <v>7775.5913818945974</v>
      </c>
      <c r="M53" s="156">
        <v>0.5</v>
      </c>
      <c r="N53" s="157">
        <f t="shared" si="9"/>
        <v>42.5</v>
      </c>
      <c r="O53" s="158">
        <f t="shared" si="10"/>
        <v>2011</v>
      </c>
      <c r="P53" s="159">
        <f t="shared" si="11"/>
        <v>1.035096</v>
      </c>
      <c r="Q53" s="160">
        <f t="shared" si="12"/>
        <v>7343.6140829004535</v>
      </c>
      <c r="R53" s="160">
        <f t="shared" si="13"/>
        <v>7601.3455627539279</v>
      </c>
      <c r="S53" s="96"/>
    </row>
    <row r="54" spans="2:19" ht="12.5" x14ac:dyDescent="0.35">
      <c r="B54" s="96" t="s">
        <v>440</v>
      </c>
      <c r="C54" s="96" t="s">
        <v>181</v>
      </c>
      <c r="D54" s="96" t="s">
        <v>336</v>
      </c>
      <c r="E54" s="96" t="s">
        <v>650</v>
      </c>
      <c r="F54" s="96" t="s">
        <v>318</v>
      </c>
      <c r="G54" s="105" t="str">
        <f t="shared" si="8"/>
        <v>Desinvesteringen TD</v>
      </c>
      <c r="H54" s="105">
        <f t="shared" si="7"/>
        <v>1</v>
      </c>
      <c r="I54" s="105">
        <f t="shared" si="7"/>
        <v>0</v>
      </c>
      <c r="J54" s="96">
        <v>45</v>
      </c>
      <c r="K54" s="96">
        <v>2010</v>
      </c>
      <c r="L54" s="96">
        <v>3585.0613386530758</v>
      </c>
      <c r="M54" s="156">
        <v>0.5</v>
      </c>
      <c r="N54" s="157">
        <f t="shared" si="9"/>
        <v>44.5</v>
      </c>
      <c r="O54" s="158">
        <f t="shared" si="10"/>
        <v>2011</v>
      </c>
      <c r="P54" s="159">
        <f t="shared" si="11"/>
        <v>1</v>
      </c>
      <c r="Q54" s="160">
        <f t="shared" si="12"/>
        <v>3545.2273237791528</v>
      </c>
      <c r="R54" s="160">
        <f t="shared" si="13"/>
        <v>3545.2273237791528</v>
      </c>
      <c r="S54" s="96"/>
    </row>
    <row r="55" spans="2:19" ht="12.5" x14ac:dyDescent="0.35">
      <c r="B55" s="96" t="s">
        <v>440</v>
      </c>
      <c r="C55" s="96" t="s">
        <v>181</v>
      </c>
      <c r="D55" s="96" t="s">
        <v>336</v>
      </c>
      <c r="E55" s="96" t="s">
        <v>650</v>
      </c>
      <c r="F55" s="96" t="s">
        <v>318</v>
      </c>
      <c r="G55" s="105" t="str">
        <f t="shared" si="8"/>
        <v>Desinvesteringen TD</v>
      </c>
      <c r="H55" s="105">
        <f t="shared" si="7"/>
        <v>1</v>
      </c>
      <c r="I55" s="105">
        <f t="shared" si="7"/>
        <v>0</v>
      </c>
      <c r="J55" s="96">
        <v>55</v>
      </c>
      <c r="K55" s="96">
        <v>2010</v>
      </c>
      <c r="L55" s="96">
        <v>13562.90400372667</v>
      </c>
      <c r="M55" s="156">
        <v>0.5</v>
      </c>
      <c r="N55" s="157">
        <f t="shared" si="9"/>
        <v>54.5</v>
      </c>
      <c r="O55" s="158">
        <f t="shared" si="10"/>
        <v>2011</v>
      </c>
      <c r="P55" s="159">
        <f t="shared" si="11"/>
        <v>1</v>
      </c>
      <c r="Q55" s="160">
        <f t="shared" si="12"/>
        <v>13439.604876420064</v>
      </c>
      <c r="R55" s="160">
        <f t="shared" si="13"/>
        <v>13439.604876420064</v>
      </c>
      <c r="S55" s="96"/>
    </row>
    <row r="56" spans="2:19" ht="12.5" x14ac:dyDescent="0.35">
      <c r="B56" s="96" t="s">
        <v>440</v>
      </c>
      <c r="C56" s="96" t="s">
        <v>181</v>
      </c>
      <c r="D56" s="96" t="s">
        <v>336</v>
      </c>
      <c r="E56" s="96" t="s">
        <v>650</v>
      </c>
      <c r="F56" s="96" t="s">
        <v>318</v>
      </c>
      <c r="G56" s="105" t="str">
        <f t="shared" si="8"/>
        <v>Desinvesteringen TD</v>
      </c>
      <c r="H56" s="105">
        <f t="shared" si="7"/>
        <v>1</v>
      </c>
      <c r="I56" s="105">
        <f t="shared" si="7"/>
        <v>0</v>
      </c>
      <c r="J56" s="96">
        <v>45</v>
      </c>
      <c r="K56" s="96">
        <v>2011</v>
      </c>
      <c r="L56" s="96">
        <v>15186.859666896627</v>
      </c>
      <c r="M56" s="156">
        <v>0.5</v>
      </c>
      <c r="N56" s="157">
        <f t="shared" si="9"/>
        <v>45</v>
      </c>
      <c r="O56" s="158">
        <f t="shared" si="10"/>
        <v>2011</v>
      </c>
      <c r="P56" s="159">
        <f t="shared" si="11"/>
        <v>0</v>
      </c>
      <c r="Q56" s="160">
        <f t="shared" si="12"/>
        <v>15186.859666896627</v>
      </c>
      <c r="R56" s="160">
        <f t="shared" si="13"/>
        <v>0</v>
      </c>
      <c r="S56" s="96"/>
    </row>
    <row r="57" spans="2:19" ht="12.5" x14ac:dyDescent="0.35">
      <c r="B57" s="96" t="s">
        <v>440</v>
      </c>
      <c r="C57" s="96" t="s">
        <v>181</v>
      </c>
      <c r="D57" s="96" t="s">
        <v>336</v>
      </c>
      <c r="E57" s="96" t="s">
        <v>650</v>
      </c>
      <c r="F57" s="96" t="s">
        <v>318</v>
      </c>
      <c r="G57" s="105" t="str">
        <f t="shared" si="8"/>
        <v>Desinvesteringen TD</v>
      </c>
      <c r="H57" s="105">
        <f t="shared" si="7"/>
        <v>1</v>
      </c>
      <c r="I57" s="105">
        <f t="shared" si="7"/>
        <v>0</v>
      </c>
      <c r="J57" s="96">
        <v>45</v>
      </c>
      <c r="K57" s="96">
        <v>2012</v>
      </c>
      <c r="L57" s="96">
        <v>1568.1516116931718</v>
      </c>
      <c r="M57" s="156">
        <v>0.5</v>
      </c>
      <c r="N57" s="157">
        <f t="shared" si="9"/>
        <v>45</v>
      </c>
      <c r="O57" s="158">
        <f t="shared" si="10"/>
        <v>2012</v>
      </c>
      <c r="P57" s="159">
        <f t="shared" si="11"/>
        <v>0</v>
      </c>
      <c r="Q57" s="160">
        <f t="shared" si="12"/>
        <v>1568.1516116931718</v>
      </c>
      <c r="R57" s="160">
        <f t="shared" si="13"/>
        <v>0</v>
      </c>
      <c r="S57" s="96"/>
    </row>
    <row r="58" spans="2:19" ht="12.5" x14ac:dyDescent="0.35">
      <c r="B58" s="96" t="s">
        <v>440</v>
      </c>
      <c r="C58" s="96" t="s">
        <v>181</v>
      </c>
      <c r="D58" s="96" t="s">
        <v>336</v>
      </c>
      <c r="E58" s="96" t="s">
        <v>650</v>
      </c>
      <c r="F58" s="96" t="s">
        <v>318</v>
      </c>
      <c r="G58" s="105" t="str">
        <f t="shared" si="8"/>
        <v>Desinvesteringen TD</v>
      </c>
      <c r="H58" s="105">
        <f t="shared" si="7"/>
        <v>1</v>
      </c>
      <c r="I58" s="105">
        <f t="shared" si="7"/>
        <v>0</v>
      </c>
      <c r="J58" s="96">
        <v>45</v>
      </c>
      <c r="K58" s="96">
        <v>2014</v>
      </c>
      <c r="L58" s="96">
        <v>48534.089387640124</v>
      </c>
      <c r="M58" s="156">
        <v>0.5</v>
      </c>
      <c r="N58" s="157">
        <f t="shared" si="9"/>
        <v>45</v>
      </c>
      <c r="O58" s="158">
        <f t="shared" si="10"/>
        <v>2014</v>
      </c>
      <c r="P58" s="159">
        <f t="shared" si="11"/>
        <v>0</v>
      </c>
      <c r="Q58" s="160">
        <f t="shared" si="12"/>
        <v>48534.089387640124</v>
      </c>
      <c r="R58" s="160">
        <f t="shared" si="13"/>
        <v>0</v>
      </c>
      <c r="S58" s="96"/>
    </row>
    <row r="59" spans="2:19" ht="12.5" x14ac:dyDescent="0.35">
      <c r="B59" s="96" t="s">
        <v>440</v>
      </c>
      <c r="C59" s="96" t="s">
        <v>181</v>
      </c>
      <c r="D59" s="96" t="s">
        <v>336</v>
      </c>
      <c r="E59" s="96" t="s">
        <v>650</v>
      </c>
      <c r="F59" s="96" t="s">
        <v>318</v>
      </c>
      <c r="G59" s="105" t="str">
        <f t="shared" si="8"/>
        <v>Desinvesteringen TD</v>
      </c>
      <c r="H59" s="105">
        <f t="shared" si="7"/>
        <v>1</v>
      </c>
      <c r="I59" s="105">
        <f t="shared" si="7"/>
        <v>0</v>
      </c>
      <c r="J59" s="96">
        <v>55</v>
      </c>
      <c r="K59" s="96">
        <v>2014</v>
      </c>
      <c r="L59" s="96">
        <v>2376.3180153347066</v>
      </c>
      <c r="M59" s="156">
        <v>0.5</v>
      </c>
      <c r="N59" s="157">
        <f t="shared" si="9"/>
        <v>55</v>
      </c>
      <c r="O59" s="158">
        <f t="shared" si="10"/>
        <v>2014</v>
      </c>
      <c r="P59" s="159">
        <f t="shared" si="11"/>
        <v>0</v>
      </c>
      <c r="Q59" s="160">
        <f t="shared" si="12"/>
        <v>2376.3180153347066</v>
      </c>
      <c r="R59" s="160">
        <f t="shared" si="13"/>
        <v>0</v>
      </c>
      <c r="S59" s="96"/>
    </row>
    <row r="60" spans="2:19" ht="12.5" x14ac:dyDescent="0.35">
      <c r="B60" s="96" t="s">
        <v>440</v>
      </c>
      <c r="C60" s="96" t="s">
        <v>181</v>
      </c>
      <c r="D60" s="96" t="s">
        <v>336</v>
      </c>
      <c r="E60" s="96" t="s">
        <v>650</v>
      </c>
      <c r="F60" s="96" t="s">
        <v>318</v>
      </c>
      <c r="G60" s="105" t="str">
        <f t="shared" si="8"/>
        <v>Desinvesteringen TD</v>
      </c>
      <c r="H60" s="105">
        <f t="shared" si="7"/>
        <v>1</v>
      </c>
      <c r="I60" s="105">
        <f t="shared" si="7"/>
        <v>0</v>
      </c>
      <c r="J60" s="96">
        <v>45</v>
      </c>
      <c r="K60" s="96">
        <v>2015</v>
      </c>
      <c r="L60" s="96">
        <v>4094.0693079912403</v>
      </c>
      <c r="M60" s="156">
        <v>0.5</v>
      </c>
      <c r="N60" s="157">
        <f t="shared" si="9"/>
        <v>45</v>
      </c>
      <c r="O60" s="158">
        <f t="shared" si="10"/>
        <v>2015</v>
      </c>
      <c r="P60" s="159">
        <f t="shared" si="11"/>
        <v>0</v>
      </c>
      <c r="Q60" s="160">
        <f t="shared" si="12"/>
        <v>4094.0693079912403</v>
      </c>
      <c r="R60" s="160">
        <f t="shared" si="13"/>
        <v>0</v>
      </c>
      <c r="S60" s="96"/>
    </row>
    <row r="61" spans="2:19" ht="12.5" x14ac:dyDescent="0.35">
      <c r="B61" s="96" t="s">
        <v>440</v>
      </c>
      <c r="C61" s="96" t="s">
        <v>181</v>
      </c>
      <c r="D61" s="96" t="s">
        <v>336</v>
      </c>
      <c r="E61" s="96" t="s">
        <v>650</v>
      </c>
      <c r="F61" s="96" t="s">
        <v>318</v>
      </c>
      <c r="G61" s="105" t="str">
        <f t="shared" si="8"/>
        <v>Desinvesteringen TD</v>
      </c>
      <c r="H61" s="105">
        <f t="shared" si="7"/>
        <v>1</v>
      </c>
      <c r="I61" s="105">
        <f t="shared" si="7"/>
        <v>0</v>
      </c>
      <c r="J61" s="96">
        <v>45</v>
      </c>
      <c r="K61" s="96">
        <v>2016</v>
      </c>
      <c r="L61" s="96">
        <v>16493.739909233733</v>
      </c>
      <c r="M61" s="156">
        <v>0.5</v>
      </c>
      <c r="N61" s="157">
        <f t="shared" si="9"/>
        <v>45</v>
      </c>
      <c r="O61" s="158">
        <f t="shared" si="10"/>
        <v>2016</v>
      </c>
      <c r="P61" s="159">
        <f t="shared" si="11"/>
        <v>0</v>
      </c>
      <c r="Q61" s="160">
        <f t="shared" si="12"/>
        <v>16493.739909233733</v>
      </c>
      <c r="R61" s="160">
        <f t="shared" si="13"/>
        <v>0</v>
      </c>
      <c r="S61" s="96"/>
    </row>
    <row r="62" spans="2:19" ht="12.5" x14ac:dyDescent="0.35">
      <c r="B62" s="96" t="s">
        <v>440</v>
      </c>
      <c r="C62" s="96" t="s">
        <v>181</v>
      </c>
      <c r="D62" s="96" t="s">
        <v>336</v>
      </c>
      <c r="E62" s="96" t="s">
        <v>650</v>
      </c>
      <c r="F62" s="96" t="s">
        <v>318</v>
      </c>
      <c r="G62" s="105" t="str">
        <f t="shared" si="8"/>
        <v>Desinvesteringen TD</v>
      </c>
      <c r="H62" s="105">
        <f t="shared" si="7"/>
        <v>1</v>
      </c>
      <c r="I62" s="105">
        <f t="shared" si="7"/>
        <v>0</v>
      </c>
      <c r="J62" s="96">
        <v>45</v>
      </c>
      <c r="K62" s="96">
        <v>2017</v>
      </c>
      <c r="L62" s="96">
        <v>212.2596365012507</v>
      </c>
      <c r="M62" s="156">
        <v>0.5</v>
      </c>
      <c r="N62" s="157">
        <f t="shared" si="9"/>
        <v>45</v>
      </c>
      <c r="O62" s="158">
        <f t="shared" si="10"/>
        <v>2017</v>
      </c>
      <c r="P62" s="159">
        <f t="shared" si="11"/>
        <v>0</v>
      </c>
      <c r="Q62" s="160">
        <f t="shared" si="12"/>
        <v>212.2596365012507</v>
      </c>
      <c r="R62" s="160">
        <f t="shared" si="13"/>
        <v>0</v>
      </c>
      <c r="S62" s="96"/>
    </row>
    <row r="63" spans="2:19" ht="12.5" x14ac:dyDescent="0.35">
      <c r="B63" s="96" t="s">
        <v>440</v>
      </c>
      <c r="C63" s="96" t="s">
        <v>181</v>
      </c>
      <c r="D63" s="96" t="s">
        <v>336</v>
      </c>
      <c r="E63" s="96" t="s">
        <v>650</v>
      </c>
      <c r="F63" s="96" t="s">
        <v>318</v>
      </c>
      <c r="G63" s="105" t="str">
        <f t="shared" si="8"/>
        <v>Desinvesteringen TD</v>
      </c>
      <c r="H63" s="105">
        <f t="shared" si="7"/>
        <v>1</v>
      </c>
      <c r="I63" s="105">
        <f t="shared" si="7"/>
        <v>0</v>
      </c>
      <c r="J63" s="96">
        <v>45</v>
      </c>
      <c r="K63" s="96">
        <v>2018</v>
      </c>
      <c r="L63" s="96">
        <v>25919.279200557517</v>
      </c>
      <c r="M63" s="156">
        <v>0.5</v>
      </c>
      <c r="N63" s="157">
        <f t="shared" si="9"/>
        <v>45</v>
      </c>
      <c r="O63" s="158">
        <f t="shared" si="10"/>
        <v>2018</v>
      </c>
      <c r="P63" s="159">
        <f t="shared" si="11"/>
        <v>0</v>
      </c>
      <c r="Q63" s="160">
        <f t="shared" si="12"/>
        <v>25919.279200557517</v>
      </c>
      <c r="R63" s="160">
        <f t="shared" si="13"/>
        <v>0</v>
      </c>
      <c r="S63" s="96"/>
    </row>
    <row r="64" spans="2:19" ht="12.5" x14ac:dyDescent="0.35">
      <c r="B64" s="96" t="s">
        <v>440</v>
      </c>
      <c r="C64" s="96" t="s">
        <v>181</v>
      </c>
      <c r="D64" s="96" t="s">
        <v>336</v>
      </c>
      <c r="E64" s="96" t="s">
        <v>650</v>
      </c>
      <c r="F64" s="96" t="s">
        <v>325</v>
      </c>
      <c r="G64" s="105" t="str">
        <f t="shared" si="8"/>
        <v>Desinvesteringen AD</v>
      </c>
      <c r="H64" s="105">
        <f t="shared" si="7"/>
        <v>0</v>
      </c>
      <c r="I64" s="105">
        <f t="shared" si="7"/>
        <v>1</v>
      </c>
      <c r="J64" s="96">
        <v>39</v>
      </c>
      <c r="K64" s="96">
        <v>2009</v>
      </c>
      <c r="L64" s="96">
        <v>21039.870632851926</v>
      </c>
      <c r="M64" s="156">
        <v>0.5</v>
      </c>
      <c r="N64" s="157">
        <f t="shared" si="9"/>
        <v>37.5</v>
      </c>
      <c r="O64" s="158">
        <f t="shared" si="10"/>
        <v>2011</v>
      </c>
      <c r="P64" s="159">
        <f t="shared" si="11"/>
        <v>1</v>
      </c>
      <c r="Q64" s="160">
        <f t="shared" si="12"/>
        <v>20230.644839280696</v>
      </c>
      <c r="R64" s="160">
        <f t="shared" si="13"/>
        <v>20230.644839280696</v>
      </c>
      <c r="S64" s="96"/>
    </row>
    <row r="65" spans="2:19" ht="12.5" x14ac:dyDescent="0.35">
      <c r="B65" s="96" t="s">
        <v>440</v>
      </c>
      <c r="C65" s="96" t="s">
        <v>181</v>
      </c>
      <c r="D65" s="96" t="s">
        <v>336</v>
      </c>
      <c r="E65" s="96" t="s">
        <v>650</v>
      </c>
      <c r="F65" s="96" t="s">
        <v>325</v>
      </c>
      <c r="G65" s="105" t="str">
        <f t="shared" si="8"/>
        <v>Desinvesteringen AD</v>
      </c>
      <c r="H65" s="105">
        <f t="shared" si="7"/>
        <v>0</v>
      </c>
      <c r="I65" s="105">
        <f t="shared" si="7"/>
        <v>1</v>
      </c>
      <c r="J65" s="96">
        <v>39</v>
      </c>
      <c r="K65" s="96">
        <v>2010</v>
      </c>
      <c r="L65" s="96">
        <v>640381.31808727211</v>
      </c>
      <c r="M65" s="156">
        <v>0.5</v>
      </c>
      <c r="N65" s="157">
        <f t="shared" si="9"/>
        <v>38.5</v>
      </c>
      <c r="O65" s="158">
        <f t="shared" si="10"/>
        <v>2011</v>
      </c>
      <c r="P65" s="159">
        <f t="shared" si="11"/>
        <v>1</v>
      </c>
      <c r="Q65" s="160">
        <f t="shared" si="12"/>
        <v>632171.30118871736</v>
      </c>
      <c r="R65" s="160">
        <f t="shared" si="13"/>
        <v>632171.30118871736</v>
      </c>
      <c r="S65" s="96"/>
    </row>
    <row r="66" spans="2:19" ht="12.5" x14ac:dyDescent="0.35">
      <c r="B66" s="96" t="s">
        <v>440</v>
      </c>
      <c r="C66" s="96" t="s">
        <v>181</v>
      </c>
      <c r="D66" s="96" t="s">
        <v>336</v>
      </c>
      <c r="E66" s="96" t="s">
        <v>650</v>
      </c>
      <c r="F66" s="96" t="s">
        <v>325</v>
      </c>
      <c r="G66" s="105" t="str">
        <f t="shared" si="8"/>
        <v>Desinvesteringen AD</v>
      </c>
      <c r="H66" s="105">
        <f t="shared" si="7"/>
        <v>0</v>
      </c>
      <c r="I66" s="105">
        <f t="shared" si="7"/>
        <v>1</v>
      </c>
      <c r="J66" s="96">
        <v>39</v>
      </c>
      <c r="K66" s="96">
        <v>2011</v>
      </c>
      <c r="L66" s="96">
        <v>39084.610308660267</v>
      </c>
      <c r="M66" s="156">
        <v>0.5</v>
      </c>
      <c r="N66" s="157">
        <f t="shared" si="9"/>
        <v>39</v>
      </c>
      <c r="O66" s="158">
        <f t="shared" si="10"/>
        <v>2011</v>
      </c>
      <c r="P66" s="159">
        <f t="shared" si="11"/>
        <v>0</v>
      </c>
      <c r="Q66" s="160">
        <f t="shared" si="12"/>
        <v>39084.610308660267</v>
      </c>
      <c r="R66" s="160">
        <f t="shared" si="13"/>
        <v>0</v>
      </c>
      <c r="S66" s="96"/>
    </row>
    <row r="67" spans="2:19" ht="12.5" x14ac:dyDescent="0.35">
      <c r="B67" s="96" t="s">
        <v>440</v>
      </c>
      <c r="C67" s="96" t="s">
        <v>181</v>
      </c>
      <c r="D67" s="96" t="s">
        <v>336</v>
      </c>
      <c r="E67" s="96" t="s">
        <v>650</v>
      </c>
      <c r="F67" s="96" t="s">
        <v>325</v>
      </c>
      <c r="G67" s="105" t="str">
        <f t="shared" si="8"/>
        <v>Desinvesteringen AD</v>
      </c>
      <c r="H67" s="105">
        <f t="shared" si="7"/>
        <v>0</v>
      </c>
      <c r="I67" s="105">
        <f t="shared" si="7"/>
        <v>1</v>
      </c>
      <c r="J67" s="96">
        <v>39</v>
      </c>
      <c r="K67" s="96">
        <v>2012</v>
      </c>
      <c r="L67" s="96">
        <v>48529.486661332252</v>
      </c>
      <c r="M67" s="156">
        <v>0.5</v>
      </c>
      <c r="N67" s="157">
        <f t="shared" si="9"/>
        <v>39</v>
      </c>
      <c r="O67" s="158">
        <f t="shared" si="10"/>
        <v>2012</v>
      </c>
      <c r="P67" s="159">
        <f t="shared" si="11"/>
        <v>0</v>
      </c>
      <c r="Q67" s="160">
        <f t="shared" si="12"/>
        <v>48529.486661332252</v>
      </c>
      <c r="R67" s="160">
        <f t="shared" si="13"/>
        <v>0</v>
      </c>
      <c r="S67" s="96"/>
    </row>
    <row r="68" spans="2:19" ht="12.5" x14ac:dyDescent="0.35">
      <c r="B68" s="96" t="s">
        <v>440</v>
      </c>
      <c r="C68" s="96" t="s">
        <v>181</v>
      </c>
      <c r="D68" s="96" t="s">
        <v>336</v>
      </c>
      <c r="E68" s="96" t="s">
        <v>650</v>
      </c>
      <c r="F68" s="96" t="s">
        <v>325</v>
      </c>
      <c r="G68" s="105" t="str">
        <f t="shared" si="8"/>
        <v>Desinvesteringen AD</v>
      </c>
      <c r="H68" s="105">
        <f t="shared" si="7"/>
        <v>0</v>
      </c>
      <c r="I68" s="105">
        <f t="shared" si="7"/>
        <v>1</v>
      </c>
      <c r="J68" s="96">
        <v>39</v>
      </c>
      <c r="K68" s="96">
        <v>2013</v>
      </c>
      <c r="L68" s="96">
        <v>37363.115242944601</v>
      </c>
      <c r="M68" s="156">
        <v>0.5</v>
      </c>
      <c r="N68" s="157">
        <f t="shared" si="9"/>
        <v>39</v>
      </c>
      <c r="O68" s="158">
        <f t="shared" si="10"/>
        <v>2013</v>
      </c>
      <c r="P68" s="159">
        <f t="shared" si="11"/>
        <v>0</v>
      </c>
      <c r="Q68" s="160">
        <f t="shared" si="12"/>
        <v>37363.115242944601</v>
      </c>
      <c r="R68" s="160">
        <f t="shared" si="13"/>
        <v>0</v>
      </c>
      <c r="S68" s="96"/>
    </row>
    <row r="69" spans="2:19" ht="12.5" x14ac:dyDescent="0.35">
      <c r="B69" s="96" t="s">
        <v>440</v>
      </c>
      <c r="C69" s="96" t="s">
        <v>181</v>
      </c>
      <c r="D69" s="96" t="s">
        <v>336</v>
      </c>
      <c r="E69" s="96" t="s">
        <v>650</v>
      </c>
      <c r="F69" s="96" t="s">
        <v>325</v>
      </c>
      <c r="G69" s="105" t="str">
        <f t="shared" si="8"/>
        <v>Desinvesteringen AD</v>
      </c>
      <c r="H69" s="105">
        <f t="shared" si="7"/>
        <v>0</v>
      </c>
      <c r="I69" s="105">
        <f t="shared" si="7"/>
        <v>1</v>
      </c>
      <c r="J69" s="96">
        <v>39</v>
      </c>
      <c r="K69" s="96">
        <v>2014</v>
      </c>
      <c r="L69" s="96">
        <v>35552.440840142292</v>
      </c>
      <c r="M69" s="156">
        <v>0.5</v>
      </c>
      <c r="N69" s="157">
        <f t="shared" si="9"/>
        <v>39</v>
      </c>
      <c r="O69" s="158">
        <f t="shared" si="10"/>
        <v>2014</v>
      </c>
      <c r="P69" s="159">
        <f t="shared" si="11"/>
        <v>0</v>
      </c>
      <c r="Q69" s="160">
        <f t="shared" si="12"/>
        <v>35552.440840142292</v>
      </c>
      <c r="R69" s="160">
        <f t="shared" si="13"/>
        <v>0</v>
      </c>
      <c r="S69" s="96"/>
    </row>
    <row r="70" spans="2:19" ht="12.5" x14ac:dyDescent="0.35">
      <c r="B70" s="96" t="s">
        <v>440</v>
      </c>
      <c r="C70" s="96" t="s">
        <v>181</v>
      </c>
      <c r="D70" s="96" t="s">
        <v>336</v>
      </c>
      <c r="E70" s="96" t="s">
        <v>650</v>
      </c>
      <c r="F70" s="96" t="s">
        <v>325</v>
      </c>
      <c r="G70" s="105" t="str">
        <f t="shared" si="8"/>
        <v>Desinvesteringen AD</v>
      </c>
      <c r="H70" s="105">
        <f t="shared" si="7"/>
        <v>0</v>
      </c>
      <c r="I70" s="105">
        <f t="shared" si="7"/>
        <v>1</v>
      </c>
      <c r="J70" s="96">
        <v>39</v>
      </c>
      <c r="K70" s="96">
        <v>2015</v>
      </c>
      <c r="L70" s="96">
        <v>47302.220891675897</v>
      </c>
      <c r="M70" s="156">
        <v>0.5</v>
      </c>
      <c r="N70" s="157">
        <f t="shared" si="9"/>
        <v>39</v>
      </c>
      <c r="O70" s="158">
        <f t="shared" si="10"/>
        <v>2015</v>
      </c>
      <c r="P70" s="159">
        <f t="shared" si="11"/>
        <v>0</v>
      </c>
      <c r="Q70" s="160">
        <f t="shared" si="12"/>
        <v>47302.220891675897</v>
      </c>
      <c r="R70" s="160">
        <f t="shared" si="13"/>
        <v>0</v>
      </c>
      <c r="S70" s="96"/>
    </row>
    <row r="71" spans="2:19" ht="12.5" x14ac:dyDescent="0.35">
      <c r="B71" s="96" t="s">
        <v>440</v>
      </c>
      <c r="C71" s="96" t="s">
        <v>181</v>
      </c>
      <c r="D71" s="96" t="s">
        <v>336</v>
      </c>
      <c r="E71" s="96" t="s">
        <v>650</v>
      </c>
      <c r="F71" s="96" t="s">
        <v>325</v>
      </c>
      <c r="G71" s="105" t="str">
        <f t="shared" si="8"/>
        <v>Desinvesteringen AD</v>
      </c>
      <c r="H71" s="105">
        <f t="shared" si="7"/>
        <v>0</v>
      </c>
      <c r="I71" s="105">
        <f t="shared" si="7"/>
        <v>1</v>
      </c>
      <c r="J71" s="96">
        <v>39</v>
      </c>
      <c r="K71" s="96">
        <v>2016</v>
      </c>
      <c r="L71" s="96">
        <v>44475.904935652099</v>
      </c>
      <c r="M71" s="156">
        <v>0.5</v>
      </c>
      <c r="N71" s="157">
        <f t="shared" si="9"/>
        <v>39</v>
      </c>
      <c r="O71" s="158">
        <f t="shared" si="10"/>
        <v>2016</v>
      </c>
      <c r="P71" s="159">
        <f t="shared" si="11"/>
        <v>0</v>
      </c>
      <c r="Q71" s="160">
        <f t="shared" si="12"/>
        <v>44475.904935652099</v>
      </c>
      <c r="R71" s="160">
        <f t="shared" si="13"/>
        <v>0</v>
      </c>
      <c r="S71" s="96"/>
    </row>
    <row r="72" spans="2:19" ht="12.5" x14ac:dyDescent="0.35">
      <c r="B72" s="96" t="s">
        <v>440</v>
      </c>
      <c r="C72" s="96" t="s">
        <v>181</v>
      </c>
      <c r="D72" s="96" t="s">
        <v>336</v>
      </c>
      <c r="E72" s="96" t="s">
        <v>650</v>
      </c>
      <c r="F72" s="96" t="s">
        <v>325</v>
      </c>
      <c r="G72" s="105" t="str">
        <f t="shared" si="8"/>
        <v>Desinvesteringen AD</v>
      </c>
      <c r="H72" s="105">
        <f t="shared" si="7"/>
        <v>0</v>
      </c>
      <c r="I72" s="105">
        <f t="shared" si="7"/>
        <v>1</v>
      </c>
      <c r="J72" s="96">
        <v>39</v>
      </c>
      <c r="K72" s="96">
        <v>2017</v>
      </c>
      <c r="L72" s="96">
        <v>69588.081864140418</v>
      </c>
      <c r="M72" s="156">
        <v>0.5</v>
      </c>
      <c r="N72" s="157">
        <f t="shared" si="9"/>
        <v>39</v>
      </c>
      <c r="O72" s="158">
        <f t="shared" si="10"/>
        <v>2017</v>
      </c>
      <c r="P72" s="159">
        <f t="shared" si="11"/>
        <v>0</v>
      </c>
      <c r="Q72" s="160">
        <f t="shared" si="12"/>
        <v>69588.081864140418</v>
      </c>
      <c r="R72" s="160">
        <f t="shared" si="13"/>
        <v>0</v>
      </c>
      <c r="S72" s="96"/>
    </row>
    <row r="73" spans="2:19" ht="12.5" x14ac:dyDescent="0.35">
      <c r="B73" s="96" t="s">
        <v>440</v>
      </c>
      <c r="C73" s="96" t="s">
        <v>181</v>
      </c>
      <c r="D73" s="96" t="s">
        <v>336</v>
      </c>
      <c r="E73" s="96" t="s">
        <v>650</v>
      </c>
      <c r="F73" s="96" t="s">
        <v>325</v>
      </c>
      <c r="G73" s="105" t="str">
        <f t="shared" si="8"/>
        <v>Desinvesteringen AD</v>
      </c>
      <c r="H73" s="105">
        <f t="shared" si="7"/>
        <v>0</v>
      </c>
      <c r="I73" s="105">
        <f t="shared" si="7"/>
        <v>1</v>
      </c>
      <c r="J73" s="96">
        <v>39</v>
      </c>
      <c r="K73" s="96">
        <v>2018</v>
      </c>
      <c r="L73" s="96">
        <v>126353.58796027793</v>
      </c>
      <c r="M73" s="156">
        <v>0.5</v>
      </c>
      <c r="N73" s="157">
        <f t="shared" si="9"/>
        <v>39</v>
      </c>
      <c r="O73" s="158">
        <f t="shared" si="10"/>
        <v>2018</v>
      </c>
      <c r="P73" s="159">
        <f t="shared" si="11"/>
        <v>0</v>
      </c>
      <c r="Q73" s="160">
        <f t="shared" si="12"/>
        <v>126353.58796027793</v>
      </c>
      <c r="R73" s="160">
        <f t="shared" si="13"/>
        <v>0</v>
      </c>
      <c r="S73" s="96"/>
    </row>
    <row r="74" spans="2:19" ht="12.5" x14ac:dyDescent="0.35">
      <c r="B74" s="96" t="s">
        <v>440</v>
      </c>
      <c r="C74" s="96" t="s">
        <v>181</v>
      </c>
      <c r="D74" s="96" t="s">
        <v>336</v>
      </c>
      <c r="E74" s="96" t="s">
        <v>650</v>
      </c>
      <c r="F74" s="96" t="s">
        <v>325</v>
      </c>
      <c r="G74" s="105" t="str">
        <f t="shared" si="8"/>
        <v>Desinvesteringen AD</v>
      </c>
      <c r="H74" s="105">
        <f t="shared" si="7"/>
        <v>0</v>
      </c>
      <c r="I74" s="105">
        <f t="shared" si="7"/>
        <v>1</v>
      </c>
      <c r="J74" s="96">
        <v>39</v>
      </c>
      <c r="K74" s="96">
        <v>2019</v>
      </c>
      <c r="L74" s="96">
        <v>55252.920071623033</v>
      </c>
      <c r="M74" s="156">
        <v>0.5</v>
      </c>
      <c r="N74" s="157">
        <f t="shared" si="9"/>
        <v>39</v>
      </c>
      <c r="O74" s="158">
        <f t="shared" si="10"/>
        <v>2019</v>
      </c>
      <c r="P74" s="159">
        <f t="shared" si="11"/>
        <v>0</v>
      </c>
      <c r="Q74" s="160">
        <f t="shared" si="12"/>
        <v>55252.920071623033</v>
      </c>
      <c r="R74" s="160">
        <f t="shared" si="13"/>
        <v>0</v>
      </c>
      <c r="S74" s="96"/>
    </row>
    <row r="75" spans="2:19" ht="12.5" x14ac:dyDescent="0.35">
      <c r="B75" s="96" t="s">
        <v>440</v>
      </c>
      <c r="C75" s="96" t="s">
        <v>181</v>
      </c>
      <c r="D75" s="96" t="s">
        <v>336</v>
      </c>
      <c r="E75" s="96" t="s">
        <v>650</v>
      </c>
      <c r="F75" s="96" t="s">
        <v>325</v>
      </c>
      <c r="G75" s="105" t="str">
        <f t="shared" ref="G75:G87" si="14">C75&amp;" "&amp;F75</f>
        <v>Desinvesteringen AD</v>
      </c>
      <c r="H75" s="105">
        <f t="shared" si="7"/>
        <v>0</v>
      </c>
      <c r="I75" s="105">
        <f t="shared" si="7"/>
        <v>1</v>
      </c>
      <c r="J75" s="96">
        <v>39</v>
      </c>
      <c r="K75" s="96">
        <v>2020</v>
      </c>
      <c r="L75" s="96">
        <v>22860.953787782106</v>
      </c>
      <c r="M75" s="156">
        <v>0.5</v>
      </c>
      <c r="N75" s="157">
        <f t="shared" si="9"/>
        <v>39</v>
      </c>
      <c r="O75" s="158">
        <f t="shared" si="10"/>
        <v>2020</v>
      </c>
      <c r="P75" s="159">
        <f t="shared" si="11"/>
        <v>0</v>
      </c>
      <c r="Q75" s="160">
        <f t="shared" si="12"/>
        <v>22860.953787782106</v>
      </c>
      <c r="R75" s="160">
        <f t="shared" si="13"/>
        <v>0</v>
      </c>
      <c r="S75" s="96"/>
    </row>
    <row r="76" spans="2:19" ht="12.5" x14ac:dyDescent="0.35">
      <c r="B76" s="96" t="s">
        <v>440</v>
      </c>
      <c r="C76" s="96" t="s">
        <v>181</v>
      </c>
      <c r="D76" s="96" t="s">
        <v>336</v>
      </c>
      <c r="E76" s="96" t="s">
        <v>650</v>
      </c>
      <c r="F76" s="96" t="s">
        <v>325</v>
      </c>
      <c r="G76" s="105" t="str">
        <f t="shared" si="14"/>
        <v>Desinvesteringen AD</v>
      </c>
      <c r="H76" s="105">
        <f t="shared" si="7"/>
        <v>0</v>
      </c>
      <c r="I76" s="105">
        <f t="shared" si="7"/>
        <v>1</v>
      </c>
      <c r="J76" s="96">
        <v>39</v>
      </c>
      <c r="K76" s="96">
        <v>2021</v>
      </c>
      <c r="L76" s="96">
        <v>18890.146970147431</v>
      </c>
      <c r="M76" s="156">
        <v>0.5</v>
      </c>
      <c r="N76" s="157">
        <f t="shared" si="9"/>
        <v>39</v>
      </c>
      <c r="O76" s="158">
        <f t="shared" si="10"/>
        <v>2021</v>
      </c>
      <c r="P76" s="159">
        <f t="shared" si="11"/>
        <v>0</v>
      </c>
      <c r="Q76" s="160">
        <f t="shared" si="12"/>
        <v>18890.146970147431</v>
      </c>
      <c r="R76" s="160">
        <f t="shared" si="13"/>
        <v>0</v>
      </c>
      <c r="S76" s="96"/>
    </row>
    <row r="77" spans="2:19" ht="12.5" x14ac:dyDescent="0.35">
      <c r="B77" s="96" t="s">
        <v>440</v>
      </c>
      <c r="C77" s="96" t="s">
        <v>181</v>
      </c>
      <c r="D77" s="96" t="s">
        <v>336</v>
      </c>
      <c r="E77" s="96" t="s">
        <v>650</v>
      </c>
      <c r="F77" s="96" t="s">
        <v>325</v>
      </c>
      <c r="G77" s="105" t="str">
        <f t="shared" si="14"/>
        <v>Desinvesteringen AD</v>
      </c>
      <c r="H77" s="105">
        <f t="shared" si="7"/>
        <v>0</v>
      </c>
      <c r="I77" s="105">
        <f t="shared" si="7"/>
        <v>1</v>
      </c>
      <c r="J77" s="96">
        <v>39</v>
      </c>
      <c r="K77" s="96">
        <v>2022</v>
      </c>
      <c r="L77" s="96">
        <v>27268.418745394785</v>
      </c>
      <c r="M77" s="156">
        <v>0.5</v>
      </c>
      <c r="N77" s="157">
        <f t="shared" si="9"/>
        <v>39</v>
      </c>
      <c r="O77" s="158">
        <f t="shared" si="10"/>
        <v>2022</v>
      </c>
      <c r="P77" s="159">
        <f t="shared" si="11"/>
        <v>0</v>
      </c>
      <c r="Q77" s="160">
        <f t="shared" si="12"/>
        <v>27268.418745394785</v>
      </c>
      <c r="R77" s="160">
        <f t="shared" si="13"/>
        <v>0</v>
      </c>
      <c r="S77" s="96"/>
    </row>
    <row r="78" spans="2:19" ht="12.5" x14ac:dyDescent="0.35">
      <c r="B78" s="96" t="s">
        <v>67</v>
      </c>
      <c r="C78" s="96" t="s">
        <v>181</v>
      </c>
      <c r="D78" s="96" t="s">
        <v>336</v>
      </c>
      <c r="E78" s="96" t="s">
        <v>650</v>
      </c>
      <c r="F78" s="96" t="s">
        <v>325</v>
      </c>
      <c r="G78" s="105" t="str">
        <f t="shared" si="14"/>
        <v>Desinvesteringen AD</v>
      </c>
      <c r="H78" s="105">
        <f t="shared" si="7"/>
        <v>0</v>
      </c>
      <c r="I78" s="105">
        <f t="shared" si="7"/>
        <v>1</v>
      </c>
      <c r="J78" s="96">
        <v>39</v>
      </c>
      <c r="K78" s="96">
        <v>2009</v>
      </c>
      <c r="L78" s="96">
        <v>27742.157556367798</v>
      </c>
      <c r="M78" s="156">
        <v>0.5</v>
      </c>
      <c r="N78" s="157">
        <f t="shared" si="9"/>
        <v>37.5</v>
      </c>
      <c r="O78" s="158">
        <f t="shared" si="10"/>
        <v>2011</v>
      </c>
      <c r="P78" s="159">
        <f t="shared" si="11"/>
        <v>1</v>
      </c>
      <c r="Q78" s="160">
        <f t="shared" si="12"/>
        <v>26675.151496507497</v>
      </c>
      <c r="R78" s="160">
        <f t="shared" si="13"/>
        <v>26675.151496507497</v>
      </c>
      <c r="S78" s="96"/>
    </row>
    <row r="79" spans="2:19" ht="12.5" x14ac:dyDescent="0.35">
      <c r="B79" s="96" t="s">
        <v>67</v>
      </c>
      <c r="C79" s="96" t="s">
        <v>181</v>
      </c>
      <c r="D79" s="96" t="s">
        <v>336</v>
      </c>
      <c r="E79" s="96" t="s">
        <v>650</v>
      </c>
      <c r="F79" s="96" t="s">
        <v>325</v>
      </c>
      <c r="G79" s="105" t="str">
        <f t="shared" si="14"/>
        <v>Desinvesteringen AD</v>
      </c>
      <c r="H79" s="105">
        <f t="shared" si="7"/>
        <v>0</v>
      </c>
      <c r="I79" s="105">
        <f t="shared" si="7"/>
        <v>1</v>
      </c>
      <c r="J79" s="96">
        <v>39</v>
      </c>
      <c r="K79" s="96">
        <v>2010</v>
      </c>
      <c r="L79" s="96">
        <v>30451.51086816406</v>
      </c>
      <c r="M79" s="156">
        <v>0.5</v>
      </c>
      <c r="N79" s="157">
        <f t="shared" si="9"/>
        <v>38.5</v>
      </c>
      <c r="O79" s="158">
        <f t="shared" si="10"/>
        <v>2011</v>
      </c>
      <c r="P79" s="159">
        <f t="shared" si="11"/>
        <v>1</v>
      </c>
      <c r="Q79" s="160">
        <f t="shared" si="12"/>
        <v>30061.106882674776</v>
      </c>
      <c r="R79" s="160">
        <f t="shared" si="13"/>
        <v>30061.106882674776</v>
      </c>
      <c r="S79" s="96"/>
    </row>
    <row r="80" spans="2:19" ht="12.5" x14ac:dyDescent="0.35">
      <c r="B80" s="96" t="s">
        <v>67</v>
      </c>
      <c r="C80" s="96" t="s">
        <v>181</v>
      </c>
      <c r="D80" s="96" t="s">
        <v>336</v>
      </c>
      <c r="E80" s="96" t="s">
        <v>650</v>
      </c>
      <c r="F80" s="96" t="s">
        <v>325</v>
      </c>
      <c r="G80" s="105" t="str">
        <f t="shared" si="14"/>
        <v>Desinvesteringen AD</v>
      </c>
      <c r="H80" s="105">
        <f t="shared" si="7"/>
        <v>0</v>
      </c>
      <c r="I80" s="105">
        <f t="shared" si="7"/>
        <v>1</v>
      </c>
      <c r="J80" s="96">
        <v>39</v>
      </c>
      <c r="K80" s="96">
        <v>2011</v>
      </c>
      <c r="L80" s="96">
        <v>13759.247875095623</v>
      </c>
      <c r="M80" s="156">
        <v>0.5</v>
      </c>
      <c r="N80" s="157">
        <f t="shared" si="9"/>
        <v>39</v>
      </c>
      <c r="O80" s="158">
        <f t="shared" si="10"/>
        <v>2011</v>
      </c>
      <c r="P80" s="159">
        <f t="shared" si="11"/>
        <v>0</v>
      </c>
      <c r="Q80" s="160">
        <f t="shared" si="12"/>
        <v>13759.247875095623</v>
      </c>
      <c r="R80" s="160">
        <f t="shared" si="13"/>
        <v>0</v>
      </c>
      <c r="S80" s="96"/>
    </row>
    <row r="81" spans="2:19" ht="12.5" x14ac:dyDescent="0.35">
      <c r="B81" s="96" t="s">
        <v>67</v>
      </c>
      <c r="C81" s="96" t="s">
        <v>181</v>
      </c>
      <c r="D81" s="96" t="s">
        <v>336</v>
      </c>
      <c r="E81" s="96" t="s">
        <v>650</v>
      </c>
      <c r="F81" s="96" t="s">
        <v>325</v>
      </c>
      <c r="G81" s="105" t="str">
        <f t="shared" si="14"/>
        <v>Desinvesteringen AD</v>
      </c>
      <c r="H81" s="105">
        <f t="shared" si="7"/>
        <v>0</v>
      </c>
      <c r="I81" s="105">
        <f t="shared" si="7"/>
        <v>1</v>
      </c>
      <c r="J81" s="96">
        <v>39</v>
      </c>
      <c r="K81" s="96">
        <v>2012</v>
      </c>
      <c r="L81" s="96">
        <v>4577.907433325855</v>
      </c>
      <c r="M81" s="156">
        <v>0.5</v>
      </c>
      <c r="N81" s="157">
        <f t="shared" si="9"/>
        <v>39</v>
      </c>
      <c r="O81" s="158">
        <f t="shared" si="10"/>
        <v>2012</v>
      </c>
      <c r="P81" s="159">
        <f t="shared" si="11"/>
        <v>0</v>
      </c>
      <c r="Q81" s="160">
        <f t="shared" si="12"/>
        <v>4577.907433325855</v>
      </c>
      <c r="R81" s="160">
        <f t="shared" si="13"/>
        <v>0</v>
      </c>
      <c r="S81" s="96"/>
    </row>
    <row r="82" spans="2:19" ht="12.5" x14ac:dyDescent="0.35">
      <c r="B82" s="96" t="s">
        <v>67</v>
      </c>
      <c r="C82" s="96" t="s">
        <v>181</v>
      </c>
      <c r="D82" s="96" t="s">
        <v>336</v>
      </c>
      <c r="E82" s="96" t="s">
        <v>650</v>
      </c>
      <c r="F82" s="96" t="s">
        <v>325</v>
      </c>
      <c r="G82" s="105" t="str">
        <f t="shared" si="14"/>
        <v>Desinvesteringen AD</v>
      </c>
      <c r="H82" s="105">
        <f t="shared" si="7"/>
        <v>0</v>
      </c>
      <c r="I82" s="105">
        <f t="shared" si="7"/>
        <v>1</v>
      </c>
      <c r="J82" s="96">
        <v>39</v>
      </c>
      <c r="K82" s="96">
        <v>2013</v>
      </c>
      <c r="L82" s="96">
        <v>1459.46889710295</v>
      </c>
      <c r="M82" s="156">
        <v>0.5</v>
      </c>
      <c r="N82" s="157">
        <f t="shared" si="9"/>
        <v>39</v>
      </c>
      <c r="O82" s="158">
        <f t="shared" si="10"/>
        <v>2013</v>
      </c>
      <c r="P82" s="159">
        <f t="shared" si="11"/>
        <v>0</v>
      </c>
      <c r="Q82" s="160">
        <f t="shared" si="12"/>
        <v>1459.46889710295</v>
      </c>
      <c r="R82" s="160">
        <f t="shared" si="13"/>
        <v>0</v>
      </c>
      <c r="S82" s="96"/>
    </row>
    <row r="83" spans="2:19" ht="12.5" x14ac:dyDescent="0.35">
      <c r="B83" s="96" t="s">
        <v>67</v>
      </c>
      <c r="C83" s="96" t="s">
        <v>181</v>
      </c>
      <c r="D83" s="96" t="s">
        <v>336</v>
      </c>
      <c r="E83" s="96" t="s">
        <v>650</v>
      </c>
      <c r="F83" s="96" t="s">
        <v>325</v>
      </c>
      <c r="G83" s="105" t="str">
        <f t="shared" si="14"/>
        <v>Desinvesteringen AD</v>
      </c>
      <c r="H83" s="105">
        <f t="shared" si="7"/>
        <v>0</v>
      </c>
      <c r="I83" s="105">
        <f t="shared" si="7"/>
        <v>1</v>
      </c>
      <c r="J83" s="96">
        <v>39</v>
      </c>
      <c r="K83" s="96">
        <v>2014</v>
      </c>
      <c r="L83" s="96">
        <v>4871.3998613273061</v>
      </c>
      <c r="M83" s="156">
        <v>0.5</v>
      </c>
      <c r="N83" s="157">
        <f t="shared" si="9"/>
        <v>39</v>
      </c>
      <c r="O83" s="158">
        <f t="shared" si="10"/>
        <v>2014</v>
      </c>
      <c r="P83" s="159">
        <f t="shared" si="11"/>
        <v>0</v>
      </c>
      <c r="Q83" s="160">
        <f t="shared" si="12"/>
        <v>4871.3998613273061</v>
      </c>
      <c r="R83" s="160">
        <f t="shared" si="13"/>
        <v>0</v>
      </c>
      <c r="S83" s="96"/>
    </row>
    <row r="84" spans="2:19" ht="12.5" x14ac:dyDescent="0.35">
      <c r="B84" s="96" t="s">
        <v>67</v>
      </c>
      <c r="C84" s="96" t="s">
        <v>181</v>
      </c>
      <c r="D84" s="96" t="s">
        <v>336</v>
      </c>
      <c r="E84" s="96" t="s">
        <v>650</v>
      </c>
      <c r="F84" s="96" t="s">
        <v>325</v>
      </c>
      <c r="G84" s="105" t="str">
        <f t="shared" si="14"/>
        <v>Desinvesteringen AD</v>
      </c>
      <c r="H84" s="105">
        <f t="shared" si="7"/>
        <v>0</v>
      </c>
      <c r="I84" s="105">
        <f t="shared" si="7"/>
        <v>1</v>
      </c>
      <c r="J84" s="96">
        <v>39</v>
      </c>
      <c r="K84" s="96">
        <v>2015</v>
      </c>
      <c r="L84" s="96">
        <v>8913.1159228174311</v>
      </c>
      <c r="M84" s="156">
        <v>0.5</v>
      </c>
      <c r="N84" s="157">
        <f t="shared" si="9"/>
        <v>39</v>
      </c>
      <c r="O84" s="158">
        <f t="shared" si="10"/>
        <v>2015</v>
      </c>
      <c r="P84" s="159">
        <f t="shared" si="11"/>
        <v>0</v>
      </c>
      <c r="Q84" s="160">
        <f t="shared" si="12"/>
        <v>8913.1159228174311</v>
      </c>
      <c r="R84" s="160">
        <f t="shared" si="13"/>
        <v>0</v>
      </c>
      <c r="S84" s="96"/>
    </row>
    <row r="85" spans="2:19" ht="12.5" x14ac:dyDescent="0.35">
      <c r="B85" s="96" t="s">
        <v>67</v>
      </c>
      <c r="C85" s="96" t="s">
        <v>181</v>
      </c>
      <c r="D85" s="96" t="s">
        <v>336</v>
      </c>
      <c r="E85" s="96" t="s">
        <v>650</v>
      </c>
      <c r="F85" s="96" t="s">
        <v>325</v>
      </c>
      <c r="G85" s="105" t="str">
        <f t="shared" si="14"/>
        <v>Desinvesteringen AD</v>
      </c>
      <c r="H85" s="105">
        <f t="shared" si="7"/>
        <v>0</v>
      </c>
      <c r="I85" s="105">
        <f t="shared" si="7"/>
        <v>1</v>
      </c>
      <c r="J85" s="96">
        <v>39</v>
      </c>
      <c r="K85" s="96">
        <v>2016</v>
      </c>
      <c r="L85" s="96">
        <v>4199.5759006877861</v>
      </c>
      <c r="M85" s="156">
        <v>0.5</v>
      </c>
      <c r="N85" s="157">
        <f t="shared" si="9"/>
        <v>39</v>
      </c>
      <c r="O85" s="158">
        <f t="shared" si="10"/>
        <v>2016</v>
      </c>
      <c r="P85" s="159">
        <f t="shared" si="11"/>
        <v>0</v>
      </c>
      <c r="Q85" s="160">
        <f t="shared" si="12"/>
        <v>4199.5759006877861</v>
      </c>
      <c r="R85" s="160">
        <f t="shared" si="13"/>
        <v>0</v>
      </c>
      <c r="S85" s="96"/>
    </row>
    <row r="86" spans="2:19" ht="12.5" x14ac:dyDescent="0.35">
      <c r="B86" s="96" t="s">
        <v>67</v>
      </c>
      <c r="C86" s="96" t="s">
        <v>181</v>
      </c>
      <c r="D86" s="96" t="s">
        <v>336</v>
      </c>
      <c r="E86" s="96" t="s">
        <v>650</v>
      </c>
      <c r="F86" s="96" t="s">
        <v>325</v>
      </c>
      <c r="G86" s="105" t="str">
        <f t="shared" si="14"/>
        <v>Desinvesteringen AD</v>
      </c>
      <c r="H86" s="105">
        <f t="shared" si="7"/>
        <v>0</v>
      </c>
      <c r="I86" s="105">
        <f t="shared" si="7"/>
        <v>1</v>
      </c>
      <c r="J86" s="96">
        <v>39</v>
      </c>
      <c r="K86" s="96">
        <v>2017</v>
      </c>
      <c r="L86" s="96">
        <v>7121.50954885179</v>
      </c>
      <c r="M86" s="156">
        <v>0.5</v>
      </c>
      <c r="N86" s="157">
        <f t="shared" si="9"/>
        <v>39</v>
      </c>
      <c r="O86" s="158">
        <f t="shared" si="10"/>
        <v>2017</v>
      </c>
      <c r="P86" s="159">
        <f t="shared" si="11"/>
        <v>0</v>
      </c>
      <c r="Q86" s="160">
        <f t="shared" si="12"/>
        <v>7121.50954885179</v>
      </c>
      <c r="R86" s="160">
        <f t="shared" si="13"/>
        <v>0</v>
      </c>
      <c r="S86" s="96"/>
    </row>
    <row r="87" spans="2:19" ht="12.5" x14ac:dyDescent="0.35">
      <c r="B87" s="96" t="s">
        <v>67</v>
      </c>
      <c r="C87" s="96" t="s">
        <v>181</v>
      </c>
      <c r="D87" s="96" t="s">
        <v>336</v>
      </c>
      <c r="E87" s="96" t="s">
        <v>650</v>
      </c>
      <c r="F87" s="96" t="s">
        <v>325</v>
      </c>
      <c r="G87" s="105" t="str">
        <f t="shared" si="14"/>
        <v>Desinvesteringen AD</v>
      </c>
      <c r="H87" s="105">
        <f t="shared" si="7"/>
        <v>0</v>
      </c>
      <c r="I87" s="105">
        <f t="shared" si="7"/>
        <v>1</v>
      </c>
      <c r="J87" s="96">
        <v>39</v>
      </c>
      <c r="K87" s="96">
        <v>2018</v>
      </c>
      <c r="L87" s="96">
        <v>733.61938596322727</v>
      </c>
      <c r="M87" s="156">
        <v>0.5</v>
      </c>
      <c r="N87" s="157">
        <f t="shared" si="9"/>
        <v>39</v>
      </c>
      <c r="O87" s="158">
        <f t="shared" si="10"/>
        <v>2018</v>
      </c>
      <c r="P87" s="159">
        <f t="shared" si="11"/>
        <v>0</v>
      </c>
      <c r="Q87" s="160">
        <f t="shared" si="12"/>
        <v>733.61938596322727</v>
      </c>
      <c r="R87" s="160">
        <f t="shared" si="13"/>
        <v>0</v>
      </c>
      <c r="S87" s="96"/>
    </row>
    <row r="88" spans="2:19" ht="12.5" x14ac:dyDescent="0.35">
      <c r="B88" s="96" t="s">
        <v>67</v>
      </c>
      <c r="C88" s="96" t="s">
        <v>181</v>
      </c>
      <c r="D88" s="96" t="s">
        <v>336</v>
      </c>
      <c r="E88" s="96" t="s">
        <v>650</v>
      </c>
      <c r="F88" s="96" t="s">
        <v>325</v>
      </c>
      <c r="G88" s="105" t="str">
        <f t="shared" ref="G88:G93" si="15">C88&amp;" "&amp;F88</f>
        <v>Desinvesteringen AD</v>
      </c>
      <c r="H88" s="105">
        <f t="shared" si="7"/>
        <v>0</v>
      </c>
      <c r="I88" s="105">
        <f t="shared" si="7"/>
        <v>1</v>
      </c>
      <c r="J88" s="96">
        <v>39</v>
      </c>
      <c r="K88" s="96">
        <v>2019</v>
      </c>
      <c r="L88" s="96">
        <v>4412.2130922938595</v>
      </c>
      <c r="M88" s="156">
        <v>0.5</v>
      </c>
      <c r="N88" s="157">
        <f t="shared" si="9"/>
        <v>39</v>
      </c>
      <c r="O88" s="158">
        <f t="shared" si="10"/>
        <v>2019</v>
      </c>
      <c r="P88" s="159">
        <f t="shared" si="11"/>
        <v>0</v>
      </c>
      <c r="Q88" s="160">
        <f t="shared" si="12"/>
        <v>4412.2130922938595</v>
      </c>
      <c r="R88" s="160">
        <f t="shared" si="13"/>
        <v>0</v>
      </c>
      <c r="S88" s="96"/>
    </row>
    <row r="89" spans="2:19" ht="12.5" x14ac:dyDescent="0.35">
      <c r="B89" s="96" t="s">
        <v>67</v>
      </c>
      <c r="C89" s="96" t="s">
        <v>181</v>
      </c>
      <c r="D89" s="96" t="s">
        <v>336</v>
      </c>
      <c r="E89" s="96" t="s">
        <v>650</v>
      </c>
      <c r="F89" s="96" t="s">
        <v>325</v>
      </c>
      <c r="G89" s="105" t="str">
        <f t="shared" si="15"/>
        <v>Desinvesteringen AD</v>
      </c>
      <c r="H89" s="105">
        <f t="shared" si="7"/>
        <v>0</v>
      </c>
      <c r="I89" s="105">
        <f>IF($F89=I$24,1,0)</f>
        <v>1</v>
      </c>
      <c r="J89" s="96">
        <v>39</v>
      </c>
      <c r="K89" s="96">
        <v>2020</v>
      </c>
      <c r="L89" s="96">
        <v>12504.613697366831</v>
      </c>
      <c r="M89" s="156">
        <v>0.5</v>
      </c>
      <c r="N89" s="157">
        <f t="shared" ref="N89:N94" si="16">IF(OR(J89=0,J89+K89+M89&lt;2011),0,MIN(J89,J89+M89+K89-2011))</f>
        <v>39</v>
      </c>
      <c r="O89" s="158">
        <f t="shared" ref="O89:O94" si="17">MAX(2011,K89)</f>
        <v>2020</v>
      </c>
      <c r="P89" s="159">
        <f t="shared" ref="P89:P94" si="18">IF(K89&lt;2011,IF(F89=$P$23,VLOOKUP(K89,$B$13:$H$19,7),1),0)</f>
        <v>0</v>
      </c>
      <c r="Q89" s="160">
        <f t="shared" ref="Q89:Q100" si="19">IF(K89&lt;2011,L89-(J89-N89)*L89/J89,L89)</f>
        <v>12504.613697366831</v>
      </c>
      <c r="R89" s="160">
        <f t="shared" ref="R89:R100" si="20">Q89*P89</f>
        <v>0</v>
      </c>
      <c r="S89" s="96"/>
    </row>
    <row r="90" spans="2:19" ht="12.5" x14ac:dyDescent="0.35">
      <c r="B90" s="96" t="s">
        <v>67</v>
      </c>
      <c r="C90" s="96" t="s">
        <v>181</v>
      </c>
      <c r="D90" s="96" t="s">
        <v>336</v>
      </c>
      <c r="E90" s="96" t="s">
        <v>650</v>
      </c>
      <c r="F90" s="96" t="s">
        <v>325</v>
      </c>
      <c r="G90" s="105" t="str">
        <f t="shared" si="15"/>
        <v>Desinvesteringen AD</v>
      </c>
      <c r="H90" s="105">
        <f t="shared" si="7"/>
        <v>0</v>
      </c>
      <c r="I90" s="105">
        <f t="shared" si="7"/>
        <v>1</v>
      </c>
      <c r="J90" s="96">
        <v>39</v>
      </c>
      <c r="K90" s="96">
        <v>2021</v>
      </c>
      <c r="L90" s="96">
        <v>3944.598318416789</v>
      </c>
      <c r="M90" s="156">
        <v>0.5</v>
      </c>
      <c r="N90" s="157">
        <f t="shared" si="16"/>
        <v>39</v>
      </c>
      <c r="O90" s="158">
        <f t="shared" si="17"/>
        <v>2021</v>
      </c>
      <c r="P90" s="159">
        <f t="shared" si="18"/>
        <v>0</v>
      </c>
      <c r="Q90" s="160">
        <f t="shared" si="19"/>
        <v>3944.598318416789</v>
      </c>
      <c r="R90" s="160">
        <f t="shared" si="20"/>
        <v>0</v>
      </c>
      <c r="S90" s="96"/>
    </row>
    <row r="91" spans="2:19" ht="12.5" x14ac:dyDescent="0.35">
      <c r="B91" s="96" t="s">
        <v>67</v>
      </c>
      <c r="C91" s="96" t="s">
        <v>181</v>
      </c>
      <c r="D91" s="96" t="s">
        <v>336</v>
      </c>
      <c r="E91" s="96" t="s">
        <v>650</v>
      </c>
      <c r="F91" s="96" t="s">
        <v>325</v>
      </c>
      <c r="G91" s="105" t="str">
        <f t="shared" si="15"/>
        <v>Desinvesteringen AD</v>
      </c>
      <c r="H91" s="105">
        <f t="shared" si="7"/>
        <v>0</v>
      </c>
      <c r="I91" s="105">
        <f t="shared" si="7"/>
        <v>1</v>
      </c>
      <c r="J91" s="96">
        <v>39</v>
      </c>
      <c r="K91" s="96">
        <v>2022</v>
      </c>
      <c r="L91" s="96">
        <v>9181.3813681598604</v>
      </c>
      <c r="M91" s="156">
        <v>0.5</v>
      </c>
      <c r="N91" s="157">
        <f t="shared" si="16"/>
        <v>39</v>
      </c>
      <c r="O91" s="158">
        <f t="shared" si="17"/>
        <v>2022</v>
      </c>
      <c r="P91" s="159">
        <f t="shared" si="18"/>
        <v>0</v>
      </c>
      <c r="Q91" s="160">
        <f t="shared" si="19"/>
        <v>9181.3813681598604</v>
      </c>
      <c r="R91" s="160">
        <f t="shared" si="20"/>
        <v>0</v>
      </c>
      <c r="S91" s="96"/>
    </row>
    <row r="92" spans="2:19" ht="12.5" x14ac:dyDescent="0.35">
      <c r="B92" s="96" t="s">
        <v>67</v>
      </c>
      <c r="C92" s="96" t="s">
        <v>181</v>
      </c>
      <c r="D92" s="96" t="s">
        <v>336</v>
      </c>
      <c r="E92" s="96" t="s">
        <v>650</v>
      </c>
      <c r="F92" s="96" t="s">
        <v>325</v>
      </c>
      <c r="G92" s="105" t="str">
        <f t="shared" si="15"/>
        <v>Desinvesteringen AD</v>
      </c>
      <c r="H92" s="105">
        <f>IF($F92=H$24,1,0)</f>
        <v>0</v>
      </c>
      <c r="I92" s="105">
        <f t="shared" ref="I92:I101" si="21">IF($F92=I$24,1,0)</f>
        <v>1</v>
      </c>
      <c r="J92" s="96">
        <v>39</v>
      </c>
      <c r="K92" s="96">
        <v>2023</v>
      </c>
      <c r="L92" s="96">
        <v>12627.909113165899</v>
      </c>
      <c r="M92" s="156">
        <v>0.5</v>
      </c>
      <c r="N92" s="157">
        <f t="shared" si="16"/>
        <v>39</v>
      </c>
      <c r="O92" s="158">
        <f t="shared" si="17"/>
        <v>2023</v>
      </c>
      <c r="P92" s="159">
        <f t="shared" si="18"/>
        <v>0</v>
      </c>
      <c r="Q92" s="160">
        <f t="shared" si="19"/>
        <v>12627.909113165899</v>
      </c>
      <c r="R92" s="160">
        <f t="shared" si="20"/>
        <v>0</v>
      </c>
      <c r="S92" s="96"/>
    </row>
    <row r="93" spans="2:19" ht="12.5" x14ac:dyDescent="0.35">
      <c r="B93" s="96" t="s">
        <v>441</v>
      </c>
      <c r="C93" s="96" t="s">
        <v>181</v>
      </c>
      <c r="D93" s="96" t="s">
        <v>336</v>
      </c>
      <c r="E93" s="96" t="s">
        <v>650</v>
      </c>
      <c r="F93" s="96" t="s">
        <v>325</v>
      </c>
      <c r="G93" s="105" t="str">
        <f t="shared" si="15"/>
        <v>Desinvesteringen AD</v>
      </c>
      <c r="H93" s="105">
        <f t="shared" si="7"/>
        <v>0</v>
      </c>
      <c r="I93" s="105">
        <f t="shared" si="21"/>
        <v>1</v>
      </c>
      <c r="J93" s="96">
        <v>39</v>
      </c>
      <c r="K93" s="96">
        <v>2009</v>
      </c>
      <c r="L93" s="96">
        <v>-9.5818037272668803</v>
      </c>
      <c r="M93" s="156">
        <v>0.5</v>
      </c>
      <c r="N93" s="157">
        <f t="shared" si="16"/>
        <v>37.5</v>
      </c>
      <c r="O93" s="158">
        <f t="shared" si="17"/>
        <v>2011</v>
      </c>
      <c r="P93" s="159">
        <f t="shared" si="18"/>
        <v>1</v>
      </c>
      <c r="Q93" s="160">
        <f t="shared" si="19"/>
        <v>-9.2132728146796925</v>
      </c>
      <c r="R93" s="160">
        <f t="shared" si="20"/>
        <v>-9.2132728146796925</v>
      </c>
      <c r="S93" s="96"/>
    </row>
    <row r="94" spans="2:19" ht="12.75" customHeight="1" x14ac:dyDescent="0.35">
      <c r="B94" s="96" t="s">
        <v>441</v>
      </c>
      <c r="C94" s="96" t="s">
        <v>181</v>
      </c>
      <c r="D94" s="96" t="s">
        <v>336</v>
      </c>
      <c r="E94" s="96" t="s">
        <v>650</v>
      </c>
      <c r="F94" s="96" t="s">
        <v>325</v>
      </c>
      <c r="G94" s="105" t="str">
        <f t="shared" ref="G94:G100" si="22">C94&amp;" "&amp;F94</f>
        <v>Desinvesteringen AD</v>
      </c>
      <c r="H94" s="105">
        <f t="shared" si="7"/>
        <v>0</v>
      </c>
      <c r="I94" s="105">
        <f t="shared" si="21"/>
        <v>1</v>
      </c>
      <c r="J94" s="96">
        <v>39</v>
      </c>
      <c r="K94" s="96">
        <v>2010</v>
      </c>
      <c r="L94" s="96">
        <v>12845.637722482435</v>
      </c>
      <c r="M94" s="156">
        <v>0.5</v>
      </c>
      <c r="N94" s="157">
        <f t="shared" si="16"/>
        <v>38.5</v>
      </c>
      <c r="O94" s="158">
        <f t="shared" si="17"/>
        <v>2011</v>
      </c>
      <c r="P94" s="159">
        <f t="shared" si="18"/>
        <v>1</v>
      </c>
      <c r="Q94" s="160">
        <f t="shared" si="19"/>
        <v>12680.950059373687</v>
      </c>
      <c r="R94" s="160">
        <f t="shared" si="20"/>
        <v>12680.950059373687</v>
      </c>
      <c r="S94" s="96"/>
    </row>
    <row r="95" spans="2:19" ht="12.75" customHeight="1" x14ac:dyDescent="0.35">
      <c r="B95" s="96" t="s">
        <v>441</v>
      </c>
      <c r="C95" s="96" t="s">
        <v>181</v>
      </c>
      <c r="D95" s="96" t="s">
        <v>336</v>
      </c>
      <c r="E95" s="96" t="s">
        <v>650</v>
      </c>
      <c r="F95" s="96" t="s">
        <v>325</v>
      </c>
      <c r="G95" s="105" t="str">
        <f t="shared" si="22"/>
        <v>Desinvesteringen AD</v>
      </c>
      <c r="H95" s="105">
        <f t="shared" ref="H95:I107" si="23">IF($F95=H$24,1,0)</f>
        <v>0</v>
      </c>
      <c r="I95" s="105">
        <f t="shared" si="21"/>
        <v>1</v>
      </c>
      <c r="J95" s="96">
        <v>39</v>
      </c>
      <c r="K95" s="96">
        <v>2011</v>
      </c>
      <c r="L95" s="96">
        <v>123281.15993747786</v>
      </c>
      <c r="M95" s="156">
        <v>0.5</v>
      </c>
      <c r="N95" s="157">
        <f t="shared" ref="N95:N107" si="24">IF(OR(J95=0,J95+K95+M95&lt;2011),0,MIN(J95,J95+M95+K95-2011))</f>
        <v>39</v>
      </c>
      <c r="O95" s="158">
        <f t="shared" ref="O95:O107" si="25">MAX(2011,K95)</f>
        <v>2011</v>
      </c>
      <c r="P95" s="159">
        <f t="shared" ref="P95:P107" si="26">IF(K95&lt;2011,IF(F95=$P$23,VLOOKUP(K95,$B$13:$H$19,7),1),0)</f>
        <v>0</v>
      </c>
      <c r="Q95" s="160">
        <f t="shared" si="19"/>
        <v>123281.15993747786</v>
      </c>
      <c r="R95" s="160">
        <f t="shared" si="20"/>
        <v>0</v>
      </c>
      <c r="S95" s="96"/>
    </row>
    <row r="96" spans="2:19" ht="12.75" customHeight="1" x14ac:dyDescent="0.35">
      <c r="B96" s="96" t="s">
        <v>441</v>
      </c>
      <c r="C96" s="96" t="s">
        <v>181</v>
      </c>
      <c r="D96" s="96" t="s">
        <v>336</v>
      </c>
      <c r="E96" s="96" t="s">
        <v>650</v>
      </c>
      <c r="F96" s="96" t="s">
        <v>325</v>
      </c>
      <c r="G96" s="105" t="str">
        <f t="shared" si="22"/>
        <v>Desinvesteringen AD</v>
      </c>
      <c r="H96" s="105">
        <f t="shared" si="23"/>
        <v>0</v>
      </c>
      <c r="I96" s="105">
        <f t="shared" si="21"/>
        <v>1</v>
      </c>
      <c r="J96" s="96">
        <v>39</v>
      </c>
      <c r="K96" s="96">
        <v>2012</v>
      </c>
      <c r="L96" s="96">
        <v>12976.150741168374</v>
      </c>
      <c r="M96" s="156">
        <v>0.5</v>
      </c>
      <c r="N96" s="157">
        <f t="shared" si="24"/>
        <v>39</v>
      </c>
      <c r="O96" s="158">
        <f t="shared" si="25"/>
        <v>2012</v>
      </c>
      <c r="P96" s="159">
        <f t="shared" si="26"/>
        <v>0</v>
      </c>
      <c r="Q96" s="160">
        <f t="shared" si="19"/>
        <v>12976.150741168374</v>
      </c>
      <c r="R96" s="160">
        <f t="shared" si="20"/>
        <v>0</v>
      </c>
      <c r="S96" s="96"/>
    </row>
    <row r="97" spans="2:19" ht="12.75" customHeight="1" x14ac:dyDescent="0.35">
      <c r="B97" s="96" t="s">
        <v>441</v>
      </c>
      <c r="C97" s="96" t="s">
        <v>181</v>
      </c>
      <c r="D97" s="96" t="s">
        <v>336</v>
      </c>
      <c r="E97" s="96" t="s">
        <v>650</v>
      </c>
      <c r="F97" s="96" t="s">
        <v>325</v>
      </c>
      <c r="G97" s="105" t="str">
        <f t="shared" si="22"/>
        <v>Desinvesteringen AD</v>
      </c>
      <c r="H97" s="105">
        <f t="shared" si="23"/>
        <v>0</v>
      </c>
      <c r="I97" s="105">
        <f t="shared" si="21"/>
        <v>1</v>
      </c>
      <c r="J97" s="96">
        <v>39</v>
      </c>
      <c r="K97" s="96">
        <v>2013</v>
      </c>
      <c r="L97" s="96">
        <v>8983.4193131378033</v>
      </c>
      <c r="M97" s="156">
        <v>0.5</v>
      </c>
      <c r="N97" s="157">
        <f t="shared" si="24"/>
        <v>39</v>
      </c>
      <c r="O97" s="158">
        <f t="shared" si="25"/>
        <v>2013</v>
      </c>
      <c r="P97" s="159">
        <f t="shared" si="26"/>
        <v>0</v>
      </c>
      <c r="Q97" s="160">
        <f t="shared" si="19"/>
        <v>8983.4193131378033</v>
      </c>
      <c r="R97" s="160">
        <f t="shared" si="20"/>
        <v>0</v>
      </c>
      <c r="S97" s="96"/>
    </row>
    <row r="98" spans="2:19" ht="12.75" customHeight="1" x14ac:dyDescent="0.35">
      <c r="B98" s="96" t="s">
        <v>441</v>
      </c>
      <c r="C98" s="96" t="s">
        <v>181</v>
      </c>
      <c r="D98" s="96" t="s">
        <v>336</v>
      </c>
      <c r="E98" s="96" t="s">
        <v>650</v>
      </c>
      <c r="F98" s="96" t="s">
        <v>325</v>
      </c>
      <c r="G98" s="105" t="str">
        <f t="shared" si="22"/>
        <v>Desinvesteringen AD</v>
      </c>
      <c r="H98" s="105">
        <f t="shared" si="23"/>
        <v>0</v>
      </c>
      <c r="I98" s="105">
        <f t="shared" si="21"/>
        <v>1</v>
      </c>
      <c r="J98" s="96">
        <v>39</v>
      </c>
      <c r="K98" s="96">
        <v>2014</v>
      </c>
      <c r="L98" s="96">
        <v>17538.741877256321</v>
      </c>
      <c r="M98" s="156">
        <v>0.5</v>
      </c>
      <c r="N98" s="157">
        <f t="shared" si="24"/>
        <v>39</v>
      </c>
      <c r="O98" s="158">
        <f t="shared" si="25"/>
        <v>2014</v>
      </c>
      <c r="P98" s="159">
        <f t="shared" si="26"/>
        <v>0</v>
      </c>
      <c r="Q98" s="160">
        <f t="shared" si="19"/>
        <v>17538.741877256321</v>
      </c>
      <c r="R98" s="160">
        <f t="shared" si="20"/>
        <v>0</v>
      </c>
      <c r="S98" s="96"/>
    </row>
    <row r="99" spans="2:19" ht="12.75" customHeight="1" x14ac:dyDescent="0.35">
      <c r="B99" s="96" t="s">
        <v>441</v>
      </c>
      <c r="C99" s="96" t="s">
        <v>181</v>
      </c>
      <c r="D99" s="96" t="s">
        <v>336</v>
      </c>
      <c r="E99" s="96" t="s">
        <v>650</v>
      </c>
      <c r="F99" s="96" t="s">
        <v>325</v>
      </c>
      <c r="G99" s="105" t="str">
        <f t="shared" si="22"/>
        <v>Desinvesteringen AD</v>
      </c>
      <c r="H99" s="105">
        <f t="shared" si="23"/>
        <v>0</v>
      </c>
      <c r="I99" s="105">
        <f t="shared" si="21"/>
        <v>1</v>
      </c>
      <c r="J99" s="96">
        <v>39</v>
      </c>
      <c r="K99" s="96">
        <v>2015</v>
      </c>
      <c r="L99" s="96">
        <v>3713.5968523609604</v>
      </c>
      <c r="M99" s="156">
        <v>0.5</v>
      </c>
      <c r="N99" s="157">
        <f t="shared" si="24"/>
        <v>39</v>
      </c>
      <c r="O99" s="158">
        <f t="shared" si="25"/>
        <v>2015</v>
      </c>
      <c r="P99" s="159">
        <f t="shared" si="26"/>
        <v>0</v>
      </c>
      <c r="Q99" s="160">
        <f t="shared" si="19"/>
        <v>3713.5968523609604</v>
      </c>
      <c r="R99" s="160">
        <f t="shared" si="20"/>
        <v>0</v>
      </c>
      <c r="S99" s="96"/>
    </row>
    <row r="100" spans="2:19" ht="12.75" customHeight="1" x14ac:dyDescent="0.35">
      <c r="B100" s="96" t="s">
        <v>441</v>
      </c>
      <c r="C100" s="96" t="s">
        <v>181</v>
      </c>
      <c r="D100" s="96" t="s">
        <v>336</v>
      </c>
      <c r="E100" s="96" t="s">
        <v>650</v>
      </c>
      <c r="F100" s="96" t="s">
        <v>325</v>
      </c>
      <c r="G100" s="105" t="str">
        <f t="shared" si="22"/>
        <v>Desinvesteringen AD</v>
      </c>
      <c r="H100" s="105">
        <f t="shared" si="23"/>
        <v>0</v>
      </c>
      <c r="I100" s="105">
        <f t="shared" si="21"/>
        <v>1</v>
      </c>
      <c r="J100" s="96">
        <v>39</v>
      </c>
      <c r="K100" s="96">
        <v>2016</v>
      </c>
      <c r="L100" s="96">
        <v>3064.4951523221494</v>
      </c>
      <c r="M100" s="156">
        <v>0.5</v>
      </c>
      <c r="N100" s="157">
        <f t="shared" si="24"/>
        <v>39</v>
      </c>
      <c r="O100" s="158">
        <f t="shared" si="25"/>
        <v>2016</v>
      </c>
      <c r="P100" s="159">
        <f t="shared" si="26"/>
        <v>0</v>
      </c>
      <c r="Q100" s="160">
        <f t="shared" si="19"/>
        <v>3064.4951523221494</v>
      </c>
      <c r="R100" s="160">
        <f t="shared" si="20"/>
        <v>0</v>
      </c>
      <c r="S100" s="96"/>
    </row>
    <row r="101" spans="2:19" ht="12.75" customHeight="1" x14ac:dyDescent="0.35">
      <c r="B101" s="96" t="s">
        <v>441</v>
      </c>
      <c r="C101" s="96" t="s">
        <v>181</v>
      </c>
      <c r="D101" s="96" t="s">
        <v>336</v>
      </c>
      <c r="E101" s="96" t="s">
        <v>650</v>
      </c>
      <c r="F101" s="96" t="s">
        <v>325</v>
      </c>
      <c r="G101" s="105" t="str">
        <f t="shared" ref="G101:G107" si="27">C101&amp;" "&amp;F101</f>
        <v>Desinvesteringen AD</v>
      </c>
      <c r="H101" s="105">
        <f t="shared" si="23"/>
        <v>0</v>
      </c>
      <c r="I101" s="105">
        <f t="shared" si="21"/>
        <v>1</v>
      </c>
      <c r="J101" s="96">
        <v>39</v>
      </c>
      <c r="K101" s="96">
        <v>2017</v>
      </c>
      <c r="L101" s="96">
        <v>1244.8462963543504</v>
      </c>
      <c r="M101" s="156">
        <v>0.5</v>
      </c>
      <c r="N101" s="157">
        <f t="shared" si="24"/>
        <v>39</v>
      </c>
      <c r="O101" s="158">
        <f t="shared" si="25"/>
        <v>2017</v>
      </c>
      <c r="P101" s="159">
        <f t="shared" si="26"/>
        <v>0</v>
      </c>
      <c r="Q101" s="160">
        <f t="shared" ref="Q101:Q107" si="28">IF(K101&lt;2011,L101-(J101-N101)*L101/J101,L101)</f>
        <v>1244.8462963543504</v>
      </c>
      <c r="R101" s="160">
        <f t="shared" ref="R101:R107" si="29">Q101*P101</f>
        <v>0</v>
      </c>
      <c r="S101" s="96"/>
    </row>
    <row r="102" spans="2:19" ht="12.5" x14ac:dyDescent="0.35">
      <c r="B102" s="96" t="s">
        <v>441</v>
      </c>
      <c r="C102" s="96" t="s">
        <v>181</v>
      </c>
      <c r="D102" s="96" t="s">
        <v>336</v>
      </c>
      <c r="E102" s="96" t="s">
        <v>650</v>
      </c>
      <c r="F102" s="96" t="s">
        <v>325</v>
      </c>
      <c r="G102" s="105" t="str">
        <f t="shared" si="27"/>
        <v>Desinvesteringen AD</v>
      </c>
      <c r="H102" s="105">
        <f t="shared" si="23"/>
        <v>0</v>
      </c>
      <c r="I102" s="105">
        <f t="shared" si="23"/>
        <v>1</v>
      </c>
      <c r="J102" s="96">
        <v>39</v>
      </c>
      <c r="K102" s="96">
        <v>2018</v>
      </c>
      <c r="L102" s="96">
        <v>11917.297001996867</v>
      </c>
      <c r="M102" s="156">
        <v>0.5</v>
      </c>
      <c r="N102" s="157">
        <f t="shared" si="24"/>
        <v>39</v>
      </c>
      <c r="O102" s="158">
        <f t="shared" si="25"/>
        <v>2018</v>
      </c>
      <c r="P102" s="159">
        <f t="shared" si="26"/>
        <v>0</v>
      </c>
      <c r="Q102" s="160">
        <f t="shared" si="28"/>
        <v>11917.297001996867</v>
      </c>
      <c r="R102" s="160">
        <f t="shared" si="29"/>
        <v>0</v>
      </c>
      <c r="S102" s="96"/>
    </row>
    <row r="103" spans="2:19" ht="12.5" x14ac:dyDescent="0.35">
      <c r="B103" s="96" t="s">
        <v>441</v>
      </c>
      <c r="C103" s="96" t="s">
        <v>181</v>
      </c>
      <c r="D103" s="96" t="s">
        <v>336</v>
      </c>
      <c r="E103" s="96" t="s">
        <v>650</v>
      </c>
      <c r="F103" s="96" t="s">
        <v>325</v>
      </c>
      <c r="G103" s="105" t="str">
        <f t="shared" si="27"/>
        <v>Desinvesteringen AD</v>
      </c>
      <c r="H103" s="105">
        <f t="shared" si="23"/>
        <v>0</v>
      </c>
      <c r="I103" s="105">
        <f>IF($F103=I$24,1,0)</f>
        <v>1</v>
      </c>
      <c r="J103" s="96">
        <v>39</v>
      </c>
      <c r="K103" s="96">
        <v>2019</v>
      </c>
      <c r="L103" s="96">
        <v>37089.972269245081</v>
      </c>
      <c r="M103" s="156">
        <v>0.5</v>
      </c>
      <c r="N103" s="157">
        <f t="shared" si="24"/>
        <v>39</v>
      </c>
      <c r="O103" s="158">
        <f t="shared" si="25"/>
        <v>2019</v>
      </c>
      <c r="P103" s="159">
        <f t="shared" si="26"/>
        <v>0</v>
      </c>
      <c r="Q103" s="160">
        <f t="shared" si="28"/>
        <v>37089.972269245081</v>
      </c>
      <c r="R103" s="160">
        <f t="shared" si="29"/>
        <v>0</v>
      </c>
      <c r="S103" s="96"/>
    </row>
    <row r="104" spans="2:19" ht="12.5" x14ac:dyDescent="0.35">
      <c r="B104" s="96" t="s">
        <v>441</v>
      </c>
      <c r="C104" s="96" t="s">
        <v>181</v>
      </c>
      <c r="D104" s="96" t="s">
        <v>336</v>
      </c>
      <c r="E104" s="96" t="s">
        <v>650</v>
      </c>
      <c r="F104" s="96" t="s">
        <v>325</v>
      </c>
      <c r="G104" s="105" t="str">
        <f t="shared" si="27"/>
        <v>Desinvesteringen AD</v>
      </c>
      <c r="H104" s="105">
        <f t="shared" si="23"/>
        <v>0</v>
      </c>
      <c r="I104" s="105">
        <f t="shared" si="23"/>
        <v>1</v>
      </c>
      <c r="J104" s="96">
        <v>39</v>
      </c>
      <c r="K104" s="96">
        <v>2020</v>
      </c>
      <c r="L104" s="96">
        <v>32441.792777790739</v>
      </c>
      <c r="M104" s="156">
        <v>0.5</v>
      </c>
      <c r="N104" s="157">
        <f t="shared" si="24"/>
        <v>39</v>
      </c>
      <c r="O104" s="158">
        <f t="shared" si="25"/>
        <v>2020</v>
      </c>
      <c r="P104" s="159">
        <f t="shared" si="26"/>
        <v>0</v>
      </c>
      <c r="Q104" s="160">
        <f t="shared" si="28"/>
        <v>32441.792777790739</v>
      </c>
      <c r="R104" s="160">
        <f t="shared" si="29"/>
        <v>0</v>
      </c>
      <c r="S104" s="96"/>
    </row>
    <row r="105" spans="2:19" ht="12.5" x14ac:dyDescent="0.35">
      <c r="B105" s="96" t="s">
        <v>441</v>
      </c>
      <c r="C105" s="96" t="s">
        <v>181</v>
      </c>
      <c r="D105" s="96" t="s">
        <v>336</v>
      </c>
      <c r="E105" s="96" t="s">
        <v>650</v>
      </c>
      <c r="F105" s="96" t="s">
        <v>325</v>
      </c>
      <c r="G105" s="105" t="str">
        <f t="shared" si="27"/>
        <v>Desinvesteringen AD</v>
      </c>
      <c r="H105" s="105">
        <f t="shared" si="23"/>
        <v>0</v>
      </c>
      <c r="I105" s="105">
        <f t="shared" si="23"/>
        <v>1</v>
      </c>
      <c r="J105" s="96">
        <v>39</v>
      </c>
      <c r="K105" s="96">
        <v>2021</v>
      </c>
      <c r="L105" s="96">
        <v>43574.807746968167</v>
      </c>
      <c r="M105" s="156">
        <v>0.5</v>
      </c>
      <c r="N105" s="157">
        <f t="shared" si="24"/>
        <v>39</v>
      </c>
      <c r="O105" s="158">
        <f t="shared" si="25"/>
        <v>2021</v>
      </c>
      <c r="P105" s="159">
        <f t="shared" si="26"/>
        <v>0</v>
      </c>
      <c r="Q105" s="160">
        <f t="shared" si="28"/>
        <v>43574.807746968167</v>
      </c>
      <c r="R105" s="160">
        <f t="shared" si="29"/>
        <v>0</v>
      </c>
      <c r="S105" s="96"/>
    </row>
    <row r="106" spans="2:19" ht="12.5" x14ac:dyDescent="0.35">
      <c r="B106" s="96" t="s">
        <v>441</v>
      </c>
      <c r="C106" s="96" t="s">
        <v>181</v>
      </c>
      <c r="D106" s="96" t="s">
        <v>336</v>
      </c>
      <c r="E106" s="96" t="s">
        <v>650</v>
      </c>
      <c r="F106" s="96" t="s">
        <v>325</v>
      </c>
      <c r="G106" s="105" t="str">
        <f t="shared" si="27"/>
        <v>Desinvesteringen AD</v>
      </c>
      <c r="H106" s="105">
        <f t="shared" si="23"/>
        <v>0</v>
      </c>
      <c r="I106" s="105">
        <f t="shared" si="23"/>
        <v>1</v>
      </c>
      <c r="J106" s="96">
        <v>39</v>
      </c>
      <c r="K106" s="96">
        <v>2022</v>
      </c>
      <c r="L106" s="96">
        <v>21698.157505285413</v>
      </c>
      <c r="M106" s="156">
        <v>0.5</v>
      </c>
      <c r="N106" s="157">
        <f t="shared" si="24"/>
        <v>39</v>
      </c>
      <c r="O106" s="158">
        <f t="shared" si="25"/>
        <v>2022</v>
      </c>
      <c r="P106" s="159">
        <f t="shared" si="26"/>
        <v>0</v>
      </c>
      <c r="Q106" s="160">
        <f t="shared" si="28"/>
        <v>21698.157505285413</v>
      </c>
      <c r="R106" s="160">
        <f t="shared" si="29"/>
        <v>0</v>
      </c>
      <c r="S106" s="96"/>
    </row>
    <row r="107" spans="2:19" ht="12.5" x14ac:dyDescent="0.35">
      <c r="B107" s="96" t="s">
        <v>441</v>
      </c>
      <c r="C107" s="96" t="s">
        <v>181</v>
      </c>
      <c r="D107" s="96" t="s">
        <v>336</v>
      </c>
      <c r="E107" s="96" t="s">
        <v>650</v>
      </c>
      <c r="F107" s="96" t="s">
        <v>325</v>
      </c>
      <c r="G107" s="105" t="str">
        <f t="shared" si="27"/>
        <v>Desinvesteringen AD</v>
      </c>
      <c r="H107" s="105">
        <f t="shared" si="23"/>
        <v>0</v>
      </c>
      <c r="I107" s="105">
        <f t="shared" si="23"/>
        <v>1</v>
      </c>
      <c r="J107" s="96">
        <v>39</v>
      </c>
      <c r="K107" s="96">
        <v>2023</v>
      </c>
      <c r="L107" s="96">
        <v>26632.2084592145</v>
      </c>
      <c r="M107" s="156">
        <v>0.5</v>
      </c>
      <c r="N107" s="157">
        <f t="shared" si="24"/>
        <v>39</v>
      </c>
      <c r="O107" s="158">
        <f t="shared" si="25"/>
        <v>2023</v>
      </c>
      <c r="P107" s="159">
        <f t="shared" si="26"/>
        <v>0</v>
      </c>
      <c r="Q107" s="160">
        <f t="shared" si="28"/>
        <v>26632.2084592145</v>
      </c>
      <c r="R107" s="160">
        <f t="shared" si="29"/>
        <v>0</v>
      </c>
      <c r="S107" s="96"/>
    </row>
  </sheetData>
  <phoneticPr fontId="66"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243E7-B747-457C-B6E7-4E84A601C31F}">
  <sheetPr>
    <tabColor rgb="FFE1FFE1"/>
  </sheetPr>
  <dimension ref="A1:U33"/>
  <sheetViews>
    <sheetView showGridLines="0" zoomScale="85" zoomScaleNormal="85" workbookViewId="0">
      <pane xSplit="6" ySplit="12" topLeftCell="G13" activePane="bottomRight" state="frozen"/>
      <selection activeCell="R103" sqref="Q90:R103"/>
      <selection pane="topRight" activeCell="R103" sqref="Q90:R103"/>
      <selection pane="bottomLeft" activeCell="R103" sqref="Q90:R103"/>
      <selection pane="bottomRight" activeCell="G13" sqref="G13"/>
    </sheetView>
  </sheetViews>
  <sheetFormatPr defaultColWidth="9.26953125" defaultRowHeight="12.5" x14ac:dyDescent="0.35"/>
  <cols>
    <col min="1" max="1" width="4.7265625" style="98" customWidth="1"/>
    <col min="2" max="2" width="80" style="98" customWidth="1"/>
    <col min="3" max="3" width="1.7265625" style="98" customWidth="1"/>
    <col min="4" max="4" width="2.54296875" style="98" customWidth="1"/>
    <col min="5" max="5" width="2.453125" style="98" customWidth="1"/>
    <col min="6" max="6" width="13" style="98" customWidth="1"/>
    <col min="7" max="7" width="2.453125" style="98" customWidth="1"/>
    <col min="8" max="8" width="11.453125" style="98" customWidth="1"/>
    <col min="9" max="9" width="2.453125" style="98" customWidth="1"/>
    <col min="10" max="10" width="14" style="98" bestFit="1" customWidth="1"/>
    <col min="11" max="11" width="2.54296875" style="98" customWidth="1"/>
    <col min="12" max="17" width="14" style="98" customWidth="1"/>
    <col min="18" max="16384" width="9.26953125" style="98"/>
  </cols>
  <sheetData>
    <row r="1" spans="1:21" s="2" customFormat="1" x14ac:dyDescent="0.35"/>
    <row r="2" spans="1:21" s="18" customFormat="1" ht="18" x14ac:dyDescent="0.35">
      <c r="B2" s="18" t="s">
        <v>533</v>
      </c>
    </row>
    <row r="3" spans="1:21" s="2" customFormat="1" x14ac:dyDescent="0.35"/>
    <row r="4" spans="1:21" s="2" customFormat="1" ht="13" x14ac:dyDescent="0.35">
      <c r="B4" s="1" t="s">
        <v>29</v>
      </c>
      <c r="C4" s="1"/>
      <c r="D4" s="1"/>
    </row>
    <row r="5" spans="1:21" s="2" customFormat="1" x14ac:dyDescent="0.35">
      <c r="B5" s="2" t="s">
        <v>217</v>
      </c>
      <c r="H5" s="19"/>
    </row>
    <row r="6" spans="1:21" s="2" customFormat="1" x14ac:dyDescent="0.35">
      <c r="H6" s="19"/>
    </row>
    <row r="7" spans="1:21" s="2" customFormat="1" x14ac:dyDescent="0.35">
      <c r="B7" s="2" t="s">
        <v>653</v>
      </c>
      <c r="H7" s="19"/>
    </row>
    <row r="8" spans="1:21" s="2" customFormat="1" x14ac:dyDescent="0.35">
      <c r="B8" s="2" t="s">
        <v>205</v>
      </c>
      <c r="H8" s="19"/>
    </row>
    <row r="9" spans="1:21" s="2" customFormat="1" ht="13" x14ac:dyDescent="0.35">
      <c r="B9" s="2" t="s">
        <v>178</v>
      </c>
      <c r="H9" s="19"/>
    </row>
    <row r="10" spans="1:21" s="2" customFormat="1" x14ac:dyDescent="0.35"/>
    <row r="11" spans="1:21" s="6" customFormat="1" ht="13" x14ac:dyDescent="0.35">
      <c r="B11" s="6" t="s">
        <v>45</v>
      </c>
      <c r="F11" s="6" t="s">
        <v>27</v>
      </c>
      <c r="H11" s="6" t="s">
        <v>28</v>
      </c>
      <c r="J11" s="6" t="s">
        <v>49</v>
      </c>
      <c r="L11" s="6" t="s">
        <v>88</v>
      </c>
      <c r="M11" s="6" t="s">
        <v>65</v>
      </c>
      <c r="N11" s="6" t="s">
        <v>66</v>
      </c>
      <c r="O11" s="6" t="s">
        <v>67</v>
      </c>
      <c r="P11" s="6" t="s">
        <v>68</v>
      </c>
      <c r="Q11" s="6" t="s">
        <v>69</v>
      </c>
      <c r="S11" s="6" t="s">
        <v>46</v>
      </c>
      <c r="U11" s="6" t="s">
        <v>47</v>
      </c>
    </row>
    <row r="12" spans="1:21" s="2" customFormat="1" x14ac:dyDescent="0.35"/>
    <row r="13" spans="1:21" s="2" customFormat="1" x14ac:dyDescent="0.35"/>
    <row r="14" spans="1:21" s="6" customFormat="1" ht="13" x14ac:dyDescent="0.35">
      <c r="B14" s="6" t="s">
        <v>181</v>
      </c>
    </row>
    <row r="15" spans="1:21" s="2" customFormat="1" x14ac:dyDescent="0.35">
      <c r="A15" s="206"/>
    </row>
    <row r="16" spans="1:21" s="2" customFormat="1" ht="13" x14ac:dyDescent="0.35">
      <c r="A16" s="206"/>
      <c r="B16" s="1" t="s">
        <v>214</v>
      </c>
    </row>
    <row r="17" spans="1:19" s="2" customFormat="1" x14ac:dyDescent="0.35">
      <c r="A17" s="206"/>
      <c r="B17" s="2" t="s">
        <v>158</v>
      </c>
      <c r="F17" s="2" t="s">
        <v>179</v>
      </c>
      <c r="L17" s="96"/>
      <c r="M17" s="96">
        <v>0</v>
      </c>
      <c r="N17" s="96">
        <v>110200.15355360348</v>
      </c>
      <c r="O17" s="96">
        <v>0</v>
      </c>
      <c r="P17" s="96">
        <v>0</v>
      </c>
      <c r="Q17" s="96">
        <v>0</v>
      </c>
      <c r="S17" s="2" t="s">
        <v>299</v>
      </c>
    </row>
    <row r="18" spans="1:19" s="2" customFormat="1" x14ac:dyDescent="0.35">
      <c r="A18" s="206"/>
      <c r="B18" s="2" t="s">
        <v>128</v>
      </c>
      <c r="F18" s="2" t="s">
        <v>179</v>
      </c>
      <c r="L18" s="96">
        <v>176522.14037240954</v>
      </c>
      <c r="M18" s="96">
        <v>2598665.4096508841</v>
      </c>
      <c r="N18" s="96">
        <v>891245.2110358252</v>
      </c>
      <c r="O18" s="96">
        <v>108444.9730443147</v>
      </c>
      <c r="P18" s="96">
        <v>274899.25759357755</v>
      </c>
      <c r="Q18" s="96">
        <v>0</v>
      </c>
      <c r="S18" s="2" t="s">
        <v>299</v>
      </c>
    </row>
    <row r="19" spans="1:19" s="2" customFormat="1" x14ac:dyDescent="0.35"/>
    <row r="20" spans="1:19" s="6" customFormat="1" ht="13" x14ac:dyDescent="0.35">
      <c r="B20" s="6" t="s">
        <v>182</v>
      </c>
    </row>
    <row r="21" spans="1:19" s="2" customFormat="1" x14ac:dyDescent="0.35">
      <c r="L21" s="83"/>
      <c r="M21" s="83"/>
      <c r="N21" s="83"/>
      <c r="O21" s="83"/>
      <c r="P21" s="83"/>
      <c r="Q21" s="83"/>
    </row>
    <row r="22" spans="1:19" s="2" customFormat="1" ht="13" x14ac:dyDescent="0.35">
      <c r="B22" s="1" t="s">
        <v>215</v>
      </c>
      <c r="L22" s="83"/>
      <c r="M22" s="83"/>
      <c r="N22" s="83"/>
      <c r="O22" s="83"/>
      <c r="P22" s="83"/>
      <c r="Q22" s="83"/>
    </row>
    <row r="23" spans="1:19" s="2" customFormat="1" x14ac:dyDescent="0.35">
      <c r="B23" s="2" t="s">
        <v>158</v>
      </c>
      <c r="F23" s="2" t="s">
        <v>874</v>
      </c>
      <c r="L23" s="96">
        <v>0</v>
      </c>
      <c r="M23" s="96">
        <v>0</v>
      </c>
      <c r="N23" s="96">
        <v>0</v>
      </c>
      <c r="O23" s="96">
        <v>0</v>
      </c>
      <c r="P23" s="96">
        <v>0</v>
      </c>
      <c r="Q23" s="96">
        <v>0</v>
      </c>
      <c r="S23" s="2" t="s">
        <v>654</v>
      </c>
    </row>
    <row r="24" spans="1:19" s="2" customFormat="1" x14ac:dyDescent="0.35">
      <c r="A24" s="206"/>
      <c r="B24" s="2" t="s">
        <v>128</v>
      </c>
      <c r="F24" s="2" t="s">
        <v>874</v>
      </c>
      <c r="L24" s="96">
        <v>99847</v>
      </c>
      <c r="M24" s="96">
        <v>0</v>
      </c>
      <c r="N24" s="96">
        <v>0</v>
      </c>
      <c r="O24" s="96">
        <v>0</v>
      </c>
      <c r="P24" s="96">
        <v>0</v>
      </c>
      <c r="Q24" s="96">
        <v>0</v>
      </c>
      <c r="S24" s="2" t="s">
        <v>655</v>
      </c>
    </row>
    <row r="25" spans="1:19" s="2" customFormat="1" x14ac:dyDescent="0.35">
      <c r="A25" s="206"/>
    </row>
    <row r="26" spans="1:19" s="2" customFormat="1" ht="13" x14ac:dyDescent="0.35">
      <c r="A26" s="206"/>
      <c r="B26" s="1" t="s">
        <v>180</v>
      </c>
    </row>
    <row r="27" spans="1:19" s="2" customFormat="1" x14ac:dyDescent="0.35">
      <c r="A27" s="206"/>
      <c r="B27" s="2" t="s">
        <v>224</v>
      </c>
      <c r="F27" s="2" t="s">
        <v>874</v>
      </c>
      <c r="L27" s="96">
        <v>61677</v>
      </c>
      <c r="M27" s="96">
        <v>0</v>
      </c>
      <c r="N27" s="96">
        <v>2567143.36</v>
      </c>
      <c r="O27" s="96">
        <v>149684.01</v>
      </c>
      <c r="P27" s="96">
        <v>0</v>
      </c>
      <c r="Q27" s="96">
        <v>3351</v>
      </c>
      <c r="S27" s="2" t="s">
        <v>587</v>
      </c>
    </row>
    <row r="28" spans="1:19" s="2" customFormat="1" x14ac:dyDescent="0.35"/>
    <row r="29" spans="1:19" s="6" customFormat="1" ht="13" x14ac:dyDescent="0.35">
      <c r="B29" s="6" t="s">
        <v>183</v>
      </c>
    </row>
    <row r="31" spans="1:19" s="2" customFormat="1" x14ac:dyDescent="0.35">
      <c r="A31" s="210"/>
      <c r="B31" s="2" t="s">
        <v>184</v>
      </c>
      <c r="F31" s="2" t="s">
        <v>185</v>
      </c>
      <c r="H31" s="110">
        <v>1.149628433713165</v>
      </c>
      <c r="S31" s="2" t="s">
        <v>298</v>
      </c>
    </row>
    <row r="32" spans="1:19" x14ac:dyDescent="0.35">
      <c r="A32" s="210"/>
      <c r="B32" s="2" t="s">
        <v>656</v>
      </c>
      <c r="F32" s="2" t="s">
        <v>185</v>
      </c>
      <c r="H32" s="110">
        <v>1.0709656914531458</v>
      </c>
      <c r="S32" s="2" t="s">
        <v>657</v>
      </c>
    </row>
    <row r="33" spans="1:1" x14ac:dyDescent="0.35">
      <c r="A33" s="210"/>
    </row>
  </sheetData>
  <phoneticPr fontId="66"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B7534-0847-4C26-A09F-CC96126FC10D}">
  <sheetPr>
    <tabColor rgb="FFE1FFE1"/>
  </sheetPr>
  <dimension ref="A2:V24"/>
  <sheetViews>
    <sheetView showGridLines="0" zoomScale="85" zoomScaleNormal="85" workbookViewId="0">
      <pane xSplit="6" ySplit="8" topLeftCell="G9" activePane="bottomRight" state="frozen"/>
      <selection activeCell="T16" sqref="T16"/>
      <selection pane="topRight" activeCell="T16" sqref="T16"/>
      <selection pane="bottomLeft" activeCell="T16" sqref="T16"/>
      <selection pane="bottomRight" activeCell="G9" sqref="G9"/>
    </sheetView>
  </sheetViews>
  <sheetFormatPr defaultColWidth="9.26953125" defaultRowHeight="12.5" x14ac:dyDescent="0.35"/>
  <cols>
    <col min="1" max="1" width="4" style="2" customWidth="1"/>
    <col min="2" max="2" width="77.453125" style="2" customWidth="1"/>
    <col min="3"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7" width="13.26953125" style="2" customWidth="1"/>
    <col min="18" max="19" width="2.7265625" style="2" customWidth="1"/>
    <col min="20" max="20" width="24.7265625" style="2" customWidth="1"/>
    <col min="21" max="21" width="2.7265625" style="2" customWidth="1"/>
    <col min="22" max="22" width="13.7265625" style="2" customWidth="1"/>
    <col min="23" max="23" width="2.7265625" style="2" customWidth="1"/>
    <col min="24" max="38" width="13.7265625" style="2" customWidth="1"/>
    <col min="39" max="16384" width="9.26953125" style="2"/>
  </cols>
  <sheetData>
    <row r="2" spans="1:22" s="18" customFormat="1" ht="18" x14ac:dyDescent="0.35">
      <c r="B2" s="18" t="s">
        <v>140</v>
      </c>
    </row>
    <row r="4" spans="1:22" ht="13" x14ac:dyDescent="0.35">
      <c r="B4" s="1" t="s">
        <v>29</v>
      </c>
      <c r="C4" s="1"/>
      <c r="D4" s="1"/>
    </row>
    <row r="5" spans="1:22" x14ac:dyDescent="0.35">
      <c r="B5" s="2" t="s">
        <v>390</v>
      </c>
      <c r="H5" s="19"/>
    </row>
    <row r="6" spans="1:22" ht="15" customHeight="1" x14ac:dyDescent="0.35"/>
    <row r="7" spans="1:22" s="6" customFormat="1" ht="13" x14ac:dyDescent="0.35">
      <c r="B7" s="6" t="s">
        <v>45</v>
      </c>
      <c r="F7" s="6" t="s">
        <v>27</v>
      </c>
      <c r="H7" s="6" t="s">
        <v>28</v>
      </c>
      <c r="J7" s="6" t="s">
        <v>49</v>
      </c>
      <c r="L7" s="6" t="s">
        <v>88</v>
      </c>
      <c r="M7" s="6" t="s">
        <v>65</v>
      </c>
      <c r="N7" s="6" t="s">
        <v>66</v>
      </c>
      <c r="O7" s="6" t="s">
        <v>67</v>
      </c>
      <c r="P7" s="6" t="s">
        <v>68</v>
      </c>
      <c r="Q7" s="6" t="s">
        <v>69</v>
      </c>
      <c r="T7" s="6" t="s">
        <v>46</v>
      </c>
      <c r="V7" s="6" t="s">
        <v>47</v>
      </c>
    </row>
    <row r="10" spans="1:22" s="6" customFormat="1" ht="13" x14ac:dyDescent="0.35">
      <c r="B10" s="6" t="s">
        <v>141</v>
      </c>
      <c r="L10" s="93"/>
      <c r="M10" s="93"/>
      <c r="N10" s="93"/>
      <c r="O10" s="93"/>
      <c r="P10" s="93"/>
      <c r="Q10" s="93"/>
    </row>
    <row r="11" spans="1:22" x14ac:dyDescent="0.35">
      <c r="A11" s="206"/>
      <c r="L11" s="83"/>
      <c r="M11" s="83"/>
      <c r="N11" s="83"/>
      <c r="O11" s="83"/>
      <c r="P11" s="83"/>
      <c r="Q11" s="83"/>
    </row>
    <row r="12" spans="1:22" ht="13" x14ac:dyDescent="0.35">
      <c r="A12" s="206"/>
      <c r="B12" s="45" t="s">
        <v>142</v>
      </c>
      <c r="L12" s="83"/>
      <c r="M12" s="83"/>
      <c r="N12" s="83"/>
      <c r="O12" s="83"/>
      <c r="P12" s="83"/>
      <c r="Q12" s="83"/>
    </row>
    <row r="13" spans="1:22" x14ac:dyDescent="0.25">
      <c r="A13" s="206"/>
      <c r="B13" s="87" t="s">
        <v>151</v>
      </c>
      <c r="F13" s="88" t="s">
        <v>70</v>
      </c>
      <c r="J13" s="38">
        <f>SUM(L13:Q13)</f>
        <v>22173.5</v>
      </c>
      <c r="L13" s="96">
        <v>28</v>
      </c>
      <c r="M13" s="96">
        <v>13479</v>
      </c>
      <c r="N13" s="96">
        <v>128</v>
      </c>
      <c r="O13" s="96">
        <v>404</v>
      </c>
      <c r="P13" s="96">
        <v>8134.5</v>
      </c>
      <c r="Q13" s="96">
        <v>0</v>
      </c>
      <c r="T13" s="2" t="s">
        <v>587</v>
      </c>
    </row>
    <row r="14" spans="1:22" x14ac:dyDescent="0.25">
      <c r="A14" s="206"/>
      <c r="B14" s="87" t="s">
        <v>152</v>
      </c>
      <c r="F14" s="236" t="s">
        <v>160</v>
      </c>
      <c r="J14" s="38">
        <f>SUM(L14:Q14)</f>
        <v>31797590.051385835</v>
      </c>
      <c r="L14" s="96">
        <v>43330</v>
      </c>
      <c r="M14" s="96">
        <v>14563865.719999976</v>
      </c>
      <c r="N14" s="96">
        <v>457329.77557511639</v>
      </c>
      <c r="O14" s="96">
        <v>319501.24</v>
      </c>
      <c r="P14" s="96">
        <v>16413563.31581074</v>
      </c>
      <c r="Q14" s="96">
        <v>0</v>
      </c>
      <c r="T14" s="2" t="s">
        <v>587</v>
      </c>
    </row>
    <row r="15" spans="1:22" ht="13" x14ac:dyDescent="0.35">
      <c r="A15" s="206"/>
      <c r="B15" s="45"/>
      <c r="C15" s="78"/>
      <c r="D15" s="78"/>
      <c r="E15" s="78"/>
      <c r="F15" s="78"/>
      <c r="G15" s="78"/>
      <c r="H15" s="78"/>
      <c r="I15" s="78"/>
      <c r="L15" s="83"/>
      <c r="M15" s="83"/>
      <c r="N15" s="83"/>
      <c r="O15" s="83"/>
      <c r="P15" s="83"/>
      <c r="Q15" s="83"/>
      <c r="S15" s="78"/>
    </row>
    <row r="16" spans="1:22" ht="13" x14ac:dyDescent="0.35">
      <c r="A16" s="206"/>
      <c r="B16" s="45" t="s">
        <v>143</v>
      </c>
      <c r="L16" s="83"/>
      <c r="M16" s="83"/>
      <c r="N16" s="83"/>
      <c r="O16" s="83"/>
      <c r="P16" s="83"/>
      <c r="Q16" s="83"/>
    </row>
    <row r="17" spans="1:20" x14ac:dyDescent="0.25">
      <c r="A17" s="206"/>
      <c r="B17" s="87" t="s">
        <v>151</v>
      </c>
      <c r="F17" s="88" t="s">
        <v>70</v>
      </c>
      <c r="J17" s="38">
        <f>SUM(L17:Q17)</f>
        <v>9230.5</v>
      </c>
      <c r="L17" s="96">
        <v>0</v>
      </c>
      <c r="M17" s="96">
        <v>3307</v>
      </c>
      <c r="N17" s="96">
        <v>167</v>
      </c>
      <c r="O17" s="96">
        <v>18</v>
      </c>
      <c r="P17" s="96">
        <v>5738.5</v>
      </c>
      <c r="Q17" s="96">
        <v>0</v>
      </c>
      <c r="T17" s="2" t="s">
        <v>587</v>
      </c>
    </row>
    <row r="18" spans="1:20" x14ac:dyDescent="0.25">
      <c r="A18" s="206"/>
      <c r="B18" s="87" t="s">
        <v>152</v>
      </c>
      <c r="F18" s="236" t="s">
        <v>160</v>
      </c>
      <c r="J18" s="38">
        <f>SUM(L18:Q18)</f>
        <v>4123954.9175296901</v>
      </c>
      <c r="L18" s="96">
        <v>0</v>
      </c>
      <c r="M18" s="96">
        <v>1153012.8399999999</v>
      </c>
      <c r="N18" s="96">
        <v>64924.873181765623</v>
      </c>
      <c r="O18" s="96">
        <v>2460.46</v>
      </c>
      <c r="P18" s="96">
        <v>2903556.7443479244</v>
      </c>
      <c r="Q18" s="96">
        <v>0</v>
      </c>
      <c r="T18" s="2" t="s">
        <v>587</v>
      </c>
    </row>
    <row r="20" spans="1:20" s="6" customFormat="1" ht="13" x14ac:dyDescent="0.35">
      <c r="B20" s="6" t="s">
        <v>161</v>
      </c>
      <c r="L20" s="93"/>
      <c r="M20" s="93"/>
      <c r="N20" s="93"/>
      <c r="O20" s="93"/>
      <c r="P20" s="93"/>
      <c r="Q20" s="93"/>
    </row>
    <row r="22" spans="1:20" x14ac:dyDescent="0.25">
      <c r="B22" s="2" t="s">
        <v>284</v>
      </c>
      <c r="F22" s="145" t="s">
        <v>105</v>
      </c>
      <c r="J22" s="38">
        <f>SUM(L22:Q22)</f>
        <v>480517.05016735999</v>
      </c>
      <c r="L22" s="96">
        <v>51201.018277919997</v>
      </c>
      <c r="M22" s="96">
        <v>0</v>
      </c>
      <c r="N22" s="96">
        <v>429316.03188944003</v>
      </c>
      <c r="O22" s="96">
        <v>0</v>
      </c>
      <c r="P22" s="96">
        <v>0</v>
      </c>
      <c r="Q22" s="96">
        <v>0</v>
      </c>
      <c r="T22" s="2" t="s">
        <v>294</v>
      </c>
    </row>
    <row r="23" spans="1:20" x14ac:dyDescent="0.25">
      <c r="F23" s="145"/>
    </row>
    <row r="24" spans="1:20" s="129" customFormat="1" ht="12" customHeight="1" x14ac:dyDescent="0.35">
      <c r="A24" s="2"/>
      <c r="B24" s="87" t="s">
        <v>285</v>
      </c>
      <c r="F24" s="129" t="s">
        <v>70</v>
      </c>
      <c r="J24" s="105">
        <f>SUM(L24:Q24)</f>
        <v>829798182.34168494</v>
      </c>
      <c r="K24" s="2"/>
      <c r="L24" s="96">
        <v>16401680.494385676</v>
      </c>
      <c r="M24" s="96">
        <v>266533758.56356135</v>
      </c>
      <c r="N24" s="96">
        <v>285455588.10709691</v>
      </c>
      <c r="O24" s="96">
        <v>12040239.024494292</v>
      </c>
      <c r="P24" s="96">
        <v>235138144.63941851</v>
      </c>
      <c r="Q24" s="96">
        <v>14228771.512728186</v>
      </c>
      <c r="T24" s="2" t="s">
        <v>273</v>
      </c>
    </row>
  </sheetData>
  <phoneticPr fontId="66"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D1E08-9C5A-4715-A1D4-7B13D58894AA}">
  <sheetPr>
    <tabColor rgb="FFE1FFE1"/>
  </sheetPr>
  <dimension ref="A2:V25"/>
  <sheetViews>
    <sheetView showGridLines="0" zoomScale="85" zoomScaleNormal="85" workbookViewId="0">
      <pane xSplit="6" ySplit="8" topLeftCell="G9" activePane="bottomRight" state="frozen"/>
      <selection activeCell="T16" sqref="T16"/>
      <selection pane="topRight" activeCell="T16" sqref="T16"/>
      <selection pane="bottomLeft" activeCell="T16" sqref="T16"/>
      <selection pane="bottomRight" activeCell="G9" sqref="G9"/>
    </sheetView>
  </sheetViews>
  <sheetFormatPr defaultColWidth="9.26953125" defaultRowHeight="12.5" x14ac:dyDescent="0.35"/>
  <cols>
    <col min="1" max="1" width="4" style="2" customWidth="1"/>
    <col min="2" max="2" width="76.453125" style="2" customWidth="1"/>
    <col min="3"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7" width="13.26953125" style="2" customWidth="1"/>
    <col min="18" max="19" width="2.7265625" style="2" customWidth="1"/>
    <col min="20" max="20" width="24.7265625" style="2" customWidth="1"/>
    <col min="21" max="21" width="2.7265625" style="2" customWidth="1"/>
    <col min="22" max="22" width="13.7265625" style="2" customWidth="1"/>
    <col min="23" max="23" width="2.7265625" style="2" customWidth="1"/>
    <col min="24" max="38" width="13.7265625" style="2" customWidth="1"/>
    <col min="39" max="16384" width="9.26953125" style="2"/>
  </cols>
  <sheetData>
    <row r="2" spans="1:22" s="18" customFormat="1" ht="18" x14ac:dyDescent="0.35">
      <c r="B2" s="18" t="s">
        <v>663</v>
      </c>
    </row>
    <row r="4" spans="1:22" ht="13" x14ac:dyDescent="0.35">
      <c r="B4" s="1" t="s">
        <v>29</v>
      </c>
      <c r="C4" s="1"/>
      <c r="D4" s="1"/>
    </row>
    <row r="5" spans="1:22" x14ac:dyDescent="0.35">
      <c r="B5" s="2" t="s">
        <v>163</v>
      </c>
      <c r="H5" s="19"/>
    </row>
    <row r="7" spans="1:22" s="6" customFormat="1" ht="13" x14ac:dyDescent="0.35">
      <c r="B7" s="6" t="s">
        <v>45</v>
      </c>
      <c r="F7" s="6" t="s">
        <v>27</v>
      </c>
      <c r="H7" s="6" t="s">
        <v>28</v>
      </c>
      <c r="J7" s="6" t="s">
        <v>49</v>
      </c>
      <c r="L7" s="6" t="s">
        <v>88</v>
      </c>
      <c r="M7" s="6" t="s">
        <v>65</v>
      </c>
      <c r="N7" s="6" t="s">
        <v>66</v>
      </c>
      <c r="O7" s="6" t="s">
        <v>67</v>
      </c>
      <c r="P7" s="6" t="s">
        <v>68</v>
      </c>
      <c r="Q7" s="6" t="s">
        <v>69</v>
      </c>
      <c r="T7" s="6" t="s">
        <v>46</v>
      </c>
      <c r="V7" s="6" t="s">
        <v>47</v>
      </c>
    </row>
    <row r="10" spans="1:22" s="6" customFormat="1" ht="13" x14ac:dyDescent="0.35">
      <c r="B10" s="6" t="s">
        <v>141</v>
      </c>
      <c r="L10" s="93"/>
      <c r="M10" s="93"/>
      <c r="N10" s="93"/>
      <c r="O10" s="93"/>
      <c r="P10" s="93"/>
      <c r="Q10" s="93"/>
    </row>
    <row r="11" spans="1:22" x14ac:dyDescent="0.35">
      <c r="A11" s="206"/>
      <c r="L11" s="83"/>
      <c r="M11" s="83"/>
      <c r="N11" s="83"/>
      <c r="O11" s="83"/>
      <c r="P11" s="83"/>
      <c r="Q11" s="83"/>
    </row>
    <row r="12" spans="1:22" ht="13" x14ac:dyDescent="0.35">
      <c r="A12" s="206"/>
      <c r="B12" s="45" t="s">
        <v>164</v>
      </c>
      <c r="L12" s="83"/>
      <c r="M12" s="83"/>
      <c r="N12" s="83"/>
      <c r="O12" s="83"/>
      <c r="P12" s="83"/>
      <c r="Q12" s="83"/>
    </row>
    <row r="13" spans="1:22" x14ac:dyDescent="0.25">
      <c r="A13" s="206"/>
      <c r="B13" s="87" t="s">
        <v>166</v>
      </c>
      <c r="F13" s="88" t="s">
        <v>70</v>
      </c>
      <c r="J13" s="38">
        <f>SUM(L13:Q13)</f>
        <v>58</v>
      </c>
      <c r="L13" s="96">
        <v>0</v>
      </c>
      <c r="M13" s="96">
        <v>0</v>
      </c>
      <c r="N13" s="96">
        <v>45</v>
      </c>
      <c r="O13" s="96">
        <v>0</v>
      </c>
      <c r="P13" s="96">
        <v>13</v>
      </c>
      <c r="Q13" s="96">
        <v>0</v>
      </c>
      <c r="T13" s="2" t="s">
        <v>587</v>
      </c>
    </row>
    <row r="14" spans="1:22" x14ac:dyDescent="0.25">
      <c r="A14" s="206"/>
      <c r="B14" s="87" t="s">
        <v>167</v>
      </c>
      <c r="F14" s="236" t="s">
        <v>160</v>
      </c>
      <c r="J14" s="38">
        <f>SUM(L14:Q14)</f>
        <v>548542.86821974663</v>
      </c>
      <c r="L14" s="96">
        <v>0</v>
      </c>
      <c r="M14" s="96">
        <v>0</v>
      </c>
      <c r="N14" s="96">
        <v>425011.45153503399</v>
      </c>
      <c r="O14" s="96">
        <v>0</v>
      </c>
      <c r="P14" s="96">
        <v>123531.41668471268</v>
      </c>
      <c r="Q14" s="96">
        <v>0</v>
      </c>
      <c r="T14" s="2" t="s">
        <v>587</v>
      </c>
    </row>
    <row r="15" spans="1:22" x14ac:dyDescent="0.25">
      <c r="A15" s="206"/>
      <c r="B15" s="87"/>
      <c r="F15" s="108"/>
    </row>
    <row r="16" spans="1:22" x14ac:dyDescent="0.25">
      <c r="A16" s="206"/>
      <c r="B16" s="87" t="s">
        <v>168</v>
      </c>
      <c r="F16" s="88" t="s">
        <v>70</v>
      </c>
      <c r="J16" s="38">
        <f>SUM(L16:Q16)</f>
        <v>679</v>
      </c>
      <c r="L16" s="96">
        <v>0</v>
      </c>
      <c r="M16" s="96">
        <v>0</v>
      </c>
      <c r="N16" s="96">
        <v>612</v>
      </c>
      <c r="O16" s="96">
        <v>0</v>
      </c>
      <c r="P16" s="96">
        <v>67</v>
      </c>
      <c r="Q16" s="96">
        <v>0</v>
      </c>
      <c r="T16" s="2" t="s">
        <v>587</v>
      </c>
    </row>
    <row r="17" spans="1:20" x14ac:dyDescent="0.25">
      <c r="A17" s="206"/>
      <c r="B17" s="87" t="s">
        <v>204</v>
      </c>
      <c r="C17" s="78"/>
      <c r="D17" s="78"/>
      <c r="E17" s="78"/>
      <c r="F17" s="236" t="s">
        <v>160</v>
      </c>
      <c r="G17" s="78"/>
      <c r="H17" s="78"/>
      <c r="I17" s="78"/>
      <c r="J17" s="38">
        <f>SUM(L17:Q17)</f>
        <v>47140.208464966112</v>
      </c>
      <c r="K17" s="78"/>
      <c r="L17" s="96">
        <v>0</v>
      </c>
      <c r="M17" s="96">
        <v>0</v>
      </c>
      <c r="N17" s="96">
        <v>42676.978464966109</v>
      </c>
      <c r="O17" s="96">
        <v>0</v>
      </c>
      <c r="P17" s="96">
        <v>4463.2299999999996</v>
      </c>
      <c r="Q17" s="96">
        <v>0</v>
      </c>
      <c r="S17" s="78"/>
      <c r="T17" s="2" t="s">
        <v>587</v>
      </c>
    </row>
    <row r="18" spans="1:20" ht="13" x14ac:dyDescent="0.35">
      <c r="A18" s="206"/>
      <c r="B18" s="45"/>
      <c r="C18" s="78"/>
      <c r="D18" s="78"/>
      <c r="E18" s="78"/>
      <c r="F18" s="78"/>
      <c r="G18" s="78"/>
      <c r="H18" s="78"/>
      <c r="I18" s="78"/>
      <c r="L18" s="83"/>
      <c r="M18" s="83"/>
      <c r="N18" s="83"/>
      <c r="O18" s="83"/>
      <c r="P18" s="83"/>
      <c r="Q18" s="83"/>
      <c r="S18" s="78"/>
    </row>
    <row r="19" spans="1:20" ht="13" x14ac:dyDescent="0.35">
      <c r="A19" s="206"/>
      <c r="B19" s="45" t="s">
        <v>165</v>
      </c>
      <c r="L19" s="83"/>
      <c r="M19" s="83"/>
      <c r="N19" s="83"/>
      <c r="O19" s="83"/>
      <c r="P19" s="83"/>
      <c r="Q19" s="83"/>
    </row>
    <row r="20" spans="1:20" x14ac:dyDescent="0.25">
      <c r="A20" s="206"/>
      <c r="B20" s="87" t="s">
        <v>166</v>
      </c>
      <c r="F20" s="88" t="s">
        <v>70</v>
      </c>
      <c r="J20" s="38">
        <f>SUM(L20:Q20)</f>
        <v>71</v>
      </c>
      <c r="L20" s="96">
        <v>0</v>
      </c>
      <c r="M20" s="96">
        <v>0</v>
      </c>
      <c r="N20" s="96">
        <v>31</v>
      </c>
      <c r="O20" s="96">
        <v>0</v>
      </c>
      <c r="P20" s="96">
        <v>36</v>
      </c>
      <c r="Q20" s="96">
        <v>4</v>
      </c>
      <c r="T20" s="2" t="s">
        <v>587</v>
      </c>
    </row>
    <row r="21" spans="1:20" x14ac:dyDescent="0.25">
      <c r="A21" s="206"/>
      <c r="B21" s="87" t="s">
        <v>167</v>
      </c>
      <c r="F21" s="236" t="s">
        <v>160</v>
      </c>
      <c r="J21" s="38">
        <f>SUM(L21:Q21)</f>
        <v>1049258.7017885256</v>
      </c>
      <c r="L21" s="96">
        <v>0</v>
      </c>
      <c r="M21" s="96">
        <v>0</v>
      </c>
      <c r="N21" s="96">
        <v>440240.06847323838</v>
      </c>
      <c r="O21" s="96">
        <v>0</v>
      </c>
      <c r="P21" s="96">
        <v>588184.55331528722</v>
      </c>
      <c r="Q21" s="96">
        <v>20834.080000000002</v>
      </c>
      <c r="T21" s="2" t="s">
        <v>587</v>
      </c>
    </row>
    <row r="22" spans="1:20" x14ac:dyDescent="0.25">
      <c r="A22" s="206"/>
      <c r="B22" s="87"/>
      <c r="F22" s="108"/>
    </row>
    <row r="23" spans="1:20" x14ac:dyDescent="0.25">
      <c r="A23" s="206"/>
      <c r="B23" s="87" t="s">
        <v>168</v>
      </c>
      <c r="F23" s="88" t="s">
        <v>70</v>
      </c>
      <c r="J23" s="38">
        <f>SUM(L23:Q23)</f>
        <v>380</v>
      </c>
      <c r="L23" s="96">
        <v>0</v>
      </c>
      <c r="M23" s="96">
        <v>0</v>
      </c>
      <c r="N23" s="96">
        <v>350</v>
      </c>
      <c r="O23" s="96">
        <v>0</v>
      </c>
      <c r="P23" s="96">
        <v>30</v>
      </c>
      <c r="Q23" s="96">
        <v>0</v>
      </c>
      <c r="T23" s="2" t="s">
        <v>587</v>
      </c>
    </row>
    <row r="24" spans="1:20" x14ac:dyDescent="0.25">
      <c r="A24" s="206"/>
      <c r="B24" s="87" t="s">
        <v>204</v>
      </c>
      <c r="C24" s="78"/>
      <c r="D24" s="78"/>
      <c r="E24" s="78"/>
      <c r="F24" s="236" t="s">
        <v>160</v>
      </c>
      <c r="J24" s="38">
        <f>SUM(L24:Q24)</f>
        <v>50432.911526761643</v>
      </c>
      <c r="L24" s="96">
        <v>0</v>
      </c>
      <c r="M24" s="96">
        <v>0</v>
      </c>
      <c r="N24" s="96">
        <v>50391.761526761642</v>
      </c>
      <c r="O24" s="96">
        <v>0</v>
      </c>
      <c r="P24" s="96">
        <v>41.150000000000006</v>
      </c>
      <c r="Q24" s="96">
        <v>0</v>
      </c>
      <c r="T24" s="2" t="s">
        <v>587</v>
      </c>
    </row>
    <row r="25" spans="1:20" x14ac:dyDescent="0.35">
      <c r="A25" s="206"/>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DF1C1-6F8A-4D7F-8A13-B9D5BE2B1426}">
  <sheetPr>
    <tabColor rgb="FFE1FFE1"/>
  </sheetPr>
  <dimension ref="A1:X35"/>
  <sheetViews>
    <sheetView showGridLines="0" zoomScale="85" zoomScaleNormal="85" workbookViewId="0">
      <pane xSplit="6" ySplit="13" topLeftCell="G14" activePane="bottomRight" state="frozen"/>
      <selection pane="topRight" activeCell="G1" sqref="G1"/>
      <selection pane="bottomLeft" activeCell="A10" sqref="A10"/>
      <selection pane="bottomRight" activeCell="G14" sqref="G14"/>
    </sheetView>
  </sheetViews>
  <sheetFormatPr defaultColWidth="8.7265625" defaultRowHeight="12" customHeight="1" x14ac:dyDescent="0.35"/>
  <cols>
    <col min="1" max="1" width="4" style="112" customWidth="1"/>
    <col min="2" max="2" width="71" style="112" customWidth="1"/>
    <col min="3" max="3" width="1.7265625" style="112" customWidth="1"/>
    <col min="4" max="4" width="2.54296875" style="112" customWidth="1"/>
    <col min="5" max="5" width="2.453125" style="112" customWidth="1"/>
    <col min="6" max="6" width="13" style="112" customWidth="1"/>
    <col min="7" max="7" width="3.7265625" style="112" customWidth="1"/>
    <col min="8" max="8" width="11.453125" style="112" customWidth="1"/>
    <col min="9" max="9" width="2.453125" style="112" customWidth="1"/>
    <col min="10" max="10" width="13.26953125" style="112" customWidth="1"/>
    <col min="11" max="11" width="2.54296875" style="112" customWidth="1"/>
    <col min="12" max="17" width="12.54296875" style="112" customWidth="1"/>
    <col min="18" max="18" width="2.453125" style="112" customWidth="1"/>
    <col min="19" max="16384" width="8.7265625" style="112"/>
  </cols>
  <sheetData>
    <row r="1" spans="2:21" s="2" customFormat="1" ht="12.75" customHeight="1" x14ac:dyDescent="0.35"/>
    <row r="2" spans="2:21" s="18" customFormat="1" ht="18" x14ac:dyDescent="0.35">
      <c r="B2" s="18" t="s">
        <v>892</v>
      </c>
    </row>
    <row r="3" spans="2:21" s="2" customFormat="1" ht="12.75" customHeight="1" x14ac:dyDescent="0.35"/>
    <row r="4" spans="2:21" s="2" customFormat="1" ht="12.75" customHeight="1" x14ac:dyDescent="0.35">
      <c r="B4" s="1" t="s">
        <v>29</v>
      </c>
      <c r="C4" s="1"/>
      <c r="D4" s="1"/>
    </row>
    <row r="5" spans="2:21" s="2" customFormat="1" ht="12.75" customHeight="1" x14ac:dyDescent="0.35">
      <c r="B5" s="69" t="s">
        <v>800</v>
      </c>
      <c r="H5" s="19"/>
    </row>
    <row r="6" spans="2:21" s="2" customFormat="1" ht="12.65" customHeight="1" x14ac:dyDescent="0.35">
      <c r="B6" s="69"/>
      <c r="H6" s="19"/>
    </row>
    <row r="7" spans="2:21" s="2" customFormat="1" ht="12.65" customHeight="1" x14ac:dyDescent="0.35">
      <c r="B7" s="69" t="s">
        <v>801</v>
      </c>
      <c r="H7" s="19"/>
    </row>
    <row r="8" spans="2:21" s="2" customFormat="1" ht="12.65" customHeight="1" x14ac:dyDescent="0.35">
      <c r="B8" s="69" t="s">
        <v>893</v>
      </c>
      <c r="H8" s="19"/>
    </row>
    <row r="9" spans="2:21" s="2" customFormat="1" ht="12.65" customHeight="1" x14ac:dyDescent="0.35">
      <c r="B9" s="69"/>
      <c r="H9" s="19"/>
    </row>
    <row r="10" spans="2:21" s="2" customFormat="1" ht="12.65" customHeight="1" x14ac:dyDescent="0.35">
      <c r="B10" s="2" t="s">
        <v>705</v>
      </c>
      <c r="H10" s="19"/>
    </row>
    <row r="11" spans="2:21" s="2" customFormat="1" ht="12.75" customHeight="1" x14ac:dyDescent="0.35"/>
    <row r="12" spans="2:21" s="6" customFormat="1" ht="12" customHeight="1" x14ac:dyDescent="0.35">
      <c r="B12" s="6" t="s">
        <v>45</v>
      </c>
      <c r="F12" s="6" t="s">
        <v>27</v>
      </c>
      <c r="H12" s="6" t="s">
        <v>28</v>
      </c>
      <c r="J12" s="6" t="s">
        <v>49</v>
      </c>
      <c r="L12" s="6" t="s">
        <v>88</v>
      </c>
      <c r="M12" s="6" t="s">
        <v>65</v>
      </c>
      <c r="N12" s="6" t="s">
        <v>66</v>
      </c>
      <c r="O12" s="6" t="s">
        <v>67</v>
      </c>
      <c r="P12" s="6" t="s">
        <v>68</v>
      </c>
      <c r="Q12" s="6" t="s">
        <v>69</v>
      </c>
      <c r="S12" s="6" t="s">
        <v>46</v>
      </c>
      <c r="U12" s="6" t="s">
        <v>47</v>
      </c>
    </row>
    <row r="13" spans="2:21" s="2" customFormat="1" ht="12" customHeight="1" x14ac:dyDescent="0.35"/>
    <row r="14" spans="2:21" s="2" customFormat="1" ht="12" customHeight="1" x14ac:dyDescent="0.35"/>
    <row r="15" spans="2:21" s="6" customFormat="1" ht="12" customHeight="1" x14ac:dyDescent="0.35">
      <c r="B15" s="6" t="s">
        <v>802</v>
      </c>
    </row>
    <row r="16" spans="2:21" s="2" customFormat="1" ht="12" customHeight="1" x14ac:dyDescent="0.35">
      <c r="M16" s="83"/>
      <c r="N16" s="83"/>
      <c r="O16" s="83"/>
      <c r="P16" s="83"/>
      <c r="Q16" s="83"/>
    </row>
    <row r="17" spans="1:24" s="2" customFormat="1" ht="12" customHeight="1" x14ac:dyDescent="0.25">
      <c r="B17" s="87" t="s">
        <v>703</v>
      </c>
      <c r="C17" s="78"/>
      <c r="D17" s="78"/>
      <c r="E17" s="78"/>
      <c r="F17" s="247" t="s">
        <v>160</v>
      </c>
      <c r="G17" s="78"/>
      <c r="H17" s="78"/>
      <c r="I17" s="78"/>
      <c r="J17" s="38">
        <f>SUM(L17:Q17)</f>
        <v>0</v>
      </c>
      <c r="L17" s="65">
        <v>0</v>
      </c>
      <c r="M17" s="65">
        <v>0</v>
      </c>
      <c r="N17" s="65">
        <v>0</v>
      </c>
      <c r="O17" s="65">
        <v>0</v>
      </c>
      <c r="P17" s="65">
        <v>0</v>
      </c>
      <c r="Q17" s="65">
        <v>0</v>
      </c>
      <c r="S17" s="2" t="s">
        <v>875</v>
      </c>
      <c r="X17" s="19"/>
    </row>
    <row r="18" spans="1:24" s="2" customFormat="1" ht="12" customHeight="1" x14ac:dyDescent="0.25">
      <c r="B18" s="87" t="s">
        <v>704</v>
      </c>
      <c r="F18" s="247" t="s">
        <v>160</v>
      </c>
      <c r="J18" s="38">
        <f>SUM(L18:Q18)</f>
        <v>260990.32</v>
      </c>
      <c r="L18" s="65">
        <v>8372.0300000000007</v>
      </c>
      <c r="M18" s="65">
        <v>121963</v>
      </c>
      <c r="N18" s="65">
        <v>0</v>
      </c>
      <c r="O18" s="65">
        <v>4923</v>
      </c>
      <c r="P18" s="65">
        <v>122734</v>
      </c>
      <c r="Q18" s="65">
        <v>2998.29</v>
      </c>
      <c r="S18" s="2" t="s">
        <v>875</v>
      </c>
    </row>
    <row r="20" spans="1:24" s="6" customFormat="1" ht="12" customHeight="1" x14ac:dyDescent="0.35">
      <c r="B20" s="6" t="s">
        <v>803</v>
      </c>
    </row>
    <row r="22" spans="1:24" ht="12" customHeight="1" x14ac:dyDescent="0.35">
      <c r="A22" s="269"/>
      <c r="B22" s="269" t="s">
        <v>804</v>
      </c>
      <c r="C22" s="269"/>
      <c r="D22" s="269"/>
      <c r="E22" s="269"/>
      <c r="F22" s="269" t="s">
        <v>160</v>
      </c>
      <c r="G22" s="269"/>
      <c r="H22" s="269"/>
      <c r="I22" s="269"/>
      <c r="J22" s="267">
        <f>SUM(L22:Q22)</f>
        <v>240896.38754573415</v>
      </c>
      <c r="K22" s="209"/>
      <c r="L22" s="284">
        <v>28977</v>
      </c>
      <c r="M22" s="268">
        <v>77261.144149384752</v>
      </c>
      <c r="N22" s="268">
        <v>87840.15</v>
      </c>
      <c r="O22" s="268">
        <v>9546</v>
      </c>
      <c r="P22" s="284">
        <v>35429.589264117996</v>
      </c>
      <c r="Q22" s="268">
        <v>1842.5041322314048</v>
      </c>
      <c r="R22" s="209"/>
      <c r="S22" s="209" t="s">
        <v>805</v>
      </c>
      <c r="T22" s="209"/>
      <c r="U22" s="209"/>
      <c r="V22" s="209"/>
      <c r="W22" s="269"/>
    </row>
    <row r="23" spans="1:24" ht="12" customHeight="1" x14ac:dyDescent="0.35">
      <c r="A23" s="209"/>
      <c r="B23" s="209"/>
      <c r="C23" s="269"/>
      <c r="Q23" s="255"/>
    </row>
    <row r="24" spans="1:24" ht="12" customHeight="1" x14ac:dyDescent="0.35">
      <c r="A24" s="269"/>
      <c r="B24" s="269"/>
      <c r="C24" s="269"/>
      <c r="D24" s="269"/>
      <c r="E24" s="269"/>
      <c r="F24" s="269"/>
      <c r="G24" s="269"/>
      <c r="H24" s="269"/>
      <c r="I24" s="269"/>
      <c r="J24" s="269"/>
      <c r="K24" s="269"/>
      <c r="L24" s="261"/>
      <c r="M24" s="261"/>
      <c r="N24" s="261"/>
      <c r="O24" s="261"/>
      <c r="P24" s="269"/>
      <c r="Q24" s="261"/>
      <c r="R24" s="269"/>
      <c r="S24" s="269"/>
      <c r="T24" s="269"/>
      <c r="U24" s="269"/>
      <c r="V24" s="269"/>
      <c r="W24" s="269"/>
    </row>
    <row r="25" spans="1:24" ht="12" customHeight="1" x14ac:dyDescent="0.35">
      <c r="A25" s="269"/>
      <c r="B25" s="269"/>
      <c r="C25" s="269"/>
      <c r="D25" s="269"/>
      <c r="E25" s="269"/>
      <c r="F25" s="269"/>
      <c r="G25" s="269"/>
      <c r="H25" s="269"/>
      <c r="I25" s="269"/>
      <c r="J25" s="269"/>
      <c r="K25" s="269"/>
      <c r="L25" s="269"/>
      <c r="M25" s="269"/>
      <c r="N25" s="269"/>
      <c r="O25" s="269"/>
      <c r="P25" s="269"/>
      <c r="Q25" s="269"/>
      <c r="R25" s="269"/>
      <c r="S25" s="269"/>
      <c r="T25" s="269"/>
      <c r="U25" s="269"/>
      <c r="V25" s="269"/>
      <c r="W25" s="269"/>
    </row>
    <row r="26" spans="1:24" ht="12" customHeight="1" x14ac:dyDescent="0.35">
      <c r="A26" s="269"/>
      <c r="B26" s="269"/>
      <c r="C26" s="269"/>
      <c r="D26" s="269"/>
      <c r="E26" s="269"/>
      <c r="F26" s="269"/>
      <c r="G26" s="269"/>
      <c r="H26" s="269"/>
      <c r="I26" s="269"/>
      <c r="J26" s="269"/>
      <c r="K26" s="269"/>
      <c r="L26" s="269"/>
      <c r="M26" s="269"/>
      <c r="N26" s="269"/>
      <c r="O26" s="269"/>
      <c r="P26" s="269"/>
      <c r="Q26" s="269"/>
      <c r="R26" s="269"/>
      <c r="S26" s="269"/>
      <c r="T26" s="269"/>
      <c r="U26" s="269"/>
      <c r="V26" s="269"/>
      <c r="W26" s="269"/>
    </row>
    <row r="27" spans="1:24" ht="12" customHeight="1" x14ac:dyDescent="0.35">
      <c r="A27" s="269"/>
      <c r="B27" s="269"/>
      <c r="C27" s="269"/>
      <c r="D27" s="269"/>
      <c r="E27" s="269"/>
      <c r="F27" s="269"/>
      <c r="G27" s="269"/>
      <c r="H27" s="269"/>
      <c r="I27" s="269"/>
      <c r="J27" s="269"/>
      <c r="K27" s="269"/>
      <c r="L27" s="269"/>
      <c r="M27" s="269"/>
      <c r="N27" s="269"/>
      <c r="O27" s="269"/>
      <c r="P27" s="269"/>
      <c r="Q27" s="269"/>
      <c r="R27" s="269"/>
      <c r="S27" s="269"/>
      <c r="T27" s="269"/>
      <c r="U27" s="269"/>
      <c r="V27" s="269"/>
      <c r="W27" s="269"/>
    </row>
    <row r="28" spans="1:24" ht="12" customHeight="1" x14ac:dyDescent="0.35">
      <c r="L28" s="255"/>
    </row>
    <row r="29" spans="1:24" ht="12" customHeight="1" x14ac:dyDescent="0.35">
      <c r="L29" s="255"/>
    </row>
    <row r="30" spans="1:24" ht="12" customHeight="1" x14ac:dyDescent="0.35">
      <c r="L30" s="255"/>
    </row>
    <row r="31" spans="1:24" ht="12" customHeight="1" x14ac:dyDescent="0.35">
      <c r="L31" s="255"/>
    </row>
    <row r="32" spans="1:24" ht="12" customHeight="1" x14ac:dyDescent="0.35">
      <c r="L32" s="255"/>
    </row>
    <row r="33" spans="12:12" ht="12" customHeight="1" x14ac:dyDescent="0.35">
      <c r="L33" s="255"/>
    </row>
    <row r="34" spans="12:12" ht="12" customHeight="1" x14ac:dyDescent="0.35">
      <c r="L34" s="255"/>
    </row>
    <row r="35" spans="12:12" ht="12" customHeight="1" x14ac:dyDescent="0.35">
      <c r="L35" s="25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8D9"/>
  </sheetPr>
  <dimension ref="B2:R56"/>
  <sheetViews>
    <sheetView showGridLines="0" zoomScale="85" zoomScaleNormal="85" workbookViewId="0">
      <pane ySplit="3" topLeftCell="A4" activePane="bottomLeft" state="frozen"/>
      <selection activeCell="Q27" sqref="Q27"/>
      <selection pane="bottomLeft" activeCell="A4" sqref="A4"/>
    </sheetView>
  </sheetViews>
  <sheetFormatPr defaultColWidth="9.26953125" defaultRowHeight="12.5" x14ac:dyDescent="0.35"/>
  <cols>
    <col min="1" max="7" width="9.26953125" style="2" customWidth="1"/>
    <col min="8" max="16384" width="9.26953125" style="2"/>
  </cols>
  <sheetData>
    <row r="2" spans="2:18" s="9" customFormat="1" ht="18" x14ac:dyDescent="0.35">
      <c r="B2" s="8" t="s">
        <v>53</v>
      </c>
    </row>
    <row r="4" spans="2:18" s="6" customFormat="1" ht="13" x14ac:dyDescent="0.35">
      <c r="B4" s="6" t="s">
        <v>14</v>
      </c>
    </row>
    <row r="6" spans="2:18" x14ac:dyDescent="0.25">
      <c r="B6" s="39" t="s">
        <v>684</v>
      </c>
    </row>
    <row r="7" spans="2:18" x14ac:dyDescent="0.25">
      <c r="B7" s="287" t="s">
        <v>862</v>
      </c>
      <c r="Q7" s="19"/>
    </row>
    <row r="8" spans="2:18" x14ac:dyDescent="0.25">
      <c r="B8" s="39" t="s">
        <v>685</v>
      </c>
    </row>
    <row r="9" spans="2:18" x14ac:dyDescent="0.25">
      <c r="B9" s="39"/>
    </row>
    <row r="10" spans="2:18" s="6" customFormat="1" ht="13" x14ac:dyDescent="0.35">
      <c r="B10" s="6" t="s">
        <v>60</v>
      </c>
    </row>
    <row r="12" spans="2:18" s="56" customFormat="1" ht="14" x14ac:dyDescent="0.3"/>
    <row r="13" spans="2:18" s="56" customFormat="1" ht="14" x14ac:dyDescent="0.3">
      <c r="B13" s="57"/>
      <c r="C13" s="57"/>
      <c r="D13" s="57"/>
      <c r="E13" s="57"/>
      <c r="F13" s="57"/>
      <c r="G13" s="57"/>
      <c r="H13" s="57"/>
      <c r="I13" s="57"/>
      <c r="J13" s="57"/>
      <c r="K13" s="57"/>
      <c r="L13" s="57"/>
      <c r="M13" s="57"/>
      <c r="N13" s="57"/>
      <c r="O13" s="57"/>
      <c r="P13" s="57"/>
      <c r="Q13" s="57"/>
      <c r="R13" s="57"/>
    </row>
    <row r="14" spans="2:18" s="56" customFormat="1" ht="14" x14ac:dyDescent="0.3">
      <c r="B14" s="57"/>
      <c r="C14" s="57"/>
      <c r="D14" s="57"/>
      <c r="E14" s="57"/>
      <c r="F14" s="57"/>
      <c r="G14" s="57"/>
      <c r="H14" s="57"/>
      <c r="I14" s="57"/>
      <c r="J14" s="57"/>
      <c r="K14" s="57"/>
      <c r="L14" s="57"/>
      <c r="M14" s="57"/>
      <c r="N14" s="57"/>
      <c r="O14" s="57"/>
      <c r="P14" s="57"/>
      <c r="Q14" s="57"/>
      <c r="R14" s="57"/>
    </row>
    <row r="15" spans="2:18" s="56" customFormat="1" ht="14" x14ac:dyDescent="0.3">
      <c r="B15" s="57"/>
      <c r="C15" s="57"/>
      <c r="D15" s="57"/>
      <c r="E15" s="57"/>
      <c r="F15" s="57"/>
      <c r="G15" s="57"/>
      <c r="H15" s="57"/>
      <c r="I15" s="57"/>
      <c r="J15" s="57"/>
      <c r="K15" s="57"/>
      <c r="L15" s="57"/>
      <c r="M15" s="57"/>
      <c r="N15" s="57"/>
      <c r="O15" s="57"/>
      <c r="P15" s="57"/>
      <c r="Q15" s="57"/>
      <c r="R15" s="57"/>
    </row>
    <row r="16" spans="2:18" s="56" customFormat="1" ht="14" x14ac:dyDescent="0.3">
      <c r="B16" s="57"/>
      <c r="C16" s="57"/>
      <c r="D16" s="57"/>
      <c r="E16" s="57"/>
      <c r="F16" s="57"/>
      <c r="G16" s="57"/>
      <c r="H16" s="57"/>
      <c r="I16" s="57"/>
      <c r="J16" s="57"/>
      <c r="K16" s="57"/>
      <c r="L16" s="57"/>
      <c r="M16" s="57"/>
      <c r="N16" s="57"/>
      <c r="O16" s="57"/>
      <c r="P16" s="57"/>
      <c r="Q16" s="57"/>
      <c r="R16" s="57"/>
    </row>
    <row r="17" spans="2:18" s="56" customFormat="1" ht="14" x14ac:dyDescent="0.3">
      <c r="B17" s="57"/>
      <c r="C17" s="57"/>
      <c r="D17" s="57"/>
      <c r="E17" s="57"/>
      <c r="F17" s="57"/>
      <c r="G17" s="57"/>
      <c r="H17" s="57"/>
      <c r="I17" s="57"/>
      <c r="J17" s="57"/>
      <c r="K17" s="57"/>
      <c r="L17" s="57"/>
      <c r="M17" s="57"/>
      <c r="N17" s="57"/>
      <c r="O17" s="57"/>
      <c r="P17" s="57"/>
      <c r="Q17" s="57"/>
      <c r="R17" s="57"/>
    </row>
    <row r="18" spans="2:18" s="56" customFormat="1" ht="14" x14ac:dyDescent="0.3">
      <c r="B18" s="57"/>
      <c r="C18" s="57"/>
      <c r="D18" s="57"/>
      <c r="E18" s="57"/>
      <c r="F18" s="57"/>
      <c r="G18" s="57"/>
      <c r="H18" s="57"/>
      <c r="I18" s="57"/>
      <c r="J18" s="57"/>
      <c r="K18" s="57"/>
      <c r="L18" s="57"/>
      <c r="M18" s="57"/>
      <c r="N18" s="57"/>
      <c r="O18" s="57"/>
      <c r="P18" s="57"/>
      <c r="Q18" s="57"/>
      <c r="R18" s="57"/>
    </row>
    <row r="19" spans="2:18" s="56" customFormat="1" ht="14" x14ac:dyDescent="0.3">
      <c r="B19" s="57"/>
      <c r="C19" s="57"/>
      <c r="D19" s="57"/>
      <c r="E19" s="57"/>
      <c r="F19" s="57"/>
      <c r="G19" s="57"/>
      <c r="H19" s="57"/>
      <c r="I19" s="57"/>
      <c r="J19" s="57"/>
      <c r="K19" s="57"/>
      <c r="L19" s="57"/>
      <c r="M19" s="57"/>
      <c r="N19" s="57"/>
      <c r="O19" s="57"/>
      <c r="P19" s="57"/>
      <c r="Q19" s="57"/>
      <c r="R19" s="57"/>
    </row>
    <row r="20" spans="2:18" s="56" customFormat="1" ht="14" x14ac:dyDescent="0.3">
      <c r="B20" s="57"/>
      <c r="C20" s="57"/>
      <c r="D20" s="57"/>
      <c r="E20" s="57"/>
      <c r="F20" s="57"/>
      <c r="G20" s="57"/>
      <c r="H20" s="57"/>
      <c r="I20" s="57"/>
      <c r="J20" s="57"/>
      <c r="K20" s="57"/>
      <c r="L20" s="57"/>
      <c r="M20" s="57"/>
      <c r="N20" s="57"/>
      <c r="O20" s="57"/>
      <c r="P20" s="57"/>
      <c r="Q20" s="57"/>
      <c r="R20" s="57"/>
    </row>
    <row r="21" spans="2:18" s="56" customFormat="1" ht="14" x14ac:dyDescent="0.3">
      <c r="B21" s="57"/>
      <c r="C21" s="57"/>
      <c r="D21" s="57"/>
      <c r="E21" s="57"/>
      <c r="F21" s="57"/>
      <c r="G21" s="57"/>
      <c r="H21" s="57"/>
      <c r="I21" s="57"/>
      <c r="J21" s="57"/>
      <c r="K21" s="57"/>
      <c r="L21" s="57"/>
      <c r="M21" s="57"/>
      <c r="N21" s="57"/>
      <c r="O21" s="57"/>
      <c r="P21" s="57"/>
      <c r="Q21" s="57"/>
      <c r="R21" s="57"/>
    </row>
    <row r="22" spans="2:18" s="56" customFormat="1" ht="14" x14ac:dyDescent="0.3">
      <c r="B22" s="57"/>
      <c r="C22" s="57"/>
      <c r="D22" s="57"/>
      <c r="E22" s="57"/>
      <c r="F22" s="57"/>
      <c r="G22" s="57"/>
      <c r="H22" s="57"/>
      <c r="I22" s="57"/>
      <c r="J22" s="57"/>
      <c r="K22" s="57"/>
      <c r="L22" s="57"/>
      <c r="M22" s="57"/>
      <c r="N22" s="57"/>
      <c r="O22" s="57"/>
      <c r="P22" s="57"/>
      <c r="Q22" s="57"/>
      <c r="R22" s="57"/>
    </row>
    <row r="23" spans="2:18" s="56" customFormat="1" ht="14" x14ac:dyDescent="0.3">
      <c r="B23" s="57"/>
      <c r="C23" s="57"/>
      <c r="D23" s="57"/>
      <c r="E23" s="57"/>
      <c r="F23" s="57"/>
      <c r="G23" s="57"/>
      <c r="H23" s="57"/>
      <c r="I23" s="57"/>
      <c r="J23" s="57"/>
      <c r="K23" s="57"/>
      <c r="L23" s="57"/>
      <c r="M23" s="57"/>
      <c r="N23" s="57"/>
      <c r="O23" s="57"/>
      <c r="P23" s="57"/>
      <c r="Q23" s="57"/>
      <c r="R23" s="57"/>
    </row>
    <row r="24" spans="2:18" s="56" customFormat="1" ht="14" x14ac:dyDescent="0.3">
      <c r="B24" s="57"/>
      <c r="C24" s="57"/>
      <c r="D24" s="57"/>
      <c r="E24" s="57"/>
      <c r="F24" s="57"/>
      <c r="G24" s="57"/>
      <c r="H24" s="57"/>
      <c r="I24" s="57"/>
      <c r="J24" s="57"/>
      <c r="K24" s="57"/>
      <c r="L24" s="57"/>
      <c r="M24" s="57"/>
      <c r="N24" s="57"/>
      <c r="O24" s="57"/>
      <c r="P24" s="57"/>
      <c r="Q24" s="57"/>
      <c r="R24" s="57"/>
    </row>
    <row r="26" spans="2:18" s="6" customFormat="1" ht="13" x14ac:dyDescent="0.35">
      <c r="B26" s="6" t="s">
        <v>15</v>
      </c>
    </row>
    <row r="28" spans="2:18" ht="13" x14ac:dyDescent="0.35">
      <c r="B28" s="1" t="s">
        <v>38</v>
      </c>
      <c r="D28" s="1" t="s">
        <v>16</v>
      </c>
      <c r="F28" s="5"/>
    </row>
    <row r="30" spans="2:18" x14ac:dyDescent="0.35">
      <c r="B30" s="61">
        <v>123</v>
      </c>
      <c r="D30" s="2" t="s">
        <v>99</v>
      </c>
    </row>
    <row r="31" spans="2:18" x14ac:dyDescent="0.35">
      <c r="B31" s="10">
        <f>B30</f>
        <v>123</v>
      </c>
      <c r="D31" s="2" t="s">
        <v>17</v>
      </c>
    </row>
    <row r="32" spans="2:18" x14ac:dyDescent="0.35">
      <c r="B32" s="11">
        <f>B31+B30</f>
        <v>246</v>
      </c>
      <c r="D32" s="2" t="s">
        <v>18</v>
      </c>
    </row>
    <row r="33" spans="2:7" ht="13" x14ac:dyDescent="0.35">
      <c r="B33" s="12">
        <f>B31+B32</f>
        <v>369</v>
      </c>
      <c r="D33" s="2" t="s">
        <v>54</v>
      </c>
      <c r="E33" s="5"/>
      <c r="F33" s="5"/>
    </row>
    <row r="34" spans="2:7" ht="13" x14ac:dyDescent="0.35">
      <c r="B34" s="13"/>
      <c r="D34" s="3" t="s">
        <v>19</v>
      </c>
      <c r="E34" s="5"/>
    </row>
    <row r="36" spans="2:7" ht="13" x14ac:dyDescent="0.35">
      <c r="B36" s="4" t="s">
        <v>20</v>
      </c>
    </row>
    <row r="37" spans="2:7" x14ac:dyDescent="0.35">
      <c r="B37" s="64">
        <f>B33+16</f>
        <v>385</v>
      </c>
      <c r="D37" s="2" t="s">
        <v>21</v>
      </c>
    </row>
    <row r="38" spans="2:7" x14ac:dyDescent="0.35">
      <c r="B38" s="14">
        <f>B31*PI()</f>
        <v>386.41589639154455</v>
      </c>
      <c r="C38" s="15"/>
      <c r="D38" s="2" t="s">
        <v>22</v>
      </c>
    </row>
    <row r="39" spans="2:7" x14ac:dyDescent="0.35">
      <c r="B39" s="15"/>
      <c r="C39" s="15"/>
    </row>
    <row r="40" spans="2:7" ht="13" x14ac:dyDescent="0.35">
      <c r="B40" s="60" t="s">
        <v>23</v>
      </c>
      <c r="C40" s="16"/>
    </row>
    <row r="41" spans="2:7" ht="13" x14ac:dyDescent="0.35">
      <c r="B41" s="63">
        <v>123</v>
      </c>
      <c r="C41" s="16"/>
      <c r="D41" s="2" t="s">
        <v>97</v>
      </c>
      <c r="G41" s="5"/>
    </row>
    <row r="42" spans="2:7" ht="13" x14ac:dyDescent="0.35">
      <c r="B42" s="67">
        <v>124</v>
      </c>
      <c r="C42" s="16"/>
      <c r="D42" s="2" t="s">
        <v>98</v>
      </c>
    </row>
    <row r="43" spans="2:7" x14ac:dyDescent="0.35">
      <c r="B43" s="68">
        <f>B41-B42</f>
        <v>-1</v>
      </c>
      <c r="C43" s="17"/>
      <c r="D43" s="2" t="s">
        <v>106</v>
      </c>
    </row>
    <row r="46" spans="2:7" ht="13" x14ac:dyDescent="0.35">
      <c r="B46" s="1" t="s">
        <v>33</v>
      </c>
    </row>
    <row r="47" spans="2:7" ht="13" x14ac:dyDescent="0.35">
      <c r="B47" s="1"/>
    </row>
    <row r="48" spans="2:7" ht="13" x14ac:dyDescent="0.35">
      <c r="B48" s="4" t="s">
        <v>39</v>
      </c>
    </row>
    <row r="49" spans="2:4" x14ac:dyDescent="0.35">
      <c r="B49" s="22" t="s">
        <v>32</v>
      </c>
      <c r="D49" s="3" t="s">
        <v>42</v>
      </c>
    </row>
    <row r="50" spans="2:4" x14ac:dyDescent="0.35">
      <c r="B50" s="20" t="s">
        <v>30</v>
      </c>
      <c r="D50" s="3" t="s">
        <v>34</v>
      </c>
    </row>
    <row r="51" spans="2:4" x14ac:dyDescent="0.35">
      <c r="B51" s="21" t="s">
        <v>31</v>
      </c>
      <c r="D51" s="3" t="s">
        <v>35</v>
      </c>
    </row>
    <row r="52" spans="2:4" x14ac:dyDescent="0.35">
      <c r="B52" s="14" t="s">
        <v>31</v>
      </c>
      <c r="D52" s="3" t="s">
        <v>37</v>
      </c>
    </row>
    <row r="53" spans="2:4" x14ac:dyDescent="0.35">
      <c r="D53" s="3"/>
    </row>
    <row r="54" spans="2:4" ht="13" x14ac:dyDescent="0.35">
      <c r="B54" s="4" t="s">
        <v>41</v>
      </c>
      <c r="D54" s="3"/>
    </row>
    <row r="55" spans="2:4" x14ac:dyDescent="0.35">
      <c r="B55" s="23" t="s">
        <v>36</v>
      </c>
      <c r="D55" s="3" t="s">
        <v>43</v>
      </c>
    </row>
    <row r="56" spans="2:4" x14ac:dyDescent="0.35">
      <c r="B56" s="24" t="s">
        <v>40</v>
      </c>
      <c r="D56" s="3" t="s">
        <v>44</v>
      </c>
    </row>
  </sheetData>
  <pageMargins left="0.75" right="0.75" top="1" bottom="1" header="0.5" footer="0.5"/>
  <pageSetup paperSize="9" orientation="portrait"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E1FFE1"/>
  </sheetPr>
  <dimension ref="A2:V32"/>
  <sheetViews>
    <sheetView showGridLines="0" zoomScale="85" zoomScaleNormal="85" workbookViewId="0">
      <pane xSplit="6" ySplit="15" topLeftCell="G16" activePane="bottomRight" state="frozen"/>
      <selection activeCell="Q27" sqref="Q27"/>
      <selection pane="topRight" activeCell="Q27" sqref="Q27"/>
      <selection pane="bottomLeft" activeCell="Q27" sqref="Q27"/>
      <selection pane="bottomRight" activeCell="G16" sqref="G16"/>
    </sheetView>
  </sheetViews>
  <sheetFormatPr defaultColWidth="9.26953125" defaultRowHeight="12.75" customHeight="1" x14ac:dyDescent="0.35"/>
  <cols>
    <col min="1" max="1" width="4" style="2" customWidth="1"/>
    <col min="2" max="2" width="41.453125" style="2" customWidth="1"/>
    <col min="3"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2" width="12.54296875" style="30" customWidth="1"/>
    <col min="13" max="14" width="13" style="30" bestFit="1" customWidth="1"/>
    <col min="15" max="15" width="12.54296875" style="30" customWidth="1"/>
    <col min="16" max="16" width="13" style="30" bestFit="1" customWidth="1"/>
    <col min="17" max="17" width="12.54296875" style="30" customWidth="1"/>
    <col min="18" max="19" width="2.7265625" style="2" customWidth="1"/>
    <col min="20" max="20" width="13.7265625" style="2" customWidth="1"/>
    <col min="21" max="21" width="2.7265625" style="2" customWidth="1"/>
    <col min="22" max="35" width="13.7265625" style="2" customWidth="1"/>
    <col min="36" max="16384" width="9.26953125" style="2"/>
  </cols>
  <sheetData>
    <row r="2" spans="1:22" s="18" customFormat="1" ht="18" x14ac:dyDescent="0.35">
      <c r="B2" s="18" t="s">
        <v>100</v>
      </c>
      <c r="L2" s="29"/>
      <c r="M2" s="29"/>
      <c r="N2" s="29"/>
      <c r="O2" s="29"/>
      <c r="P2" s="29"/>
      <c r="Q2" s="29"/>
    </row>
    <row r="4" spans="1:22" ht="12.75" customHeight="1" x14ac:dyDescent="0.35">
      <c r="B4" s="1" t="s">
        <v>101</v>
      </c>
      <c r="C4" s="1"/>
      <c r="D4" s="1"/>
      <c r="J4"/>
    </row>
    <row r="5" spans="1:22" ht="12.75" customHeight="1" x14ac:dyDescent="0.25">
      <c r="B5" s="27" t="s">
        <v>90</v>
      </c>
      <c r="C5" s="3"/>
      <c r="D5" s="3"/>
      <c r="H5" s="19"/>
      <c r="Q5" s="27"/>
    </row>
    <row r="6" spans="1:22" ht="12.75" customHeight="1" x14ac:dyDescent="0.25">
      <c r="B6" s="76" t="s">
        <v>113</v>
      </c>
      <c r="C6" s="3"/>
      <c r="D6" s="3"/>
      <c r="H6" s="19"/>
      <c r="Q6" s="76"/>
    </row>
    <row r="7" spans="1:22" ht="12.75" customHeight="1" x14ac:dyDescent="0.25">
      <c r="B7" s="247" t="s">
        <v>671</v>
      </c>
      <c r="C7" s="3"/>
      <c r="D7" s="3"/>
      <c r="H7" s="19"/>
      <c r="Q7" s="76"/>
    </row>
    <row r="8" spans="1:22" ht="12.75" customHeight="1" x14ac:dyDescent="0.25">
      <c r="B8" s="27" t="s">
        <v>91</v>
      </c>
      <c r="C8" s="3"/>
      <c r="D8" s="3"/>
      <c r="H8" s="19"/>
      <c r="Q8" s="27"/>
    </row>
    <row r="9" spans="1:22" ht="12.75" customHeight="1" x14ac:dyDescent="0.25">
      <c r="B9" s="27" t="s">
        <v>92</v>
      </c>
      <c r="C9" s="3"/>
      <c r="D9" s="3"/>
      <c r="H9" s="19"/>
      <c r="Q9" s="27"/>
    </row>
    <row r="10" spans="1:22" ht="12.75" customHeight="1" x14ac:dyDescent="0.25">
      <c r="B10" s="294" t="s">
        <v>896</v>
      </c>
      <c r="C10" s="3"/>
      <c r="D10" s="3"/>
      <c r="H10" s="19"/>
      <c r="Q10" s="82"/>
    </row>
    <row r="11" spans="1:22" s="27" customFormat="1" ht="12.75" customHeight="1" x14ac:dyDescent="0.25">
      <c r="B11" s="73" t="s">
        <v>697</v>
      </c>
      <c r="Q11" s="77"/>
    </row>
    <row r="12" spans="1:22" s="27" customFormat="1" ht="12.75" customHeight="1" x14ac:dyDescent="0.25">
      <c r="A12" s="2"/>
      <c r="B12" s="248" t="s">
        <v>674</v>
      </c>
      <c r="Q12" s="77"/>
    </row>
    <row r="13" spans="1:22" ht="12.75" customHeight="1" x14ac:dyDescent="0.25">
      <c r="Q13" s="82"/>
    </row>
    <row r="14" spans="1:22" s="6" customFormat="1" ht="12.75" customHeight="1" x14ac:dyDescent="0.35">
      <c r="B14" s="6" t="s">
        <v>45</v>
      </c>
      <c r="F14" s="6" t="s">
        <v>27</v>
      </c>
      <c r="H14" s="6" t="s">
        <v>28</v>
      </c>
      <c r="J14" s="6" t="s">
        <v>49</v>
      </c>
      <c r="L14" s="31" t="s">
        <v>88</v>
      </c>
      <c r="M14" s="31" t="s">
        <v>65</v>
      </c>
      <c r="N14" s="31" t="s">
        <v>66</v>
      </c>
      <c r="O14" s="31" t="s">
        <v>67</v>
      </c>
      <c r="P14" s="31" t="s">
        <v>68</v>
      </c>
      <c r="Q14" s="31" t="s">
        <v>69</v>
      </c>
      <c r="T14" s="6" t="s">
        <v>46</v>
      </c>
      <c r="V14" s="6" t="s">
        <v>47</v>
      </c>
    </row>
    <row r="16" spans="1:22" ht="12.5" x14ac:dyDescent="0.35">
      <c r="L16" s="2"/>
      <c r="M16" s="2"/>
      <c r="N16" s="2"/>
      <c r="O16" s="2"/>
      <c r="P16" s="2"/>
      <c r="Q16" s="2"/>
    </row>
    <row r="17" spans="2:20" s="6" customFormat="1" ht="13" x14ac:dyDescent="0.35">
      <c r="B17" s="6" t="s">
        <v>227</v>
      </c>
    </row>
    <row r="19" spans="2:20" ht="12.75" customHeight="1" x14ac:dyDescent="0.35">
      <c r="B19" s="2" t="s">
        <v>114</v>
      </c>
      <c r="F19" s="2" t="s">
        <v>96</v>
      </c>
      <c r="J19" s="83"/>
      <c r="L19" s="65">
        <v>411570.22000000003</v>
      </c>
      <c r="M19" s="65">
        <v>6661906.4299997473</v>
      </c>
      <c r="N19" s="65">
        <v>9287762.9469170291</v>
      </c>
      <c r="O19" s="65">
        <v>194478.21000000002</v>
      </c>
      <c r="P19" s="65">
        <v>5870595.3378073797</v>
      </c>
      <c r="Q19" s="65">
        <v>673511.5</v>
      </c>
      <c r="T19" s="2" t="s">
        <v>300</v>
      </c>
    </row>
    <row r="21" spans="2:20" ht="12.75" customHeight="1" x14ac:dyDescent="0.35">
      <c r="B21" s="2" t="s">
        <v>126</v>
      </c>
      <c r="F21" s="2" t="s">
        <v>105</v>
      </c>
      <c r="H21" s="65">
        <v>24119144.337028138</v>
      </c>
      <c r="T21" s="2" t="s">
        <v>301</v>
      </c>
    </row>
    <row r="23" spans="2:20" ht="12.75" customHeight="1" x14ac:dyDescent="0.35">
      <c r="B23" s="2" t="s">
        <v>133</v>
      </c>
      <c r="F23" s="2" t="s">
        <v>72</v>
      </c>
      <c r="H23" s="66">
        <v>2.5444272186812E-3</v>
      </c>
      <c r="T23" s="2" t="s">
        <v>302</v>
      </c>
    </row>
    <row r="24" spans="2:20" ht="12.75" customHeight="1" x14ac:dyDescent="0.35">
      <c r="B24" s="2" t="s">
        <v>134</v>
      </c>
      <c r="F24" s="2" t="s">
        <v>72</v>
      </c>
      <c r="H24" s="66">
        <v>-3.1175556579387642E-2</v>
      </c>
      <c r="T24" s="2" t="s">
        <v>303</v>
      </c>
    </row>
    <row r="25" spans="2:20" ht="12.75" customHeight="1" x14ac:dyDescent="0.35">
      <c r="H25" s="81"/>
    </row>
    <row r="26" spans="2:20" ht="12.75" customHeight="1" x14ac:dyDescent="0.35">
      <c r="B26" s="2" t="s">
        <v>130</v>
      </c>
      <c r="F26" s="2" t="s">
        <v>72</v>
      </c>
      <c r="H26" s="66">
        <v>1.7999999999999999E-2</v>
      </c>
      <c r="T26" s="2" t="s">
        <v>304</v>
      </c>
    </row>
    <row r="28" spans="2:20" ht="12.75" customHeight="1" x14ac:dyDescent="0.35">
      <c r="B28" s="2" t="s">
        <v>125</v>
      </c>
      <c r="F28" s="2" t="s">
        <v>105</v>
      </c>
      <c r="L28" s="65">
        <v>5508016.3787032366</v>
      </c>
      <c r="M28" s="65">
        <v>90159029.908431798</v>
      </c>
      <c r="N28" s="65">
        <v>101769336.04517412</v>
      </c>
      <c r="O28" s="65">
        <v>4000202.1494243168</v>
      </c>
      <c r="P28" s="65">
        <v>79420032.434590772</v>
      </c>
      <c r="Q28" s="65">
        <v>3668283.4226453337</v>
      </c>
      <c r="T28" s="2" t="s">
        <v>305</v>
      </c>
    </row>
    <row r="29" spans="2:20" ht="12.75" customHeight="1" x14ac:dyDescent="0.35">
      <c r="B29" s="2" t="s">
        <v>116</v>
      </c>
      <c r="F29" s="2" t="s">
        <v>117</v>
      </c>
      <c r="L29" s="65">
        <v>6543330.1912928689</v>
      </c>
      <c r="M29" s="65">
        <v>107105764.0094399</v>
      </c>
      <c r="N29" s="65">
        <v>120898400.31466901</v>
      </c>
      <c r="O29" s="65">
        <v>4752099.7934586955</v>
      </c>
      <c r="P29" s="65">
        <v>94348211.823049098</v>
      </c>
      <c r="Q29" s="65">
        <v>4357791.992489568</v>
      </c>
      <c r="T29" s="2" t="s">
        <v>306</v>
      </c>
    </row>
    <row r="31" spans="2:20" ht="12.75" customHeight="1" x14ac:dyDescent="0.35">
      <c r="B31" s="2" t="s">
        <v>127</v>
      </c>
      <c r="F31" s="2" t="s">
        <v>105</v>
      </c>
      <c r="J31" s="83"/>
      <c r="L31" s="65">
        <v>17509659.581804149</v>
      </c>
      <c r="M31" s="65">
        <v>285208457.58122259</v>
      </c>
      <c r="N31" s="65">
        <v>305251081.66104859</v>
      </c>
      <c r="O31" s="65">
        <v>12863116.073261615</v>
      </c>
      <c r="P31" s="65">
        <v>251539922.51591069</v>
      </c>
      <c r="Q31" s="65">
        <v>15888170.388429981</v>
      </c>
      <c r="T31" s="2" t="s">
        <v>307</v>
      </c>
    </row>
    <row r="32" spans="2:20" ht="12.75" customHeight="1" x14ac:dyDescent="0.35">
      <c r="B32" s="2" t="s">
        <v>118</v>
      </c>
      <c r="F32" s="2" t="s">
        <v>117</v>
      </c>
      <c r="J32" s="83"/>
      <c r="L32" s="65">
        <v>16935960.356919076</v>
      </c>
      <c r="M32" s="65">
        <v>275938826.4471187</v>
      </c>
      <c r="N32" s="65">
        <v>295307092.08325708</v>
      </c>
      <c r="O32" s="65">
        <v>12442728.574689055</v>
      </c>
      <c r="P32" s="65">
        <v>243356366.79163417</v>
      </c>
      <c r="Q32" s="65">
        <v>15445955.019264191</v>
      </c>
      <c r="T32" s="2" t="s">
        <v>308</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1"/>
  <sheetViews>
    <sheetView showGridLines="0" zoomScale="85" zoomScaleNormal="85" workbookViewId="0"/>
  </sheetViews>
  <sheetFormatPr defaultColWidth="9.26953125" defaultRowHeight="12.5" x14ac:dyDescent="0.35"/>
  <cols>
    <col min="1" max="16384" width="9.26953125" style="23"/>
  </cols>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CC"/>
  </sheetPr>
  <dimension ref="A2:AE77"/>
  <sheetViews>
    <sheetView showGridLines="0" zoomScale="85" zoomScaleNormal="85" workbookViewId="0">
      <pane xSplit="6" ySplit="15" topLeftCell="G16" activePane="bottomRight" state="frozen"/>
      <selection pane="topRight" activeCell="G1" sqref="G1"/>
      <selection pane="bottomLeft" activeCell="A10" sqref="A10"/>
      <selection pane="bottomRight" activeCell="G16" sqref="G16"/>
    </sheetView>
  </sheetViews>
  <sheetFormatPr defaultColWidth="9.26953125" defaultRowHeight="12.5" x14ac:dyDescent="0.35"/>
  <cols>
    <col min="1" max="1" width="4" style="2" customWidth="1"/>
    <col min="2" max="2" width="48" style="2" customWidth="1"/>
    <col min="3" max="4" width="4.54296875" style="2" customWidth="1"/>
    <col min="5" max="5" width="3.26953125" style="2" customWidth="1"/>
    <col min="6" max="6" width="12.453125" style="2" customWidth="1"/>
    <col min="7" max="7" width="2.7265625" style="2" customWidth="1"/>
    <col min="8" max="8" width="13.7265625" style="2" customWidth="1"/>
    <col min="9" max="29" width="11.7265625" style="2" customWidth="1"/>
    <col min="30" max="16384" width="9.26953125" style="2"/>
  </cols>
  <sheetData>
    <row r="2" spans="2:15" s="18" customFormat="1" ht="18" x14ac:dyDescent="0.35">
      <c r="B2" s="18" t="s">
        <v>490</v>
      </c>
    </row>
    <row r="4" spans="2:15" ht="12" customHeight="1" x14ac:dyDescent="0.35">
      <c r="B4" s="1" t="s">
        <v>58</v>
      </c>
      <c r="C4" s="1"/>
      <c r="D4" s="1"/>
    </row>
    <row r="5" spans="2:15" ht="12" customHeight="1" x14ac:dyDescent="0.35">
      <c r="B5" s="2" t="s">
        <v>375</v>
      </c>
      <c r="H5" s="19"/>
    </row>
    <row r="6" spans="2:15" ht="12" customHeight="1" x14ac:dyDescent="0.35">
      <c r="B6" s="2" t="s">
        <v>491</v>
      </c>
      <c r="H6" s="19"/>
    </row>
    <row r="7" spans="2:15" ht="12" customHeight="1" x14ac:dyDescent="0.35">
      <c r="H7" s="19"/>
    </row>
    <row r="8" spans="2:15" ht="12" customHeight="1" x14ac:dyDescent="0.35">
      <c r="B8" s="2" t="s">
        <v>698</v>
      </c>
      <c r="H8" s="19"/>
    </row>
    <row r="9" spans="2:15" ht="12" customHeight="1" x14ac:dyDescent="0.35">
      <c r="B9" s="2" t="s">
        <v>699</v>
      </c>
      <c r="H9" s="19"/>
    </row>
    <row r="10" spans="2:15" ht="12" customHeight="1" x14ac:dyDescent="0.35">
      <c r="B10" s="2" t="s">
        <v>876</v>
      </c>
      <c r="H10" s="19"/>
    </row>
    <row r="11" spans="2:15" ht="12" customHeight="1" x14ac:dyDescent="0.35">
      <c r="B11" s="2" t="s">
        <v>877</v>
      </c>
      <c r="H11" s="19"/>
    </row>
    <row r="12" spans="2:15" ht="12" customHeight="1" x14ac:dyDescent="0.35">
      <c r="B12" s="2" t="s">
        <v>878</v>
      </c>
      <c r="H12" s="19"/>
    </row>
    <row r="13" spans="2:15" ht="12" customHeight="1" x14ac:dyDescent="0.35"/>
    <row r="14" spans="2:15" s="6" customFormat="1" ht="12" customHeight="1" x14ac:dyDescent="0.35">
      <c r="B14" s="6" t="s">
        <v>45</v>
      </c>
      <c r="F14" s="6" t="s">
        <v>27</v>
      </c>
      <c r="H14" s="6" t="s">
        <v>28</v>
      </c>
      <c r="L14" s="50"/>
      <c r="M14" s="50"/>
      <c r="N14" s="50"/>
      <c r="O14" s="58"/>
    </row>
    <row r="15" spans="2:15" ht="12" customHeight="1" x14ac:dyDescent="0.35"/>
    <row r="16" spans="2:15" ht="12" customHeight="1" x14ac:dyDescent="0.35"/>
    <row r="17" spans="1:31" s="6" customFormat="1" ht="12" customHeight="1" x14ac:dyDescent="0.35">
      <c r="B17" s="6" t="s">
        <v>370</v>
      </c>
      <c r="I17" s="6">
        <v>2004</v>
      </c>
      <c r="J17" s="6">
        <v>2005</v>
      </c>
      <c r="K17" s="6">
        <v>2006</v>
      </c>
      <c r="L17" s="6">
        <v>2007</v>
      </c>
      <c r="M17" s="6">
        <v>2008</v>
      </c>
      <c r="N17" s="6">
        <v>2009</v>
      </c>
      <c r="O17" s="6">
        <v>2010</v>
      </c>
      <c r="P17" s="6">
        <v>2011</v>
      </c>
      <c r="Q17" s="6">
        <v>2012</v>
      </c>
      <c r="R17" s="6">
        <v>2013</v>
      </c>
      <c r="S17" s="6">
        <v>2014</v>
      </c>
      <c r="T17" s="6">
        <v>2015</v>
      </c>
      <c r="U17" s="6">
        <v>2016</v>
      </c>
      <c r="V17" s="6">
        <v>2017</v>
      </c>
      <c r="W17" s="6">
        <v>2018</v>
      </c>
      <c r="X17" s="6">
        <v>2019</v>
      </c>
      <c r="Y17" s="6">
        <v>2020</v>
      </c>
      <c r="Z17" s="6">
        <v>2021</v>
      </c>
      <c r="AA17" s="6">
        <v>2022</v>
      </c>
      <c r="AB17" s="6">
        <v>2023</v>
      </c>
      <c r="AC17" s="6">
        <v>2024</v>
      </c>
      <c r="AD17" s="6" t="s">
        <v>419</v>
      </c>
      <c r="AE17" s="6" t="s">
        <v>559</v>
      </c>
    </row>
    <row r="18" spans="1:31" ht="12" customHeight="1" x14ac:dyDescent="0.35"/>
    <row r="19" spans="1:31" s="112" customFormat="1" ht="12" customHeight="1" x14ac:dyDescent="0.35">
      <c r="A19" s="2"/>
      <c r="B19" s="2" t="s">
        <v>337</v>
      </c>
      <c r="I19" s="161">
        <f>'Input parameters'!L19</f>
        <v>2.1000000000000001E-2</v>
      </c>
      <c r="J19" s="161">
        <f>'Input parameters'!M19</f>
        <v>1.0999999999999999E-2</v>
      </c>
      <c r="K19" s="161">
        <f>'Input parameters'!N19</f>
        <v>1.7999999999999999E-2</v>
      </c>
      <c r="L19" s="161">
        <f>'Input parameters'!O19</f>
        <v>1.4E-2</v>
      </c>
      <c r="M19" s="161">
        <f>'Input parameters'!P19</f>
        <v>1.0999999999999999E-2</v>
      </c>
      <c r="N19" s="161">
        <f>'Input parameters'!Q19</f>
        <v>3.2000000000000001E-2</v>
      </c>
      <c r="O19" s="161">
        <f>'Input parameters'!R19</f>
        <v>3.0000000000000001E-3</v>
      </c>
      <c r="P19" s="161">
        <f>'Input parameters'!S19</f>
        <v>1.4999999999999999E-2</v>
      </c>
      <c r="Q19" s="161">
        <f>'Input parameters'!T19</f>
        <v>2.5999999999999999E-2</v>
      </c>
      <c r="R19" s="161">
        <f>'Input parameters'!U19</f>
        <v>2.3E-2</v>
      </c>
      <c r="S19" s="161">
        <f>'Input parameters'!V19</f>
        <v>2.8000000000000001E-2</v>
      </c>
      <c r="T19" s="161">
        <f>'Input parameters'!W19</f>
        <v>0.01</v>
      </c>
      <c r="U19" s="161">
        <f>'Input parameters'!X19</f>
        <v>8.0000000000000002E-3</v>
      </c>
      <c r="V19" s="161">
        <f>'Input parameters'!Y19</f>
        <v>2E-3</v>
      </c>
      <c r="W19" s="161">
        <f>'Input parameters'!Z19</f>
        <v>1.4E-2</v>
      </c>
      <c r="X19" s="161">
        <f>'Input parameters'!AA19</f>
        <v>2.1000000000000001E-2</v>
      </c>
      <c r="Y19" s="161">
        <f>'Input parameters'!AB19</f>
        <v>2.8000000000000001E-2</v>
      </c>
      <c r="Z19" s="161">
        <f>'Input parameters'!AC19</f>
        <v>7.0000000000000001E-3</v>
      </c>
      <c r="AA19" s="161">
        <f>'Input parameters'!AD19</f>
        <v>2.4E-2</v>
      </c>
      <c r="AB19" s="161">
        <f>'Input parameters'!AE19</f>
        <v>0.12</v>
      </c>
      <c r="AC19" s="161">
        <f>'Input parameters'!AF19</f>
        <v>0.03</v>
      </c>
      <c r="AD19" s="161">
        <f>'Input parameters'!AG19</f>
        <v>3.5999999999999997E-2</v>
      </c>
      <c r="AE19" s="161">
        <f>'Input parameters'!AH19</f>
        <v>2.8000000000000001E-2</v>
      </c>
    </row>
    <row r="20" spans="1:31" ht="12" customHeight="1" x14ac:dyDescent="0.35"/>
    <row r="21" spans="1:31" s="6" customFormat="1" ht="12" customHeight="1" x14ac:dyDescent="0.35">
      <c r="B21" s="6" t="s">
        <v>338</v>
      </c>
      <c r="I21" s="6">
        <v>2004</v>
      </c>
      <c r="J21" s="6">
        <v>2005</v>
      </c>
      <c r="K21" s="6">
        <v>2006</v>
      </c>
      <c r="L21" s="6">
        <v>2007</v>
      </c>
      <c r="M21" s="6">
        <v>2008</v>
      </c>
      <c r="N21" s="6">
        <v>2009</v>
      </c>
      <c r="O21" s="6">
        <v>2010</v>
      </c>
      <c r="P21" s="6">
        <v>2011</v>
      </c>
      <c r="Q21" s="6">
        <v>2012</v>
      </c>
      <c r="R21" s="6">
        <v>2013</v>
      </c>
      <c r="S21" s="6">
        <v>2014</v>
      </c>
      <c r="T21" s="6">
        <v>2015</v>
      </c>
      <c r="U21" s="6">
        <v>2016</v>
      </c>
      <c r="V21" s="6">
        <v>2017</v>
      </c>
      <c r="W21" s="6">
        <v>2018</v>
      </c>
      <c r="X21" s="6">
        <v>2019</v>
      </c>
      <c r="Y21" s="6">
        <v>2020</v>
      </c>
      <c r="Z21" s="6">
        <v>2021</v>
      </c>
      <c r="AA21" s="6">
        <v>2022</v>
      </c>
      <c r="AB21" s="6">
        <v>2023</v>
      </c>
      <c r="AC21" s="6">
        <v>2024</v>
      </c>
      <c r="AD21" s="6" t="s">
        <v>419</v>
      </c>
    </row>
    <row r="22" spans="1:31" s="112" customFormat="1" ht="12" customHeight="1" x14ac:dyDescent="0.35"/>
    <row r="23" spans="1:31" s="26" customFormat="1" ht="12" customHeight="1" x14ac:dyDescent="0.35">
      <c r="B23" s="26" t="s">
        <v>339</v>
      </c>
    </row>
    <row r="24" spans="1:31" s="112" customFormat="1" ht="12" customHeight="1" x14ac:dyDescent="0.35">
      <c r="B24" s="2" t="s">
        <v>374</v>
      </c>
      <c r="E24" s="162"/>
      <c r="I24" s="163">
        <f t="shared" ref="I24:AE24" si="0">1+I19</f>
        <v>1.0209999999999999</v>
      </c>
      <c r="J24" s="163">
        <f t="shared" si="0"/>
        <v>1.0109999999999999</v>
      </c>
      <c r="K24" s="163">
        <f t="shared" si="0"/>
        <v>1.018</v>
      </c>
      <c r="L24" s="163">
        <f t="shared" si="0"/>
        <v>1.014</v>
      </c>
      <c r="M24" s="163">
        <f t="shared" si="0"/>
        <v>1.0109999999999999</v>
      </c>
      <c r="N24" s="163">
        <f t="shared" si="0"/>
        <v>1.032</v>
      </c>
      <c r="O24" s="163">
        <f t="shared" si="0"/>
        <v>1.0029999999999999</v>
      </c>
      <c r="P24" s="163">
        <f t="shared" si="0"/>
        <v>1.0149999999999999</v>
      </c>
      <c r="Q24" s="163">
        <f t="shared" si="0"/>
        <v>1.026</v>
      </c>
      <c r="R24" s="163">
        <f t="shared" si="0"/>
        <v>1.0229999999999999</v>
      </c>
      <c r="S24" s="163">
        <f t="shared" si="0"/>
        <v>1.028</v>
      </c>
      <c r="T24" s="163">
        <f t="shared" si="0"/>
        <v>1.01</v>
      </c>
      <c r="U24" s="163">
        <f t="shared" si="0"/>
        <v>1.008</v>
      </c>
      <c r="V24" s="163">
        <f t="shared" si="0"/>
        <v>1.002</v>
      </c>
      <c r="W24" s="163">
        <f t="shared" si="0"/>
        <v>1.014</v>
      </c>
      <c r="X24" s="163">
        <f t="shared" si="0"/>
        <v>1.0209999999999999</v>
      </c>
      <c r="Y24" s="163">
        <f t="shared" si="0"/>
        <v>1.028</v>
      </c>
      <c r="Z24" s="163">
        <f t="shared" si="0"/>
        <v>1.0069999999999999</v>
      </c>
      <c r="AA24" s="163">
        <f t="shared" si="0"/>
        <v>1.024</v>
      </c>
      <c r="AB24" s="163">
        <f t="shared" si="0"/>
        <v>1.1200000000000001</v>
      </c>
      <c r="AC24" s="163">
        <f t="shared" si="0"/>
        <v>1.03</v>
      </c>
      <c r="AD24" s="163">
        <f t="shared" si="0"/>
        <v>1.036</v>
      </c>
      <c r="AE24" s="163">
        <f t="shared" si="0"/>
        <v>1.028</v>
      </c>
    </row>
    <row r="25" spans="1:31" s="112" customFormat="1" ht="12" customHeight="1" x14ac:dyDescent="0.35"/>
    <row r="26" spans="1:31" s="26" customFormat="1" ht="12" customHeight="1" x14ac:dyDescent="0.35">
      <c r="A26" s="2"/>
      <c r="B26" s="26" t="s">
        <v>340</v>
      </c>
    </row>
    <row r="27" spans="1:31" s="112" customFormat="1" ht="12" customHeight="1" x14ac:dyDescent="0.35">
      <c r="B27" s="164">
        <v>2004</v>
      </c>
      <c r="I27" s="96">
        <v>1</v>
      </c>
      <c r="J27" s="163">
        <f t="shared" ref="J27:AE42" si="1">I27*J$24</f>
        <v>1.0109999999999999</v>
      </c>
      <c r="K27" s="163">
        <f t="shared" si="1"/>
        <v>1.0291979999999998</v>
      </c>
      <c r="L27" s="163">
        <f t="shared" si="1"/>
        <v>1.0436067719999997</v>
      </c>
      <c r="M27" s="163">
        <f t="shared" si="1"/>
        <v>1.0550864464919996</v>
      </c>
      <c r="N27" s="163">
        <f t="shared" si="1"/>
        <v>1.0888492127797436</v>
      </c>
      <c r="O27" s="163">
        <f t="shared" si="1"/>
        <v>1.0921157604180827</v>
      </c>
      <c r="P27" s="163">
        <f t="shared" si="1"/>
        <v>1.1084974968243537</v>
      </c>
      <c r="Q27" s="163">
        <f t="shared" si="1"/>
        <v>1.137318431741787</v>
      </c>
      <c r="R27" s="163">
        <f t="shared" si="1"/>
        <v>1.1634767556718479</v>
      </c>
      <c r="S27" s="163">
        <f t="shared" si="1"/>
        <v>1.1960541048306597</v>
      </c>
      <c r="T27" s="163">
        <f t="shared" si="1"/>
        <v>1.2080146458789662</v>
      </c>
      <c r="U27" s="163">
        <f t="shared" si="1"/>
        <v>1.217678763045998</v>
      </c>
      <c r="V27" s="163">
        <f t="shared" si="1"/>
        <v>1.22011412057209</v>
      </c>
      <c r="W27" s="163">
        <f t="shared" si="1"/>
        <v>1.2371957182600992</v>
      </c>
      <c r="X27" s="163">
        <f t="shared" si="1"/>
        <v>1.2631768283435612</v>
      </c>
      <c r="Y27" s="163">
        <f t="shared" si="1"/>
        <v>1.2985457795371809</v>
      </c>
      <c r="Z27" s="163">
        <f t="shared" si="1"/>
        <v>1.3076355999939411</v>
      </c>
      <c r="AA27" s="163">
        <f t="shared" si="1"/>
        <v>1.3390188543937958</v>
      </c>
      <c r="AB27" s="163">
        <f t="shared" si="1"/>
        <v>1.4997011169210515</v>
      </c>
      <c r="AC27" s="163">
        <f t="shared" si="1"/>
        <v>1.544692150428683</v>
      </c>
      <c r="AD27" s="163">
        <f t="shared" si="1"/>
        <v>1.6003010678441156</v>
      </c>
      <c r="AE27" s="163">
        <f t="shared" si="1"/>
        <v>1.6451094977437508</v>
      </c>
    </row>
    <row r="28" spans="1:31" s="112" customFormat="1" ht="12" customHeight="1" x14ac:dyDescent="0.35">
      <c r="B28" s="164">
        <v>2005</v>
      </c>
      <c r="I28" s="165"/>
      <c r="J28" s="96">
        <v>1</v>
      </c>
      <c r="K28" s="163">
        <f t="shared" ref="K28:AD28" si="2">J28*K$24</f>
        <v>1.018</v>
      </c>
      <c r="L28" s="163">
        <f t="shared" si="2"/>
        <v>1.0322519999999999</v>
      </c>
      <c r="M28" s="163">
        <f t="shared" si="2"/>
        <v>1.0436067719999997</v>
      </c>
      <c r="N28" s="163">
        <f t="shared" si="2"/>
        <v>1.0770021887039998</v>
      </c>
      <c r="O28" s="163">
        <f t="shared" si="2"/>
        <v>1.0802331952701116</v>
      </c>
      <c r="P28" s="163">
        <f t="shared" si="2"/>
        <v>1.0964366931991631</v>
      </c>
      <c r="Q28" s="163">
        <f t="shared" si="2"/>
        <v>1.1249440472223413</v>
      </c>
      <c r="R28" s="163">
        <f t="shared" si="2"/>
        <v>1.1508177603084551</v>
      </c>
      <c r="S28" s="163">
        <f t="shared" si="2"/>
        <v>1.1830406575970918</v>
      </c>
      <c r="T28" s="163">
        <f t="shared" si="2"/>
        <v>1.1948710641730627</v>
      </c>
      <c r="U28" s="163">
        <f t="shared" si="2"/>
        <v>1.2044300326864472</v>
      </c>
      <c r="V28" s="163">
        <f t="shared" si="2"/>
        <v>1.2068388927518201</v>
      </c>
      <c r="W28" s="163">
        <f t="shared" si="2"/>
        <v>1.2237346372503457</v>
      </c>
      <c r="X28" s="163">
        <f t="shared" si="2"/>
        <v>1.2494330646326028</v>
      </c>
      <c r="Y28" s="163">
        <f t="shared" si="2"/>
        <v>1.2844171904423158</v>
      </c>
      <c r="Z28" s="163">
        <f t="shared" si="2"/>
        <v>1.2934081107754118</v>
      </c>
      <c r="AA28" s="163">
        <f t="shared" si="2"/>
        <v>1.3244499054340217</v>
      </c>
      <c r="AB28" s="163">
        <f t="shared" si="2"/>
        <v>1.4833838940861046</v>
      </c>
      <c r="AC28" s="163">
        <f t="shared" si="2"/>
        <v>1.5278854109086877</v>
      </c>
      <c r="AD28" s="163">
        <f t="shared" si="2"/>
        <v>1.5828892857014005</v>
      </c>
      <c r="AE28" s="163">
        <f t="shared" si="1"/>
        <v>1.6272101857010397</v>
      </c>
    </row>
    <row r="29" spans="1:31" s="112" customFormat="1" ht="12" customHeight="1" x14ac:dyDescent="0.35">
      <c r="B29" s="164">
        <v>2006</v>
      </c>
      <c r="I29" s="165"/>
      <c r="J29" s="165"/>
      <c r="K29" s="96">
        <v>1</v>
      </c>
      <c r="L29" s="163">
        <f t="shared" ref="L29:AC29" si="3">K29*L$24</f>
        <v>1.014</v>
      </c>
      <c r="M29" s="163">
        <f t="shared" si="3"/>
        <v>1.0251539999999999</v>
      </c>
      <c r="N29" s="163">
        <f t="shared" si="3"/>
        <v>1.0579589279999999</v>
      </c>
      <c r="O29" s="163">
        <f t="shared" si="3"/>
        <v>1.0611328047839999</v>
      </c>
      <c r="P29" s="163">
        <f t="shared" si="3"/>
        <v>1.0770497968557597</v>
      </c>
      <c r="Q29" s="163">
        <f t="shared" si="3"/>
        <v>1.1050530915740095</v>
      </c>
      <c r="R29" s="163">
        <f t="shared" si="3"/>
        <v>1.1304693126802117</v>
      </c>
      <c r="S29" s="163">
        <f t="shared" si="3"/>
        <v>1.1621224534352577</v>
      </c>
      <c r="T29" s="163">
        <f t="shared" si="3"/>
        <v>1.1737436779696102</v>
      </c>
      <c r="U29" s="163">
        <f t="shared" si="3"/>
        <v>1.183133627393367</v>
      </c>
      <c r="V29" s="163">
        <f t="shared" si="3"/>
        <v>1.1854998946481539</v>
      </c>
      <c r="W29" s="163">
        <f t="shared" si="3"/>
        <v>1.2020968931732281</v>
      </c>
      <c r="X29" s="163">
        <f t="shared" si="3"/>
        <v>1.2273409279298657</v>
      </c>
      <c r="Y29" s="163">
        <f t="shared" si="3"/>
        <v>1.2617064739119019</v>
      </c>
      <c r="Z29" s="163">
        <f t="shared" si="3"/>
        <v>1.270538419229285</v>
      </c>
      <c r="AA29" s="163">
        <f t="shared" si="3"/>
        <v>1.3010313412907879</v>
      </c>
      <c r="AB29" s="163">
        <f t="shared" si="3"/>
        <v>1.4571551022456826</v>
      </c>
      <c r="AC29" s="163">
        <f t="shared" si="3"/>
        <v>1.500869755313053</v>
      </c>
      <c r="AD29" s="163">
        <f>AC29*AD$24</f>
        <v>1.554901066504323</v>
      </c>
      <c r="AE29" s="163">
        <f t="shared" si="1"/>
        <v>1.5984382963664441</v>
      </c>
    </row>
    <row r="30" spans="1:31" s="112" customFormat="1" ht="12" customHeight="1" x14ac:dyDescent="0.35">
      <c r="B30" s="164">
        <v>2007</v>
      </c>
      <c r="I30" s="165"/>
      <c r="J30" s="165"/>
      <c r="K30" s="165"/>
      <c r="L30" s="96">
        <v>1</v>
      </c>
      <c r="M30" s="163">
        <f t="shared" ref="M30:AD30" si="4">L30*M$24</f>
        <v>1.0109999999999999</v>
      </c>
      <c r="N30" s="163">
        <f t="shared" si="4"/>
        <v>1.0433519999999998</v>
      </c>
      <c r="O30" s="163">
        <f t="shared" si="4"/>
        <v>1.0464820559999997</v>
      </c>
      <c r="P30" s="163">
        <f t="shared" si="4"/>
        <v>1.0621792868399995</v>
      </c>
      <c r="Q30" s="163">
        <f t="shared" si="4"/>
        <v>1.0897959482978394</v>
      </c>
      <c r="R30" s="163">
        <f t="shared" si="4"/>
        <v>1.1148612551086896</v>
      </c>
      <c r="S30" s="163">
        <f t="shared" si="4"/>
        <v>1.1460773702517328</v>
      </c>
      <c r="T30" s="163">
        <f t="shared" si="4"/>
        <v>1.1575381439542503</v>
      </c>
      <c r="U30" s="163">
        <f t="shared" si="4"/>
        <v>1.1667984491058843</v>
      </c>
      <c r="V30" s="163">
        <f t="shared" si="4"/>
        <v>1.1691320460040959</v>
      </c>
      <c r="W30" s="163">
        <f t="shared" si="4"/>
        <v>1.1854998946481532</v>
      </c>
      <c r="X30" s="163">
        <f t="shared" si="4"/>
        <v>1.2103953924357642</v>
      </c>
      <c r="Y30" s="163">
        <f t="shared" si="4"/>
        <v>1.2442864634239656</v>
      </c>
      <c r="Z30" s="163">
        <f t="shared" si="4"/>
        <v>1.2529964686679333</v>
      </c>
      <c r="AA30" s="163">
        <f t="shared" si="4"/>
        <v>1.2830683839159638</v>
      </c>
      <c r="AB30" s="163">
        <f t="shared" si="4"/>
        <v>1.4370365899858795</v>
      </c>
      <c r="AC30" s="163">
        <f t="shared" si="4"/>
        <v>1.4801476876854558</v>
      </c>
      <c r="AD30" s="163">
        <f t="shared" si="4"/>
        <v>1.5334330044421323</v>
      </c>
      <c r="AE30" s="163">
        <f t="shared" si="1"/>
        <v>1.576369128566512</v>
      </c>
    </row>
    <row r="31" spans="1:31" s="112" customFormat="1" ht="12" customHeight="1" x14ac:dyDescent="0.35">
      <c r="B31" s="164">
        <v>2008</v>
      </c>
      <c r="I31" s="165"/>
      <c r="J31" s="165"/>
      <c r="K31" s="165"/>
      <c r="L31" s="165"/>
      <c r="M31" s="96">
        <v>1</v>
      </c>
      <c r="N31" s="163">
        <f t="shared" ref="N31:AD31" si="5">M31*N$24</f>
        <v>1.032</v>
      </c>
      <c r="O31" s="163">
        <f t="shared" si="5"/>
        <v>1.035096</v>
      </c>
      <c r="P31" s="163">
        <f t="shared" si="5"/>
        <v>1.0506224399999999</v>
      </c>
      <c r="Q31" s="163">
        <f t="shared" si="5"/>
        <v>1.0779386234399999</v>
      </c>
      <c r="R31" s="163">
        <f t="shared" si="5"/>
        <v>1.1027312117791197</v>
      </c>
      <c r="S31" s="163">
        <f t="shared" si="5"/>
        <v>1.133607685708935</v>
      </c>
      <c r="T31" s="163">
        <f t="shared" si="5"/>
        <v>1.1449437625660244</v>
      </c>
      <c r="U31" s="163">
        <f t="shared" si="5"/>
        <v>1.1541033126665525</v>
      </c>
      <c r="V31" s="163">
        <f t="shared" si="5"/>
        <v>1.1564115192918856</v>
      </c>
      <c r="W31" s="163">
        <f t="shared" si="5"/>
        <v>1.1726012805619719</v>
      </c>
      <c r="X31" s="163">
        <f t="shared" si="5"/>
        <v>1.1972259074537732</v>
      </c>
      <c r="Y31" s="163">
        <f t="shared" si="5"/>
        <v>1.2307482328624788</v>
      </c>
      <c r="Z31" s="163">
        <f t="shared" si="5"/>
        <v>1.2393634704925161</v>
      </c>
      <c r="AA31" s="163">
        <f t="shared" si="5"/>
        <v>1.2691081937843365</v>
      </c>
      <c r="AB31" s="163">
        <f t="shared" si="5"/>
        <v>1.4214011770384569</v>
      </c>
      <c r="AC31" s="163">
        <f t="shared" si="5"/>
        <v>1.4640432123496108</v>
      </c>
      <c r="AD31" s="163">
        <f t="shared" si="5"/>
        <v>1.5167487679941969</v>
      </c>
      <c r="AE31" s="163">
        <f t="shared" si="1"/>
        <v>1.5592177334980344</v>
      </c>
    </row>
    <row r="32" spans="1:31" s="112" customFormat="1" ht="12" customHeight="1" x14ac:dyDescent="0.35">
      <c r="B32" s="164">
        <v>2009</v>
      </c>
      <c r="I32" s="165"/>
      <c r="J32" s="165"/>
      <c r="K32" s="165"/>
      <c r="L32" s="165"/>
      <c r="M32" s="165"/>
      <c r="N32" s="96">
        <v>1</v>
      </c>
      <c r="O32" s="163">
        <f t="shared" ref="O32:AD32" si="6">N32*O$24</f>
        <v>1.0029999999999999</v>
      </c>
      <c r="P32" s="163">
        <f t="shared" si="6"/>
        <v>1.0180449999999999</v>
      </c>
      <c r="Q32" s="163">
        <f t="shared" si="6"/>
        <v>1.0445141699999998</v>
      </c>
      <c r="R32" s="163">
        <f t="shared" si="6"/>
        <v>1.0685379959099996</v>
      </c>
      <c r="S32" s="163">
        <f t="shared" si="6"/>
        <v>1.0984570597954797</v>
      </c>
      <c r="T32" s="163">
        <f t="shared" si="6"/>
        <v>1.1094416303934345</v>
      </c>
      <c r="U32" s="163">
        <f t="shared" si="6"/>
        <v>1.1183171634365821</v>
      </c>
      <c r="V32" s="163">
        <f t="shared" si="6"/>
        <v>1.1205537977634552</v>
      </c>
      <c r="W32" s="163">
        <f t="shared" si="6"/>
        <v>1.1362415509321435</v>
      </c>
      <c r="X32" s="163">
        <f t="shared" si="6"/>
        <v>1.1601026235017184</v>
      </c>
      <c r="Y32" s="163">
        <f t="shared" si="6"/>
        <v>1.1925854969597667</v>
      </c>
      <c r="Z32" s="163">
        <f t="shared" si="6"/>
        <v>1.200933595438485</v>
      </c>
      <c r="AA32" s="163">
        <f t="shared" si="6"/>
        <v>1.2297560017290086</v>
      </c>
      <c r="AB32" s="163">
        <f t="shared" si="6"/>
        <v>1.3773267219364898</v>
      </c>
      <c r="AC32" s="163">
        <f t="shared" si="6"/>
        <v>1.4186465235945844</v>
      </c>
      <c r="AD32" s="163">
        <f t="shared" si="6"/>
        <v>1.4697177984439895</v>
      </c>
      <c r="AE32" s="163">
        <f t="shared" si="1"/>
        <v>1.5108698968004213</v>
      </c>
    </row>
    <row r="33" spans="2:31" s="112" customFormat="1" ht="12" customHeight="1" x14ac:dyDescent="0.35">
      <c r="B33" s="164">
        <v>2010</v>
      </c>
      <c r="I33" s="165"/>
      <c r="J33" s="165"/>
      <c r="K33" s="165"/>
      <c r="L33" s="165"/>
      <c r="M33" s="165"/>
      <c r="N33" s="165"/>
      <c r="O33" s="96">
        <v>1</v>
      </c>
      <c r="P33" s="163">
        <f t="shared" ref="P33:AD33" si="7">O33*P$24</f>
        <v>1.0149999999999999</v>
      </c>
      <c r="Q33" s="163">
        <f t="shared" si="7"/>
        <v>1.0413899999999998</v>
      </c>
      <c r="R33" s="163">
        <f t="shared" si="7"/>
        <v>1.0653419699999997</v>
      </c>
      <c r="S33" s="163">
        <f t="shared" si="7"/>
        <v>1.0951715451599997</v>
      </c>
      <c r="T33" s="163">
        <f t="shared" si="7"/>
        <v>1.1061232606115996</v>
      </c>
      <c r="U33" s="163">
        <f t="shared" si="7"/>
        <v>1.1149722466964924</v>
      </c>
      <c r="V33" s="163">
        <f t="shared" si="7"/>
        <v>1.1172021911898855</v>
      </c>
      <c r="W33" s="163">
        <f t="shared" si="7"/>
        <v>1.132843021866544</v>
      </c>
      <c r="X33" s="163">
        <f t="shared" si="7"/>
        <v>1.1566327253257414</v>
      </c>
      <c r="Y33" s="163">
        <f t="shared" si="7"/>
        <v>1.1890184416348621</v>
      </c>
      <c r="Z33" s="163">
        <f t="shared" si="7"/>
        <v>1.197341570726306</v>
      </c>
      <c r="AA33" s="163">
        <f t="shared" si="7"/>
        <v>1.2260777684237374</v>
      </c>
      <c r="AB33" s="163">
        <f t="shared" si="7"/>
        <v>1.3732071006345861</v>
      </c>
      <c r="AC33" s="163">
        <f t="shared" si="7"/>
        <v>1.4144033136536236</v>
      </c>
      <c r="AD33" s="163">
        <f t="shared" si="7"/>
        <v>1.4653218329451541</v>
      </c>
      <c r="AE33" s="163">
        <f>AD33*AE$24</f>
        <v>1.5063508442676183</v>
      </c>
    </row>
    <row r="34" spans="2:31" s="112" customFormat="1" ht="12" customHeight="1" x14ac:dyDescent="0.35">
      <c r="B34" s="164">
        <v>2011</v>
      </c>
      <c r="I34" s="165"/>
      <c r="J34" s="165"/>
      <c r="K34" s="165"/>
      <c r="L34" s="165"/>
      <c r="M34" s="165"/>
      <c r="N34" s="165"/>
      <c r="O34" s="165"/>
      <c r="P34" s="96">
        <v>1</v>
      </c>
      <c r="Q34" s="163">
        <f t="shared" ref="Q34:AD34" si="8">P34*Q$24</f>
        <v>1.026</v>
      </c>
      <c r="R34" s="163">
        <f t="shared" si="8"/>
        <v>1.049598</v>
      </c>
      <c r="S34" s="163">
        <f t="shared" si="8"/>
        <v>1.0789867440000001</v>
      </c>
      <c r="T34" s="163">
        <f t="shared" si="8"/>
        <v>1.08977661144</v>
      </c>
      <c r="U34" s="163">
        <f t="shared" si="8"/>
        <v>1.09849482433152</v>
      </c>
      <c r="V34" s="163">
        <f t="shared" si="8"/>
        <v>1.1006918139801831</v>
      </c>
      <c r="W34" s="163">
        <f t="shared" si="8"/>
        <v>1.1161014993759057</v>
      </c>
      <c r="X34" s="163">
        <f t="shared" si="8"/>
        <v>1.1395396308627996</v>
      </c>
      <c r="Y34" s="163">
        <f t="shared" si="8"/>
        <v>1.171446740526958</v>
      </c>
      <c r="Z34" s="163">
        <f t="shared" si="8"/>
        <v>1.1796468677106466</v>
      </c>
      <c r="AA34" s="163">
        <f t="shared" si="8"/>
        <v>1.2079583925357023</v>
      </c>
      <c r="AB34" s="163">
        <f t="shared" si="8"/>
        <v>1.3529133996399867</v>
      </c>
      <c r="AC34" s="163">
        <f t="shared" si="8"/>
        <v>1.3935008016291863</v>
      </c>
      <c r="AD34" s="163">
        <f t="shared" si="8"/>
        <v>1.4436668304878371</v>
      </c>
      <c r="AE34" s="163">
        <f t="shared" si="1"/>
        <v>1.4840895017414966</v>
      </c>
    </row>
    <row r="35" spans="2:31" s="112" customFormat="1" ht="12" customHeight="1" x14ac:dyDescent="0.35">
      <c r="B35" s="164">
        <v>2012</v>
      </c>
      <c r="I35" s="165"/>
      <c r="J35" s="165"/>
      <c r="K35" s="165"/>
      <c r="L35" s="165"/>
      <c r="M35" s="165"/>
      <c r="N35" s="165"/>
      <c r="O35" s="165"/>
      <c r="P35" s="165"/>
      <c r="Q35" s="96">
        <v>1</v>
      </c>
      <c r="R35" s="163">
        <f t="shared" ref="R35:AD35" si="9">Q35*R$24</f>
        <v>1.0229999999999999</v>
      </c>
      <c r="S35" s="163">
        <f t="shared" si="9"/>
        <v>1.051644</v>
      </c>
      <c r="T35" s="163">
        <f t="shared" si="9"/>
        <v>1.06216044</v>
      </c>
      <c r="U35" s="163">
        <f t="shared" si="9"/>
        <v>1.0706577235199999</v>
      </c>
      <c r="V35" s="163">
        <f t="shared" si="9"/>
        <v>1.0727990389670399</v>
      </c>
      <c r="W35" s="163">
        <f t="shared" si="9"/>
        <v>1.0878182255125783</v>
      </c>
      <c r="X35" s="163">
        <f t="shared" si="9"/>
        <v>1.1106624082483423</v>
      </c>
      <c r="Y35" s="163">
        <f t="shared" si="9"/>
        <v>1.1417609556792958</v>
      </c>
      <c r="Z35" s="163">
        <f t="shared" si="9"/>
        <v>1.1497532823690508</v>
      </c>
      <c r="AA35" s="163">
        <f t="shared" si="9"/>
        <v>1.177347361145908</v>
      </c>
      <c r="AB35" s="163">
        <f t="shared" si="9"/>
        <v>1.318629044483417</v>
      </c>
      <c r="AC35" s="163">
        <f t="shared" si="9"/>
        <v>1.3581879158179195</v>
      </c>
      <c r="AD35" s="163">
        <f t="shared" si="9"/>
        <v>1.4070826807873646</v>
      </c>
      <c r="AE35" s="163">
        <f t="shared" si="1"/>
        <v>1.4464809958494109</v>
      </c>
    </row>
    <row r="36" spans="2:31" s="112" customFormat="1" ht="12" customHeight="1" x14ac:dyDescent="0.35">
      <c r="B36" s="164">
        <v>2013</v>
      </c>
      <c r="I36" s="165"/>
      <c r="J36" s="165"/>
      <c r="K36" s="165"/>
      <c r="L36" s="165"/>
      <c r="M36" s="165"/>
      <c r="N36" s="165"/>
      <c r="O36" s="165"/>
      <c r="P36" s="165"/>
      <c r="Q36" s="165"/>
      <c r="R36" s="96">
        <v>1</v>
      </c>
      <c r="S36" s="163">
        <f t="shared" ref="S36:AD36" si="10">R36*S$24</f>
        <v>1.028</v>
      </c>
      <c r="T36" s="163">
        <f t="shared" si="10"/>
        <v>1.0382800000000001</v>
      </c>
      <c r="U36" s="163">
        <f t="shared" si="10"/>
        <v>1.0465862400000001</v>
      </c>
      <c r="V36" s="163">
        <f t="shared" si="10"/>
        <v>1.0486794124800001</v>
      </c>
      <c r="W36" s="163">
        <f t="shared" si="10"/>
        <v>1.0633609242547202</v>
      </c>
      <c r="X36" s="163">
        <f t="shared" si="10"/>
        <v>1.0856915036640693</v>
      </c>
      <c r="Y36" s="163">
        <f t="shared" si="10"/>
        <v>1.1160908657666633</v>
      </c>
      <c r="Z36" s="163">
        <f t="shared" si="10"/>
        <v>1.1239035018270298</v>
      </c>
      <c r="AA36" s="163">
        <f t="shared" si="10"/>
        <v>1.1508771858708786</v>
      </c>
      <c r="AB36" s="163">
        <f t="shared" si="10"/>
        <v>1.2889824481753842</v>
      </c>
      <c r="AC36" s="163">
        <f t="shared" si="10"/>
        <v>1.3276519216206457</v>
      </c>
      <c r="AD36" s="163">
        <f t="shared" si="10"/>
        <v>1.375447390798989</v>
      </c>
      <c r="AE36" s="163">
        <f t="shared" si="1"/>
        <v>1.4139599177413607</v>
      </c>
    </row>
    <row r="37" spans="2:31" s="112" customFormat="1" ht="12" customHeight="1" x14ac:dyDescent="0.35">
      <c r="B37" s="164">
        <v>2014</v>
      </c>
      <c r="I37" s="165"/>
      <c r="J37" s="165"/>
      <c r="K37" s="165"/>
      <c r="L37" s="165"/>
      <c r="M37" s="165"/>
      <c r="N37" s="165"/>
      <c r="O37" s="165"/>
      <c r="P37" s="165"/>
      <c r="Q37" s="165"/>
      <c r="R37" s="165"/>
      <c r="S37" s="96">
        <v>1</v>
      </c>
      <c r="T37" s="163">
        <f t="shared" ref="T37:AD37" si="11">S37*T$24</f>
        <v>1.01</v>
      </c>
      <c r="U37" s="163">
        <f t="shared" si="11"/>
        <v>1.0180800000000001</v>
      </c>
      <c r="V37" s="163">
        <f t="shared" si="11"/>
        <v>1.0201161600000002</v>
      </c>
      <c r="W37" s="163">
        <f t="shared" si="11"/>
        <v>1.0343977862400002</v>
      </c>
      <c r="X37" s="163">
        <f t="shared" si="11"/>
        <v>1.0561201397510402</v>
      </c>
      <c r="Y37" s="163">
        <f t="shared" si="11"/>
        <v>1.0856915036640693</v>
      </c>
      <c r="Z37" s="163">
        <f t="shared" si="11"/>
        <v>1.0932913441897176</v>
      </c>
      <c r="AA37" s="163">
        <f t="shared" si="11"/>
        <v>1.1195303364502709</v>
      </c>
      <c r="AB37" s="163">
        <f t="shared" si="11"/>
        <v>1.2538739768243035</v>
      </c>
      <c r="AC37" s="163">
        <f t="shared" si="11"/>
        <v>1.2914901961290326</v>
      </c>
      <c r="AD37" s="163">
        <f t="shared" si="11"/>
        <v>1.3379838431896778</v>
      </c>
      <c r="AE37" s="163">
        <f>AD37*AE$24</f>
        <v>1.3754473907989888</v>
      </c>
    </row>
    <row r="38" spans="2:31" s="112" customFormat="1" ht="12" customHeight="1" x14ac:dyDescent="0.35">
      <c r="B38" s="164">
        <v>2015</v>
      </c>
      <c r="I38" s="165"/>
      <c r="J38" s="165"/>
      <c r="K38" s="165"/>
      <c r="L38" s="165"/>
      <c r="M38" s="165"/>
      <c r="N38" s="165"/>
      <c r="O38" s="165"/>
      <c r="P38" s="165"/>
      <c r="Q38" s="165"/>
      <c r="R38" s="165"/>
      <c r="S38" s="165"/>
      <c r="T38" s="96">
        <v>1</v>
      </c>
      <c r="U38" s="163">
        <f t="shared" ref="U38:AD38" si="12">T38*U$24</f>
        <v>1.008</v>
      </c>
      <c r="V38" s="163">
        <f t="shared" si="12"/>
        <v>1.010016</v>
      </c>
      <c r="W38" s="163">
        <f t="shared" si="12"/>
        <v>1.0241562239999999</v>
      </c>
      <c r="X38" s="163">
        <f t="shared" si="12"/>
        <v>1.0456635047039999</v>
      </c>
      <c r="Y38" s="163">
        <f t="shared" si="12"/>
        <v>1.0749420828357119</v>
      </c>
      <c r="Z38" s="163">
        <f t="shared" si="12"/>
        <v>1.0824666774155618</v>
      </c>
      <c r="AA38" s="163">
        <f t="shared" si="12"/>
        <v>1.1084458776735353</v>
      </c>
      <c r="AB38" s="163">
        <f t="shared" si="12"/>
        <v>1.2414593829943597</v>
      </c>
      <c r="AC38" s="163">
        <f t="shared" si="12"/>
        <v>1.2787031644841904</v>
      </c>
      <c r="AD38" s="163">
        <f t="shared" si="12"/>
        <v>1.3247364784056213</v>
      </c>
      <c r="AE38" s="163">
        <f t="shared" si="1"/>
        <v>1.3618290998009788</v>
      </c>
    </row>
    <row r="39" spans="2:31" s="112" customFormat="1" ht="12" customHeight="1" x14ac:dyDescent="0.35">
      <c r="B39" s="164">
        <v>2016</v>
      </c>
      <c r="I39" s="165"/>
      <c r="J39" s="165"/>
      <c r="K39" s="165"/>
      <c r="L39" s="165"/>
      <c r="M39" s="165"/>
      <c r="N39" s="165"/>
      <c r="O39" s="165"/>
      <c r="P39" s="165"/>
      <c r="Q39" s="165"/>
      <c r="R39" s="165"/>
      <c r="S39" s="165"/>
      <c r="T39" s="165"/>
      <c r="U39" s="96">
        <v>1</v>
      </c>
      <c r="V39" s="163">
        <f t="shared" ref="V39:AD39" si="13">U39*V$24</f>
        <v>1.002</v>
      </c>
      <c r="W39" s="163">
        <f t="shared" si="13"/>
        <v>1.0160279999999999</v>
      </c>
      <c r="X39" s="163">
        <f t="shared" si="13"/>
        <v>1.0373645879999998</v>
      </c>
      <c r="Y39" s="163">
        <f t="shared" si="13"/>
        <v>1.0664107964639997</v>
      </c>
      <c r="Z39" s="163">
        <f t="shared" si="13"/>
        <v>1.0738756720392475</v>
      </c>
      <c r="AA39" s="163">
        <f t="shared" si="13"/>
        <v>1.0996486881681895</v>
      </c>
      <c r="AB39" s="163">
        <f t="shared" si="13"/>
        <v>1.2316065307483723</v>
      </c>
      <c r="AC39" s="163">
        <f t="shared" si="13"/>
        <v>1.2685547266708235</v>
      </c>
      <c r="AD39" s="163">
        <f t="shared" si="13"/>
        <v>1.3142226968309731</v>
      </c>
      <c r="AE39" s="163">
        <f t="shared" si="1"/>
        <v>1.3510209323422404</v>
      </c>
    </row>
    <row r="40" spans="2:31" s="112" customFormat="1" ht="12" customHeight="1" x14ac:dyDescent="0.35">
      <c r="B40" s="164">
        <v>2017</v>
      </c>
      <c r="I40" s="165"/>
      <c r="J40" s="165"/>
      <c r="K40" s="165"/>
      <c r="L40" s="165"/>
      <c r="M40" s="165"/>
      <c r="N40" s="165"/>
      <c r="O40" s="165"/>
      <c r="P40" s="165"/>
      <c r="Q40" s="165"/>
      <c r="R40" s="165"/>
      <c r="S40" s="165"/>
      <c r="T40" s="165"/>
      <c r="U40" s="165"/>
      <c r="V40" s="96">
        <v>1</v>
      </c>
      <c r="W40" s="163">
        <f t="shared" ref="W40:AD40" si="14">V40*W$24</f>
        <v>1.014</v>
      </c>
      <c r="X40" s="163">
        <f t="shared" si="14"/>
        <v>1.0352939999999999</v>
      </c>
      <c r="Y40" s="163">
        <f t="shared" si="14"/>
        <v>1.0642822320000001</v>
      </c>
      <c r="Z40" s="163">
        <f t="shared" si="14"/>
        <v>1.0717322076239999</v>
      </c>
      <c r="AA40" s="163">
        <f t="shared" si="14"/>
        <v>1.097453780606976</v>
      </c>
      <c r="AB40" s="163">
        <f t="shared" si="14"/>
        <v>1.2291482342798132</v>
      </c>
      <c r="AC40" s="163">
        <f t="shared" si="14"/>
        <v>1.2660226813082076</v>
      </c>
      <c r="AD40" s="163">
        <f t="shared" si="14"/>
        <v>1.3115994978353032</v>
      </c>
      <c r="AE40" s="163">
        <f t="shared" si="1"/>
        <v>1.3483242837746916</v>
      </c>
    </row>
    <row r="41" spans="2:31" s="112" customFormat="1" ht="12" customHeight="1" x14ac:dyDescent="0.35">
      <c r="B41" s="164">
        <v>2018</v>
      </c>
      <c r="I41" s="165"/>
      <c r="J41" s="165"/>
      <c r="K41" s="165"/>
      <c r="L41" s="165"/>
      <c r="M41" s="165"/>
      <c r="N41" s="165"/>
      <c r="O41" s="165"/>
      <c r="P41" s="165"/>
      <c r="Q41" s="165"/>
      <c r="R41" s="165"/>
      <c r="S41" s="165"/>
      <c r="T41" s="165"/>
      <c r="U41" s="165"/>
      <c r="V41" s="165"/>
      <c r="W41" s="96">
        <v>1</v>
      </c>
      <c r="X41" s="163">
        <f t="shared" ref="X41:AD41" si="15">W41*X$24</f>
        <v>1.0209999999999999</v>
      </c>
      <c r="Y41" s="163">
        <f t="shared" si="15"/>
        <v>1.049588</v>
      </c>
      <c r="Z41" s="163">
        <f t="shared" si="15"/>
        <v>1.0569351159999998</v>
      </c>
      <c r="AA41" s="163">
        <f t="shared" si="15"/>
        <v>1.0823015587839997</v>
      </c>
      <c r="AB41" s="163">
        <f t="shared" si="15"/>
        <v>1.2121777458380798</v>
      </c>
      <c r="AC41" s="163">
        <f t="shared" si="15"/>
        <v>1.2485430782132223</v>
      </c>
      <c r="AD41" s="163">
        <f t="shared" si="15"/>
        <v>1.2934906290288983</v>
      </c>
      <c r="AE41" s="163">
        <f t="shared" si="1"/>
        <v>1.3297083666417076</v>
      </c>
    </row>
    <row r="42" spans="2:31" s="112" customFormat="1" ht="12" customHeight="1" x14ac:dyDescent="0.35">
      <c r="B42" s="164">
        <v>2019</v>
      </c>
      <c r="I42" s="165"/>
      <c r="J42" s="165"/>
      <c r="K42" s="165"/>
      <c r="L42" s="165"/>
      <c r="M42" s="165"/>
      <c r="N42" s="165"/>
      <c r="O42" s="165"/>
      <c r="P42" s="165"/>
      <c r="Q42" s="165"/>
      <c r="R42" s="165"/>
      <c r="S42" s="165"/>
      <c r="T42" s="165"/>
      <c r="U42" s="165"/>
      <c r="V42" s="165"/>
      <c r="W42" s="165"/>
      <c r="X42" s="96">
        <v>1</v>
      </c>
      <c r="Y42" s="163">
        <f t="shared" ref="Y42:AD42" si="16">X42*Y$24</f>
        <v>1.028</v>
      </c>
      <c r="Z42" s="163">
        <f t="shared" si="16"/>
        <v>1.035196</v>
      </c>
      <c r="AA42" s="163">
        <f t="shared" si="16"/>
        <v>1.0600407039999999</v>
      </c>
      <c r="AB42" s="163">
        <f t="shared" si="16"/>
        <v>1.1872455884799999</v>
      </c>
      <c r="AC42" s="163">
        <f t="shared" si="16"/>
        <v>1.2228629561344</v>
      </c>
      <c r="AD42" s="163">
        <f t="shared" si="16"/>
        <v>1.2668860225552385</v>
      </c>
      <c r="AE42" s="163">
        <f t="shared" si="1"/>
        <v>1.3023588311867853</v>
      </c>
    </row>
    <row r="43" spans="2:31" s="112" customFormat="1" ht="12" customHeight="1" x14ac:dyDescent="0.35">
      <c r="B43" s="164">
        <v>2020</v>
      </c>
      <c r="I43" s="165"/>
      <c r="J43" s="165"/>
      <c r="K43" s="165"/>
      <c r="L43" s="165"/>
      <c r="M43" s="165"/>
      <c r="N43" s="165"/>
      <c r="O43" s="165"/>
      <c r="P43" s="165"/>
      <c r="Q43" s="165"/>
      <c r="R43" s="165"/>
      <c r="S43" s="165"/>
      <c r="T43" s="165"/>
      <c r="U43" s="165"/>
      <c r="V43" s="165"/>
      <c r="W43" s="165"/>
      <c r="X43" s="165"/>
      <c r="Y43" s="96">
        <v>1</v>
      </c>
      <c r="Z43" s="163">
        <f>Y43*Z$24</f>
        <v>1.0069999999999999</v>
      </c>
      <c r="AA43" s="163">
        <f>Z43*AA$24</f>
        <v>1.0311679999999999</v>
      </c>
      <c r="AB43" s="163">
        <f>AA43*AB$24</f>
        <v>1.15490816</v>
      </c>
      <c r="AC43" s="163">
        <f>AB43*AC$24</f>
        <v>1.1895554047999999</v>
      </c>
      <c r="AD43" s="163">
        <f>AC43*AD$24</f>
        <v>1.2323793993727998</v>
      </c>
      <c r="AE43" s="163">
        <f t="shared" ref="AE43:AE48" si="17">AD43*AE$24</f>
        <v>1.2668860225552383</v>
      </c>
    </row>
    <row r="44" spans="2:31" s="112" customFormat="1" ht="12" customHeight="1" x14ac:dyDescent="0.35">
      <c r="B44" s="164">
        <v>2021</v>
      </c>
      <c r="I44" s="165"/>
      <c r="J44" s="165"/>
      <c r="K44" s="165"/>
      <c r="L44" s="165"/>
      <c r="M44" s="165"/>
      <c r="N44" s="165"/>
      <c r="O44" s="165"/>
      <c r="P44" s="165"/>
      <c r="Q44" s="165"/>
      <c r="R44" s="165"/>
      <c r="S44" s="165"/>
      <c r="T44" s="165"/>
      <c r="U44" s="165"/>
      <c r="V44" s="165"/>
      <c r="W44" s="165"/>
      <c r="X44" s="165"/>
      <c r="Y44" s="165"/>
      <c r="Z44" s="96">
        <v>1</v>
      </c>
      <c r="AA44" s="163">
        <f>Z44*AA$24</f>
        <v>1.024</v>
      </c>
      <c r="AB44" s="163">
        <f>AA44*AB$24</f>
        <v>1.1468800000000001</v>
      </c>
      <c r="AC44" s="163">
        <f>AB44*AC$24</f>
        <v>1.1812864000000001</v>
      </c>
      <c r="AD44" s="163">
        <f>AC44*AD$24</f>
        <v>1.2238127104000001</v>
      </c>
      <c r="AE44" s="163">
        <f t="shared" si="17"/>
        <v>1.2580794662912</v>
      </c>
    </row>
    <row r="45" spans="2:31" s="112" customFormat="1" ht="12" customHeight="1" x14ac:dyDescent="0.35">
      <c r="B45" s="164">
        <v>2022</v>
      </c>
      <c r="I45" s="165"/>
      <c r="J45" s="165"/>
      <c r="K45" s="165"/>
      <c r="L45" s="165"/>
      <c r="M45" s="165"/>
      <c r="N45" s="165"/>
      <c r="O45" s="165"/>
      <c r="P45" s="165"/>
      <c r="Q45" s="165"/>
      <c r="R45" s="165"/>
      <c r="S45" s="165"/>
      <c r="T45" s="165"/>
      <c r="U45" s="165"/>
      <c r="V45" s="165"/>
      <c r="W45" s="165"/>
      <c r="X45" s="165"/>
      <c r="Y45" s="165"/>
      <c r="Z45" s="165"/>
      <c r="AA45" s="96">
        <v>1</v>
      </c>
      <c r="AB45" s="163">
        <f>AA45*AB$24</f>
        <v>1.1200000000000001</v>
      </c>
      <c r="AC45" s="163">
        <f>AB45*AC$24</f>
        <v>1.1536000000000002</v>
      </c>
      <c r="AD45" s="163">
        <f>AC45*AD$24</f>
        <v>1.1951296000000002</v>
      </c>
      <c r="AE45" s="163">
        <f t="shared" si="17"/>
        <v>1.2285932288000003</v>
      </c>
    </row>
    <row r="46" spans="2:31" s="112" customFormat="1" ht="12" customHeight="1" x14ac:dyDescent="0.35">
      <c r="B46" s="164">
        <v>2023</v>
      </c>
      <c r="I46" s="165"/>
      <c r="J46" s="165"/>
      <c r="K46" s="165"/>
      <c r="L46" s="165"/>
      <c r="M46" s="165"/>
      <c r="N46" s="165"/>
      <c r="O46" s="165"/>
      <c r="P46" s="165"/>
      <c r="Q46" s="165"/>
      <c r="R46" s="165"/>
      <c r="S46" s="165"/>
      <c r="T46" s="165"/>
      <c r="U46" s="165"/>
      <c r="V46" s="165"/>
      <c r="W46" s="165"/>
      <c r="X46" s="165"/>
      <c r="Y46" s="165"/>
      <c r="Z46" s="165"/>
      <c r="AA46" s="165"/>
      <c r="AB46" s="96">
        <v>1</v>
      </c>
      <c r="AC46" s="163">
        <f>AB46*AC$24</f>
        <v>1.03</v>
      </c>
      <c r="AD46" s="163">
        <f>AC46*AD$24</f>
        <v>1.06708</v>
      </c>
      <c r="AE46" s="163">
        <f t="shared" si="17"/>
        <v>1.09695824</v>
      </c>
    </row>
    <row r="47" spans="2:31" s="112" customFormat="1" ht="12" customHeight="1" x14ac:dyDescent="0.35">
      <c r="B47" s="164">
        <v>2024</v>
      </c>
      <c r="I47" s="165"/>
      <c r="J47" s="165"/>
      <c r="K47" s="165"/>
      <c r="L47" s="165"/>
      <c r="M47" s="165"/>
      <c r="N47" s="165"/>
      <c r="O47" s="165"/>
      <c r="P47" s="165"/>
      <c r="Q47" s="165"/>
      <c r="R47" s="165"/>
      <c r="S47" s="165"/>
      <c r="T47" s="165"/>
      <c r="U47" s="165"/>
      <c r="V47" s="165"/>
      <c r="W47" s="165"/>
      <c r="X47" s="165"/>
      <c r="Y47" s="165"/>
      <c r="Z47" s="165"/>
      <c r="AA47" s="165"/>
      <c r="AB47" s="165"/>
      <c r="AC47" s="96">
        <v>1</v>
      </c>
      <c r="AD47" s="163">
        <f>AC47*AD$24</f>
        <v>1.036</v>
      </c>
      <c r="AE47" s="163">
        <f t="shared" si="17"/>
        <v>1.065008</v>
      </c>
    </row>
    <row r="48" spans="2:31" s="112" customFormat="1" ht="12" customHeight="1" x14ac:dyDescent="0.35">
      <c r="B48" s="164">
        <v>2025</v>
      </c>
      <c r="I48" s="165"/>
      <c r="J48" s="165"/>
      <c r="K48" s="165"/>
      <c r="L48" s="165"/>
      <c r="M48" s="165"/>
      <c r="N48" s="165"/>
      <c r="O48" s="165"/>
      <c r="P48" s="165"/>
      <c r="Q48" s="165"/>
      <c r="R48" s="165"/>
      <c r="S48" s="165"/>
      <c r="T48" s="165"/>
      <c r="U48" s="165"/>
      <c r="V48" s="165"/>
      <c r="W48" s="165"/>
      <c r="X48" s="165"/>
      <c r="Y48" s="165"/>
      <c r="Z48" s="165"/>
      <c r="AA48" s="165"/>
      <c r="AB48" s="165"/>
      <c r="AC48" s="165"/>
      <c r="AD48" s="96">
        <v>1</v>
      </c>
      <c r="AE48" s="163">
        <f t="shared" si="17"/>
        <v>1.028</v>
      </c>
    </row>
    <row r="49" spans="1:31" s="112" customFormat="1" ht="12" customHeight="1" x14ac:dyDescent="0.35">
      <c r="B49" s="164">
        <v>2026</v>
      </c>
      <c r="I49" s="165"/>
      <c r="J49" s="165"/>
      <c r="K49" s="165"/>
      <c r="L49" s="165"/>
      <c r="M49" s="165"/>
      <c r="N49" s="165"/>
      <c r="O49" s="165"/>
      <c r="P49" s="165"/>
      <c r="Q49" s="165"/>
      <c r="R49" s="165"/>
      <c r="S49" s="165"/>
      <c r="T49" s="165"/>
      <c r="U49" s="165"/>
      <c r="V49" s="165"/>
      <c r="W49" s="165"/>
      <c r="X49" s="165"/>
      <c r="Y49" s="165"/>
      <c r="Z49" s="165"/>
      <c r="AA49" s="165"/>
      <c r="AB49" s="165"/>
      <c r="AC49" s="165"/>
      <c r="AD49" s="165"/>
      <c r="AE49" s="266">
        <v>1</v>
      </c>
    </row>
    <row r="50" spans="1:31" ht="12" customHeight="1" x14ac:dyDescent="0.35"/>
    <row r="51" spans="1:31" s="6" customFormat="1" ht="12" customHeight="1" x14ac:dyDescent="0.35">
      <c r="B51" s="6" t="s">
        <v>371</v>
      </c>
      <c r="L51" s="50">
        <v>2022</v>
      </c>
      <c r="M51" s="50">
        <v>2023</v>
      </c>
      <c r="N51" s="50">
        <v>2024</v>
      </c>
      <c r="O51" s="50">
        <v>2025</v>
      </c>
    </row>
    <row r="52" spans="1:31" ht="12" customHeight="1" x14ac:dyDescent="0.35"/>
    <row r="53" spans="1:31" ht="12" customHeight="1" x14ac:dyDescent="0.35">
      <c r="A53" s="206"/>
      <c r="B53" s="1" t="s">
        <v>75</v>
      </c>
    </row>
    <row r="54" spans="1:31" ht="12" customHeight="1" x14ac:dyDescent="0.35">
      <c r="A54" s="206"/>
      <c r="B54" s="2" t="s">
        <v>76</v>
      </c>
      <c r="F54" s="2" t="s">
        <v>72</v>
      </c>
      <c r="L54" s="13"/>
      <c r="M54" s="48">
        <f>'Input parameters'!AE29</f>
        <v>0.04</v>
      </c>
      <c r="N54" s="48">
        <f>'Input parameters'!AF29</f>
        <v>7.0000000000000007E-2</v>
      </c>
      <c r="O54" s="48">
        <f>'Input parameters'!AG29</f>
        <v>0.06</v>
      </c>
    </row>
    <row r="55" spans="1:31" ht="12" customHeight="1" x14ac:dyDescent="0.35">
      <c r="A55" s="206"/>
      <c r="B55" s="2" t="s">
        <v>77</v>
      </c>
      <c r="F55" s="2" t="s">
        <v>72</v>
      </c>
      <c r="L55" s="13"/>
      <c r="M55" s="48">
        <f>'Input parameters'!AE30</f>
        <v>0.04</v>
      </c>
      <c r="N55" s="48">
        <f>'Input parameters'!AF30</f>
        <v>7.0000000000000007E-2</v>
      </c>
      <c r="O55" s="48">
        <f>'Input parameters'!AG30</f>
        <v>0.06</v>
      </c>
    </row>
    <row r="56" spans="1:31" ht="12" customHeight="1" x14ac:dyDescent="0.35">
      <c r="A56" s="206"/>
      <c r="B56" s="2" t="s">
        <v>78</v>
      </c>
      <c r="F56" s="2" t="s">
        <v>72</v>
      </c>
      <c r="L56" s="48">
        <f>'Input parameters'!AD31</f>
        <v>0.02</v>
      </c>
      <c r="M56" s="48">
        <f>'Input parameters'!AE31</f>
        <v>0.06</v>
      </c>
      <c r="N56" s="48">
        <f>'Input parameters'!AF31</f>
        <v>7.0000000000000007E-2</v>
      </c>
      <c r="O56" s="48">
        <f>'Input parameters'!AG31</f>
        <v>0.06</v>
      </c>
    </row>
    <row r="57" spans="1:31" ht="12" customHeight="1" x14ac:dyDescent="0.35">
      <c r="A57" s="206"/>
      <c r="B57" s="2" t="s">
        <v>79</v>
      </c>
      <c r="F57" s="2" t="s">
        <v>72</v>
      </c>
      <c r="L57" s="48">
        <f>'Input parameters'!AD32</f>
        <v>0.02</v>
      </c>
      <c r="M57" s="48">
        <f>'Input parameters'!AE32</f>
        <v>0.06</v>
      </c>
      <c r="N57" s="48">
        <f>'Input parameters'!AF32</f>
        <v>7.0000000000000007E-2</v>
      </c>
      <c r="O57" s="48">
        <f>'Input parameters'!AG32</f>
        <v>0.06</v>
      </c>
    </row>
    <row r="58" spans="1:31" ht="12" customHeight="1" x14ac:dyDescent="0.35">
      <c r="A58" s="206"/>
    </row>
    <row r="59" spans="1:31" ht="12" customHeight="1" x14ac:dyDescent="0.35">
      <c r="A59" s="206"/>
      <c r="B59" s="1" t="s">
        <v>368</v>
      </c>
    </row>
    <row r="60" spans="1:31" ht="12" customHeight="1" x14ac:dyDescent="0.35">
      <c r="B60" s="2" t="s">
        <v>560</v>
      </c>
      <c r="F60" s="2" t="s">
        <v>72</v>
      </c>
      <c r="H60" s="55">
        <f>'Input parameters'!H35</f>
        <v>2.1499999999999998E-2</v>
      </c>
    </row>
    <row r="61" spans="1:31" ht="12" customHeight="1" x14ac:dyDescent="0.35"/>
    <row r="62" spans="1:31" s="6" customFormat="1" ht="12" customHeight="1" x14ac:dyDescent="0.35">
      <c r="B62" s="6" t="s">
        <v>83</v>
      </c>
      <c r="M62" s="50">
        <v>2023</v>
      </c>
      <c r="N62" s="50">
        <v>2024</v>
      </c>
      <c r="O62" s="50">
        <v>2025</v>
      </c>
      <c r="P62" s="50">
        <v>2026</v>
      </c>
    </row>
    <row r="63" spans="1:31" ht="12" customHeight="1" x14ac:dyDescent="0.35"/>
    <row r="64" spans="1:31" ht="12" customHeight="1" x14ac:dyDescent="0.35">
      <c r="A64" s="206"/>
      <c r="B64" s="1" t="s">
        <v>584</v>
      </c>
    </row>
    <row r="65" spans="1:18" ht="12" customHeight="1" x14ac:dyDescent="0.35">
      <c r="A65" s="206"/>
      <c r="B65" s="2" t="s">
        <v>372</v>
      </c>
      <c r="F65" s="2" t="s">
        <v>72</v>
      </c>
      <c r="M65" s="13"/>
      <c r="N65" s="13"/>
      <c r="O65" s="13"/>
      <c r="P65" s="179">
        <f>ROUND($H$60+2.25%,2)</f>
        <v>0.04</v>
      </c>
      <c r="R65" s="19"/>
    </row>
    <row r="66" spans="1:18" ht="12" customHeight="1" x14ac:dyDescent="0.35">
      <c r="A66" s="206"/>
      <c r="B66" s="2" t="s">
        <v>373</v>
      </c>
      <c r="F66" s="2" t="s">
        <v>72</v>
      </c>
      <c r="M66" s="13"/>
      <c r="N66" s="13"/>
      <c r="O66" s="13"/>
      <c r="P66" s="179">
        <f>ROUND($H$60+2.25%,2)</f>
        <v>0.04</v>
      </c>
    </row>
    <row r="67" spans="1:18" ht="12" customHeight="1" x14ac:dyDescent="0.35">
      <c r="A67" s="206"/>
    </row>
    <row r="68" spans="1:18" ht="12" customHeight="1" x14ac:dyDescent="0.35">
      <c r="A68" s="206"/>
      <c r="B68" s="1" t="s">
        <v>82</v>
      </c>
      <c r="M68" s="212"/>
      <c r="N68" s="213"/>
      <c r="O68" s="213"/>
    </row>
    <row r="69" spans="1:18" ht="12" customHeight="1" x14ac:dyDescent="0.35">
      <c r="A69" s="206"/>
      <c r="B69" s="2" t="s">
        <v>81</v>
      </c>
      <c r="F69" s="2" t="s">
        <v>72</v>
      </c>
      <c r="M69" s="179">
        <f>((1+L56)*(1+L57)*(1+M54)*(1+M55))^(1/4)-1</f>
        <v>2.9951455166698615E-2</v>
      </c>
      <c r="N69" s="179">
        <f>((1+M56)*(1+M57)*(1+N54)*(1+N55))^(1/4)-1</f>
        <v>6.4988262846121803E-2</v>
      </c>
      <c r="O69" s="179">
        <f>((1+N56)*(1+N57)*(1+O54)*(1+O55))^(1/4)-1</f>
        <v>6.4988262846121803E-2</v>
      </c>
      <c r="P69" s="180">
        <f>((1+O56)*(1+O57)*(1+P65)*(1+P66))^(1/4)-1</f>
        <v>4.995237987253498E-2</v>
      </c>
    </row>
    <row r="70" spans="1:18" ht="12" customHeight="1" x14ac:dyDescent="0.35">
      <c r="A70" s="206"/>
      <c r="P70" s="19"/>
    </row>
    <row r="71" spans="1:18" ht="12" customHeight="1" x14ac:dyDescent="0.35">
      <c r="A71" s="206"/>
      <c r="B71" s="1" t="s">
        <v>80</v>
      </c>
    </row>
    <row r="72" spans="1:18" ht="12" customHeight="1" x14ac:dyDescent="0.35">
      <c r="A72" s="206"/>
      <c r="B72" s="2" t="s">
        <v>139</v>
      </c>
      <c r="F72" s="2" t="s">
        <v>72</v>
      </c>
      <c r="M72" s="102">
        <f>M69</f>
        <v>2.9951455166698615E-2</v>
      </c>
      <c r="N72" s="49">
        <f>(1+M72)*(1+N$69)-1</f>
        <v>9.6886211053817561E-2</v>
      </c>
      <c r="O72" s="49">
        <f>(1+N72)*(1+O$69)-1</f>
        <v>0.16817094045006975</v>
      </c>
      <c r="P72" s="49">
        <f>(1+O72)*(1+P$69)-1</f>
        <v>0.22652385902348815</v>
      </c>
    </row>
    <row r="73" spans="1:18" ht="12" customHeight="1" x14ac:dyDescent="0.35">
      <c r="A73" s="206"/>
      <c r="B73" s="2" t="s">
        <v>159</v>
      </c>
      <c r="F73" s="2" t="s">
        <v>72</v>
      </c>
      <c r="M73" s="13"/>
      <c r="N73" s="102">
        <f>N69</f>
        <v>6.4988262846121803E-2</v>
      </c>
      <c r="O73" s="49">
        <f>(1+N73)*(1+O$69)-1</f>
        <v>0.13420000000000032</v>
      </c>
      <c r="P73" s="49">
        <f>(1+O73)*(1+P$69)-1</f>
        <v>0.19085598925142944</v>
      </c>
    </row>
    <row r="74" spans="1:18" ht="12" customHeight="1" x14ac:dyDescent="0.35">
      <c r="A74" s="206"/>
      <c r="B74" s="2" t="s">
        <v>423</v>
      </c>
      <c r="F74" s="2" t="s">
        <v>72</v>
      </c>
      <c r="M74" s="13"/>
      <c r="N74" s="13"/>
      <c r="O74" s="102">
        <f>O69</f>
        <v>6.4988262846121803E-2</v>
      </c>
      <c r="P74" s="49">
        <f>(1+O74)*(1+P$69)-1</f>
        <v>0.11818696111160243</v>
      </c>
    </row>
    <row r="75" spans="1:18" ht="12" customHeight="1" x14ac:dyDescent="0.35">
      <c r="A75" s="206"/>
      <c r="B75" s="2" t="s">
        <v>585</v>
      </c>
      <c r="F75" s="2" t="s">
        <v>72</v>
      </c>
      <c r="M75" s="13"/>
      <c r="N75" s="13"/>
      <c r="O75" s="13"/>
      <c r="P75" s="102">
        <f>P69</f>
        <v>4.995237987253498E-2</v>
      </c>
    </row>
    <row r="76" spans="1:18" ht="12" customHeight="1" x14ac:dyDescent="0.35">
      <c r="A76" s="206"/>
    </row>
    <row r="77" spans="1:18" ht="12" customHeight="1" x14ac:dyDescent="0.35">
      <c r="A77" s="206"/>
    </row>
  </sheetData>
  <phoneticPr fontId="66" type="noConversion"/>
  <pageMargins left="0.7" right="0.7" top="0.75" bottom="0.75" header="0.3" footer="0.3"/>
  <pageSetup paperSize="9"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ECAC3-3A15-4B10-BE69-1B2E02D31338}">
  <sheetPr>
    <tabColor rgb="FFFFFFCC"/>
  </sheetPr>
  <dimension ref="A1:X208"/>
  <sheetViews>
    <sheetView showGridLines="0" zoomScale="85" zoomScaleNormal="85" workbookViewId="0">
      <pane xSplit="6" ySplit="11" topLeftCell="G12" activePane="bottomRight" state="frozen"/>
      <selection activeCell="M61" sqref="M61"/>
      <selection pane="topRight" activeCell="M61" sqref="M61"/>
      <selection pane="bottomLeft" activeCell="M61" sqref="M61"/>
      <selection pane="bottomRight" activeCell="G12" sqref="G12"/>
    </sheetView>
  </sheetViews>
  <sheetFormatPr defaultColWidth="9.26953125" defaultRowHeight="12" customHeight="1" x14ac:dyDescent="0.35"/>
  <cols>
    <col min="1" max="1" width="4" style="2" customWidth="1"/>
    <col min="2" max="2" width="45.7265625" style="2" customWidth="1"/>
    <col min="3"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2" width="12.54296875" style="2" customWidth="1"/>
    <col min="13" max="14" width="14" style="2" customWidth="1"/>
    <col min="15" max="15" width="12.54296875" style="2" customWidth="1"/>
    <col min="16" max="16" width="15.7265625" style="2" customWidth="1"/>
    <col min="17" max="17" width="12.54296875" style="2" customWidth="1"/>
    <col min="18" max="18" width="2.7265625" style="2" customWidth="1"/>
    <col min="19" max="33" width="13.7265625" style="2" customWidth="1"/>
    <col min="34" max="16384" width="9.26953125" style="2"/>
  </cols>
  <sheetData>
    <row r="1" spans="1:24" ht="13" x14ac:dyDescent="0.35">
      <c r="A1" s="1"/>
    </row>
    <row r="2" spans="1:24" s="181" customFormat="1" ht="18" x14ac:dyDescent="0.35">
      <c r="B2" s="181" t="s">
        <v>382</v>
      </c>
    </row>
    <row r="3" spans="1:24" ht="12.5" x14ac:dyDescent="0.35"/>
    <row r="4" spans="1:24" ht="13" x14ac:dyDescent="0.35">
      <c r="B4" s="1" t="s">
        <v>58</v>
      </c>
      <c r="C4" s="1"/>
      <c r="D4" s="1"/>
    </row>
    <row r="5" spans="1:24" ht="13" x14ac:dyDescent="0.35">
      <c r="B5" s="2" t="s">
        <v>383</v>
      </c>
      <c r="C5" s="1"/>
      <c r="D5" s="1"/>
    </row>
    <row r="6" spans="1:24" ht="13" x14ac:dyDescent="0.35">
      <c r="B6" s="2" t="s">
        <v>384</v>
      </c>
      <c r="C6" s="1"/>
      <c r="D6" s="1"/>
    </row>
    <row r="7" spans="1:24" ht="13" x14ac:dyDescent="0.35">
      <c r="C7" s="1"/>
      <c r="D7" s="1"/>
    </row>
    <row r="8" spans="1:24" ht="13" x14ac:dyDescent="0.35">
      <c r="B8" s="2" t="s">
        <v>857</v>
      </c>
      <c r="C8" s="1"/>
      <c r="D8" s="1"/>
    </row>
    <row r="9" spans="1:24" ht="13" x14ac:dyDescent="0.35">
      <c r="C9" s="1"/>
      <c r="D9" s="1"/>
    </row>
    <row r="10" spans="1:24" s="140" customFormat="1" ht="12" customHeight="1" x14ac:dyDescent="0.35">
      <c r="B10" s="140" t="s">
        <v>45</v>
      </c>
      <c r="F10" s="140" t="s">
        <v>27</v>
      </c>
      <c r="H10" s="140" t="s">
        <v>28</v>
      </c>
      <c r="J10" s="140" t="s">
        <v>49</v>
      </c>
      <c r="L10" s="140" t="s">
        <v>88</v>
      </c>
      <c r="M10" s="140" t="s">
        <v>65</v>
      </c>
      <c r="N10" s="140" t="s">
        <v>66</v>
      </c>
      <c r="O10" s="140" t="s">
        <v>67</v>
      </c>
      <c r="P10" s="140" t="s">
        <v>68</v>
      </c>
      <c r="Q10" s="140" t="s">
        <v>69</v>
      </c>
      <c r="S10" s="140" t="s">
        <v>47</v>
      </c>
    </row>
    <row r="13" spans="1:24" s="140" customFormat="1" ht="12" customHeight="1" x14ac:dyDescent="0.35">
      <c r="B13" s="140" t="s">
        <v>820</v>
      </c>
    </row>
    <row r="14" spans="1:24" ht="12" customHeight="1" x14ac:dyDescent="0.35">
      <c r="B14" s="170"/>
      <c r="C14" s="170"/>
      <c r="D14" s="170"/>
      <c r="E14" s="170"/>
      <c r="F14" s="170"/>
      <c r="G14" s="170"/>
      <c r="H14" s="170"/>
      <c r="I14" s="170"/>
      <c r="J14" s="170"/>
      <c r="K14" s="170"/>
      <c r="L14" s="170"/>
      <c r="M14" s="170"/>
      <c r="N14" s="170"/>
      <c r="O14" s="170"/>
      <c r="P14" s="99"/>
      <c r="Q14" s="170"/>
      <c r="R14" s="170"/>
      <c r="S14" s="170"/>
      <c r="T14" s="170"/>
      <c r="U14" s="170"/>
    </row>
    <row r="15" spans="1:24" s="170" customFormat="1" ht="12" customHeight="1" x14ac:dyDescent="0.35">
      <c r="A15" s="2"/>
      <c r="B15" s="175" t="s">
        <v>535</v>
      </c>
      <c r="L15" s="99"/>
      <c r="M15" s="99"/>
      <c r="N15" s="99"/>
      <c r="P15" s="99"/>
      <c r="V15" s="2"/>
      <c r="W15" s="2"/>
      <c r="X15" s="2"/>
    </row>
    <row r="16" spans="1:24" s="170" customFormat="1" ht="12" customHeight="1" x14ac:dyDescent="0.35">
      <c r="A16" s="2"/>
      <c r="B16" s="170" t="s">
        <v>537</v>
      </c>
      <c r="F16" s="170" t="s">
        <v>110</v>
      </c>
      <c r="L16" s="99"/>
      <c r="M16" s="99"/>
      <c r="N16" s="99"/>
      <c r="O16" s="2"/>
      <c r="P16" s="46">
        <f>'Input overname private netten'!P17</f>
        <v>47737.720171059314</v>
      </c>
      <c r="U16" s="227"/>
      <c r="V16" s="2"/>
      <c r="W16" s="2"/>
      <c r="X16" s="2"/>
    </row>
    <row r="17" spans="1:24" s="170" customFormat="1" ht="12" customHeight="1" x14ac:dyDescent="0.35">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row>
    <row r="18" spans="1:24" s="170" customFormat="1" ht="12" customHeight="1" x14ac:dyDescent="0.35">
      <c r="A18" s="2"/>
      <c r="B18" s="173" t="s">
        <v>538</v>
      </c>
      <c r="L18" s="99"/>
      <c r="M18" s="99"/>
      <c r="N18" s="99"/>
      <c r="O18" s="2"/>
      <c r="P18" s="183"/>
      <c r="V18" s="2"/>
      <c r="W18" s="2"/>
      <c r="X18" s="2"/>
    </row>
    <row r="19" spans="1:24" s="170" customFormat="1" ht="12" customHeight="1" x14ac:dyDescent="0.35">
      <c r="A19" s="2"/>
      <c r="B19" s="2" t="s">
        <v>539</v>
      </c>
      <c r="F19" s="170" t="s">
        <v>110</v>
      </c>
      <c r="L19" s="99"/>
      <c r="M19" s="99"/>
      <c r="N19" s="99"/>
      <c r="O19" s="2"/>
      <c r="P19" s="182"/>
      <c r="V19" s="2"/>
      <c r="W19" s="2"/>
      <c r="X19" s="2"/>
    </row>
    <row r="20" spans="1:24" s="170" customFormat="1" ht="12" customHeight="1" x14ac:dyDescent="0.35">
      <c r="A20" s="2"/>
      <c r="B20" s="2" t="s">
        <v>540</v>
      </c>
      <c r="F20" s="170" t="s">
        <v>136</v>
      </c>
      <c r="L20" s="99"/>
      <c r="M20" s="99"/>
      <c r="N20" s="99"/>
      <c r="O20" s="2"/>
      <c r="P20" s="182"/>
      <c r="V20" s="2"/>
      <c r="W20" s="2"/>
      <c r="X20" s="2"/>
    </row>
    <row r="21" spans="1:24" s="170" customFormat="1" ht="12" customHeight="1" x14ac:dyDescent="0.35">
      <c r="A21" s="2"/>
      <c r="B21" s="2" t="s">
        <v>568</v>
      </c>
      <c r="F21" s="170" t="s">
        <v>160</v>
      </c>
      <c r="L21" s="99"/>
      <c r="M21" s="99"/>
      <c r="N21" s="99"/>
      <c r="O21" s="2"/>
      <c r="P21" s="182"/>
      <c r="V21" s="2"/>
      <c r="W21" s="2"/>
      <c r="X21" s="2"/>
    </row>
    <row r="22" spans="1:24" s="170" customFormat="1" ht="12" customHeight="1" x14ac:dyDescent="0.35">
      <c r="A22" s="2"/>
      <c r="L22" s="99"/>
      <c r="M22" s="99"/>
      <c r="N22" s="99"/>
      <c r="O22" s="2"/>
      <c r="P22" s="183"/>
      <c r="V22" s="2"/>
      <c r="W22" s="2"/>
      <c r="X22" s="2"/>
    </row>
    <row r="23" spans="1:24" s="170" customFormat="1" ht="12" customHeight="1" x14ac:dyDescent="0.35">
      <c r="A23" s="2"/>
      <c r="B23" s="173" t="s">
        <v>541</v>
      </c>
      <c r="L23" s="99"/>
      <c r="M23" s="99"/>
      <c r="N23" s="99"/>
      <c r="O23" s="2"/>
      <c r="P23" s="183"/>
      <c r="V23" s="2"/>
      <c r="W23" s="2"/>
      <c r="X23" s="2"/>
    </row>
    <row r="24" spans="1:24" s="170" customFormat="1" ht="12" customHeight="1" x14ac:dyDescent="0.35">
      <c r="A24" s="2"/>
      <c r="B24" s="170" t="s">
        <v>542</v>
      </c>
      <c r="F24" s="170" t="s">
        <v>379</v>
      </c>
      <c r="L24" s="99"/>
      <c r="M24" s="99"/>
      <c r="N24" s="99"/>
      <c r="O24" s="2"/>
      <c r="P24" s="46">
        <f>'Input overname private netten'!P25</f>
        <v>5</v>
      </c>
      <c r="V24" s="2"/>
      <c r="W24" s="2"/>
      <c r="X24" s="2"/>
    </row>
    <row r="25" spans="1:24" s="170" customFormat="1" ht="12" customHeight="1" x14ac:dyDescent="0.35">
      <c r="A25" s="2"/>
      <c r="B25" s="170" t="s">
        <v>543</v>
      </c>
      <c r="F25" s="170" t="s">
        <v>379</v>
      </c>
      <c r="L25" s="99"/>
      <c r="M25" s="99"/>
      <c r="N25" s="99"/>
      <c r="O25" s="78"/>
      <c r="P25" s="182"/>
      <c r="V25" s="78"/>
      <c r="W25" s="78"/>
      <c r="X25" s="78"/>
    </row>
    <row r="26" spans="1:24" s="170" customFormat="1" ht="12" customHeight="1" x14ac:dyDescent="0.35">
      <c r="A26" s="2"/>
      <c r="B26" s="170" t="s">
        <v>544</v>
      </c>
      <c r="F26" s="170" t="s">
        <v>379</v>
      </c>
      <c r="L26" s="99"/>
      <c r="M26" s="99"/>
      <c r="N26" s="99"/>
      <c r="O26" s="78"/>
      <c r="P26" s="182"/>
      <c r="V26" s="78"/>
      <c r="W26" s="78"/>
      <c r="X26" s="78"/>
    </row>
    <row r="27" spans="1:24" s="170" customFormat="1" ht="12" customHeight="1" x14ac:dyDescent="0.35">
      <c r="A27" s="2"/>
      <c r="B27" s="170" t="s">
        <v>569</v>
      </c>
      <c r="F27" s="170" t="s">
        <v>379</v>
      </c>
      <c r="L27" s="99"/>
      <c r="M27" s="99"/>
      <c r="N27" s="99"/>
      <c r="O27" s="78"/>
      <c r="P27" s="182"/>
      <c r="V27" s="78"/>
      <c r="W27" s="78"/>
      <c r="X27" s="78"/>
    </row>
    <row r="28" spans="1:24" s="170" customFormat="1" ht="12" customHeight="1" x14ac:dyDescent="0.35">
      <c r="A28" s="2"/>
      <c r="L28" s="99"/>
      <c r="M28" s="99"/>
      <c r="N28" s="99"/>
      <c r="O28" s="78"/>
      <c r="P28" s="184"/>
      <c r="V28" s="78"/>
      <c r="W28" s="78"/>
      <c r="X28" s="78"/>
    </row>
    <row r="29" spans="1:24" s="170" customFormat="1" ht="12" customHeight="1" x14ac:dyDescent="0.35">
      <c r="A29" s="2"/>
      <c r="B29" s="175" t="s">
        <v>380</v>
      </c>
      <c r="L29" s="99"/>
      <c r="M29" s="99"/>
      <c r="N29" s="99"/>
      <c r="O29" s="78"/>
      <c r="P29" s="184"/>
      <c r="V29" s="78"/>
      <c r="W29" s="78"/>
      <c r="X29" s="78"/>
    </row>
    <row r="30" spans="1:24" ht="12" customHeight="1" x14ac:dyDescent="0.35">
      <c r="B30" s="170" t="s">
        <v>570</v>
      </c>
      <c r="C30" s="170"/>
      <c r="D30" s="170"/>
      <c r="E30" s="170"/>
      <c r="F30" s="170" t="s">
        <v>160</v>
      </c>
      <c r="G30" s="170"/>
      <c r="H30" s="170"/>
      <c r="I30" s="170"/>
      <c r="J30" s="170"/>
      <c r="K30" s="170"/>
      <c r="L30" s="99"/>
      <c r="M30" s="99"/>
      <c r="N30" s="99"/>
      <c r="O30" s="78"/>
      <c r="P30" s="182"/>
      <c r="Q30" s="170"/>
      <c r="R30" s="170"/>
      <c r="S30" s="170"/>
      <c r="T30" s="170"/>
      <c r="U30" s="170"/>
      <c r="V30" s="78"/>
      <c r="W30" s="78"/>
      <c r="X30" s="78"/>
    </row>
    <row r="31" spans="1:24" ht="12" customHeight="1" x14ac:dyDescent="0.35">
      <c r="A31" s="112"/>
      <c r="B31" s="170"/>
      <c r="C31" s="170"/>
      <c r="D31" s="170"/>
      <c r="E31" s="170"/>
      <c r="F31" s="170"/>
      <c r="G31" s="170"/>
      <c r="H31" s="170"/>
      <c r="I31" s="170"/>
      <c r="J31" s="170"/>
      <c r="K31" s="170"/>
      <c r="L31" s="99"/>
      <c r="M31" s="99"/>
      <c r="N31" s="99"/>
      <c r="O31" s="112"/>
      <c r="P31" s="186"/>
      <c r="Q31" s="170"/>
      <c r="R31" s="170"/>
      <c r="S31" s="170"/>
      <c r="T31" s="170"/>
      <c r="U31" s="170"/>
      <c r="V31" s="112"/>
      <c r="W31" s="112"/>
      <c r="X31" s="112"/>
    </row>
    <row r="32" spans="1:24" ht="12" customHeight="1" x14ac:dyDescent="0.35">
      <c r="A32" s="112"/>
      <c r="B32" s="175" t="s">
        <v>381</v>
      </c>
      <c r="C32" s="170"/>
      <c r="D32" s="170"/>
      <c r="E32" s="170"/>
      <c r="F32" s="170"/>
      <c r="G32" s="170"/>
      <c r="H32" s="170"/>
      <c r="I32" s="170"/>
      <c r="J32" s="170"/>
      <c r="K32" s="170"/>
      <c r="L32" s="99"/>
      <c r="M32" s="99"/>
      <c r="N32" s="99"/>
      <c r="O32" s="112"/>
      <c r="P32" s="183"/>
      <c r="Q32" s="170"/>
      <c r="R32" s="170"/>
      <c r="S32" s="170"/>
      <c r="T32" s="170"/>
      <c r="U32" s="170"/>
      <c r="V32" s="112"/>
      <c r="W32" s="112"/>
      <c r="X32" s="112"/>
    </row>
    <row r="33" spans="1:24" ht="12" customHeight="1" x14ac:dyDescent="0.35">
      <c r="A33" s="112"/>
      <c r="B33" s="170" t="s">
        <v>571</v>
      </c>
      <c r="C33" s="170"/>
      <c r="D33" s="170"/>
      <c r="E33" s="170"/>
      <c r="F33" s="170" t="s">
        <v>160</v>
      </c>
      <c r="G33" s="170"/>
      <c r="H33" s="170"/>
      <c r="I33" s="170"/>
      <c r="J33" s="170"/>
      <c r="K33" s="170"/>
      <c r="L33" s="99"/>
      <c r="M33" s="99"/>
      <c r="N33" s="99"/>
      <c r="O33" s="112"/>
      <c r="P33" s="46">
        <f>'Input overname private netten'!P34</f>
        <v>33440.15</v>
      </c>
      <c r="Q33" s="170"/>
      <c r="R33" s="170"/>
      <c r="S33" s="170"/>
      <c r="T33" s="170"/>
      <c r="U33" s="170"/>
      <c r="V33" s="112"/>
      <c r="W33" s="112"/>
      <c r="X33" s="112"/>
    </row>
    <row r="34" spans="1:24" ht="12" customHeight="1" x14ac:dyDescent="0.35">
      <c r="A34" s="185"/>
      <c r="B34" s="170"/>
      <c r="C34" s="170"/>
      <c r="D34" s="170"/>
      <c r="E34" s="170"/>
      <c r="F34" s="170"/>
      <c r="G34" s="170"/>
      <c r="H34" s="170"/>
      <c r="I34" s="170"/>
      <c r="J34" s="170"/>
      <c r="K34" s="170"/>
      <c r="L34" s="99"/>
      <c r="M34" s="99"/>
      <c r="N34" s="99"/>
      <c r="O34" s="185"/>
      <c r="P34" s="183"/>
      <c r="Q34" s="170"/>
      <c r="R34" s="170"/>
      <c r="S34" s="170"/>
      <c r="T34" s="170"/>
      <c r="U34" s="170"/>
      <c r="V34" s="185"/>
      <c r="W34" s="185"/>
      <c r="X34" s="185"/>
    </row>
    <row r="35" spans="1:24" s="140" customFormat="1" ht="12" customHeight="1" x14ac:dyDescent="0.35">
      <c r="B35" s="140" t="s">
        <v>821</v>
      </c>
    </row>
    <row r="36" spans="1:24" ht="12" customHeight="1" x14ac:dyDescent="0.35">
      <c r="B36" s="170"/>
      <c r="C36" s="170"/>
      <c r="D36" s="170"/>
      <c r="E36" s="170"/>
      <c r="F36" s="170"/>
      <c r="G36" s="170"/>
      <c r="H36" s="170"/>
      <c r="I36" s="170"/>
      <c r="J36" s="170"/>
      <c r="K36" s="170"/>
      <c r="L36" s="170"/>
      <c r="M36" s="170"/>
      <c r="N36" s="170"/>
      <c r="O36" s="170"/>
      <c r="P36" s="99"/>
      <c r="Q36" s="170"/>
      <c r="R36" s="170"/>
      <c r="S36" s="170"/>
      <c r="T36" s="170"/>
      <c r="U36" s="170"/>
    </row>
    <row r="37" spans="1:24" s="170" customFormat="1" ht="12" customHeight="1" x14ac:dyDescent="0.35">
      <c r="A37" s="2"/>
      <c r="B37" s="175" t="s">
        <v>535</v>
      </c>
      <c r="L37" s="99"/>
      <c r="M37" s="99"/>
      <c r="N37" s="99"/>
      <c r="P37" s="99"/>
      <c r="V37" s="2"/>
      <c r="W37" s="2"/>
      <c r="X37" s="2"/>
    </row>
    <row r="38" spans="1:24" s="170" customFormat="1" ht="12" customHeight="1" x14ac:dyDescent="0.35">
      <c r="A38" s="2"/>
      <c r="B38" s="170" t="s">
        <v>537</v>
      </c>
      <c r="F38" s="170" t="s">
        <v>110</v>
      </c>
      <c r="L38" s="99"/>
      <c r="M38" s="99"/>
      <c r="N38" s="99"/>
      <c r="O38" s="2"/>
      <c r="P38" s="46">
        <f>'Input overname private netten'!P39</f>
        <v>20633.500401015703</v>
      </c>
      <c r="U38" s="227"/>
      <c r="V38" s="2"/>
      <c r="W38" s="2"/>
      <c r="X38" s="2"/>
    </row>
    <row r="39" spans="1:24" s="170" customFormat="1" ht="12" customHeight="1" x14ac:dyDescent="0.35">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row>
    <row r="40" spans="1:24" s="170" customFormat="1" ht="12" customHeight="1" x14ac:dyDescent="0.35">
      <c r="A40" s="2"/>
      <c r="B40" s="173" t="s">
        <v>538</v>
      </c>
      <c r="L40" s="99"/>
      <c r="M40" s="99"/>
      <c r="N40" s="99"/>
      <c r="O40" s="2"/>
      <c r="P40" s="183"/>
      <c r="V40" s="2"/>
      <c r="W40" s="2"/>
      <c r="X40" s="2"/>
    </row>
    <row r="41" spans="1:24" s="170" customFormat="1" ht="12" customHeight="1" x14ac:dyDescent="0.35">
      <c r="A41" s="206"/>
      <c r="B41" s="2" t="s">
        <v>539</v>
      </c>
      <c r="F41" s="170" t="s">
        <v>110</v>
      </c>
      <c r="L41" s="99"/>
      <c r="M41" s="99"/>
      <c r="N41" s="99"/>
      <c r="O41" s="2"/>
      <c r="P41" s="182"/>
      <c r="V41" s="2"/>
      <c r="W41" s="2"/>
      <c r="X41" s="2"/>
    </row>
    <row r="42" spans="1:24" s="170" customFormat="1" ht="12" customHeight="1" x14ac:dyDescent="0.35">
      <c r="A42" s="206"/>
      <c r="B42" s="2" t="s">
        <v>540</v>
      </c>
      <c r="F42" s="170" t="s">
        <v>136</v>
      </c>
      <c r="L42" s="99"/>
      <c r="M42" s="99"/>
      <c r="N42" s="99"/>
      <c r="O42" s="2"/>
      <c r="P42" s="182"/>
      <c r="V42" s="2"/>
      <c r="W42" s="2"/>
      <c r="X42" s="2"/>
    </row>
    <row r="43" spans="1:24" s="170" customFormat="1" ht="12" customHeight="1" x14ac:dyDescent="0.35">
      <c r="A43" s="206"/>
      <c r="B43" s="2" t="s">
        <v>568</v>
      </c>
      <c r="F43" s="170" t="s">
        <v>160</v>
      </c>
      <c r="L43" s="99"/>
      <c r="M43" s="99"/>
      <c r="N43" s="99"/>
      <c r="O43" s="2"/>
      <c r="P43" s="182"/>
      <c r="V43" s="2"/>
      <c r="W43" s="2"/>
      <c r="X43" s="2"/>
    </row>
    <row r="44" spans="1:24" s="170" customFormat="1" ht="12" customHeight="1" x14ac:dyDescent="0.35">
      <c r="A44" s="206"/>
      <c r="L44" s="99"/>
      <c r="M44" s="99"/>
      <c r="N44" s="99"/>
      <c r="O44" s="2"/>
      <c r="P44" s="183"/>
      <c r="V44" s="2"/>
      <c r="W44" s="2"/>
      <c r="X44" s="2"/>
    </row>
    <row r="45" spans="1:24" s="170" customFormat="1" ht="12" customHeight="1" x14ac:dyDescent="0.35">
      <c r="A45" s="206"/>
      <c r="B45" s="173" t="s">
        <v>541</v>
      </c>
      <c r="L45" s="99"/>
      <c r="M45" s="99"/>
      <c r="N45" s="99"/>
      <c r="O45" s="2"/>
      <c r="P45" s="183"/>
      <c r="V45" s="2"/>
      <c r="W45" s="2"/>
      <c r="X45" s="2"/>
    </row>
    <row r="46" spans="1:24" s="170" customFormat="1" ht="12" customHeight="1" x14ac:dyDescent="0.35">
      <c r="A46" s="2"/>
      <c r="B46" s="170" t="s">
        <v>542</v>
      </c>
      <c r="F46" s="170" t="s">
        <v>379</v>
      </c>
      <c r="L46" s="99"/>
      <c r="M46" s="99"/>
      <c r="N46" s="99"/>
      <c r="O46" s="2"/>
      <c r="P46" s="46">
        <f>'Input overname private netten'!P47</f>
        <v>5</v>
      </c>
      <c r="V46" s="2"/>
      <c r="W46" s="2"/>
      <c r="X46" s="2"/>
    </row>
    <row r="47" spans="1:24" s="170" customFormat="1" ht="12" customHeight="1" x14ac:dyDescent="0.35">
      <c r="A47" s="206"/>
      <c r="B47" s="170" t="s">
        <v>543</v>
      </c>
      <c r="F47" s="170" t="s">
        <v>379</v>
      </c>
      <c r="L47" s="99"/>
      <c r="M47" s="99"/>
      <c r="N47" s="99"/>
      <c r="O47" s="78"/>
      <c r="P47" s="182"/>
      <c r="V47" s="78"/>
      <c r="W47" s="78"/>
      <c r="X47" s="78"/>
    </row>
    <row r="48" spans="1:24" s="170" customFormat="1" ht="12" customHeight="1" x14ac:dyDescent="0.35">
      <c r="A48" s="206"/>
      <c r="B48" s="170" t="s">
        <v>544</v>
      </c>
      <c r="F48" s="170" t="s">
        <v>379</v>
      </c>
      <c r="L48" s="99"/>
      <c r="M48" s="99"/>
      <c r="N48" s="99"/>
      <c r="O48" s="78"/>
      <c r="P48" s="182"/>
      <c r="V48" s="78"/>
      <c r="W48" s="78"/>
      <c r="X48" s="78"/>
    </row>
    <row r="49" spans="1:24" s="170" customFormat="1" ht="12" customHeight="1" x14ac:dyDescent="0.35">
      <c r="A49" s="206"/>
      <c r="B49" s="170" t="s">
        <v>569</v>
      </c>
      <c r="F49" s="170" t="s">
        <v>379</v>
      </c>
      <c r="L49" s="99"/>
      <c r="M49" s="99"/>
      <c r="N49" s="99"/>
      <c r="O49" s="78"/>
      <c r="P49" s="182"/>
      <c r="V49" s="78"/>
      <c r="W49" s="78"/>
      <c r="X49" s="78"/>
    </row>
    <row r="50" spans="1:24" s="170" customFormat="1" ht="12" customHeight="1" x14ac:dyDescent="0.35">
      <c r="A50" s="206"/>
      <c r="L50" s="99"/>
      <c r="M50" s="99"/>
      <c r="N50" s="99"/>
      <c r="O50" s="78"/>
      <c r="P50" s="184"/>
      <c r="V50" s="78"/>
      <c r="W50" s="78"/>
      <c r="X50" s="78"/>
    </row>
    <row r="51" spans="1:24" s="170" customFormat="1" ht="12" customHeight="1" x14ac:dyDescent="0.35">
      <c r="A51" s="206"/>
      <c r="B51" s="175" t="s">
        <v>380</v>
      </c>
      <c r="L51" s="99"/>
      <c r="M51" s="99"/>
      <c r="N51" s="99"/>
      <c r="O51" s="78"/>
      <c r="P51" s="184"/>
      <c r="V51" s="78"/>
      <c r="W51" s="78"/>
      <c r="X51" s="78"/>
    </row>
    <row r="52" spans="1:24" ht="12" customHeight="1" x14ac:dyDescent="0.35">
      <c r="A52" s="206"/>
      <c r="B52" s="170" t="s">
        <v>570</v>
      </c>
      <c r="C52" s="170"/>
      <c r="D52" s="170"/>
      <c r="E52" s="170"/>
      <c r="F52" s="170" t="s">
        <v>160</v>
      </c>
      <c r="G52" s="170"/>
      <c r="H52" s="170"/>
      <c r="I52" s="170"/>
      <c r="J52" s="170"/>
      <c r="K52" s="170"/>
      <c r="L52" s="99"/>
      <c r="M52" s="99"/>
      <c r="N52" s="99"/>
      <c r="O52" s="78"/>
      <c r="P52" s="182"/>
      <c r="Q52" s="170"/>
      <c r="R52" s="170"/>
      <c r="S52" s="170"/>
      <c r="T52" s="170"/>
      <c r="U52" s="170"/>
      <c r="V52" s="78"/>
      <c r="W52" s="78"/>
      <c r="X52" s="78"/>
    </row>
    <row r="53" spans="1:24" ht="12" customHeight="1" x14ac:dyDescent="0.35">
      <c r="A53" s="244"/>
      <c r="B53" s="170"/>
      <c r="C53" s="170"/>
      <c r="D53" s="170"/>
      <c r="E53" s="170"/>
      <c r="F53" s="170"/>
      <c r="G53" s="170"/>
      <c r="H53" s="170"/>
      <c r="I53" s="170"/>
      <c r="J53" s="170"/>
      <c r="K53" s="170"/>
      <c r="L53" s="99"/>
      <c r="M53" s="99"/>
      <c r="N53" s="99"/>
      <c r="O53" s="112"/>
      <c r="P53" s="186"/>
      <c r="Q53" s="170"/>
      <c r="R53" s="170"/>
      <c r="S53" s="170"/>
      <c r="T53" s="170"/>
      <c r="U53" s="170"/>
      <c r="V53" s="112"/>
      <c r="W53" s="112"/>
      <c r="X53" s="112"/>
    </row>
    <row r="54" spans="1:24" ht="12" customHeight="1" x14ac:dyDescent="0.35">
      <c r="A54" s="244"/>
      <c r="B54" s="175" t="s">
        <v>381</v>
      </c>
      <c r="C54" s="170"/>
      <c r="D54" s="170"/>
      <c r="E54" s="170"/>
      <c r="F54" s="170"/>
      <c r="G54" s="170"/>
      <c r="H54" s="170"/>
      <c r="I54" s="170"/>
      <c r="J54" s="170"/>
      <c r="K54" s="170"/>
      <c r="L54" s="99"/>
      <c r="M54" s="99"/>
      <c r="N54" s="99"/>
      <c r="O54" s="112"/>
      <c r="P54" s="183"/>
      <c r="Q54" s="170"/>
      <c r="R54" s="170"/>
      <c r="S54" s="170"/>
      <c r="T54" s="170"/>
      <c r="U54" s="170"/>
      <c r="V54" s="112"/>
      <c r="W54" s="112"/>
      <c r="X54" s="112"/>
    </row>
    <row r="55" spans="1:24" ht="12" customHeight="1" x14ac:dyDescent="0.35">
      <c r="A55" s="244"/>
      <c r="B55" s="170" t="s">
        <v>571</v>
      </c>
      <c r="C55" s="170"/>
      <c r="D55" s="170"/>
      <c r="E55" s="170"/>
      <c r="F55" s="170" t="s">
        <v>160</v>
      </c>
      <c r="G55" s="170"/>
      <c r="H55" s="170"/>
      <c r="I55" s="170"/>
      <c r="J55" s="170"/>
      <c r="K55" s="170"/>
      <c r="L55" s="99"/>
      <c r="M55" s="99"/>
      <c r="N55" s="99"/>
      <c r="O55" s="112"/>
      <c r="P55" s="46">
        <f>'Input overname private netten'!P56</f>
        <v>7767.0599999999995</v>
      </c>
      <c r="Q55" s="170"/>
      <c r="R55" s="170"/>
      <c r="S55" s="170"/>
      <c r="T55" s="170"/>
      <c r="U55" s="170"/>
      <c r="V55" s="112"/>
      <c r="W55" s="112"/>
      <c r="X55" s="112"/>
    </row>
    <row r="56" spans="1:24" ht="12" customHeight="1" x14ac:dyDescent="0.35">
      <c r="A56" s="244"/>
      <c r="B56" s="170"/>
      <c r="C56" s="170"/>
      <c r="D56" s="170"/>
      <c r="E56" s="170"/>
      <c r="F56" s="170"/>
      <c r="G56" s="170"/>
      <c r="H56" s="170"/>
      <c r="I56" s="170"/>
      <c r="J56" s="170"/>
      <c r="K56" s="170"/>
      <c r="L56" s="99"/>
      <c r="M56" s="99"/>
      <c r="N56" s="99"/>
      <c r="O56" s="112"/>
      <c r="P56" s="90"/>
      <c r="Q56" s="251"/>
      <c r="R56" s="170"/>
      <c r="S56" s="170"/>
      <c r="T56" s="170"/>
      <c r="U56" s="170"/>
      <c r="V56" s="112"/>
      <c r="W56" s="112"/>
      <c r="X56" s="112"/>
    </row>
    <row r="57" spans="1:24" s="140" customFormat="1" ht="12" customHeight="1" x14ac:dyDescent="0.35">
      <c r="B57" s="140" t="s">
        <v>831</v>
      </c>
    </row>
    <row r="58" spans="1:24" ht="12" customHeight="1" x14ac:dyDescent="0.35">
      <c r="B58" s="170"/>
      <c r="C58" s="170"/>
      <c r="D58" s="170"/>
      <c r="E58" s="170"/>
      <c r="F58" s="170"/>
      <c r="G58" s="170"/>
      <c r="H58" s="170"/>
      <c r="I58" s="170"/>
      <c r="J58" s="170"/>
      <c r="K58" s="170"/>
      <c r="L58" s="170"/>
      <c r="M58" s="170"/>
      <c r="N58" s="170"/>
      <c r="O58" s="170"/>
      <c r="P58" s="99"/>
      <c r="Q58" s="170"/>
      <c r="R58" s="170"/>
      <c r="S58" s="170"/>
      <c r="T58" s="170"/>
      <c r="U58" s="170"/>
    </row>
    <row r="59" spans="1:24" ht="12" customHeight="1" x14ac:dyDescent="0.35">
      <c r="B59" s="175" t="s">
        <v>814</v>
      </c>
      <c r="C59" s="170"/>
      <c r="D59" s="170"/>
      <c r="E59" s="170"/>
      <c r="F59" s="170"/>
      <c r="G59" s="170"/>
      <c r="H59" s="170"/>
      <c r="I59" s="170"/>
      <c r="J59" s="170"/>
      <c r="K59" s="170"/>
      <c r="L59" s="99"/>
      <c r="M59" s="99"/>
      <c r="N59" s="99"/>
      <c r="O59" s="170"/>
      <c r="P59" s="99"/>
      <c r="Q59" s="170"/>
      <c r="R59" s="273"/>
      <c r="S59" s="273"/>
      <c r="T59" s="273"/>
      <c r="U59" s="170"/>
    </row>
    <row r="60" spans="1:24" ht="12" customHeight="1" x14ac:dyDescent="0.35">
      <c r="B60" s="170" t="s">
        <v>536</v>
      </c>
      <c r="C60" s="170"/>
      <c r="D60" s="170"/>
      <c r="E60" s="170"/>
      <c r="F60" s="170" t="s">
        <v>136</v>
      </c>
      <c r="G60" s="170"/>
      <c r="H60" s="170"/>
      <c r="I60" s="170"/>
      <c r="J60" s="170"/>
      <c r="K60" s="170"/>
      <c r="L60" s="99"/>
      <c r="M60" s="99"/>
      <c r="N60" s="99"/>
      <c r="P60" s="107">
        <f>'Input overname private netten'!P61</f>
        <v>73147</v>
      </c>
      <c r="Q60" s="170"/>
      <c r="R60" s="273"/>
      <c r="S60" s="273"/>
      <c r="T60" s="273"/>
      <c r="U60" s="227"/>
      <c r="V60" s="19"/>
    </row>
    <row r="61" spans="1:24" s="112" customFormat="1" ht="12" customHeight="1" x14ac:dyDescent="0.35">
      <c r="A61" s="244"/>
      <c r="O61" s="244"/>
      <c r="P61" s="113"/>
      <c r="Q61" s="244"/>
      <c r="R61" s="274"/>
      <c r="S61" s="274"/>
      <c r="T61" s="274"/>
    </row>
    <row r="62" spans="1:24" ht="12" customHeight="1" x14ac:dyDescent="0.35">
      <c r="A62" s="206"/>
      <c r="B62" s="173" t="s">
        <v>538</v>
      </c>
      <c r="C62" s="170"/>
      <c r="D62" s="170"/>
      <c r="E62" s="170"/>
      <c r="F62" s="170"/>
      <c r="G62" s="170"/>
      <c r="H62" s="170"/>
      <c r="I62" s="170"/>
      <c r="J62" s="170"/>
      <c r="K62" s="170"/>
      <c r="L62" s="99"/>
      <c r="M62" s="99"/>
      <c r="N62" s="99"/>
      <c r="O62" s="206"/>
      <c r="P62" s="113"/>
      <c r="Q62" s="251"/>
      <c r="R62" s="273"/>
      <c r="S62" s="273"/>
      <c r="T62" s="273"/>
      <c r="U62" s="170"/>
    </row>
    <row r="63" spans="1:24" ht="12" customHeight="1" x14ac:dyDescent="0.35">
      <c r="A63" s="206"/>
      <c r="B63" s="2" t="s">
        <v>568</v>
      </c>
      <c r="C63" s="170"/>
      <c r="D63" s="170"/>
      <c r="E63" s="170"/>
      <c r="F63" s="170" t="s">
        <v>160</v>
      </c>
      <c r="G63" s="170"/>
      <c r="H63" s="170"/>
      <c r="I63" s="170"/>
      <c r="J63" s="170"/>
      <c r="K63" s="170"/>
      <c r="L63" s="99"/>
      <c r="M63" s="99"/>
      <c r="N63" s="99"/>
      <c r="P63" s="276"/>
      <c r="Q63" s="170"/>
      <c r="R63" s="273"/>
      <c r="S63" s="273"/>
      <c r="T63" s="273"/>
      <c r="U63" s="170"/>
    </row>
    <row r="64" spans="1:24" ht="12" customHeight="1" x14ac:dyDescent="0.35">
      <c r="A64" s="206"/>
      <c r="B64" s="170"/>
      <c r="C64" s="170"/>
      <c r="D64" s="170"/>
      <c r="E64" s="170"/>
      <c r="F64" s="170"/>
      <c r="G64" s="170"/>
      <c r="H64" s="170"/>
      <c r="I64" s="170"/>
      <c r="J64" s="170"/>
      <c r="K64" s="170"/>
      <c r="L64" s="99"/>
      <c r="M64" s="99"/>
      <c r="N64" s="99"/>
      <c r="P64" s="99"/>
      <c r="Q64" s="170"/>
      <c r="R64" s="273"/>
      <c r="S64" s="273"/>
      <c r="T64" s="273"/>
      <c r="U64" s="170"/>
    </row>
    <row r="65" spans="1:22" ht="12" customHeight="1" x14ac:dyDescent="0.35">
      <c r="A65" s="206"/>
      <c r="B65" s="173" t="s">
        <v>541</v>
      </c>
      <c r="C65" s="170"/>
      <c r="D65" s="170"/>
      <c r="E65" s="170"/>
      <c r="F65" s="170"/>
      <c r="G65" s="170"/>
      <c r="H65" s="170"/>
      <c r="I65" s="170"/>
      <c r="J65" s="170"/>
      <c r="K65" s="170"/>
      <c r="L65" s="99"/>
      <c r="M65" s="99"/>
      <c r="N65" s="99"/>
      <c r="P65" s="99"/>
      <c r="Q65" s="170"/>
      <c r="R65" s="273"/>
      <c r="S65" s="273"/>
      <c r="T65" s="273"/>
      <c r="U65" s="170"/>
    </row>
    <row r="66" spans="1:22" ht="12" customHeight="1" x14ac:dyDescent="0.35">
      <c r="A66" s="206"/>
      <c r="B66" s="170" t="s">
        <v>542</v>
      </c>
      <c r="C66" s="170"/>
      <c r="D66" s="170"/>
      <c r="E66" s="170"/>
      <c r="F66" s="170" t="s">
        <v>379</v>
      </c>
      <c r="G66" s="170"/>
      <c r="H66" s="170"/>
      <c r="I66" s="170"/>
      <c r="J66" s="170"/>
      <c r="K66" s="170"/>
      <c r="L66" s="99"/>
      <c r="M66" s="99"/>
      <c r="N66" s="99"/>
      <c r="P66" s="107">
        <f>'Input overname private netten'!P67</f>
        <v>28</v>
      </c>
      <c r="Q66" s="170"/>
      <c r="R66" s="273"/>
      <c r="S66" s="273"/>
      <c r="T66" s="273"/>
      <c r="U66" s="170"/>
    </row>
    <row r="67" spans="1:22" s="78" customFormat="1" ht="12" customHeight="1" x14ac:dyDescent="0.35">
      <c r="A67" s="206"/>
      <c r="B67" s="170" t="s">
        <v>569</v>
      </c>
      <c r="C67" s="170"/>
      <c r="D67" s="170"/>
      <c r="E67" s="170"/>
      <c r="F67" s="170" t="s">
        <v>379</v>
      </c>
      <c r="G67" s="170"/>
      <c r="H67" s="170"/>
      <c r="I67" s="170"/>
      <c r="J67" s="170"/>
      <c r="K67" s="170"/>
      <c r="L67" s="99"/>
      <c r="M67" s="99"/>
      <c r="N67" s="99"/>
      <c r="P67" s="276"/>
      <c r="Q67" s="170"/>
      <c r="R67" s="273"/>
      <c r="S67" s="273"/>
      <c r="T67" s="273"/>
      <c r="U67" s="170"/>
    </row>
    <row r="68" spans="1:22" s="78" customFormat="1" ht="12" customHeight="1" x14ac:dyDescent="0.35">
      <c r="A68" s="206"/>
      <c r="B68" s="170"/>
      <c r="C68" s="170"/>
      <c r="D68" s="170"/>
      <c r="E68" s="170"/>
      <c r="F68" s="170"/>
      <c r="G68" s="170"/>
      <c r="H68" s="170"/>
      <c r="I68" s="170"/>
      <c r="J68" s="170"/>
      <c r="K68" s="170"/>
      <c r="L68" s="99"/>
      <c r="M68" s="99"/>
      <c r="N68" s="99"/>
      <c r="P68" s="99"/>
      <c r="Q68" s="170"/>
      <c r="R68" s="273"/>
      <c r="S68" s="273"/>
      <c r="T68" s="273"/>
      <c r="U68" s="170"/>
    </row>
    <row r="69" spans="1:22" s="78" customFormat="1" ht="12" customHeight="1" x14ac:dyDescent="0.35">
      <c r="A69" s="206"/>
      <c r="B69" s="175" t="s">
        <v>380</v>
      </c>
      <c r="C69" s="170"/>
      <c r="D69" s="170"/>
      <c r="E69" s="170"/>
      <c r="F69" s="170"/>
      <c r="G69" s="170"/>
      <c r="H69" s="170"/>
      <c r="I69" s="170"/>
      <c r="J69" s="170"/>
      <c r="K69" s="170"/>
      <c r="L69" s="99"/>
      <c r="M69" s="99"/>
      <c r="N69" s="99"/>
      <c r="P69" s="99"/>
      <c r="Q69" s="170"/>
      <c r="R69" s="273"/>
      <c r="S69" s="273"/>
      <c r="T69" s="273"/>
      <c r="U69" s="170"/>
    </row>
    <row r="70" spans="1:22" s="78" customFormat="1" ht="12" customHeight="1" x14ac:dyDescent="0.35">
      <c r="A70" s="206"/>
      <c r="B70" s="170" t="s">
        <v>570</v>
      </c>
      <c r="C70" s="170"/>
      <c r="D70" s="170"/>
      <c r="E70" s="170"/>
      <c r="F70" s="170" t="s">
        <v>160</v>
      </c>
      <c r="G70" s="170"/>
      <c r="H70" s="170"/>
      <c r="I70" s="170"/>
      <c r="J70" s="170"/>
      <c r="K70" s="170"/>
      <c r="L70" s="99"/>
      <c r="M70" s="99"/>
      <c r="N70" s="99"/>
      <c r="P70" s="276"/>
      <c r="Q70" s="170"/>
      <c r="R70" s="273"/>
      <c r="S70" s="273"/>
      <c r="T70" s="273"/>
      <c r="U70" s="170"/>
      <c r="V70" s="238"/>
    </row>
    <row r="71" spans="1:22" s="112" customFormat="1" ht="12" customHeight="1" x14ac:dyDescent="0.35">
      <c r="A71" s="244"/>
      <c r="B71" s="170"/>
      <c r="C71" s="170"/>
      <c r="D71" s="170"/>
      <c r="E71" s="170"/>
      <c r="F71" s="170"/>
      <c r="G71" s="170"/>
      <c r="H71" s="170"/>
      <c r="I71" s="170"/>
      <c r="J71" s="170"/>
      <c r="K71" s="170"/>
      <c r="L71" s="99"/>
      <c r="M71" s="99"/>
      <c r="N71" s="99"/>
      <c r="Q71" s="170"/>
      <c r="R71" s="273"/>
      <c r="S71" s="273"/>
      <c r="T71" s="273"/>
      <c r="U71" s="170"/>
    </row>
    <row r="72" spans="1:22" s="112" customFormat="1" ht="12" customHeight="1" x14ac:dyDescent="0.35">
      <c r="A72" s="244"/>
      <c r="B72" s="175" t="s">
        <v>381</v>
      </c>
      <c r="C72" s="170"/>
      <c r="D72" s="170"/>
      <c r="E72" s="170"/>
      <c r="F72" s="170"/>
      <c r="G72" s="170"/>
      <c r="H72" s="170"/>
      <c r="I72" s="170"/>
      <c r="J72" s="170"/>
      <c r="K72" s="170"/>
      <c r="L72" s="99"/>
      <c r="M72" s="99"/>
      <c r="N72" s="99"/>
      <c r="Q72" s="170"/>
      <c r="R72" s="273"/>
      <c r="S72" s="273"/>
      <c r="T72" s="273"/>
      <c r="U72" s="170"/>
    </row>
    <row r="73" spans="1:22" s="112" customFormat="1" ht="12" customHeight="1" x14ac:dyDescent="0.35">
      <c r="A73" s="206"/>
      <c r="B73" s="170" t="s">
        <v>571</v>
      </c>
      <c r="C73" s="170"/>
      <c r="D73" s="170"/>
      <c r="E73" s="170"/>
      <c r="F73" s="170" t="s">
        <v>160</v>
      </c>
      <c r="G73" s="170"/>
      <c r="H73" s="170"/>
      <c r="I73" s="170"/>
      <c r="J73" s="170"/>
      <c r="K73" s="170"/>
      <c r="L73" s="99"/>
      <c r="M73" s="99"/>
      <c r="N73" s="99"/>
      <c r="P73" s="107">
        <f>'Input overname private netten'!P74</f>
        <v>4357.9932222222224</v>
      </c>
      <c r="Q73" s="170"/>
      <c r="R73" s="273"/>
      <c r="S73" s="273"/>
      <c r="T73" s="273"/>
      <c r="U73" s="170"/>
    </row>
    <row r="74" spans="1:22" s="185" customFormat="1" ht="12" customHeight="1" x14ac:dyDescent="0.35">
      <c r="B74" s="170"/>
      <c r="C74" s="170"/>
      <c r="D74" s="170"/>
      <c r="E74" s="170"/>
      <c r="F74" s="170"/>
      <c r="G74" s="170"/>
      <c r="H74" s="170"/>
      <c r="I74" s="170"/>
      <c r="J74" s="170"/>
      <c r="K74" s="170"/>
      <c r="L74" s="99"/>
      <c r="M74" s="99"/>
      <c r="N74" s="99"/>
      <c r="P74" s="183"/>
      <c r="Q74" s="170"/>
      <c r="R74" s="273"/>
      <c r="S74" s="273"/>
      <c r="T74" s="273"/>
      <c r="U74" s="170"/>
    </row>
    <row r="75" spans="1:22" s="140" customFormat="1" ht="12" customHeight="1" x14ac:dyDescent="0.35">
      <c r="B75" s="140" t="s">
        <v>832</v>
      </c>
    </row>
    <row r="76" spans="1:22" ht="12" customHeight="1" x14ac:dyDescent="0.35">
      <c r="B76" s="170"/>
      <c r="C76" s="170"/>
      <c r="D76" s="170"/>
      <c r="E76" s="170"/>
      <c r="F76" s="170"/>
      <c r="G76" s="170"/>
      <c r="H76" s="170"/>
      <c r="I76" s="170"/>
      <c r="J76" s="170"/>
      <c r="K76" s="170"/>
      <c r="L76" s="170"/>
      <c r="M76" s="170"/>
      <c r="N76" s="170"/>
      <c r="O76" s="170"/>
      <c r="P76" s="99"/>
      <c r="Q76" s="170"/>
      <c r="R76" s="170"/>
      <c r="S76" s="170"/>
      <c r="T76" s="170"/>
      <c r="U76" s="170"/>
    </row>
    <row r="77" spans="1:22" ht="12" customHeight="1" x14ac:dyDescent="0.35">
      <c r="B77" s="175" t="s">
        <v>814</v>
      </c>
      <c r="C77" s="170"/>
      <c r="D77" s="170"/>
      <c r="E77" s="170"/>
      <c r="F77" s="170"/>
      <c r="G77" s="170"/>
      <c r="H77" s="170"/>
      <c r="I77" s="170"/>
      <c r="J77" s="170"/>
      <c r="K77" s="170"/>
      <c r="L77" s="99"/>
      <c r="M77" s="99"/>
      <c r="N77" s="99"/>
      <c r="O77" s="170"/>
      <c r="P77" s="99"/>
      <c r="Q77" s="170"/>
      <c r="R77" s="170"/>
      <c r="S77" s="170"/>
      <c r="T77" s="170"/>
      <c r="U77" s="170"/>
    </row>
    <row r="78" spans="1:22" ht="12" customHeight="1" x14ac:dyDescent="0.35">
      <c r="B78" s="170" t="s">
        <v>536</v>
      </c>
      <c r="C78" s="170"/>
      <c r="D78" s="170"/>
      <c r="E78" s="170"/>
      <c r="F78" s="170" t="s">
        <v>136</v>
      </c>
      <c r="G78" s="170"/>
      <c r="H78" s="170"/>
      <c r="I78" s="170"/>
      <c r="J78" s="170"/>
      <c r="K78" s="170"/>
      <c r="L78" s="99"/>
      <c r="M78" s="99"/>
      <c r="N78" s="99"/>
      <c r="P78" s="107">
        <f>'Input overname private netten'!P79</f>
        <v>31513</v>
      </c>
      <c r="Q78" s="170"/>
      <c r="R78" s="170"/>
      <c r="S78" s="170"/>
      <c r="T78" s="170"/>
      <c r="U78" s="227"/>
    </row>
    <row r="79" spans="1:22" s="112" customFormat="1" ht="12" customHeight="1" x14ac:dyDescent="0.35">
      <c r="A79" s="244"/>
    </row>
    <row r="80" spans="1:22" ht="12" customHeight="1" x14ac:dyDescent="0.35">
      <c r="A80" s="206"/>
      <c r="B80" s="173" t="s">
        <v>538</v>
      </c>
      <c r="C80" s="170"/>
      <c r="D80" s="170"/>
      <c r="E80" s="170"/>
      <c r="F80" s="170"/>
      <c r="G80" s="170"/>
      <c r="H80" s="170"/>
      <c r="I80" s="170"/>
      <c r="J80" s="170"/>
      <c r="K80" s="170"/>
      <c r="L80" s="99"/>
      <c r="M80" s="99"/>
      <c r="N80" s="99"/>
      <c r="P80" s="183"/>
      <c r="Q80" s="170"/>
      <c r="R80" s="170"/>
      <c r="S80" s="170"/>
      <c r="T80" s="170"/>
      <c r="U80" s="170"/>
    </row>
    <row r="81" spans="1:24" ht="12" customHeight="1" x14ac:dyDescent="0.35">
      <c r="A81" s="206"/>
      <c r="B81" s="2" t="s">
        <v>568</v>
      </c>
      <c r="C81" s="170"/>
      <c r="D81" s="170"/>
      <c r="E81" s="170"/>
      <c r="F81" s="170" t="s">
        <v>160</v>
      </c>
      <c r="G81" s="170"/>
      <c r="H81" s="170"/>
      <c r="I81" s="170"/>
      <c r="J81" s="170"/>
      <c r="K81" s="170"/>
      <c r="L81" s="99"/>
      <c r="M81" s="99"/>
      <c r="N81" s="99"/>
      <c r="P81" s="182"/>
      <c r="Q81" s="170"/>
      <c r="R81" s="170"/>
      <c r="S81" s="170"/>
      <c r="T81" s="170"/>
      <c r="U81" s="170"/>
    </row>
    <row r="82" spans="1:24" ht="12" customHeight="1" x14ac:dyDescent="0.35">
      <c r="A82" s="206"/>
      <c r="B82" s="170"/>
      <c r="C82" s="170"/>
      <c r="D82" s="170"/>
      <c r="E82" s="170"/>
      <c r="F82" s="170"/>
      <c r="G82" s="170"/>
      <c r="H82" s="170"/>
      <c r="I82" s="170"/>
      <c r="J82" s="170"/>
      <c r="K82" s="170"/>
      <c r="L82" s="99"/>
      <c r="M82" s="99"/>
      <c r="N82" s="99"/>
      <c r="P82" s="183"/>
      <c r="Q82" s="170"/>
      <c r="R82" s="170"/>
      <c r="S82" s="170"/>
      <c r="T82" s="170"/>
      <c r="U82" s="170"/>
    </row>
    <row r="83" spans="1:24" ht="12" customHeight="1" x14ac:dyDescent="0.35">
      <c r="A83" s="206"/>
      <c r="B83" s="173" t="s">
        <v>541</v>
      </c>
      <c r="C83" s="170"/>
      <c r="D83" s="170"/>
      <c r="E83" s="170"/>
      <c r="F83" s="170"/>
      <c r="G83" s="170"/>
      <c r="H83" s="170"/>
      <c r="I83" s="170"/>
      <c r="J83" s="170"/>
      <c r="K83" s="170"/>
      <c r="L83" s="99"/>
      <c r="M83" s="99"/>
      <c r="N83" s="99"/>
      <c r="P83" s="183"/>
      <c r="Q83" s="170"/>
      <c r="R83" s="170"/>
      <c r="S83" s="170"/>
      <c r="T83" s="170"/>
      <c r="U83" s="170"/>
    </row>
    <row r="84" spans="1:24" s="78" customFormat="1" ht="12" customHeight="1" x14ac:dyDescent="0.35">
      <c r="A84" s="206"/>
      <c r="B84" s="170" t="s">
        <v>542</v>
      </c>
      <c r="C84" s="170"/>
      <c r="D84" s="170"/>
      <c r="E84" s="170"/>
      <c r="F84" s="170" t="s">
        <v>379</v>
      </c>
      <c r="G84" s="170"/>
      <c r="H84" s="170"/>
      <c r="I84" s="170"/>
      <c r="J84" s="170"/>
      <c r="K84" s="170"/>
      <c r="L84" s="99"/>
      <c r="M84" s="99"/>
      <c r="N84" s="99"/>
      <c r="O84" s="2"/>
      <c r="P84" s="107">
        <f>'Input overname private netten'!P85</f>
        <v>28</v>
      </c>
      <c r="Q84" s="170"/>
      <c r="R84" s="170"/>
      <c r="S84" s="170"/>
      <c r="T84" s="170"/>
      <c r="U84" s="170"/>
    </row>
    <row r="85" spans="1:24" s="78" customFormat="1" ht="12" customHeight="1" x14ac:dyDescent="0.35">
      <c r="A85" s="206"/>
      <c r="B85" s="170" t="s">
        <v>569</v>
      </c>
      <c r="C85" s="170"/>
      <c r="D85" s="170"/>
      <c r="E85" s="170"/>
      <c r="F85" s="170" t="s">
        <v>379</v>
      </c>
      <c r="G85" s="170"/>
      <c r="H85" s="170"/>
      <c r="I85" s="170"/>
      <c r="J85" s="170"/>
      <c r="K85" s="170"/>
      <c r="L85" s="99"/>
      <c r="M85" s="99"/>
      <c r="N85" s="99"/>
      <c r="P85" s="182"/>
      <c r="Q85" s="170"/>
      <c r="R85" s="170"/>
      <c r="S85" s="170"/>
      <c r="T85" s="170"/>
      <c r="U85" s="170"/>
    </row>
    <row r="86" spans="1:24" s="78" customFormat="1" ht="12" customHeight="1" x14ac:dyDescent="0.35">
      <c r="A86" s="206"/>
      <c r="B86" s="170"/>
      <c r="C86" s="170"/>
      <c r="D86" s="170"/>
      <c r="E86" s="170"/>
      <c r="F86" s="170"/>
      <c r="G86" s="170"/>
      <c r="H86" s="170"/>
      <c r="I86" s="170"/>
      <c r="J86" s="170"/>
      <c r="K86" s="170"/>
      <c r="L86" s="99"/>
      <c r="M86" s="99"/>
      <c r="N86" s="99"/>
      <c r="P86" s="184"/>
      <c r="Q86" s="170"/>
      <c r="R86" s="170"/>
      <c r="S86" s="170"/>
      <c r="T86" s="170"/>
      <c r="U86" s="170"/>
    </row>
    <row r="87" spans="1:24" s="78" customFormat="1" ht="12" customHeight="1" x14ac:dyDescent="0.35">
      <c r="A87" s="206"/>
      <c r="B87" s="175" t="s">
        <v>380</v>
      </c>
      <c r="C87" s="170"/>
      <c r="D87" s="170"/>
      <c r="E87" s="170"/>
      <c r="F87" s="170"/>
      <c r="G87" s="170"/>
      <c r="H87" s="170"/>
      <c r="I87" s="170"/>
      <c r="J87" s="170"/>
      <c r="K87" s="170"/>
      <c r="L87" s="99"/>
      <c r="M87" s="99"/>
      <c r="N87" s="99"/>
      <c r="P87" s="184"/>
      <c r="Q87" s="170"/>
      <c r="R87" s="170"/>
      <c r="S87" s="170"/>
      <c r="T87" s="170"/>
      <c r="U87" s="170"/>
    </row>
    <row r="88" spans="1:24" s="78" customFormat="1" ht="12" customHeight="1" x14ac:dyDescent="0.35">
      <c r="A88" s="206"/>
      <c r="B88" s="170" t="s">
        <v>570</v>
      </c>
      <c r="C88" s="170"/>
      <c r="D88" s="170"/>
      <c r="E88" s="170"/>
      <c r="F88" s="170" t="s">
        <v>160</v>
      </c>
      <c r="G88" s="170"/>
      <c r="H88" s="170"/>
      <c r="I88" s="170"/>
      <c r="J88" s="170"/>
      <c r="K88" s="170"/>
      <c r="L88" s="99"/>
      <c r="M88" s="99"/>
      <c r="N88" s="99"/>
      <c r="P88" s="182"/>
      <c r="Q88" s="170"/>
      <c r="R88" s="170"/>
      <c r="S88" s="170"/>
      <c r="T88" s="170"/>
      <c r="U88" s="170"/>
      <c r="V88" s="238"/>
      <c r="X88" s="238"/>
    </row>
    <row r="89" spans="1:24" s="112" customFormat="1" ht="12" customHeight="1" x14ac:dyDescent="0.35">
      <c r="A89" s="244"/>
      <c r="B89" s="170"/>
      <c r="C89" s="170"/>
      <c r="D89" s="170"/>
      <c r="E89" s="170"/>
      <c r="F89" s="170"/>
      <c r="G89" s="170"/>
      <c r="H89" s="170"/>
      <c r="I89" s="170"/>
      <c r="J89" s="170"/>
      <c r="K89" s="170"/>
      <c r="L89" s="99"/>
      <c r="M89" s="99"/>
      <c r="N89" s="99"/>
      <c r="P89" s="186"/>
      <c r="Q89" s="170"/>
      <c r="R89" s="170"/>
      <c r="S89" s="170"/>
      <c r="T89" s="170"/>
      <c r="U89" s="170"/>
    </row>
    <row r="90" spans="1:24" s="112" customFormat="1" ht="12" customHeight="1" x14ac:dyDescent="0.35">
      <c r="A90" s="244"/>
      <c r="B90" s="175" t="s">
        <v>381</v>
      </c>
      <c r="C90" s="170"/>
      <c r="D90" s="170"/>
      <c r="E90" s="170"/>
      <c r="F90" s="170"/>
      <c r="G90" s="170"/>
      <c r="H90" s="170"/>
      <c r="I90" s="170"/>
      <c r="J90" s="170"/>
      <c r="K90" s="170"/>
      <c r="L90" s="99"/>
      <c r="M90" s="99"/>
      <c r="N90" s="99"/>
      <c r="P90" s="183"/>
      <c r="Q90" s="170"/>
      <c r="R90" s="170"/>
      <c r="S90" s="170"/>
      <c r="T90" s="170"/>
      <c r="U90" s="170"/>
    </row>
    <row r="91" spans="1:24" s="112" customFormat="1" ht="12" customHeight="1" x14ac:dyDescent="0.35">
      <c r="A91" s="244"/>
      <c r="B91" s="170" t="s">
        <v>571</v>
      </c>
      <c r="C91" s="170"/>
      <c r="D91" s="170"/>
      <c r="E91" s="170"/>
      <c r="F91" s="170" t="s">
        <v>160</v>
      </c>
      <c r="G91" s="170"/>
      <c r="H91" s="170"/>
      <c r="I91" s="170"/>
      <c r="J91" s="170"/>
      <c r="K91" s="170"/>
      <c r="L91" s="99"/>
      <c r="M91" s="99"/>
      <c r="N91" s="99"/>
      <c r="P91" s="107">
        <f>'Input overname private netten'!P92</f>
        <v>896.57999999999993</v>
      </c>
      <c r="Q91" s="170"/>
      <c r="R91" s="170"/>
      <c r="S91" s="170"/>
      <c r="T91" s="170"/>
      <c r="U91" s="170"/>
      <c r="X91" s="238"/>
    </row>
    <row r="92" spans="1:24" s="112" customFormat="1" ht="12" customHeight="1" x14ac:dyDescent="0.35">
      <c r="A92" s="244"/>
      <c r="B92" s="170"/>
      <c r="C92" s="170"/>
      <c r="D92" s="170"/>
      <c r="E92" s="170"/>
      <c r="F92" s="170"/>
      <c r="G92" s="170"/>
      <c r="H92" s="170"/>
      <c r="I92" s="170"/>
      <c r="J92" s="170"/>
      <c r="K92" s="170"/>
      <c r="L92" s="99"/>
      <c r="M92" s="99"/>
      <c r="N92" s="99"/>
      <c r="P92" s="113"/>
      <c r="Q92" s="170"/>
      <c r="R92" s="170"/>
      <c r="S92" s="170"/>
      <c r="T92" s="170"/>
      <c r="U92" s="170"/>
      <c r="X92" s="238"/>
    </row>
    <row r="93" spans="1:24" s="140" customFormat="1" ht="12" customHeight="1" x14ac:dyDescent="0.35">
      <c r="B93" s="228" t="s">
        <v>218</v>
      </c>
      <c r="L93" s="190"/>
      <c r="M93" s="190"/>
      <c r="N93" s="190"/>
      <c r="O93" s="190"/>
      <c r="P93" s="190"/>
      <c r="Q93" s="190"/>
    </row>
    <row r="94" spans="1:24" ht="12" customHeight="1" x14ac:dyDescent="0.35">
      <c r="L94" s="99"/>
      <c r="M94" s="99"/>
      <c r="N94" s="99"/>
      <c r="O94" s="99"/>
      <c r="P94" s="99"/>
      <c r="Q94" s="99"/>
    </row>
    <row r="95" spans="1:24" ht="12" customHeight="1" x14ac:dyDescent="0.35">
      <c r="B95" s="2" t="s">
        <v>546</v>
      </c>
      <c r="F95" s="2" t="s">
        <v>72</v>
      </c>
      <c r="H95" s="48">
        <f>'Input overname private netten'!H97</f>
        <v>0.06</v>
      </c>
      <c r="L95" s="99"/>
      <c r="M95" s="99"/>
      <c r="N95" s="99"/>
      <c r="O95" s="189"/>
      <c r="P95" s="99"/>
      <c r="Q95" s="99"/>
    </row>
    <row r="96" spans="1:24" ht="12" customHeight="1" x14ac:dyDescent="0.35">
      <c r="B96" s="2" t="s">
        <v>572</v>
      </c>
      <c r="F96" s="2" t="s">
        <v>72</v>
      </c>
      <c r="H96" s="48">
        <f>'Input overname private netten'!H98</f>
        <v>5.8000000000000003E-2</v>
      </c>
      <c r="L96" s="99"/>
      <c r="M96" s="99"/>
      <c r="N96" s="99"/>
      <c r="O96" s="189"/>
      <c r="P96" s="99"/>
      <c r="Q96" s="99"/>
    </row>
    <row r="97" spans="1:19" s="206" customFormat="1" ht="12" customHeight="1" x14ac:dyDescent="0.35">
      <c r="H97" s="277"/>
      <c r="L97" s="278"/>
      <c r="M97" s="278"/>
      <c r="N97" s="278"/>
      <c r="O97" s="189"/>
      <c r="P97" s="278"/>
      <c r="Q97" s="278"/>
    </row>
    <row r="98" spans="1:19" s="206" customFormat="1" ht="12" customHeight="1" x14ac:dyDescent="0.25">
      <c r="B98" s="39" t="s">
        <v>836</v>
      </c>
      <c r="F98" s="206" t="s">
        <v>72</v>
      </c>
      <c r="H98" s="188">
        <f>Parameters!N73</f>
        <v>6.4988262846121803E-2</v>
      </c>
      <c r="L98" s="278"/>
      <c r="M98" s="278"/>
      <c r="N98" s="278"/>
      <c r="O98" s="189"/>
      <c r="P98" s="278"/>
      <c r="Q98" s="278"/>
      <c r="S98" s="283"/>
    </row>
    <row r="99" spans="1:19" ht="12" customHeight="1" x14ac:dyDescent="0.25">
      <c r="A99" s="249"/>
      <c r="B99" s="39" t="s">
        <v>583</v>
      </c>
      <c r="C99" s="120"/>
      <c r="D99" s="120"/>
      <c r="F99" s="2" t="s">
        <v>72</v>
      </c>
      <c r="H99" s="188">
        <f>Parameters!P74</f>
        <v>0.11818696111160243</v>
      </c>
    </row>
    <row r="100" spans="1:19" ht="12" customHeight="1" x14ac:dyDescent="0.35">
      <c r="P100" s="99"/>
    </row>
    <row r="101" spans="1:19" s="228" customFormat="1" ht="12" customHeight="1" x14ac:dyDescent="0.35">
      <c r="B101" s="228" t="s">
        <v>822</v>
      </c>
      <c r="L101" s="229"/>
      <c r="M101" s="229"/>
      <c r="N101" s="229"/>
      <c r="O101" s="229"/>
      <c r="P101" s="229"/>
      <c r="Q101" s="229"/>
    </row>
    <row r="102" spans="1:19" ht="12" customHeight="1" x14ac:dyDescent="0.35">
      <c r="L102" s="99"/>
      <c r="M102" s="99"/>
      <c r="N102" s="99"/>
      <c r="O102" s="99"/>
      <c r="P102" s="99"/>
      <c r="Q102" s="99"/>
    </row>
    <row r="103" spans="1:19" ht="12" customHeight="1" x14ac:dyDescent="0.35">
      <c r="B103" s="1" t="s">
        <v>547</v>
      </c>
      <c r="L103" s="99"/>
      <c r="M103" s="99"/>
      <c r="N103" s="99"/>
      <c r="O103" s="99"/>
      <c r="P103" s="99"/>
      <c r="Q103" s="99"/>
    </row>
    <row r="104" spans="1:19" ht="12" customHeight="1" x14ac:dyDescent="0.25">
      <c r="B104" s="2" t="s">
        <v>548</v>
      </c>
      <c r="F104" s="174" t="s">
        <v>110</v>
      </c>
      <c r="L104" s="99"/>
      <c r="M104" s="99"/>
      <c r="N104" s="99"/>
      <c r="O104" s="99"/>
      <c r="P104" s="46">
        <f>P16</f>
        <v>47737.720171059314</v>
      </c>
      <c r="Q104" s="99"/>
    </row>
    <row r="105" spans="1:19" ht="12" customHeight="1" x14ac:dyDescent="0.35">
      <c r="L105" s="99"/>
      <c r="M105" s="99"/>
      <c r="N105" s="99"/>
      <c r="O105" s="99"/>
      <c r="P105" s="99"/>
      <c r="Q105" s="99"/>
    </row>
    <row r="106" spans="1:19" ht="12" customHeight="1" x14ac:dyDescent="0.35">
      <c r="B106" s="1" t="s">
        <v>549</v>
      </c>
      <c r="L106" s="99"/>
      <c r="M106" s="99"/>
      <c r="N106" s="99"/>
      <c r="O106" s="99"/>
      <c r="P106" s="99"/>
      <c r="Q106" s="99"/>
    </row>
    <row r="107" spans="1:19" ht="12" customHeight="1" x14ac:dyDescent="0.25">
      <c r="B107" s="2" t="s">
        <v>550</v>
      </c>
      <c r="F107" s="174" t="s">
        <v>110</v>
      </c>
      <c r="L107" s="99"/>
      <c r="M107" s="99"/>
      <c r="N107" s="99"/>
      <c r="O107" s="99"/>
      <c r="P107" s="191">
        <f>(P104/P24)*0.5</f>
        <v>4773.7720171059318</v>
      </c>
      <c r="Q107" s="99"/>
    </row>
    <row r="108" spans="1:19" ht="12" customHeight="1" x14ac:dyDescent="0.25">
      <c r="B108" s="170" t="s">
        <v>551</v>
      </c>
      <c r="F108" s="174" t="s">
        <v>110</v>
      </c>
      <c r="L108" s="99"/>
      <c r="M108" s="99"/>
      <c r="N108" s="99"/>
      <c r="O108" s="99"/>
      <c r="P108" s="105">
        <f>P104-P107</f>
        <v>42963.948153953381</v>
      </c>
      <c r="Q108" s="99"/>
    </row>
    <row r="109" spans="1:19" ht="12" customHeight="1" x14ac:dyDescent="0.25">
      <c r="F109" s="174"/>
      <c r="L109" s="99"/>
      <c r="M109" s="99"/>
      <c r="N109" s="99"/>
      <c r="O109" s="99"/>
      <c r="Q109" s="99"/>
    </row>
    <row r="110" spans="1:19" ht="12" customHeight="1" x14ac:dyDescent="0.25">
      <c r="B110" s="1" t="s">
        <v>552</v>
      </c>
      <c r="F110" s="174"/>
      <c r="L110" s="99"/>
      <c r="M110" s="99"/>
      <c r="N110" s="99"/>
      <c r="O110" s="99"/>
      <c r="Q110" s="99"/>
    </row>
    <row r="111" spans="1:19" ht="12" customHeight="1" x14ac:dyDescent="0.25">
      <c r="B111" s="2" t="s">
        <v>553</v>
      </c>
      <c r="F111" s="174" t="s">
        <v>136</v>
      </c>
      <c r="L111" s="99"/>
      <c r="M111" s="99"/>
      <c r="N111" s="99"/>
      <c r="O111" s="99"/>
      <c r="P111" s="105">
        <f>P104/P24</f>
        <v>9547.5440342118636</v>
      </c>
      <c r="Q111" s="99"/>
    </row>
    <row r="112" spans="1:19" ht="12" customHeight="1" x14ac:dyDescent="0.25">
      <c r="B112" s="170" t="s">
        <v>554</v>
      </c>
      <c r="F112" s="174" t="s">
        <v>136</v>
      </c>
      <c r="L112" s="99"/>
      <c r="M112" s="99"/>
      <c r="N112" s="99"/>
      <c r="O112" s="99"/>
      <c r="P112" s="105">
        <f>P108-P111</f>
        <v>33416.404119741521</v>
      </c>
      <c r="Q112" s="99"/>
    </row>
    <row r="113" spans="1:17" ht="12" customHeight="1" x14ac:dyDescent="0.25">
      <c r="A113" s="206"/>
      <c r="F113" s="174"/>
      <c r="L113" s="99"/>
      <c r="M113" s="99"/>
      <c r="N113" s="99"/>
      <c r="O113" s="99"/>
      <c r="Q113" s="99"/>
    </row>
    <row r="114" spans="1:17" ht="12" customHeight="1" x14ac:dyDescent="0.25">
      <c r="A114" s="206"/>
      <c r="B114" s="1" t="s">
        <v>575</v>
      </c>
      <c r="F114" s="174"/>
      <c r="L114" s="99"/>
      <c r="M114" s="99"/>
      <c r="N114" s="99"/>
      <c r="O114" s="99"/>
      <c r="Q114" s="99"/>
    </row>
    <row r="115" spans="1:17" ht="12" customHeight="1" x14ac:dyDescent="0.25">
      <c r="A115" s="206"/>
      <c r="B115" s="2" t="s">
        <v>576</v>
      </c>
      <c r="F115" s="174" t="s">
        <v>160</v>
      </c>
      <c r="L115" s="99"/>
      <c r="M115" s="99"/>
      <c r="N115" s="99"/>
      <c r="O115" s="99"/>
      <c r="P115" s="105">
        <f>P104/P24</f>
        <v>9547.5440342118636</v>
      </c>
      <c r="Q115" s="99"/>
    </row>
    <row r="116" spans="1:17" ht="12" customHeight="1" x14ac:dyDescent="0.25">
      <c r="A116" s="206"/>
      <c r="B116" s="170" t="s">
        <v>577</v>
      </c>
      <c r="F116" s="174" t="s">
        <v>160</v>
      </c>
      <c r="L116" s="99"/>
      <c r="M116" s="99"/>
      <c r="N116" s="99"/>
      <c r="O116" s="99"/>
      <c r="P116" s="105">
        <f>P112-P115</f>
        <v>23868.860085529657</v>
      </c>
      <c r="Q116" s="99"/>
    </row>
    <row r="117" spans="1:17" ht="12" customHeight="1" x14ac:dyDescent="0.25">
      <c r="A117" s="206"/>
      <c r="F117" s="174"/>
      <c r="L117" s="99"/>
      <c r="M117" s="99"/>
      <c r="N117" s="99"/>
      <c r="O117" s="99"/>
      <c r="Q117" s="99"/>
    </row>
    <row r="118" spans="1:17" ht="12" customHeight="1" x14ac:dyDescent="0.25">
      <c r="A118" s="206"/>
      <c r="B118" s="1" t="s">
        <v>578</v>
      </c>
      <c r="F118" s="174"/>
      <c r="L118" s="99"/>
      <c r="M118" s="99"/>
      <c r="N118" s="99"/>
      <c r="O118" s="99"/>
      <c r="Q118" s="99"/>
    </row>
    <row r="119" spans="1:17" ht="12" customHeight="1" x14ac:dyDescent="0.25">
      <c r="A119" s="206"/>
      <c r="B119" s="2" t="s">
        <v>385</v>
      </c>
      <c r="F119" s="174" t="s">
        <v>160</v>
      </c>
      <c r="L119" s="99"/>
      <c r="M119" s="99"/>
      <c r="N119" s="99"/>
      <c r="O119" s="99"/>
      <c r="P119" s="105">
        <f>P116*H96</f>
        <v>1384.3938849607202</v>
      </c>
      <c r="Q119" s="99"/>
    </row>
    <row r="120" spans="1:17" ht="12" customHeight="1" x14ac:dyDescent="0.25">
      <c r="A120" s="206"/>
      <c r="B120" s="2" t="s">
        <v>579</v>
      </c>
      <c r="F120" s="174" t="s">
        <v>160</v>
      </c>
      <c r="L120" s="99"/>
      <c r="M120" s="99"/>
      <c r="N120" s="99"/>
      <c r="O120" s="99"/>
      <c r="P120" s="105">
        <f>P115+P119</f>
        <v>10931.937919172584</v>
      </c>
      <c r="Q120" s="99"/>
    </row>
    <row r="121" spans="1:17" ht="12" customHeight="1" x14ac:dyDescent="0.25">
      <c r="F121" s="174"/>
      <c r="L121" s="99"/>
      <c r="M121" s="99"/>
      <c r="N121" s="99"/>
      <c r="O121" s="99"/>
      <c r="Q121" s="99"/>
    </row>
    <row r="122" spans="1:17" s="228" customFormat="1" ht="12" customHeight="1" x14ac:dyDescent="0.35">
      <c r="B122" s="228" t="s">
        <v>823</v>
      </c>
      <c r="L122" s="229"/>
      <c r="M122" s="229"/>
      <c r="N122" s="229"/>
      <c r="O122" s="229"/>
      <c r="P122" s="229"/>
      <c r="Q122" s="229"/>
    </row>
    <row r="123" spans="1:17" ht="12" customHeight="1" x14ac:dyDescent="0.35">
      <c r="L123" s="99"/>
      <c r="M123" s="99"/>
      <c r="N123" s="99"/>
      <c r="O123" s="99"/>
      <c r="P123" s="99"/>
      <c r="Q123" s="99"/>
    </row>
    <row r="124" spans="1:17" ht="12" customHeight="1" x14ac:dyDescent="0.35">
      <c r="B124" s="1" t="s">
        <v>547</v>
      </c>
      <c r="L124" s="99"/>
      <c r="M124" s="99"/>
      <c r="N124" s="99"/>
      <c r="O124" s="99"/>
      <c r="P124" s="99"/>
      <c r="Q124" s="99"/>
    </row>
    <row r="125" spans="1:17" ht="12" customHeight="1" x14ac:dyDescent="0.25">
      <c r="B125" s="2" t="s">
        <v>548</v>
      </c>
      <c r="F125" s="174" t="s">
        <v>110</v>
      </c>
      <c r="L125" s="99"/>
      <c r="M125" s="99"/>
      <c r="N125" s="99"/>
      <c r="O125" s="99"/>
      <c r="P125" s="46">
        <f>P38</f>
        <v>20633.500401015703</v>
      </c>
      <c r="Q125" s="99"/>
    </row>
    <row r="126" spans="1:17" ht="12" customHeight="1" x14ac:dyDescent="0.35">
      <c r="L126" s="99"/>
      <c r="M126" s="99"/>
      <c r="N126" s="99"/>
      <c r="O126" s="99"/>
      <c r="P126" s="99"/>
      <c r="Q126" s="99"/>
    </row>
    <row r="127" spans="1:17" ht="12" customHeight="1" x14ac:dyDescent="0.35">
      <c r="B127" s="1" t="s">
        <v>549</v>
      </c>
      <c r="L127" s="99"/>
      <c r="M127" s="99"/>
      <c r="N127" s="99"/>
      <c r="O127" s="99"/>
      <c r="P127" s="99"/>
      <c r="Q127" s="99"/>
    </row>
    <row r="128" spans="1:17" ht="12" customHeight="1" x14ac:dyDescent="0.25">
      <c r="B128" s="2" t="s">
        <v>550</v>
      </c>
      <c r="F128" s="174" t="s">
        <v>110</v>
      </c>
      <c r="L128" s="99"/>
      <c r="M128" s="99"/>
      <c r="N128" s="99"/>
      <c r="O128" s="99"/>
      <c r="P128" s="191">
        <f>(P125/P46)*0.5</f>
        <v>2063.3500401015704</v>
      </c>
      <c r="Q128" s="99"/>
    </row>
    <row r="129" spans="1:17" ht="12" customHeight="1" x14ac:dyDescent="0.25">
      <c r="B129" s="170" t="s">
        <v>551</v>
      </c>
      <c r="F129" s="174" t="s">
        <v>110</v>
      </c>
      <c r="L129" s="99"/>
      <c r="M129" s="99"/>
      <c r="N129" s="99"/>
      <c r="O129" s="99"/>
      <c r="P129" s="105">
        <f>P125-P128</f>
        <v>18570.150360914133</v>
      </c>
      <c r="Q129" s="99"/>
    </row>
    <row r="130" spans="1:17" ht="12" customHeight="1" x14ac:dyDescent="0.25">
      <c r="F130" s="174"/>
      <c r="L130" s="99"/>
      <c r="M130" s="99"/>
      <c r="N130" s="99"/>
      <c r="O130" s="99"/>
      <c r="Q130" s="99"/>
    </row>
    <row r="131" spans="1:17" ht="12" customHeight="1" x14ac:dyDescent="0.25">
      <c r="B131" s="1" t="s">
        <v>552</v>
      </c>
      <c r="F131" s="174"/>
      <c r="L131" s="99"/>
      <c r="M131" s="99"/>
      <c r="N131" s="99"/>
      <c r="O131" s="99"/>
      <c r="Q131" s="99"/>
    </row>
    <row r="132" spans="1:17" ht="12" customHeight="1" x14ac:dyDescent="0.25">
      <c r="B132" s="2" t="s">
        <v>553</v>
      </c>
      <c r="F132" s="174" t="s">
        <v>136</v>
      </c>
      <c r="L132" s="99"/>
      <c r="M132" s="99"/>
      <c r="N132" s="99"/>
      <c r="O132" s="99"/>
      <c r="P132" s="105">
        <f>P125/P46</f>
        <v>4126.7000802031407</v>
      </c>
      <c r="Q132" s="99"/>
    </row>
    <row r="133" spans="1:17" ht="12" customHeight="1" x14ac:dyDescent="0.25">
      <c r="B133" s="170" t="s">
        <v>554</v>
      </c>
      <c r="F133" s="174" t="s">
        <v>136</v>
      </c>
      <c r="L133" s="99"/>
      <c r="M133" s="99"/>
      <c r="N133" s="99"/>
      <c r="O133" s="99"/>
      <c r="P133" s="105">
        <f>P129-P132</f>
        <v>14443.450280710993</v>
      </c>
      <c r="Q133" s="99"/>
    </row>
    <row r="134" spans="1:17" ht="12" customHeight="1" x14ac:dyDescent="0.25">
      <c r="A134" s="206"/>
      <c r="F134" s="174"/>
      <c r="L134" s="99"/>
      <c r="M134" s="99"/>
      <c r="N134" s="99"/>
      <c r="O134" s="99"/>
      <c r="Q134" s="99"/>
    </row>
    <row r="135" spans="1:17" ht="12" customHeight="1" x14ac:dyDescent="0.25">
      <c r="A135" s="206"/>
      <c r="B135" s="1" t="s">
        <v>575</v>
      </c>
      <c r="F135" s="174"/>
      <c r="L135" s="99"/>
      <c r="M135" s="99"/>
      <c r="N135" s="99"/>
      <c r="O135" s="99"/>
      <c r="Q135" s="99"/>
    </row>
    <row r="136" spans="1:17" ht="12" customHeight="1" x14ac:dyDescent="0.25">
      <c r="A136" s="206"/>
      <c r="B136" s="2" t="s">
        <v>576</v>
      </c>
      <c r="F136" s="174" t="s">
        <v>160</v>
      </c>
      <c r="L136" s="99"/>
      <c r="M136" s="99"/>
      <c r="N136" s="99"/>
      <c r="O136" s="99"/>
      <c r="P136" s="105">
        <f>P125/P46</f>
        <v>4126.7000802031407</v>
      </c>
      <c r="Q136" s="99"/>
    </row>
    <row r="137" spans="1:17" ht="12" customHeight="1" x14ac:dyDescent="0.25">
      <c r="A137" s="206"/>
      <c r="B137" s="170" t="s">
        <v>577</v>
      </c>
      <c r="F137" s="174" t="s">
        <v>160</v>
      </c>
      <c r="L137" s="99"/>
      <c r="M137" s="99"/>
      <c r="N137" s="99"/>
      <c r="O137" s="99"/>
      <c r="P137" s="105">
        <f>P133-P136</f>
        <v>10316.750200507853</v>
      </c>
      <c r="Q137" s="99"/>
    </row>
    <row r="138" spans="1:17" ht="12" customHeight="1" x14ac:dyDescent="0.25">
      <c r="A138" s="206"/>
      <c r="F138" s="174"/>
      <c r="L138" s="99"/>
      <c r="M138" s="99"/>
      <c r="N138" s="99"/>
      <c r="O138" s="99"/>
      <c r="Q138" s="99"/>
    </row>
    <row r="139" spans="1:17" ht="12" customHeight="1" x14ac:dyDescent="0.25">
      <c r="A139" s="206"/>
      <c r="B139" s="1" t="s">
        <v>578</v>
      </c>
      <c r="F139" s="174"/>
      <c r="L139" s="99"/>
      <c r="M139" s="99"/>
      <c r="N139" s="99"/>
      <c r="O139" s="99"/>
      <c r="Q139" s="99"/>
    </row>
    <row r="140" spans="1:17" ht="12" customHeight="1" x14ac:dyDescent="0.25">
      <c r="A140" s="206"/>
      <c r="B140" s="2" t="s">
        <v>385</v>
      </c>
      <c r="F140" s="174" t="s">
        <v>160</v>
      </c>
      <c r="L140" s="99"/>
      <c r="M140" s="99"/>
      <c r="N140" s="99"/>
      <c r="O140" s="99"/>
      <c r="P140" s="105">
        <f>P137*H96</f>
        <v>598.37151162945554</v>
      </c>
      <c r="Q140" s="99"/>
    </row>
    <row r="141" spans="1:17" ht="12" customHeight="1" x14ac:dyDescent="0.25">
      <c r="A141" s="206"/>
      <c r="B141" s="2" t="s">
        <v>579</v>
      </c>
      <c r="F141" s="174" t="s">
        <v>160</v>
      </c>
      <c r="L141" s="99"/>
      <c r="M141" s="99"/>
      <c r="N141" s="99"/>
      <c r="O141" s="99"/>
      <c r="P141" s="105">
        <f>P136+P140</f>
        <v>4725.0715918325959</v>
      </c>
      <c r="Q141" s="99"/>
    </row>
    <row r="142" spans="1:17" s="206" customFormat="1" ht="12" customHeight="1" x14ac:dyDescent="0.25">
      <c r="F142" s="279"/>
      <c r="L142" s="278"/>
      <c r="M142" s="278"/>
      <c r="N142" s="278"/>
      <c r="O142" s="278"/>
      <c r="P142" s="125"/>
      <c r="Q142" s="278"/>
    </row>
    <row r="143" spans="1:17" s="206" customFormat="1" ht="12" customHeight="1" x14ac:dyDescent="0.25">
      <c r="F143" s="279"/>
      <c r="L143" s="278"/>
      <c r="M143" s="278"/>
      <c r="N143" s="278"/>
      <c r="O143" s="278"/>
      <c r="P143" s="125"/>
      <c r="Q143" s="278"/>
    </row>
    <row r="144" spans="1:17" s="228" customFormat="1" ht="12" customHeight="1" x14ac:dyDescent="0.35">
      <c r="B144" s="228" t="s">
        <v>824</v>
      </c>
      <c r="L144" s="229"/>
      <c r="M144" s="229"/>
      <c r="N144" s="229"/>
      <c r="O144" s="229"/>
      <c r="P144" s="229"/>
      <c r="Q144" s="229"/>
    </row>
    <row r="145" spans="1:19" ht="12" customHeight="1" x14ac:dyDescent="0.35">
      <c r="L145" s="99"/>
      <c r="M145" s="99"/>
      <c r="N145" s="99"/>
      <c r="O145" s="99"/>
      <c r="P145" s="99"/>
      <c r="Q145" s="99"/>
    </row>
    <row r="146" spans="1:19" ht="12" customHeight="1" x14ac:dyDescent="0.35">
      <c r="B146" s="1" t="s">
        <v>827</v>
      </c>
      <c r="L146" s="99"/>
      <c r="M146" s="99"/>
      <c r="N146" s="99"/>
      <c r="O146" s="99"/>
      <c r="P146" s="99"/>
      <c r="Q146" s="99"/>
    </row>
    <row r="147" spans="1:19" ht="12" customHeight="1" x14ac:dyDescent="0.25">
      <c r="B147" s="2" t="s">
        <v>826</v>
      </c>
      <c r="F147" s="174" t="s">
        <v>136</v>
      </c>
      <c r="L147" s="99"/>
      <c r="M147" s="99"/>
      <c r="N147" s="99"/>
      <c r="O147" s="99"/>
      <c r="P147" s="46">
        <f>P60</f>
        <v>73147</v>
      </c>
      <c r="Q147" s="99"/>
    </row>
    <row r="148" spans="1:19" ht="12" customHeight="1" x14ac:dyDescent="0.25">
      <c r="F148" s="174"/>
      <c r="L148" s="99"/>
      <c r="M148" s="99"/>
      <c r="N148" s="99"/>
      <c r="O148" s="99"/>
      <c r="P148" s="90"/>
      <c r="Q148" s="99"/>
    </row>
    <row r="149" spans="1:19" ht="12" customHeight="1" x14ac:dyDescent="0.25">
      <c r="A149" s="206"/>
      <c r="B149" s="1" t="s">
        <v>552</v>
      </c>
      <c r="F149" s="174"/>
      <c r="L149" s="99"/>
      <c r="M149" s="99"/>
      <c r="N149" s="99"/>
      <c r="O149" s="99"/>
      <c r="Q149" s="99"/>
    </row>
    <row r="150" spans="1:19" ht="12" customHeight="1" x14ac:dyDescent="0.25">
      <c r="A150" s="206"/>
      <c r="B150" s="2" t="s">
        <v>553</v>
      </c>
      <c r="F150" s="174" t="s">
        <v>136</v>
      </c>
      <c r="L150" s="99"/>
      <c r="M150" s="99"/>
      <c r="N150" s="99"/>
      <c r="O150" s="99"/>
      <c r="P150" s="105">
        <f>(P147/P66)*0.5</f>
        <v>1306.1964285714287</v>
      </c>
      <c r="Q150" s="99"/>
    </row>
    <row r="151" spans="1:19" ht="12" customHeight="1" x14ac:dyDescent="0.25">
      <c r="A151" s="206"/>
      <c r="B151" s="170" t="s">
        <v>554</v>
      </c>
      <c r="F151" s="174" t="s">
        <v>136</v>
      </c>
      <c r="L151" s="99"/>
      <c r="M151" s="99"/>
      <c r="N151" s="99"/>
      <c r="O151" s="99"/>
      <c r="P151" s="105">
        <f>P147-P150</f>
        <v>71840.803571428565</v>
      </c>
      <c r="Q151" s="99"/>
    </row>
    <row r="152" spans="1:19" ht="12" customHeight="1" x14ac:dyDescent="0.25">
      <c r="A152" s="206"/>
      <c r="F152" s="174"/>
      <c r="L152" s="99"/>
      <c r="M152" s="99"/>
      <c r="N152" s="99"/>
      <c r="O152" s="99"/>
      <c r="Q152" s="99"/>
    </row>
    <row r="153" spans="1:19" ht="12" customHeight="1" x14ac:dyDescent="0.25">
      <c r="A153" s="206"/>
      <c r="B153" s="1" t="s">
        <v>575</v>
      </c>
      <c r="F153" s="174"/>
      <c r="L153" s="99"/>
      <c r="M153" s="99"/>
      <c r="N153" s="99"/>
      <c r="O153" s="99"/>
      <c r="Q153" s="99"/>
    </row>
    <row r="154" spans="1:19" ht="12" customHeight="1" x14ac:dyDescent="0.25">
      <c r="A154" s="206"/>
      <c r="B154" s="2" t="s">
        <v>576</v>
      </c>
      <c r="F154" s="174" t="s">
        <v>160</v>
      </c>
      <c r="L154" s="99"/>
      <c r="M154" s="99"/>
      <c r="N154" s="99"/>
      <c r="O154" s="99"/>
      <c r="P154" s="105">
        <f>(P147/P66)</f>
        <v>2612.3928571428573</v>
      </c>
      <c r="Q154" s="99"/>
    </row>
    <row r="155" spans="1:19" ht="12" customHeight="1" x14ac:dyDescent="0.25">
      <c r="A155" s="206"/>
      <c r="B155" s="170" t="s">
        <v>577</v>
      </c>
      <c r="F155" s="174" t="s">
        <v>160</v>
      </c>
      <c r="L155" s="99"/>
      <c r="M155" s="99"/>
      <c r="N155" s="99"/>
      <c r="O155" s="99"/>
      <c r="P155" s="105">
        <f>P151-P154</f>
        <v>69228.41071428571</v>
      </c>
      <c r="Q155" s="99"/>
    </row>
    <row r="156" spans="1:19" ht="12" customHeight="1" x14ac:dyDescent="0.25">
      <c r="A156" s="206"/>
      <c r="F156" s="174"/>
      <c r="L156" s="99"/>
      <c r="M156" s="99"/>
      <c r="N156" s="99"/>
      <c r="O156" s="99"/>
      <c r="Q156" s="99"/>
    </row>
    <row r="157" spans="1:19" ht="12" customHeight="1" x14ac:dyDescent="0.25">
      <c r="A157" s="206"/>
      <c r="B157" s="1" t="s">
        <v>834</v>
      </c>
      <c r="F157" s="174"/>
      <c r="L157" s="99"/>
      <c r="M157" s="99"/>
      <c r="N157" s="99"/>
      <c r="O157" s="99"/>
      <c r="Q157" s="99"/>
    </row>
    <row r="158" spans="1:19" ht="12" customHeight="1" x14ac:dyDescent="0.25">
      <c r="A158" s="206"/>
      <c r="B158" s="2" t="s">
        <v>385</v>
      </c>
      <c r="F158" s="174" t="s">
        <v>136</v>
      </c>
      <c r="L158" s="99"/>
      <c r="M158" s="99"/>
      <c r="N158" s="99"/>
      <c r="O158" s="99"/>
      <c r="P158" s="105">
        <f xml:space="preserve"> P151 * H95</f>
        <v>4310.4482142857141</v>
      </c>
      <c r="Q158" s="99"/>
      <c r="S158" s="19"/>
    </row>
    <row r="159" spans="1:19" ht="12" customHeight="1" x14ac:dyDescent="0.25">
      <c r="A159" s="206"/>
      <c r="B159" s="2" t="s">
        <v>835</v>
      </c>
      <c r="F159" s="174" t="s">
        <v>136</v>
      </c>
      <c r="L159" s="99"/>
      <c r="M159" s="99"/>
      <c r="N159" s="99"/>
      <c r="O159" s="99"/>
      <c r="P159" s="105">
        <f xml:space="preserve"> P158 + P150</f>
        <v>5616.6446428571426</v>
      </c>
      <c r="Q159" s="99"/>
      <c r="S159" s="19"/>
    </row>
    <row r="160" spans="1:19" ht="12" customHeight="1" x14ac:dyDescent="0.25">
      <c r="A160" s="206"/>
      <c r="F160" s="174"/>
      <c r="L160" s="99"/>
      <c r="M160" s="99"/>
      <c r="N160" s="99"/>
      <c r="O160" s="99"/>
      <c r="Q160" s="99"/>
    </row>
    <row r="161" spans="1:19" ht="12" customHeight="1" x14ac:dyDescent="0.25">
      <c r="A161" s="206"/>
      <c r="B161" s="1" t="s">
        <v>578</v>
      </c>
      <c r="F161" s="174"/>
      <c r="L161" s="99"/>
      <c r="M161" s="99"/>
      <c r="N161" s="99"/>
      <c r="O161" s="99"/>
      <c r="Q161" s="99"/>
    </row>
    <row r="162" spans="1:19" ht="12" customHeight="1" x14ac:dyDescent="0.25">
      <c r="A162" s="206"/>
      <c r="B162" s="2" t="s">
        <v>385</v>
      </c>
      <c r="F162" s="174" t="s">
        <v>160</v>
      </c>
      <c r="L162" s="99"/>
      <c r="M162" s="99"/>
      <c r="N162" s="99"/>
      <c r="O162" s="99"/>
      <c r="P162" s="105">
        <f>P151*H96</f>
        <v>4166.7666071428566</v>
      </c>
      <c r="Q162" s="99"/>
      <c r="S162" s="19"/>
    </row>
    <row r="163" spans="1:19" ht="12" customHeight="1" x14ac:dyDescent="0.25">
      <c r="A163" s="206"/>
      <c r="B163" s="2" t="s">
        <v>579</v>
      </c>
      <c r="F163" s="174" t="s">
        <v>160</v>
      </c>
      <c r="L163" s="99"/>
      <c r="M163" s="99"/>
      <c r="N163" s="99"/>
      <c r="O163" s="99"/>
      <c r="P163" s="105">
        <f>P154+P162</f>
        <v>6779.1594642857144</v>
      </c>
      <c r="Q163" s="99"/>
      <c r="S163" s="19"/>
    </row>
    <row r="164" spans="1:19" ht="12" customHeight="1" x14ac:dyDescent="0.25">
      <c r="F164" s="174"/>
      <c r="L164" s="99"/>
      <c r="M164" s="99"/>
      <c r="N164" s="99"/>
      <c r="O164" s="99"/>
      <c r="Q164" s="99"/>
    </row>
    <row r="165" spans="1:19" s="228" customFormat="1" ht="12" customHeight="1" x14ac:dyDescent="0.35">
      <c r="B165" s="228" t="s">
        <v>825</v>
      </c>
      <c r="L165" s="229"/>
      <c r="M165" s="229"/>
      <c r="N165" s="229"/>
      <c r="O165" s="229"/>
      <c r="P165" s="229"/>
      <c r="Q165" s="229"/>
    </row>
    <row r="166" spans="1:19" ht="12" customHeight="1" x14ac:dyDescent="0.35">
      <c r="L166" s="99"/>
      <c r="M166" s="99"/>
      <c r="N166" s="99"/>
      <c r="O166" s="99"/>
      <c r="P166" s="99"/>
      <c r="Q166" s="99"/>
    </row>
    <row r="167" spans="1:19" ht="12" customHeight="1" x14ac:dyDescent="0.35">
      <c r="B167" s="1" t="s">
        <v>827</v>
      </c>
      <c r="L167" s="99"/>
      <c r="M167" s="99"/>
      <c r="N167" s="99"/>
      <c r="O167" s="99"/>
      <c r="P167" s="99"/>
      <c r="Q167" s="99"/>
    </row>
    <row r="168" spans="1:19" ht="12" customHeight="1" x14ac:dyDescent="0.25">
      <c r="B168" s="2" t="s">
        <v>826</v>
      </c>
      <c r="F168" s="174" t="s">
        <v>136</v>
      </c>
      <c r="L168" s="99"/>
      <c r="M168" s="99"/>
      <c r="N168" s="99"/>
      <c r="O168" s="99"/>
      <c r="P168" s="46">
        <f>P78</f>
        <v>31513</v>
      </c>
      <c r="Q168" s="99"/>
    </row>
    <row r="169" spans="1:19" s="206" customFormat="1" ht="12" customHeight="1" x14ac:dyDescent="0.25">
      <c r="F169" s="279"/>
      <c r="L169" s="278"/>
      <c r="M169" s="278"/>
      <c r="N169" s="278"/>
      <c r="O169" s="278"/>
      <c r="P169" s="90"/>
      <c r="Q169" s="278"/>
    </row>
    <row r="170" spans="1:19" ht="12" customHeight="1" x14ac:dyDescent="0.35">
      <c r="B170" s="1" t="s">
        <v>552</v>
      </c>
      <c r="L170" s="99"/>
      <c r="M170" s="99"/>
      <c r="N170" s="99"/>
      <c r="O170" s="99"/>
      <c r="P170" s="99"/>
      <c r="Q170" s="281"/>
    </row>
    <row r="171" spans="1:19" ht="12" customHeight="1" x14ac:dyDescent="0.25">
      <c r="B171" s="2" t="s">
        <v>553</v>
      </c>
      <c r="F171" s="174" t="s">
        <v>136</v>
      </c>
      <c r="L171" s="99"/>
      <c r="M171" s="99"/>
      <c r="N171" s="99"/>
      <c r="O171" s="99"/>
      <c r="P171" s="191">
        <f>(P168/P84)*0.5</f>
        <v>562.73214285714289</v>
      </c>
      <c r="Q171" s="99"/>
    </row>
    <row r="172" spans="1:19" ht="12" customHeight="1" x14ac:dyDescent="0.25">
      <c r="B172" s="170" t="s">
        <v>554</v>
      </c>
      <c r="F172" s="174" t="s">
        <v>136</v>
      </c>
      <c r="L172" s="99"/>
      <c r="M172" s="99"/>
      <c r="N172" s="99"/>
      <c r="O172" s="99"/>
      <c r="P172" s="105">
        <f>P168-P171</f>
        <v>30950.267857142859</v>
      </c>
      <c r="Q172" s="99"/>
    </row>
    <row r="173" spans="1:19" ht="12" customHeight="1" x14ac:dyDescent="0.25">
      <c r="B173" s="170"/>
      <c r="F173" s="174"/>
      <c r="L173" s="99"/>
      <c r="M173" s="99"/>
      <c r="N173" s="278"/>
      <c r="O173" s="278"/>
      <c r="P173" s="125"/>
      <c r="Q173" s="278"/>
    </row>
    <row r="174" spans="1:19" ht="12" customHeight="1" x14ac:dyDescent="0.35">
      <c r="B174" s="1" t="s">
        <v>575</v>
      </c>
      <c r="L174" s="99"/>
      <c r="M174" s="99"/>
      <c r="N174" s="99"/>
      <c r="O174" s="99"/>
      <c r="P174" s="99"/>
      <c r="Q174" s="281"/>
    </row>
    <row r="175" spans="1:19" ht="12" customHeight="1" x14ac:dyDescent="0.25">
      <c r="B175" s="2" t="s">
        <v>576</v>
      </c>
      <c r="F175" s="174" t="s">
        <v>160</v>
      </c>
      <c r="L175" s="99"/>
      <c r="M175" s="99"/>
      <c r="N175" s="99"/>
      <c r="O175" s="99"/>
      <c r="P175" s="191">
        <f>(P168/P84)</f>
        <v>1125.4642857142858</v>
      </c>
      <c r="Q175" s="99"/>
    </row>
    <row r="176" spans="1:19" ht="12" customHeight="1" x14ac:dyDescent="0.25">
      <c r="B176" s="170" t="s">
        <v>577</v>
      </c>
      <c r="F176" s="174" t="s">
        <v>160</v>
      </c>
      <c r="L176" s="99"/>
      <c r="M176" s="99"/>
      <c r="N176" s="99"/>
      <c r="O176" s="99"/>
      <c r="P176" s="105">
        <f>P172-P175</f>
        <v>29824.803571428572</v>
      </c>
      <c r="Q176" s="99"/>
    </row>
    <row r="177" spans="1:19" ht="12" customHeight="1" x14ac:dyDescent="0.25">
      <c r="F177" s="174"/>
      <c r="L177" s="99"/>
      <c r="M177" s="99"/>
      <c r="N177" s="99"/>
      <c r="O177" s="99"/>
      <c r="Q177" s="99"/>
    </row>
    <row r="178" spans="1:19" ht="12" customHeight="1" x14ac:dyDescent="0.25">
      <c r="B178" s="1" t="s">
        <v>834</v>
      </c>
      <c r="F178" s="174"/>
      <c r="L178" s="99"/>
      <c r="M178" s="99"/>
      <c r="N178" s="99"/>
      <c r="O178" s="99"/>
      <c r="Q178" s="99"/>
    </row>
    <row r="179" spans="1:19" ht="12" customHeight="1" x14ac:dyDescent="0.25">
      <c r="B179" s="2" t="s">
        <v>385</v>
      </c>
      <c r="F179" s="174" t="s">
        <v>136</v>
      </c>
      <c r="L179" s="99"/>
      <c r="M179" s="99"/>
      <c r="N179" s="99"/>
      <c r="O179" s="99"/>
      <c r="P179" s="105">
        <f xml:space="preserve"> P172 * H95</f>
        <v>1857.0160714285714</v>
      </c>
      <c r="Q179" s="99"/>
      <c r="S179" s="19"/>
    </row>
    <row r="180" spans="1:19" ht="12" customHeight="1" x14ac:dyDescent="0.25">
      <c r="B180" s="2" t="s">
        <v>835</v>
      </c>
      <c r="F180" s="174" t="s">
        <v>136</v>
      </c>
      <c r="L180" s="99"/>
      <c r="M180" s="99"/>
      <c r="N180" s="99"/>
      <c r="O180" s="99"/>
      <c r="P180" s="105">
        <f xml:space="preserve"> P179 + P171</f>
        <v>2419.7482142857143</v>
      </c>
      <c r="Q180" s="99"/>
      <c r="S180" s="19"/>
    </row>
    <row r="181" spans="1:19" ht="12" customHeight="1" x14ac:dyDescent="0.25">
      <c r="F181" s="174"/>
      <c r="L181" s="99"/>
      <c r="M181" s="99"/>
      <c r="N181" s="99"/>
      <c r="O181" s="99"/>
      <c r="Q181" s="99"/>
    </row>
    <row r="182" spans="1:19" ht="12" customHeight="1" x14ac:dyDescent="0.25">
      <c r="A182" s="206"/>
      <c r="B182" s="1" t="s">
        <v>578</v>
      </c>
      <c r="F182" s="174"/>
      <c r="L182" s="99"/>
      <c r="M182" s="99"/>
      <c r="N182" s="99"/>
      <c r="O182" s="99"/>
      <c r="Q182" s="99"/>
    </row>
    <row r="183" spans="1:19" ht="12" customHeight="1" x14ac:dyDescent="0.25">
      <c r="A183" s="206"/>
      <c r="B183" s="2" t="s">
        <v>385</v>
      </c>
      <c r="F183" s="174" t="s">
        <v>160</v>
      </c>
      <c r="L183" s="99"/>
      <c r="M183" s="99"/>
      <c r="N183" s="99"/>
      <c r="O183" s="99"/>
      <c r="P183" s="105">
        <f>P176*H96</f>
        <v>1729.8386071428572</v>
      </c>
      <c r="Q183" s="99"/>
    </row>
    <row r="184" spans="1:19" ht="12" customHeight="1" x14ac:dyDescent="0.25">
      <c r="A184" s="206"/>
      <c r="B184" s="2" t="s">
        <v>579</v>
      </c>
      <c r="F184" s="174" t="s">
        <v>160</v>
      </c>
      <c r="L184" s="99"/>
      <c r="M184" s="99"/>
      <c r="N184" s="99"/>
      <c r="O184" s="99"/>
      <c r="P184" s="105">
        <f>P175+P183</f>
        <v>2855.302892857143</v>
      </c>
      <c r="Q184" s="99"/>
    </row>
    <row r="185" spans="1:19" ht="12" customHeight="1" x14ac:dyDescent="0.35">
      <c r="L185" s="99"/>
      <c r="M185" s="99"/>
      <c r="N185" s="99"/>
      <c r="O185" s="99"/>
      <c r="P185" s="99"/>
      <c r="Q185" s="99"/>
    </row>
    <row r="186" spans="1:19" s="140" customFormat="1" ht="12" customHeight="1" x14ac:dyDescent="0.35">
      <c r="B186" s="140" t="s">
        <v>830</v>
      </c>
      <c r="L186" s="190"/>
      <c r="M186" s="190"/>
      <c r="N186" s="190"/>
      <c r="O186" s="190"/>
      <c r="P186" s="190"/>
      <c r="Q186" s="190"/>
    </row>
    <row r="187" spans="1:19" ht="12" customHeight="1" x14ac:dyDescent="0.35">
      <c r="L187" s="99"/>
      <c r="M187" s="99"/>
      <c r="N187" s="99"/>
      <c r="O187" s="99"/>
      <c r="P187" s="99"/>
    </row>
    <row r="188" spans="1:19" ht="12" customHeight="1" x14ac:dyDescent="0.35">
      <c r="B188" s="2" t="s">
        <v>580</v>
      </c>
      <c r="F188" s="2" t="s">
        <v>160</v>
      </c>
      <c r="P188" s="105">
        <f>P120+P33+P30</f>
        <v>44372.087919172583</v>
      </c>
    </row>
    <row r="189" spans="1:19" ht="12" customHeight="1" x14ac:dyDescent="0.35">
      <c r="B189" s="2" t="s">
        <v>582</v>
      </c>
      <c r="F189" s="2" t="s">
        <v>160</v>
      </c>
      <c r="P189" s="105">
        <f>P141+P52-P55</f>
        <v>-3041.9884081674036</v>
      </c>
    </row>
    <row r="190" spans="1:19" ht="12" customHeight="1" x14ac:dyDescent="0.35">
      <c r="O190" s="206"/>
      <c r="P190" s="125"/>
      <c r="Q190" s="206"/>
    </row>
    <row r="191" spans="1:19" ht="12" customHeight="1" x14ac:dyDescent="0.35">
      <c r="B191" s="209" t="s">
        <v>580</v>
      </c>
      <c r="F191" s="2" t="s">
        <v>117</v>
      </c>
      <c r="P191" s="282">
        <f>P188*(1+H99)</f>
        <v>49616.29014851644</v>
      </c>
    </row>
    <row r="192" spans="1:19" ht="12" customHeight="1" x14ac:dyDescent="0.35">
      <c r="B192" s="209" t="s">
        <v>582</v>
      </c>
      <c r="F192" s="2" t="s">
        <v>117</v>
      </c>
      <c r="P192" s="191">
        <f>P189*(1+H99)</f>
        <v>-3401.5117738654299</v>
      </c>
    </row>
    <row r="194" spans="2:19" s="140" customFormat="1" ht="12" customHeight="1" x14ac:dyDescent="0.35">
      <c r="B194" s="140" t="s">
        <v>833</v>
      </c>
      <c r="L194" s="190"/>
      <c r="M194" s="190"/>
      <c r="N194" s="190"/>
      <c r="O194" s="190"/>
      <c r="P194" s="190"/>
      <c r="Q194" s="190"/>
    </row>
    <row r="195" spans="2:19" ht="12" customHeight="1" x14ac:dyDescent="0.35">
      <c r="L195" s="99"/>
      <c r="M195" s="99"/>
      <c r="N195" s="99"/>
      <c r="O195" s="99"/>
      <c r="P195" s="99"/>
    </row>
    <row r="196" spans="2:19" ht="12" customHeight="1" x14ac:dyDescent="0.35">
      <c r="B196" s="2" t="s">
        <v>580</v>
      </c>
      <c r="F196" s="2" t="s">
        <v>160</v>
      </c>
      <c r="P196" s="105">
        <f>P159*(1+H98)+P163+P70-P73</f>
        <v>8402.8268632838954</v>
      </c>
      <c r="Q196" s="19"/>
      <c r="S196" s="19"/>
    </row>
    <row r="197" spans="2:19" ht="12" customHeight="1" x14ac:dyDescent="0.35">
      <c r="B197" s="2" t="s">
        <v>582</v>
      </c>
      <c r="C197" s="170"/>
      <c r="D197" s="170"/>
      <c r="E197" s="170"/>
      <c r="F197" s="2" t="s">
        <v>160</v>
      </c>
      <c r="P197" s="105">
        <f>P180*(1+H98)+P184+P79-P82</f>
        <v>5432.3063401142917</v>
      </c>
      <c r="Q197" s="19"/>
      <c r="R197" s="192"/>
      <c r="S197" s="19"/>
    </row>
    <row r="198" spans="2:19" ht="12" customHeight="1" x14ac:dyDescent="0.35">
      <c r="O198" s="206"/>
      <c r="P198" s="125"/>
      <c r="Q198" s="283"/>
    </row>
    <row r="199" spans="2:19" ht="12" customHeight="1" x14ac:dyDescent="0.35">
      <c r="B199" s="2" t="s">
        <v>580</v>
      </c>
      <c r="F199" s="2" t="s">
        <v>117</v>
      </c>
      <c r="P199" s="105">
        <f>P196*(1+H99)</f>
        <v>9395.9314350023578</v>
      </c>
      <c r="Q199" s="19"/>
    </row>
    <row r="200" spans="2:19" ht="12" customHeight="1" x14ac:dyDescent="0.35">
      <c r="B200" s="2" t="s">
        <v>582</v>
      </c>
      <c r="F200" s="2" t="s">
        <v>117</v>
      </c>
      <c r="P200" s="105">
        <f>P197*(1+H99)</f>
        <v>6074.3341182796912</v>
      </c>
      <c r="Q200" s="19"/>
    </row>
    <row r="201" spans="2:19" s="206" customFormat="1" ht="12" customHeight="1" x14ac:dyDescent="0.35">
      <c r="P201" s="125"/>
      <c r="Q201" s="283"/>
    </row>
    <row r="202" spans="2:19" s="140" customFormat="1" ht="12" customHeight="1" x14ac:dyDescent="0.35">
      <c r="B202" s="140" t="s">
        <v>828</v>
      </c>
      <c r="L202" s="190"/>
      <c r="M202" s="190"/>
      <c r="N202" s="190"/>
      <c r="O202" s="190"/>
      <c r="P202" s="190"/>
      <c r="Q202" s="190"/>
    </row>
    <row r="204" spans="2:19" s="1" customFormat="1" ht="12" customHeight="1" x14ac:dyDescent="0.35">
      <c r="B204" s="1" t="s">
        <v>581</v>
      </c>
      <c r="F204" s="209" t="s">
        <v>117</v>
      </c>
      <c r="G204" s="209"/>
      <c r="H204" s="209"/>
      <c r="I204" s="209"/>
      <c r="J204" s="209"/>
      <c r="K204" s="209"/>
      <c r="L204" s="209"/>
      <c r="M204" s="209"/>
      <c r="N204" s="209"/>
      <c r="O204" s="209"/>
      <c r="P204" s="280">
        <f>P191+P199</f>
        <v>59012.221583518796</v>
      </c>
    </row>
    <row r="205" spans="2:19" s="1" customFormat="1" ht="12" customHeight="1" x14ac:dyDescent="0.35">
      <c r="B205" s="1" t="s">
        <v>829</v>
      </c>
      <c r="F205" s="209" t="s">
        <v>117</v>
      </c>
      <c r="G205" s="209"/>
      <c r="H205" s="209"/>
      <c r="I205" s="209"/>
      <c r="J205" s="209"/>
      <c r="K205" s="209"/>
      <c r="L205" s="209"/>
      <c r="M205" s="209"/>
      <c r="N205" s="209"/>
      <c r="O205" s="209"/>
      <c r="P205" s="280">
        <f>P192+P200</f>
        <v>2672.8223444142614</v>
      </c>
    </row>
    <row r="206" spans="2:19" ht="12" customHeight="1" x14ac:dyDescent="0.35">
      <c r="F206" s="209"/>
      <c r="G206" s="209"/>
      <c r="H206" s="209"/>
      <c r="I206" s="209"/>
      <c r="J206" s="209"/>
      <c r="K206" s="209"/>
      <c r="L206" s="209"/>
      <c r="M206" s="209"/>
      <c r="N206" s="209"/>
      <c r="O206" s="209"/>
    </row>
    <row r="207" spans="2:19" ht="12" customHeight="1" x14ac:dyDescent="0.35">
      <c r="F207" s="209"/>
      <c r="G207" s="209"/>
      <c r="H207" s="209"/>
      <c r="I207" s="209"/>
      <c r="J207" s="209"/>
      <c r="K207" s="209"/>
      <c r="L207" s="209"/>
      <c r="M207" s="209"/>
      <c r="N207" s="209"/>
      <c r="O207" s="209"/>
      <c r="P207" s="209"/>
    </row>
    <row r="208" spans="2:19" ht="12" customHeight="1" x14ac:dyDescent="0.35">
      <c r="F208" s="209"/>
      <c r="G208" s="209"/>
      <c r="H208" s="209"/>
      <c r="I208" s="209"/>
      <c r="J208" s="209"/>
      <c r="K208" s="209"/>
      <c r="L208" s="209"/>
      <c r="M208" s="209"/>
      <c r="N208" s="209"/>
      <c r="O208" s="209"/>
      <c r="P208" s="209"/>
    </row>
  </sheetData>
  <phoneticPr fontId="66"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CC"/>
  </sheetPr>
  <dimension ref="A1:S48"/>
  <sheetViews>
    <sheetView showGridLines="0" zoomScale="85" zoomScaleNormal="85" workbookViewId="0">
      <pane xSplit="6" ySplit="9" topLeftCell="G10" activePane="bottomRight" state="frozen"/>
      <selection pane="topRight" activeCell="G1" sqref="G1"/>
      <selection pane="bottomLeft" activeCell="A10" sqref="A10"/>
      <selection pane="bottomRight" activeCell="G10" sqref="G10"/>
    </sheetView>
  </sheetViews>
  <sheetFormatPr defaultColWidth="9.26953125" defaultRowHeight="12.75" customHeight="1" x14ac:dyDescent="0.35"/>
  <cols>
    <col min="1" max="1" width="4" style="2" customWidth="1"/>
    <col min="2" max="2" width="59.453125" style="2" customWidth="1"/>
    <col min="3" max="4" width="4.54296875" style="2" customWidth="1"/>
    <col min="5" max="5" width="12.2695312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3" width="14.7265625" style="30" bestFit="1" customWidth="1"/>
    <col min="14" max="15" width="15.7265625" style="30" bestFit="1" customWidth="1"/>
    <col min="16" max="16" width="12.54296875" style="30" customWidth="1"/>
    <col min="17" max="17" width="15.7265625" style="30" bestFit="1" customWidth="1"/>
    <col min="18" max="19" width="2.7265625" style="2" customWidth="1"/>
    <col min="20" max="34" width="13.7265625" style="2" customWidth="1"/>
    <col min="35" max="16384" width="9.26953125" style="2"/>
  </cols>
  <sheetData>
    <row r="1" spans="1:19" ht="13" x14ac:dyDescent="0.35">
      <c r="A1" s="1"/>
      <c r="L1" s="2"/>
      <c r="M1" s="2"/>
      <c r="N1" s="2"/>
      <c r="O1" s="2"/>
      <c r="P1" s="2"/>
      <c r="Q1" s="2"/>
    </row>
    <row r="2" spans="1:19" s="18" customFormat="1" ht="18" x14ac:dyDescent="0.35">
      <c r="B2" s="18" t="s">
        <v>586</v>
      </c>
    </row>
    <row r="3" spans="1:19" ht="12.5" x14ac:dyDescent="0.35">
      <c r="L3" s="2"/>
      <c r="M3" s="2"/>
      <c r="N3" s="2"/>
      <c r="O3" s="2"/>
      <c r="P3" s="2"/>
      <c r="Q3" s="2"/>
    </row>
    <row r="4" spans="1:19" ht="13" x14ac:dyDescent="0.35">
      <c r="B4" s="1" t="s">
        <v>58</v>
      </c>
      <c r="C4" s="1"/>
      <c r="D4" s="1"/>
      <c r="L4" s="2"/>
      <c r="M4" s="2"/>
      <c r="N4" s="2"/>
      <c r="O4" s="2"/>
      <c r="P4" s="2"/>
      <c r="Q4" s="2"/>
    </row>
    <row r="5" spans="1:19" ht="13" x14ac:dyDescent="0.25">
      <c r="B5" s="39" t="s">
        <v>591</v>
      </c>
      <c r="C5" s="1"/>
      <c r="D5" s="1"/>
      <c r="L5" s="2"/>
      <c r="M5" s="2"/>
      <c r="N5" s="2"/>
      <c r="O5" s="2"/>
      <c r="P5" s="2"/>
      <c r="Q5" s="2"/>
    </row>
    <row r="6" spans="1:19" ht="13" x14ac:dyDescent="0.25">
      <c r="B6" s="39" t="s">
        <v>589</v>
      </c>
      <c r="C6" s="1"/>
      <c r="D6" s="1"/>
      <c r="L6" s="2"/>
      <c r="M6" s="2"/>
      <c r="N6" s="2"/>
      <c r="O6" s="2"/>
      <c r="P6" s="2"/>
      <c r="Q6" s="2"/>
    </row>
    <row r="7" spans="1:19" ht="12.5" x14ac:dyDescent="0.35">
      <c r="L7" s="2"/>
      <c r="M7" s="2"/>
      <c r="N7" s="2"/>
      <c r="O7" s="2"/>
      <c r="P7" s="2"/>
      <c r="Q7" s="2"/>
    </row>
    <row r="8" spans="1:19" s="6" customFormat="1" ht="13" x14ac:dyDescent="0.35">
      <c r="B8" s="6" t="s">
        <v>45</v>
      </c>
      <c r="F8" s="6" t="s">
        <v>27</v>
      </c>
      <c r="H8" s="6" t="s">
        <v>28</v>
      </c>
      <c r="J8" s="6" t="s">
        <v>49</v>
      </c>
      <c r="L8" s="6" t="s">
        <v>88</v>
      </c>
      <c r="M8" s="6" t="s">
        <v>65</v>
      </c>
      <c r="N8" s="6" t="s">
        <v>66</v>
      </c>
      <c r="O8" s="6" t="s">
        <v>67</v>
      </c>
      <c r="P8" s="6" t="s">
        <v>68</v>
      </c>
      <c r="Q8" s="6" t="s">
        <v>69</v>
      </c>
      <c r="R8" s="6" t="s">
        <v>47</v>
      </c>
    </row>
    <row r="9" spans="1:19" ht="12.5" x14ac:dyDescent="0.35">
      <c r="L9" s="2"/>
      <c r="M9" s="2"/>
      <c r="N9" s="2"/>
      <c r="O9" s="2"/>
      <c r="P9" s="2"/>
      <c r="Q9" s="2"/>
    </row>
    <row r="10" spans="1:19" ht="12.5" x14ac:dyDescent="0.35">
      <c r="L10" s="2"/>
      <c r="M10" s="2"/>
      <c r="N10" s="2"/>
      <c r="O10" s="2"/>
      <c r="P10" s="2"/>
      <c r="Q10" s="2"/>
    </row>
    <row r="11" spans="1:19" s="6" customFormat="1" ht="13" x14ac:dyDescent="0.35">
      <c r="B11" s="6" t="s">
        <v>144</v>
      </c>
    </row>
    <row r="12" spans="1:19" ht="12.5" x14ac:dyDescent="0.25">
      <c r="A12" s="120"/>
      <c r="B12" s="120"/>
      <c r="C12" s="120"/>
      <c r="D12" s="120"/>
      <c r="L12" s="2"/>
      <c r="M12" s="2"/>
      <c r="N12" s="2"/>
      <c r="O12" s="2"/>
      <c r="P12" s="2"/>
      <c r="Q12" s="2"/>
    </row>
    <row r="13" spans="1:19" ht="12.5" x14ac:dyDescent="0.25">
      <c r="B13" s="74" t="s">
        <v>201</v>
      </c>
      <c r="C13" s="120"/>
      <c r="D13" s="120"/>
      <c r="F13" s="74" t="s">
        <v>160</v>
      </c>
      <c r="L13" s="178"/>
      <c r="M13" s="178"/>
      <c r="N13" s="46">
        <f>'Input lokale heffingen'!N16</f>
        <v>28633.5</v>
      </c>
      <c r="O13" s="178"/>
      <c r="P13" s="46">
        <f>'Input lokale heffingen'!P16</f>
        <v>-1712821.4493653115</v>
      </c>
      <c r="Q13" s="46">
        <f>'Input lokale heffingen'!Q16</f>
        <v>18007</v>
      </c>
      <c r="S13" s="19"/>
    </row>
    <row r="14" spans="1:19" ht="13" x14ac:dyDescent="0.3">
      <c r="A14" s="74"/>
      <c r="B14" s="92"/>
      <c r="C14" s="74"/>
      <c r="D14" s="74"/>
      <c r="J14" s="121"/>
      <c r="L14" s="2"/>
      <c r="M14" s="2"/>
      <c r="N14" s="2"/>
      <c r="O14" s="2"/>
      <c r="P14" s="2"/>
      <c r="Q14" s="2"/>
    </row>
    <row r="15" spans="1:19" ht="12.5" x14ac:dyDescent="0.25">
      <c r="A15" s="206"/>
      <c r="B15" s="39" t="s">
        <v>583</v>
      </c>
      <c r="C15" s="122"/>
      <c r="D15" s="122"/>
      <c r="E15" s="122"/>
      <c r="F15" s="123" t="s">
        <v>72</v>
      </c>
      <c r="H15" s="48">
        <f>Parameters!P74</f>
        <v>0.11818696111160243</v>
      </c>
      <c r="L15" s="124"/>
      <c r="M15" s="124"/>
      <c r="N15" s="124"/>
      <c r="O15" s="124"/>
      <c r="P15" s="124"/>
      <c r="Q15" s="124"/>
    </row>
    <row r="16" spans="1:19" ht="13" x14ac:dyDescent="0.3">
      <c r="A16" s="74"/>
      <c r="B16" s="92"/>
      <c r="C16" s="74"/>
      <c r="D16" s="74"/>
      <c r="J16" s="121"/>
      <c r="L16" s="2"/>
      <c r="M16" s="2"/>
      <c r="N16" s="2"/>
      <c r="O16" s="2"/>
      <c r="P16" s="2"/>
      <c r="Q16" s="2"/>
    </row>
    <row r="17" spans="1:17" s="6" customFormat="1" ht="13" x14ac:dyDescent="0.35">
      <c r="B17" s="6" t="s">
        <v>71</v>
      </c>
    </row>
    <row r="18" spans="1:17" ht="12.5" x14ac:dyDescent="0.25">
      <c r="A18" s="120"/>
      <c r="B18" s="120"/>
      <c r="C18" s="120"/>
      <c r="D18" s="120"/>
      <c r="L18" s="2"/>
      <c r="M18" s="2"/>
      <c r="N18" s="2"/>
      <c r="O18" s="2"/>
      <c r="P18" s="2"/>
      <c r="Q18" s="2"/>
    </row>
    <row r="19" spans="1:17" ht="12.5" x14ac:dyDescent="0.25">
      <c r="A19" s="122"/>
      <c r="B19" s="39" t="s">
        <v>202</v>
      </c>
      <c r="C19" s="74"/>
      <c r="F19" s="74" t="s">
        <v>160</v>
      </c>
      <c r="L19" s="178"/>
      <c r="M19" s="178"/>
      <c r="N19" s="38">
        <f t="shared" ref="N19:Q19" si="0">N13</f>
        <v>28633.5</v>
      </c>
      <c r="O19" s="178"/>
      <c r="P19" s="38">
        <f t="shared" si="0"/>
        <v>-1712821.4493653115</v>
      </c>
      <c r="Q19" s="38">
        <f t="shared" si="0"/>
        <v>18007</v>
      </c>
    </row>
    <row r="20" spans="1:17" ht="12.5" x14ac:dyDescent="0.35">
      <c r="L20" s="124"/>
      <c r="M20" s="124"/>
      <c r="N20" s="124"/>
      <c r="O20" s="124"/>
      <c r="P20" s="124"/>
      <c r="Q20" s="124"/>
    </row>
    <row r="21" spans="1:17" ht="12.5" x14ac:dyDescent="0.25">
      <c r="B21" s="74" t="s">
        <v>590</v>
      </c>
      <c r="F21" s="74" t="s">
        <v>117</v>
      </c>
      <c r="J21" s="125"/>
      <c r="K21" s="126"/>
      <c r="L21" s="178"/>
      <c r="M21" s="178"/>
      <c r="N21" s="127">
        <f t="shared" ref="N21:Q21" si="1">N19*(1+$H$15)</f>
        <v>32017.606350989066</v>
      </c>
      <c r="O21" s="178"/>
      <c r="P21" s="127">
        <f t="shared" si="1"/>
        <v>-1915254.6113925681</v>
      </c>
      <c r="Q21" s="127">
        <f t="shared" si="1"/>
        <v>20135.192608736626</v>
      </c>
    </row>
    <row r="22" spans="1:17" ht="12.5" x14ac:dyDescent="0.35">
      <c r="L22" s="2"/>
      <c r="M22" s="2"/>
      <c r="N22" s="2"/>
      <c r="O22" s="2"/>
      <c r="P22" s="2"/>
      <c r="Q22" s="2"/>
    </row>
    <row r="23" spans="1:17" ht="12.5" x14ac:dyDescent="0.35">
      <c r="L23" s="2"/>
      <c r="M23" s="2"/>
      <c r="N23" s="2"/>
      <c r="O23" s="2"/>
      <c r="P23" s="2"/>
      <c r="Q23" s="2"/>
    </row>
    <row r="24" spans="1:17" ht="12.65" customHeight="1" x14ac:dyDescent="0.35"/>
    <row r="25" spans="1:17" ht="12.65" customHeight="1" x14ac:dyDescent="0.35"/>
    <row r="26" spans="1:17" ht="12.65" customHeight="1" x14ac:dyDescent="0.35"/>
    <row r="27" spans="1:17" ht="12.65" customHeight="1" x14ac:dyDescent="0.35"/>
    <row r="28" spans="1:17" ht="12.65" customHeight="1" x14ac:dyDescent="0.35"/>
    <row r="29" spans="1:17" ht="12.65" customHeight="1" x14ac:dyDescent="0.35"/>
    <row r="30" spans="1:17" ht="12.65" customHeight="1" x14ac:dyDescent="0.35"/>
    <row r="31" spans="1:17" ht="12.65" customHeight="1" x14ac:dyDescent="0.35"/>
    <row r="32" spans="1:17" ht="12.65" customHeight="1" x14ac:dyDescent="0.35"/>
    <row r="33" spans="14:18" ht="12.65" customHeight="1" x14ac:dyDescent="0.35"/>
    <row r="34" spans="14:18" ht="12.65" customHeight="1" x14ac:dyDescent="0.35"/>
    <row r="35" spans="14:18" ht="12.65" customHeight="1" x14ac:dyDescent="0.35"/>
    <row r="36" spans="14:18" ht="12.65" customHeight="1" x14ac:dyDescent="0.35"/>
    <row r="37" spans="14:18" ht="12.65" customHeight="1" x14ac:dyDescent="0.35"/>
    <row r="38" spans="14:18" ht="12.65" customHeight="1" x14ac:dyDescent="0.35"/>
    <row r="39" spans="14:18" ht="12.65" customHeight="1" x14ac:dyDescent="0.35"/>
    <row r="40" spans="14:18" ht="12.65" customHeight="1" x14ac:dyDescent="0.35"/>
    <row r="41" spans="14:18" ht="12.65" customHeight="1" x14ac:dyDescent="0.35"/>
    <row r="42" spans="14:18" ht="12.65" customHeight="1" x14ac:dyDescent="0.35"/>
    <row r="43" spans="14:18" ht="12.65" customHeight="1" x14ac:dyDescent="0.35"/>
    <row r="46" spans="14:18" ht="12.75" customHeight="1" x14ac:dyDescent="0.35">
      <c r="N46" s="2"/>
    </row>
    <row r="48" spans="14:18" ht="12.75" customHeight="1" x14ac:dyDescent="0.35">
      <c r="R48" s="30"/>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DD865-54BF-4C9B-9E42-52434CD8EDFC}">
  <sheetPr>
    <tabColor rgb="FFFFFFCC"/>
  </sheetPr>
  <dimension ref="A1:AH223"/>
  <sheetViews>
    <sheetView showGridLines="0" zoomScale="85" zoomScaleNormal="85" workbookViewId="0">
      <pane xSplit="6" ySplit="16" topLeftCell="G17" activePane="bottomRight" state="frozen"/>
      <selection pane="topRight" activeCell="G1" sqref="G1"/>
      <selection pane="bottomLeft" activeCell="A10" sqref="A10"/>
      <selection pane="bottomRight" activeCell="G17" sqref="G17"/>
    </sheetView>
  </sheetViews>
  <sheetFormatPr defaultColWidth="9.26953125" defaultRowHeight="12.75" customHeight="1" x14ac:dyDescent="0.35"/>
  <cols>
    <col min="1" max="1" width="4" style="2" customWidth="1"/>
    <col min="2" max="2" width="59.453125" style="2" customWidth="1"/>
    <col min="3" max="4" width="4.54296875" style="2" customWidth="1"/>
    <col min="5" max="5" width="12.2695312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3" width="14.7265625" style="30" bestFit="1" customWidth="1"/>
    <col min="14" max="15" width="15.7265625" style="30" bestFit="1" customWidth="1"/>
    <col min="16" max="16" width="12.54296875" style="30" customWidth="1"/>
    <col min="17" max="17" width="15.7265625" style="30" bestFit="1" customWidth="1"/>
    <col min="18" max="19" width="2.7265625" style="2" customWidth="1"/>
    <col min="20" max="34" width="13.7265625" style="2" customWidth="1"/>
    <col min="35" max="16384" width="9.26953125" style="2"/>
  </cols>
  <sheetData>
    <row r="1" spans="1:18" ht="13" x14ac:dyDescent="0.35">
      <c r="A1" s="1"/>
      <c r="L1" s="2"/>
      <c r="M1" s="2"/>
      <c r="N1" s="2"/>
      <c r="O1" s="2"/>
      <c r="P1" s="2"/>
      <c r="Q1" s="2"/>
    </row>
    <row r="2" spans="1:18" s="18" customFormat="1" ht="18" x14ac:dyDescent="0.35">
      <c r="B2" s="18" t="s">
        <v>713</v>
      </c>
    </row>
    <row r="3" spans="1:18" ht="12.5" x14ac:dyDescent="0.35">
      <c r="L3" s="2"/>
      <c r="M3" s="2"/>
      <c r="N3" s="2"/>
      <c r="O3" s="2"/>
      <c r="P3" s="2"/>
      <c r="Q3" s="2"/>
    </row>
    <row r="4" spans="1:18" ht="13" x14ac:dyDescent="0.35">
      <c r="B4" s="1" t="s">
        <v>58</v>
      </c>
      <c r="C4" s="1"/>
      <c r="D4" s="1"/>
      <c r="L4" s="2"/>
      <c r="M4" s="2"/>
      <c r="N4" s="2"/>
      <c r="O4" s="2"/>
      <c r="P4" s="2"/>
      <c r="Q4" s="2"/>
    </row>
    <row r="5" spans="1:18" ht="13" x14ac:dyDescent="0.25">
      <c r="A5" s="206"/>
      <c r="B5" s="74" t="s">
        <v>714</v>
      </c>
      <c r="C5" s="1"/>
      <c r="D5" s="1"/>
      <c r="L5" s="2"/>
      <c r="M5" s="2"/>
      <c r="N5" s="2"/>
      <c r="O5" s="2"/>
      <c r="P5" s="2"/>
      <c r="Q5" s="2"/>
    </row>
    <row r="6" spans="1:18" ht="13" x14ac:dyDescent="0.35">
      <c r="B6" s="2" t="s">
        <v>592</v>
      </c>
      <c r="C6" s="1"/>
      <c r="D6" s="1"/>
      <c r="L6" s="2"/>
      <c r="M6" s="2"/>
      <c r="N6" s="2"/>
      <c r="O6" s="2"/>
      <c r="P6" s="2"/>
      <c r="Q6" s="2"/>
    </row>
    <row r="7" spans="1:18" ht="12.5" x14ac:dyDescent="0.35">
      <c r="L7" s="2"/>
      <c r="M7" s="2"/>
      <c r="N7" s="2"/>
      <c r="O7" s="2"/>
      <c r="P7" s="2"/>
      <c r="Q7" s="2"/>
    </row>
    <row r="8" spans="1:18" ht="12.5" x14ac:dyDescent="0.35">
      <c r="B8" s="2" t="s">
        <v>882</v>
      </c>
      <c r="L8" s="2"/>
      <c r="M8" s="2"/>
      <c r="N8" s="2"/>
      <c r="O8" s="2"/>
      <c r="P8" s="2"/>
      <c r="Q8" s="2"/>
    </row>
    <row r="9" spans="1:18" ht="12.5" x14ac:dyDescent="0.35">
      <c r="B9" s="2" t="s">
        <v>883</v>
      </c>
      <c r="L9" s="2"/>
      <c r="M9" s="2"/>
      <c r="N9" s="2"/>
      <c r="O9" s="2"/>
      <c r="P9" s="2"/>
      <c r="Q9" s="2"/>
    </row>
    <row r="10" spans="1:18" ht="12.5" x14ac:dyDescent="0.35">
      <c r="B10" s="2" t="s">
        <v>884</v>
      </c>
      <c r="L10" s="2"/>
      <c r="M10" s="2"/>
      <c r="N10" s="2"/>
      <c r="O10" s="2"/>
      <c r="P10" s="2"/>
      <c r="Q10" s="2"/>
    </row>
    <row r="11" spans="1:18" ht="12.5" x14ac:dyDescent="0.35">
      <c r="B11" s="2" t="s">
        <v>885</v>
      </c>
      <c r="L11" s="2"/>
      <c r="M11" s="2"/>
      <c r="N11" s="2"/>
      <c r="O11" s="2"/>
      <c r="P11" s="2"/>
      <c r="Q11" s="2"/>
    </row>
    <row r="12" spans="1:18" ht="12.5" x14ac:dyDescent="0.35">
      <c r="B12" s="2" t="s">
        <v>886</v>
      </c>
      <c r="L12" s="2"/>
      <c r="M12" s="2"/>
      <c r="N12" s="2"/>
      <c r="O12" s="2"/>
      <c r="P12" s="2"/>
      <c r="Q12" s="2"/>
    </row>
    <row r="13" spans="1:18" ht="12.5" x14ac:dyDescent="0.35">
      <c r="B13" s="2" t="s">
        <v>887</v>
      </c>
      <c r="L13" s="2"/>
      <c r="M13" s="2"/>
      <c r="N13" s="2"/>
      <c r="O13" s="2"/>
      <c r="P13" s="2"/>
      <c r="Q13" s="2"/>
    </row>
    <row r="14" spans="1:18" ht="12.5" x14ac:dyDescent="0.35">
      <c r="L14" s="2"/>
      <c r="M14" s="2"/>
      <c r="N14" s="2"/>
      <c r="O14" s="2"/>
      <c r="P14" s="2"/>
      <c r="Q14" s="2"/>
    </row>
    <row r="15" spans="1:18" s="6" customFormat="1" ht="13" x14ac:dyDescent="0.35">
      <c r="B15" s="6" t="s">
        <v>45</v>
      </c>
      <c r="F15" s="6" t="s">
        <v>27</v>
      </c>
      <c r="H15" s="6" t="s">
        <v>28</v>
      </c>
      <c r="J15" s="6" t="s">
        <v>49</v>
      </c>
      <c r="L15" s="6" t="s">
        <v>88</v>
      </c>
      <c r="M15" s="6" t="s">
        <v>65</v>
      </c>
      <c r="N15" s="6" t="s">
        <v>66</v>
      </c>
      <c r="O15" s="6" t="s">
        <v>67</v>
      </c>
      <c r="P15" s="6" t="s">
        <v>68</v>
      </c>
      <c r="Q15" s="6" t="s">
        <v>69</v>
      </c>
      <c r="R15" s="6" t="s">
        <v>47</v>
      </c>
    </row>
    <row r="16" spans="1:18" ht="12.5" x14ac:dyDescent="0.35">
      <c r="L16" s="2"/>
      <c r="M16" s="2"/>
      <c r="N16" s="2"/>
      <c r="O16" s="2"/>
      <c r="P16" s="2"/>
      <c r="Q16" s="2"/>
    </row>
    <row r="17" spans="1:17" ht="12.5" x14ac:dyDescent="0.35">
      <c r="L17" s="2"/>
      <c r="M17" s="2"/>
      <c r="N17" s="2"/>
      <c r="O17" s="2"/>
      <c r="P17" s="2"/>
      <c r="Q17" s="2"/>
    </row>
    <row r="18" spans="1:17" s="6" customFormat="1" ht="13" x14ac:dyDescent="0.35">
      <c r="B18" s="6" t="s">
        <v>720</v>
      </c>
    </row>
    <row r="19" spans="1:17" ht="12.5" x14ac:dyDescent="0.35">
      <c r="L19" s="2"/>
      <c r="M19" s="2"/>
      <c r="N19" s="2"/>
      <c r="O19" s="2"/>
      <c r="P19" s="2"/>
      <c r="Q19" s="2"/>
    </row>
    <row r="20" spans="1:17" ht="13" x14ac:dyDescent="0.35">
      <c r="B20" s="196" t="s">
        <v>199</v>
      </c>
      <c r="L20" s="2"/>
      <c r="M20" s="2"/>
      <c r="N20" s="2"/>
      <c r="O20" s="2"/>
      <c r="P20" s="2"/>
      <c r="Q20" s="2"/>
    </row>
    <row r="21" spans="1:17" ht="12.5" x14ac:dyDescent="0.35">
      <c r="B21" s="87" t="s">
        <v>354</v>
      </c>
      <c r="C21" s="78"/>
      <c r="D21" s="78"/>
      <c r="E21" s="78"/>
      <c r="F21" s="2" t="s">
        <v>70</v>
      </c>
      <c r="L21" s="46">
        <f>'Input netverliezen'!L43</f>
        <v>16378191.921518842</v>
      </c>
      <c r="M21" s="46">
        <f>'Input netverliezen'!M43</f>
        <v>266309125.89958686</v>
      </c>
      <c r="N21" s="46">
        <f>'Input netverliezen'!N43</f>
        <v>285253178.05322069</v>
      </c>
      <c r="O21" s="46">
        <f>'Input netverliezen'!O43</f>
        <v>11960708.825466996</v>
      </c>
      <c r="P21" s="46">
        <f>'Input netverliezen'!P43</f>
        <v>235054769.69438812</v>
      </c>
      <c r="Q21" s="46">
        <f>'Input netverliezen'!Q43</f>
        <v>14216353.026773611</v>
      </c>
    </row>
    <row r="22" spans="1:17" ht="12.5" x14ac:dyDescent="0.35">
      <c r="L22" s="2"/>
      <c r="M22" s="2"/>
      <c r="N22" s="2"/>
      <c r="O22" s="2"/>
      <c r="P22" s="2"/>
      <c r="Q22" s="2"/>
    </row>
    <row r="23" spans="1:17" ht="13" x14ac:dyDescent="0.35">
      <c r="A23" s="260"/>
      <c r="B23" s="1" t="s">
        <v>856</v>
      </c>
      <c r="L23" s="2"/>
      <c r="M23" s="2"/>
      <c r="N23" s="2"/>
      <c r="O23" s="2"/>
      <c r="P23" s="2"/>
      <c r="Q23" s="2"/>
    </row>
    <row r="24" spans="1:17" ht="12.5" x14ac:dyDescent="0.35">
      <c r="A24" s="260"/>
      <c r="B24" s="2" t="s">
        <v>190</v>
      </c>
      <c r="F24" s="2" t="s">
        <v>70</v>
      </c>
      <c r="L24" s="46">
        <f>'Input SO transportdienst'!L14</f>
        <v>141944.87595628412</v>
      </c>
      <c r="M24" s="46">
        <f>'Input SO transportdienst'!M14</f>
        <v>2282439.1565265926</v>
      </c>
      <c r="N24" s="46">
        <f>'Input SO transportdienst'!N14</f>
        <v>2524370.8748670518</v>
      </c>
      <c r="O24" s="46">
        <f>'Input SO transportdienst'!O14</f>
        <v>104555.48666666665</v>
      </c>
      <c r="P24" s="46">
        <f>'Input SO transportdienst'!P14</f>
        <v>2107343.808447673</v>
      </c>
      <c r="Q24" s="46">
        <f>'Input SO transportdienst'!Q14</f>
        <v>53971.742659219308</v>
      </c>
    </row>
    <row r="25" spans="1:17" ht="12.5" x14ac:dyDescent="0.35">
      <c r="A25" s="260"/>
      <c r="B25" s="2" t="s">
        <v>219</v>
      </c>
      <c r="F25" s="2" t="s">
        <v>70</v>
      </c>
      <c r="L25" s="46">
        <f>'Input SO transportdienst'!L15</f>
        <v>482</v>
      </c>
      <c r="M25" s="46">
        <f>'Input SO transportdienst'!M15</f>
        <v>8172.8942186880095</v>
      </c>
      <c r="N25" s="46">
        <f>'Input SO transportdienst'!N15</f>
        <v>8866.3311111111088</v>
      </c>
      <c r="O25" s="46">
        <f>'Input SO transportdienst'!O15</f>
        <v>313.7233333333333</v>
      </c>
      <c r="P25" s="46">
        <f>'Input SO transportdienst'!P15</f>
        <v>7369.606621918756</v>
      </c>
      <c r="Q25" s="46">
        <f>'Input SO transportdienst'!Q15</f>
        <v>607.92611111111103</v>
      </c>
    </row>
    <row r="26" spans="1:17" ht="12.5" x14ac:dyDescent="0.35">
      <c r="A26" s="260"/>
      <c r="B26" s="2" t="s">
        <v>221</v>
      </c>
      <c r="F26" s="2" t="s">
        <v>70</v>
      </c>
      <c r="L26" s="46">
        <f>'Input SO transportdienst'!L16</f>
        <v>118.66666666666667</v>
      </c>
      <c r="M26" s="46">
        <f>'Input SO transportdienst'!M16</f>
        <v>2649.0247520179205</v>
      </c>
      <c r="N26" s="46">
        <f>'Input SO transportdienst'!N16</f>
        <v>2882.3599999999992</v>
      </c>
      <c r="O26" s="46">
        <f>'Input SO transportdienst'!O16</f>
        <v>87.978666666666683</v>
      </c>
      <c r="P26" s="46">
        <f>'Input SO transportdienst'!P16</f>
        <v>2180.8802796601235</v>
      </c>
      <c r="Q26" s="46">
        <f>'Input SO transportdienst'!Q16</f>
        <v>833.42302954371007</v>
      </c>
    </row>
    <row r="27" spans="1:17" ht="12.5" x14ac:dyDescent="0.35">
      <c r="L27" s="2"/>
      <c r="M27" s="2"/>
      <c r="N27" s="2"/>
      <c r="O27" s="2"/>
      <c r="P27" s="2"/>
      <c r="Q27" s="2"/>
    </row>
    <row r="28" spans="1:17" s="6" customFormat="1" ht="13" x14ac:dyDescent="0.35">
      <c r="B28" s="6" t="s">
        <v>715</v>
      </c>
    </row>
    <row r="29" spans="1:17" ht="12.5" x14ac:dyDescent="0.35">
      <c r="L29" s="2"/>
      <c r="M29" s="2"/>
      <c r="N29" s="2"/>
      <c r="O29" s="2"/>
      <c r="P29" s="2"/>
      <c r="Q29" s="2"/>
    </row>
    <row r="30" spans="1:17" ht="12.65" customHeight="1" x14ac:dyDescent="0.35">
      <c r="B30" s="1" t="s">
        <v>447</v>
      </c>
    </row>
    <row r="31" spans="1:17" ht="12.65" customHeight="1" x14ac:dyDescent="0.35"/>
    <row r="32" spans="1:17" ht="12.65" customHeight="1" x14ac:dyDescent="0.35">
      <c r="B32" s="1" t="s">
        <v>448</v>
      </c>
    </row>
    <row r="33" spans="1:34" ht="12.65" customHeight="1" x14ac:dyDescent="0.35">
      <c r="B33" s="2" t="s">
        <v>449</v>
      </c>
      <c r="F33" s="2" t="s">
        <v>70</v>
      </c>
      <c r="L33" s="46">
        <f>'Input SO transportdienst'!L23</f>
        <v>9393</v>
      </c>
      <c r="M33" s="46">
        <f>'Input SO transportdienst'!M23</f>
        <v>225367</v>
      </c>
      <c r="N33" s="46">
        <f>'Input SO transportdienst'!N23</f>
        <v>321912</v>
      </c>
      <c r="O33" s="46">
        <f>'Input SO transportdienst'!O23</f>
        <v>7316</v>
      </c>
      <c r="P33" s="46">
        <f>'Input SO transportdienst'!P23</f>
        <v>327172</v>
      </c>
      <c r="Q33" s="46">
        <f>'Input SO transportdienst'!Q23</f>
        <v>6639</v>
      </c>
      <c r="S33" s="19"/>
    </row>
    <row r="34" spans="1:34" ht="12.65" customHeight="1" x14ac:dyDescent="0.35">
      <c r="B34" s="2" t="s">
        <v>450</v>
      </c>
      <c r="F34" s="2" t="s">
        <v>70</v>
      </c>
      <c r="L34" s="46">
        <f>'Input SO transportdienst'!L24</f>
        <v>124783</v>
      </c>
      <c r="M34" s="46">
        <f>'Input SO transportdienst'!M24</f>
        <v>1955996</v>
      </c>
      <c r="N34" s="46">
        <f>'Input SO transportdienst'!N24</f>
        <v>2106354</v>
      </c>
      <c r="O34" s="46">
        <f>'Input SO transportdienst'!O24</f>
        <v>91654</v>
      </c>
      <c r="P34" s="46">
        <f>'Input SO transportdienst'!P24</f>
        <v>1700609</v>
      </c>
      <c r="Q34" s="46">
        <f>'Input SO transportdienst'!Q24</f>
        <v>46168</v>
      </c>
    </row>
    <row r="35" spans="1:34" ht="12.65" customHeight="1" x14ac:dyDescent="0.35">
      <c r="B35" s="2" t="s">
        <v>451</v>
      </c>
      <c r="F35" s="2" t="s">
        <v>70</v>
      </c>
      <c r="L35" s="46">
        <f>'Input SO transportdienst'!L25</f>
        <v>4980</v>
      </c>
      <c r="M35" s="46">
        <f>'Input SO transportdienst'!M25</f>
        <v>56666</v>
      </c>
      <c r="N35" s="46">
        <f>'Input SO transportdienst'!N25</f>
        <v>55285</v>
      </c>
      <c r="O35" s="46">
        <f>'Input SO transportdienst'!O25</f>
        <v>3470</v>
      </c>
      <c r="P35" s="46">
        <f>'Input SO transportdienst'!P25</f>
        <v>35124</v>
      </c>
      <c r="Q35" s="46">
        <f>'Input SO transportdienst'!Q25</f>
        <v>993</v>
      </c>
    </row>
    <row r="36" spans="1:34" ht="12.65" customHeight="1" x14ac:dyDescent="0.35">
      <c r="B36" s="2" t="s">
        <v>452</v>
      </c>
      <c r="F36" s="2" t="s">
        <v>70</v>
      </c>
      <c r="L36" s="46">
        <f>'Input SO transportdienst'!L26</f>
        <v>170</v>
      </c>
      <c r="M36" s="46">
        <f>'Input SO transportdienst'!M26</f>
        <v>7836</v>
      </c>
      <c r="N36" s="46">
        <f>'Input SO transportdienst'!N26</f>
        <v>11836</v>
      </c>
      <c r="O36" s="46">
        <f>'Input SO transportdienst'!O26</f>
        <v>627</v>
      </c>
      <c r="P36" s="46">
        <f>'Input SO transportdienst'!P26</f>
        <v>7992</v>
      </c>
      <c r="Q36" s="46">
        <f>'Input SO transportdienst'!Q26</f>
        <v>358</v>
      </c>
    </row>
    <row r="37" spans="1:34" ht="12.65" customHeight="1" x14ac:dyDescent="0.35">
      <c r="B37" s="2" t="s">
        <v>453</v>
      </c>
      <c r="F37" s="2" t="s">
        <v>70</v>
      </c>
      <c r="L37" s="46">
        <f>'Input SO transportdienst'!L27</f>
        <v>1820</v>
      </c>
      <c r="M37" s="46">
        <f>'Input SO transportdienst'!M27</f>
        <v>22993</v>
      </c>
      <c r="N37" s="46">
        <f>'Input SO transportdienst'!N27</f>
        <v>19442</v>
      </c>
      <c r="O37" s="46">
        <f>'Input SO transportdienst'!O27</f>
        <v>862</v>
      </c>
      <c r="P37" s="46">
        <f>'Input SO transportdienst'!P27</f>
        <v>14539</v>
      </c>
      <c r="Q37" s="46">
        <f>'Input SO transportdienst'!Q27</f>
        <v>350</v>
      </c>
    </row>
    <row r="38" spans="1:34" s="30" customFormat="1" ht="12.65" customHeight="1" x14ac:dyDescent="0.35">
      <c r="A38" s="2"/>
      <c r="B38" s="2" t="s">
        <v>454</v>
      </c>
      <c r="C38" s="2"/>
      <c r="D38" s="2"/>
      <c r="E38" s="2"/>
      <c r="F38" s="2" t="s">
        <v>70</v>
      </c>
      <c r="G38" s="2"/>
      <c r="H38" s="2"/>
      <c r="I38" s="2"/>
      <c r="J38" s="2"/>
      <c r="K38" s="2"/>
      <c r="L38" s="46">
        <f>'Input SO transportdienst'!L28</f>
        <v>593</v>
      </c>
      <c r="M38" s="46">
        <f>'Input SO transportdienst'!M28</f>
        <v>8050</v>
      </c>
      <c r="N38" s="46">
        <f>'Input SO transportdienst'!N28</f>
        <v>7933</v>
      </c>
      <c r="O38" s="46">
        <f>'Input SO transportdienst'!O28</f>
        <v>310</v>
      </c>
      <c r="P38" s="46">
        <f>'Input SO transportdienst'!P28</f>
        <v>6074</v>
      </c>
      <c r="Q38" s="46">
        <f>'Input SO transportdienst'!Q28</f>
        <v>252</v>
      </c>
      <c r="R38" s="2"/>
      <c r="S38" s="2"/>
      <c r="T38" s="2"/>
      <c r="U38" s="2"/>
      <c r="V38" s="2"/>
      <c r="W38" s="2"/>
      <c r="X38" s="2"/>
      <c r="Y38" s="2"/>
      <c r="Z38" s="2"/>
      <c r="AA38" s="2"/>
      <c r="AB38" s="2"/>
      <c r="AC38" s="2"/>
      <c r="AD38" s="2"/>
      <c r="AE38" s="2"/>
      <c r="AF38" s="2"/>
      <c r="AG38" s="2"/>
      <c r="AH38" s="2"/>
    </row>
    <row r="39" spans="1:34" s="30" customFormat="1" ht="12.6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row>
    <row r="40" spans="1:34" s="30" customFormat="1" ht="12.65" customHeight="1" x14ac:dyDescent="0.35">
      <c r="A40" s="2"/>
      <c r="B40" s="1" t="s">
        <v>455</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row>
    <row r="41" spans="1:34" s="30" customFormat="1" ht="12.65" customHeight="1" x14ac:dyDescent="0.35">
      <c r="A41" s="2"/>
      <c r="B41" s="2" t="s">
        <v>456</v>
      </c>
      <c r="C41" s="2"/>
      <c r="D41" s="2"/>
      <c r="E41" s="2"/>
      <c r="F41" s="2" t="s">
        <v>70</v>
      </c>
      <c r="G41" s="2"/>
      <c r="H41" s="2"/>
      <c r="I41" s="2"/>
      <c r="J41" s="2"/>
      <c r="K41" s="2"/>
      <c r="L41" s="46">
        <f>'Input SO transportdienst'!L31</f>
        <v>229</v>
      </c>
      <c r="M41" s="46">
        <f>'Input SO transportdienst'!M31</f>
        <v>2940</v>
      </c>
      <c r="N41" s="46">
        <f>'Input SO transportdienst'!N31</f>
        <v>3213</v>
      </c>
      <c r="O41" s="46">
        <f>'Input SO transportdienst'!O31</f>
        <v>125</v>
      </c>
      <c r="P41" s="46">
        <f>'Input SO transportdienst'!P31</f>
        <v>2389</v>
      </c>
      <c r="Q41" s="46">
        <f>'Input SO transportdienst'!Q31</f>
        <v>116</v>
      </c>
      <c r="R41" s="2"/>
      <c r="S41" s="2"/>
      <c r="T41" s="2"/>
      <c r="U41" s="2"/>
      <c r="V41" s="2"/>
      <c r="W41" s="2"/>
      <c r="X41" s="2"/>
      <c r="Y41" s="2"/>
      <c r="Z41" s="2"/>
      <c r="AA41" s="2"/>
      <c r="AB41" s="2"/>
      <c r="AC41" s="2"/>
      <c r="AD41" s="2"/>
      <c r="AE41" s="2"/>
      <c r="AF41" s="2"/>
      <c r="AG41" s="2"/>
      <c r="AH41" s="2"/>
    </row>
    <row r="42" spans="1:34" s="30" customFormat="1" ht="12.65" customHeight="1" x14ac:dyDescent="0.35">
      <c r="A42" s="2"/>
      <c r="B42" s="2" t="s">
        <v>457</v>
      </c>
      <c r="C42" s="2"/>
      <c r="D42" s="2"/>
      <c r="E42" s="2"/>
      <c r="F42" s="2" t="s">
        <v>70</v>
      </c>
      <c r="G42" s="2"/>
      <c r="H42" s="2"/>
      <c r="I42" s="2"/>
      <c r="J42" s="2"/>
      <c r="K42" s="2"/>
      <c r="L42" s="46">
        <f>'Input SO transportdienst'!L32</f>
        <v>168</v>
      </c>
      <c r="M42" s="46">
        <f>'Input SO transportdienst'!M32</f>
        <v>2952</v>
      </c>
      <c r="N42" s="46">
        <f>'Input SO transportdienst'!N32</f>
        <v>3464</v>
      </c>
      <c r="O42" s="46">
        <f>'Input SO transportdienst'!O32</f>
        <v>123</v>
      </c>
      <c r="P42" s="46">
        <f>'Input SO transportdienst'!P32</f>
        <v>2808</v>
      </c>
      <c r="Q42" s="46">
        <f>'Input SO transportdienst'!Q32</f>
        <v>193</v>
      </c>
      <c r="R42" s="2"/>
      <c r="S42" s="2"/>
      <c r="T42" s="2"/>
      <c r="U42" s="2"/>
      <c r="V42" s="2"/>
      <c r="W42" s="2"/>
      <c r="X42" s="2"/>
      <c r="Y42" s="2"/>
      <c r="Z42" s="2"/>
      <c r="AA42" s="2"/>
      <c r="AB42" s="2"/>
      <c r="AC42" s="2"/>
      <c r="AD42" s="2"/>
      <c r="AE42" s="2"/>
      <c r="AF42" s="2"/>
      <c r="AG42" s="2"/>
      <c r="AH42" s="2"/>
    </row>
    <row r="43" spans="1:34" s="30" customFormat="1" ht="12.65" customHeight="1" x14ac:dyDescent="0.35">
      <c r="A43" s="2"/>
      <c r="B43" s="2" t="s">
        <v>458</v>
      </c>
      <c r="C43" s="2"/>
      <c r="D43" s="2"/>
      <c r="E43" s="2"/>
      <c r="F43" s="2" t="s">
        <v>70</v>
      </c>
      <c r="G43" s="2"/>
      <c r="H43" s="2"/>
      <c r="I43" s="2"/>
      <c r="J43" s="2"/>
      <c r="K43" s="2"/>
      <c r="L43" s="46">
        <f>'Input SO transportdienst'!L33</f>
        <v>49</v>
      </c>
      <c r="M43" s="46">
        <f>'Input SO transportdienst'!M33</f>
        <v>1297</v>
      </c>
      <c r="N43" s="46">
        <f>'Input SO transportdienst'!N33</f>
        <v>1251</v>
      </c>
      <c r="O43" s="46">
        <f>'Input SO transportdienst'!O33</f>
        <v>32</v>
      </c>
      <c r="P43" s="46">
        <f>'Input SO transportdienst'!P33</f>
        <v>1237</v>
      </c>
      <c r="Q43" s="46">
        <f>'Input SO transportdienst'!Q33</f>
        <v>154</v>
      </c>
      <c r="R43" s="2"/>
      <c r="S43" s="2"/>
      <c r="T43" s="2"/>
      <c r="U43" s="2"/>
      <c r="V43" s="2"/>
      <c r="W43" s="2"/>
      <c r="X43" s="2"/>
      <c r="Y43" s="2"/>
      <c r="Z43" s="2"/>
      <c r="AA43" s="2"/>
      <c r="AB43" s="2"/>
      <c r="AC43" s="2"/>
      <c r="AD43" s="2"/>
      <c r="AE43" s="2"/>
      <c r="AF43" s="2"/>
      <c r="AG43" s="2"/>
      <c r="AH43" s="2"/>
    </row>
    <row r="44" spans="1:34" s="30" customFormat="1" ht="12.65" customHeight="1" x14ac:dyDescent="0.35">
      <c r="A44" s="2"/>
      <c r="B44" s="2" t="s">
        <v>459</v>
      </c>
      <c r="C44" s="2"/>
      <c r="D44" s="2"/>
      <c r="E44" s="2"/>
      <c r="F44" s="2" t="s">
        <v>70</v>
      </c>
      <c r="G44" s="2"/>
      <c r="H44" s="2"/>
      <c r="I44" s="2"/>
      <c r="J44" s="2"/>
      <c r="K44" s="2"/>
      <c r="L44" s="46">
        <f>'Input SO transportdienst'!L34</f>
        <v>29</v>
      </c>
      <c r="M44" s="46">
        <f>'Input SO transportdienst'!M34</f>
        <v>394</v>
      </c>
      <c r="N44" s="46">
        <f>'Input SO transportdienst'!N34</f>
        <v>377</v>
      </c>
      <c r="O44" s="46">
        <f>'Input SO transportdienst'!O34</f>
        <v>19</v>
      </c>
      <c r="P44" s="46">
        <f>'Input SO transportdienst'!P34</f>
        <v>274</v>
      </c>
      <c r="Q44" s="46">
        <f>'Input SO transportdienst'!Q34</f>
        <v>83</v>
      </c>
      <c r="R44" s="2"/>
      <c r="S44" s="2"/>
      <c r="T44" s="2"/>
      <c r="U44" s="2"/>
      <c r="V44" s="2"/>
      <c r="W44" s="2"/>
      <c r="X44" s="2"/>
      <c r="Y44" s="2"/>
      <c r="Z44" s="2"/>
      <c r="AA44" s="2"/>
      <c r="AB44" s="2"/>
      <c r="AC44" s="2"/>
      <c r="AD44" s="2"/>
      <c r="AE44" s="2"/>
      <c r="AF44" s="2"/>
      <c r="AG44" s="2"/>
      <c r="AH44" s="2"/>
    </row>
    <row r="45" spans="1:34" s="30" customFormat="1" ht="12.65" customHeight="1" x14ac:dyDescent="0.35">
      <c r="A45" s="2"/>
      <c r="B45" s="2" t="s">
        <v>460</v>
      </c>
      <c r="C45" s="2"/>
      <c r="D45" s="2"/>
      <c r="E45" s="2"/>
      <c r="F45" s="2" t="s">
        <v>70</v>
      </c>
      <c r="G45" s="2"/>
      <c r="H45" s="2"/>
      <c r="I45" s="2"/>
      <c r="J45" s="2"/>
      <c r="K45" s="2"/>
      <c r="L45" s="46">
        <f>'Input SO transportdienst'!L35</f>
        <v>10</v>
      </c>
      <c r="M45" s="46">
        <f>'Input SO transportdienst'!M35</f>
        <v>177</v>
      </c>
      <c r="N45" s="46">
        <f>'Input SO transportdienst'!N35</f>
        <v>77</v>
      </c>
      <c r="O45" s="46">
        <f>'Input SO transportdienst'!O35</f>
        <v>3</v>
      </c>
      <c r="P45" s="46">
        <f>'Input SO transportdienst'!P35</f>
        <v>216</v>
      </c>
      <c r="Q45" s="46">
        <f>'Input SO transportdienst'!Q35</f>
        <v>23</v>
      </c>
      <c r="R45" s="2"/>
      <c r="S45" s="2"/>
      <c r="T45" s="2"/>
      <c r="U45" s="2"/>
      <c r="V45" s="2"/>
      <c r="W45" s="2"/>
      <c r="X45" s="2"/>
      <c r="Y45" s="2"/>
      <c r="Z45" s="2"/>
      <c r="AA45" s="2"/>
      <c r="AB45" s="2"/>
      <c r="AC45" s="2"/>
      <c r="AD45" s="2"/>
      <c r="AE45" s="2"/>
      <c r="AF45" s="2"/>
      <c r="AG45" s="2"/>
      <c r="AH45" s="2"/>
    </row>
    <row r="46" spans="1:34" s="30" customFormat="1" ht="12.6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s="30" customFormat="1" ht="12.65" customHeight="1" x14ac:dyDescent="0.35">
      <c r="A47" s="2"/>
      <c r="B47" s="1" t="s">
        <v>461</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4" s="30" customFormat="1" ht="12.6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4" s="30" customFormat="1" ht="12.65" customHeight="1" x14ac:dyDescent="0.35">
      <c r="A49" s="2"/>
      <c r="B49" s="2" t="s">
        <v>462</v>
      </c>
      <c r="C49" s="2"/>
      <c r="D49" s="2"/>
      <c r="E49" s="2"/>
      <c r="F49" s="2" t="s">
        <v>70</v>
      </c>
      <c r="G49" s="2"/>
      <c r="H49" s="2"/>
      <c r="I49" s="2"/>
      <c r="J49" s="2"/>
      <c r="K49" s="2"/>
      <c r="L49" s="46">
        <f>'Input SO transportdienst'!L39</f>
        <v>118</v>
      </c>
      <c r="M49" s="46">
        <f>'Input SO transportdienst'!M39</f>
        <v>2599</v>
      </c>
      <c r="N49" s="46">
        <f>'Input SO transportdienst'!N39</f>
        <v>2799</v>
      </c>
      <c r="O49" s="46">
        <f>'Input SO transportdienst'!O39</f>
        <v>87</v>
      </c>
      <c r="P49" s="46">
        <f>'Input SO transportdienst'!P39</f>
        <v>2065</v>
      </c>
      <c r="Q49" s="46">
        <f>'Input SO transportdienst'!Q39</f>
        <v>705</v>
      </c>
      <c r="R49" s="2"/>
      <c r="S49" s="2"/>
      <c r="T49" s="2"/>
      <c r="U49" s="2"/>
      <c r="V49" s="2"/>
      <c r="W49" s="2"/>
      <c r="X49" s="2"/>
      <c r="Y49" s="2"/>
      <c r="Z49" s="2"/>
      <c r="AA49" s="2"/>
      <c r="AB49" s="2"/>
      <c r="AC49" s="2"/>
      <c r="AD49" s="2"/>
      <c r="AE49" s="2"/>
      <c r="AF49" s="2"/>
      <c r="AG49" s="2"/>
      <c r="AH49" s="2"/>
    </row>
    <row r="50" spans="1:34" ht="12.75" customHeight="1" x14ac:dyDescent="0.35">
      <c r="L50" s="2"/>
      <c r="M50" s="2"/>
      <c r="N50" s="2"/>
      <c r="O50" s="2"/>
      <c r="P50" s="2"/>
      <c r="Q50" s="2"/>
    </row>
    <row r="51" spans="1:34" ht="12.75" customHeight="1" x14ac:dyDescent="0.35">
      <c r="B51" s="1" t="s">
        <v>463</v>
      </c>
      <c r="L51" s="2"/>
      <c r="M51" s="2"/>
      <c r="N51" s="2"/>
      <c r="O51" s="2"/>
      <c r="P51" s="2"/>
      <c r="Q51" s="2"/>
    </row>
    <row r="52" spans="1:34" s="30" customFormat="1" ht="12.7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row r="53" spans="1:34" ht="12.75" customHeight="1" x14ac:dyDescent="0.35">
      <c r="B53" s="2" t="s">
        <v>464</v>
      </c>
      <c r="F53" s="2" t="s">
        <v>70</v>
      </c>
      <c r="L53" s="46">
        <f>'Input SO transportdienst'!L43</f>
        <v>24620</v>
      </c>
      <c r="M53" s="46">
        <f>'Input SO transportdienst'!M43</f>
        <v>0</v>
      </c>
      <c r="N53" s="46">
        <f>'Input SO transportdienst'!N43</f>
        <v>629549</v>
      </c>
      <c r="O53" s="46">
        <f>'Input SO transportdienst'!O43</f>
        <v>25108</v>
      </c>
      <c r="P53" s="46">
        <f>'Input SO transportdienst'!P43</f>
        <v>0</v>
      </c>
      <c r="Q53" s="46">
        <f>'Input SO transportdienst'!Q43</f>
        <v>0</v>
      </c>
      <c r="R53" s="30"/>
    </row>
    <row r="54" spans="1:34" ht="12.75" customHeight="1" x14ac:dyDescent="0.35">
      <c r="B54" s="2" t="s">
        <v>465</v>
      </c>
      <c r="F54" s="2" t="s">
        <v>70</v>
      </c>
      <c r="L54" s="46">
        <f>'Input SO transportdienst'!L44</f>
        <v>6478</v>
      </c>
      <c r="M54" s="46">
        <f>'Input SO transportdienst'!M44</f>
        <v>0</v>
      </c>
      <c r="N54" s="46">
        <f>'Input SO transportdienst'!N44</f>
        <v>116519</v>
      </c>
      <c r="O54" s="46">
        <f>'Input SO transportdienst'!O44</f>
        <v>2840</v>
      </c>
      <c r="P54" s="46">
        <f>'Input SO transportdienst'!P44</f>
        <v>0</v>
      </c>
      <c r="Q54" s="46">
        <f>'Input SO transportdienst'!Q44</f>
        <v>0</v>
      </c>
    </row>
    <row r="55" spans="1:34" ht="12.75" customHeight="1" x14ac:dyDescent="0.35">
      <c r="L55" s="2"/>
      <c r="M55" s="2"/>
      <c r="N55" s="2"/>
      <c r="O55" s="2"/>
      <c r="P55" s="2"/>
      <c r="Q55" s="2"/>
    </row>
    <row r="56" spans="1:34" ht="12.75" customHeight="1" x14ac:dyDescent="0.35">
      <c r="B56" s="2" t="s">
        <v>466</v>
      </c>
      <c r="F56" s="2" t="s">
        <v>70</v>
      </c>
      <c r="L56" s="46">
        <f>'Input SO transportdienst'!L46</f>
        <v>0</v>
      </c>
      <c r="M56" s="46">
        <f>'Input SO transportdienst'!M46</f>
        <v>760246</v>
      </c>
      <c r="N56" s="46">
        <f>'Input SO transportdienst'!N46</f>
        <v>0</v>
      </c>
      <c r="O56" s="46">
        <f>'Input SO transportdienst'!O46</f>
        <v>0</v>
      </c>
      <c r="P56" s="46">
        <f>'Input SO transportdienst'!P46</f>
        <v>642028</v>
      </c>
      <c r="Q56" s="46">
        <f>'Input SO transportdienst'!Q46</f>
        <v>310156</v>
      </c>
    </row>
    <row r="57" spans="1:34" ht="12.5" x14ac:dyDescent="0.35">
      <c r="L57" s="2"/>
      <c r="M57" s="2"/>
      <c r="N57" s="2"/>
      <c r="O57" s="2"/>
      <c r="P57" s="2"/>
      <c r="Q57" s="2"/>
    </row>
    <row r="58" spans="1:34" s="6" customFormat="1" ht="13" x14ac:dyDescent="0.35">
      <c r="B58" s="6" t="s">
        <v>716</v>
      </c>
    </row>
    <row r="59" spans="1:34" ht="12.5" x14ac:dyDescent="0.35">
      <c r="L59" s="2"/>
      <c r="M59" s="2"/>
      <c r="N59" s="2"/>
      <c r="O59" s="2"/>
      <c r="P59" s="2"/>
      <c r="Q59" s="2"/>
    </row>
    <row r="60" spans="1:34" ht="12.65" customHeight="1" x14ac:dyDescent="0.35">
      <c r="B60" s="1" t="s">
        <v>447</v>
      </c>
    </row>
    <row r="61" spans="1:34" ht="12.65" customHeight="1" x14ac:dyDescent="0.35"/>
    <row r="62" spans="1:34" ht="12.65" customHeight="1" x14ac:dyDescent="0.35">
      <c r="B62" s="1" t="s">
        <v>448</v>
      </c>
    </row>
    <row r="63" spans="1:34" ht="12.65" customHeight="1" x14ac:dyDescent="0.35">
      <c r="B63" s="2" t="s">
        <v>449</v>
      </c>
      <c r="F63" s="2" t="s">
        <v>70</v>
      </c>
      <c r="L63" s="46">
        <f>'Input SO transportdienst'!L53</f>
        <v>16036</v>
      </c>
      <c r="M63" s="46">
        <f>'Input SO transportdienst'!M53</f>
        <v>347685.3776790417</v>
      </c>
      <c r="N63" s="46">
        <f>'Input SO transportdienst'!N53</f>
        <v>458344.19178082194</v>
      </c>
      <c r="O63" s="46">
        <f>'Input SO transportdienst'!O53</f>
        <v>12268.14</v>
      </c>
      <c r="P63" s="46">
        <f>'Input SO transportdienst'!P53</f>
        <v>446799.20999103948</v>
      </c>
      <c r="Q63" s="46">
        <f>'Input SO transportdienst'!Q53</f>
        <v>9990.3199932997923</v>
      </c>
      <c r="S63" s="19"/>
    </row>
    <row r="64" spans="1:34" ht="12.65" customHeight="1" x14ac:dyDescent="0.35">
      <c r="B64" s="2" t="s">
        <v>450</v>
      </c>
      <c r="F64" s="2" t="s">
        <v>70</v>
      </c>
      <c r="L64" s="46">
        <f>'Input SO transportdienst'!L54</f>
        <v>118989</v>
      </c>
      <c r="M64" s="46">
        <f>'Input SO transportdienst'!M54</f>
        <v>1841210.5407401437</v>
      </c>
      <c r="N64" s="46">
        <f>'Input SO transportdienst'!N54</f>
        <v>1975814.5424312914</v>
      </c>
      <c r="O64" s="46">
        <f>'Input SO transportdienst'!O54</f>
        <v>87210.8</v>
      </c>
      <c r="P64" s="46">
        <f>'Input SO transportdienst'!P54</f>
        <v>1578022.5186379927</v>
      </c>
      <c r="Q64" s="46">
        <f>'Input SO transportdienst'!Q54</f>
        <v>42976.666977931345</v>
      </c>
    </row>
    <row r="65" spans="1:34" ht="12.65" customHeight="1" x14ac:dyDescent="0.35">
      <c r="B65" s="2" t="s">
        <v>451</v>
      </c>
      <c r="F65" s="2" t="s">
        <v>70</v>
      </c>
      <c r="L65" s="46">
        <f>'Input SO transportdienst'!L55</f>
        <v>3098</v>
      </c>
      <c r="M65" s="46">
        <f>'Input SO transportdienst'!M55</f>
        <v>34806.896816182008</v>
      </c>
      <c r="N65" s="46">
        <f>'Input SO transportdienst'!N55</f>
        <v>35413.358921340565</v>
      </c>
      <c r="O65" s="46">
        <f>'Input SO transportdienst'!O55</f>
        <v>2202.04</v>
      </c>
      <c r="P65" s="46">
        <f>'Input SO transportdienst'!P55</f>
        <v>22934.861418330769</v>
      </c>
      <c r="Q65" s="46">
        <f>'Input SO transportdienst'!Q55</f>
        <v>666.10563047986909</v>
      </c>
    </row>
    <row r="66" spans="1:34" ht="12.65" customHeight="1" x14ac:dyDescent="0.35">
      <c r="B66" s="2" t="s">
        <v>452</v>
      </c>
      <c r="F66" s="2" t="s">
        <v>70</v>
      </c>
      <c r="L66" s="46">
        <f>'Input SO transportdienst'!L56</f>
        <v>172</v>
      </c>
      <c r="M66" s="46">
        <f>'Input SO transportdienst'!M56</f>
        <v>7693.1298282183125</v>
      </c>
      <c r="N66" s="46">
        <f>'Input SO transportdienst'!N56</f>
        <v>11651.317808219177</v>
      </c>
      <c r="O66" s="46">
        <f>'Input SO transportdienst'!O56</f>
        <v>616.76</v>
      </c>
      <c r="P66" s="46">
        <f>'Input SO transportdienst'!P56</f>
        <v>7882.5821172555043</v>
      </c>
      <c r="Q66" s="46">
        <f>'Input SO transportdienst'!Q56</f>
        <v>353.77723439180386</v>
      </c>
    </row>
    <row r="67" spans="1:34" ht="12.65" customHeight="1" x14ac:dyDescent="0.35">
      <c r="B67" s="2" t="s">
        <v>453</v>
      </c>
      <c r="F67" s="2" t="s">
        <v>70</v>
      </c>
      <c r="L67" s="46">
        <f>'Input SO transportdienst'!L57</f>
        <v>1770</v>
      </c>
      <c r="M67" s="46">
        <f>'Input SO transportdienst'!M57</f>
        <v>22324.685051607616</v>
      </c>
      <c r="N67" s="46">
        <f>'Input SO transportdienst'!N57</f>
        <v>18988.663010467822</v>
      </c>
      <c r="O67" s="46">
        <f>'Input SO transportdienst'!O57</f>
        <v>840.58</v>
      </c>
      <c r="P67" s="46">
        <f>'Input SO transportdienst'!P57</f>
        <v>14210.092108294933</v>
      </c>
      <c r="Q67" s="46">
        <f>'Input SO transportdienst'!Q57</f>
        <v>339.25747812777536</v>
      </c>
    </row>
    <row r="68" spans="1:34" s="30" customFormat="1" ht="12.65" customHeight="1" x14ac:dyDescent="0.35">
      <c r="A68" s="2"/>
      <c r="B68" s="2" t="s">
        <v>454</v>
      </c>
      <c r="C68" s="2"/>
      <c r="D68" s="2"/>
      <c r="E68" s="2"/>
      <c r="F68" s="2" t="s">
        <v>70</v>
      </c>
      <c r="G68" s="2"/>
      <c r="H68" s="2"/>
      <c r="I68" s="2"/>
      <c r="J68" s="2"/>
      <c r="K68" s="2"/>
      <c r="L68" s="46">
        <f>'Input SO transportdienst'!L58</f>
        <v>577</v>
      </c>
      <c r="M68" s="46">
        <f>'Input SO transportdienst'!M58</f>
        <v>7864.3687471239982</v>
      </c>
      <c r="N68" s="46">
        <f>'Input SO transportdienst'!N58</f>
        <v>7792.41095890411</v>
      </c>
      <c r="O68" s="46">
        <f>'Input SO transportdienst'!O58</f>
        <v>302.29000000000002</v>
      </c>
      <c r="P68" s="46">
        <f>'Input SO transportdienst'!P58</f>
        <v>5941.2478814644137</v>
      </c>
      <c r="Q68" s="46">
        <f>'Input SO transportdienst'!Q58</f>
        <v>252.64557163559556</v>
      </c>
      <c r="R68" s="2"/>
      <c r="S68" s="2"/>
      <c r="T68" s="2"/>
      <c r="U68" s="2"/>
      <c r="V68" s="2"/>
      <c r="W68" s="2"/>
      <c r="X68" s="2"/>
      <c r="Y68" s="2"/>
      <c r="Z68" s="2"/>
      <c r="AA68" s="2"/>
      <c r="AB68" s="2"/>
      <c r="AC68" s="2"/>
      <c r="AD68" s="2"/>
      <c r="AE68" s="2"/>
      <c r="AF68" s="2"/>
      <c r="AG68" s="2"/>
      <c r="AH68" s="2"/>
    </row>
    <row r="69" spans="1:34" s="30" customFormat="1" ht="12.6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1:34" s="30" customFormat="1" ht="12.65" customHeight="1" x14ac:dyDescent="0.35">
      <c r="A70" s="2"/>
      <c r="B70" s="1" t="s">
        <v>455</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s="30" customFormat="1" ht="12.65" customHeight="1" x14ac:dyDescent="0.35">
      <c r="A71" s="2"/>
      <c r="B71" s="2" t="s">
        <v>456</v>
      </c>
      <c r="C71" s="2"/>
      <c r="D71" s="2"/>
      <c r="E71" s="2"/>
      <c r="F71" s="2" t="s">
        <v>70</v>
      </c>
      <c r="G71" s="2"/>
      <c r="H71" s="2"/>
      <c r="I71" s="2"/>
      <c r="J71" s="2"/>
      <c r="K71" s="2"/>
      <c r="L71" s="46">
        <f>'Input SO transportdienst'!L61</f>
        <v>226</v>
      </c>
      <c r="M71" s="46">
        <f>'Input SO transportdienst'!M61</f>
        <v>2883.5119107479522</v>
      </c>
      <c r="N71" s="46">
        <f>'Input SO transportdienst'!N61</f>
        <v>3145.6325000000011</v>
      </c>
      <c r="O71" s="46">
        <f>'Input SO transportdienst'!O61</f>
        <v>122.25</v>
      </c>
      <c r="P71" s="46">
        <f>'Input SO transportdienst'!P61</f>
        <v>2360.0366666666664</v>
      </c>
      <c r="Q71" s="46">
        <f>'Input SO transportdienst'!Q61</f>
        <v>112.79174148964563</v>
      </c>
      <c r="R71" s="2"/>
      <c r="S71" s="2"/>
      <c r="T71" s="2"/>
      <c r="U71" s="2"/>
      <c r="V71" s="2"/>
      <c r="W71" s="2"/>
      <c r="X71" s="2"/>
      <c r="Y71" s="2"/>
      <c r="Z71" s="2"/>
      <c r="AA71" s="2"/>
      <c r="AB71" s="2"/>
      <c r="AC71" s="2"/>
      <c r="AD71" s="2"/>
      <c r="AE71" s="2"/>
      <c r="AF71" s="2"/>
      <c r="AG71" s="2"/>
      <c r="AH71" s="2"/>
    </row>
    <row r="72" spans="1:34" s="30" customFormat="1" ht="12.65" customHeight="1" x14ac:dyDescent="0.35">
      <c r="A72" s="2"/>
      <c r="B72" s="2" t="s">
        <v>457</v>
      </c>
      <c r="C72" s="2"/>
      <c r="D72" s="2"/>
      <c r="E72" s="2"/>
      <c r="F72" s="2" t="s">
        <v>70</v>
      </c>
      <c r="G72" s="2"/>
      <c r="H72" s="2"/>
      <c r="I72" s="2"/>
      <c r="J72" s="2"/>
      <c r="K72" s="2"/>
      <c r="L72" s="46">
        <f>'Input SO transportdienst'!L62</f>
        <v>168</v>
      </c>
      <c r="M72" s="46">
        <f>'Input SO transportdienst'!M62</f>
        <v>2885.5124630298105</v>
      </c>
      <c r="N72" s="46">
        <f>'Input SO transportdienst'!N62</f>
        <v>3412.1574999999998</v>
      </c>
      <c r="O72" s="46">
        <f>'Input SO transportdienst'!O62</f>
        <v>118.84</v>
      </c>
      <c r="P72" s="46">
        <f>'Input SO transportdienst'!P62</f>
        <v>2753.4973333333332</v>
      </c>
      <c r="Q72" s="46">
        <f>'Input SO transportdienst'!Q62</f>
        <v>187.56159271171305</v>
      </c>
      <c r="R72" s="2"/>
      <c r="S72" s="2"/>
      <c r="T72" s="2"/>
      <c r="U72" s="2"/>
      <c r="V72" s="2"/>
      <c r="W72" s="2"/>
      <c r="X72" s="2"/>
      <c r="Y72" s="2"/>
      <c r="Z72" s="2"/>
      <c r="AA72" s="2"/>
      <c r="AB72" s="2"/>
      <c r="AC72" s="2"/>
      <c r="AD72" s="2"/>
      <c r="AE72" s="2"/>
      <c r="AF72" s="2"/>
      <c r="AG72" s="2"/>
      <c r="AH72" s="2"/>
    </row>
    <row r="73" spans="1:34" s="30" customFormat="1" ht="12.65" customHeight="1" x14ac:dyDescent="0.35">
      <c r="A73" s="2"/>
      <c r="B73" s="2" t="s">
        <v>458</v>
      </c>
      <c r="C73" s="2"/>
      <c r="D73" s="2"/>
      <c r="E73" s="2"/>
      <c r="F73" s="2" t="s">
        <v>70</v>
      </c>
      <c r="G73" s="2"/>
      <c r="H73" s="2"/>
      <c r="I73" s="2"/>
      <c r="J73" s="2"/>
      <c r="K73" s="2"/>
      <c r="L73" s="46">
        <f>'Input SO transportdienst'!L63</f>
        <v>50</v>
      </c>
      <c r="M73" s="46">
        <f>'Input SO transportdienst'!M63</f>
        <v>1258.0419717872196</v>
      </c>
      <c r="N73" s="46">
        <f>'Input SO transportdienst'!N63</f>
        <v>1228.135</v>
      </c>
      <c r="O73" s="46">
        <f>'Input SO transportdienst'!O63</f>
        <v>31.17</v>
      </c>
      <c r="P73" s="46">
        <f>'Input SO transportdienst'!P63</f>
        <v>1204.7494444444446</v>
      </c>
      <c r="Q73" s="46">
        <f>'Input SO transportdienst'!Q63</f>
        <v>158.84918588593879</v>
      </c>
      <c r="R73" s="2"/>
      <c r="S73" s="2"/>
      <c r="T73" s="2"/>
      <c r="U73" s="2"/>
      <c r="V73" s="2"/>
      <c r="W73" s="2"/>
      <c r="X73" s="2"/>
      <c r="Y73" s="2"/>
      <c r="Z73" s="2"/>
      <c r="AA73" s="2"/>
      <c r="AB73" s="2"/>
      <c r="AC73" s="2"/>
      <c r="AD73" s="2"/>
      <c r="AE73" s="2"/>
      <c r="AF73" s="2"/>
      <c r="AG73" s="2"/>
      <c r="AH73" s="2"/>
    </row>
    <row r="74" spans="1:34" s="30" customFormat="1" ht="12.65" customHeight="1" x14ac:dyDescent="0.35">
      <c r="A74" s="2"/>
      <c r="B74" s="2" t="s">
        <v>459</v>
      </c>
      <c r="C74" s="2"/>
      <c r="D74" s="2"/>
      <c r="E74" s="2"/>
      <c r="F74" s="2" t="s">
        <v>70</v>
      </c>
      <c r="G74" s="2"/>
      <c r="H74" s="2"/>
      <c r="I74" s="2"/>
      <c r="J74" s="2"/>
      <c r="K74" s="2"/>
      <c r="L74" s="46">
        <f>'Input SO transportdienst'!L64</f>
        <v>29</v>
      </c>
      <c r="M74" s="46">
        <f>'Input SO transportdienst'!M64</f>
        <v>389.75930712877289</v>
      </c>
      <c r="N74" s="46">
        <f>'Input SO transportdienst'!N64</f>
        <v>361.73916666666668</v>
      </c>
      <c r="O74" s="46">
        <f>'Input SO transportdienst'!O64</f>
        <v>17.78</v>
      </c>
      <c r="P74" s="46">
        <f>'Input SO transportdienst'!P64</f>
        <v>272.995</v>
      </c>
      <c r="Q74" s="46">
        <f>'Input SO transportdienst'!Q64</f>
        <v>78.342553501944636</v>
      </c>
      <c r="R74" s="2"/>
      <c r="S74" s="2"/>
      <c r="T74" s="2"/>
      <c r="U74" s="2"/>
      <c r="V74" s="2"/>
      <c r="W74" s="2"/>
      <c r="X74" s="2"/>
      <c r="Y74" s="2"/>
      <c r="Z74" s="2"/>
      <c r="AA74" s="2"/>
      <c r="AB74" s="2"/>
      <c r="AC74" s="2"/>
      <c r="AD74" s="2"/>
      <c r="AE74" s="2"/>
      <c r="AF74" s="2"/>
      <c r="AG74" s="2"/>
      <c r="AH74" s="2"/>
    </row>
    <row r="75" spans="1:34" s="30" customFormat="1" ht="12.65" customHeight="1" x14ac:dyDescent="0.35">
      <c r="A75" s="2"/>
      <c r="B75" s="2" t="s">
        <v>460</v>
      </c>
      <c r="C75" s="2"/>
      <c r="D75" s="2"/>
      <c r="E75" s="2"/>
      <c r="F75" s="2" t="s">
        <v>70</v>
      </c>
      <c r="G75" s="2"/>
      <c r="H75" s="2"/>
      <c r="I75" s="2"/>
      <c r="J75" s="2"/>
      <c r="K75" s="2"/>
      <c r="L75" s="46">
        <f>'Input SO transportdienst'!L65</f>
        <v>10</v>
      </c>
      <c r="M75" s="46">
        <f>'Input SO transportdienst'!M65</f>
        <v>175.68812216401685</v>
      </c>
      <c r="N75" s="46">
        <f>'Input SO transportdienst'!N65</f>
        <v>75.592500000000015</v>
      </c>
      <c r="O75" s="46">
        <f>'Input SO transportdienst'!O65</f>
        <v>3.04</v>
      </c>
      <c r="P75" s="46">
        <f>'Input SO transportdienst'!P65</f>
        <v>198.42666666666668</v>
      </c>
      <c r="Q75" s="46">
        <f>'Input SO transportdienst'!Q65</f>
        <v>23.162704188535638</v>
      </c>
      <c r="R75" s="2"/>
      <c r="S75" s="2"/>
      <c r="T75" s="2"/>
      <c r="U75" s="2"/>
      <c r="V75" s="2"/>
      <c r="W75" s="2"/>
      <c r="X75" s="2"/>
      <c r="Y75" s="2"/>
      <c r="Z75" s="2"/>
      <c r="AA75" s="2"/>
      <c r="AB75" s="2"/>
      <c r="AC75" s="2"/>
      <c r="AD75" s="2"/>
      <c r="AE75" s="2"/>
      <c r="AF75" s="2"/>
      <c r="AG75" s="2"/>
      <c r="AH75" s="2"/>
    </row>
    <row r="76" spans="1:34" s="30" customFormat="1" ht="12.6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spans="1:34" s="30" customFormat="1" ht="12.65" customHeight="1" x14ac:dyDescent="0.35">
      <c r="A77" s="2"/>
      <c r="B77" s="1" t="s">
        <v>461</v>
      </c>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row>
    <row r="78" spans="1:34" s="30" customFormat="1" ht="12.6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row>
    <row r="79" spans="1:34" s="30" customFormat="1" ht="12.65" customHeight="1" x14ac:dyDescent="0.35">
      <c r="A79" s="2"/>
      <c r="B79" s="2" t="s">
        <v>462</v>
      </c>
      <c r="C79" s="2"/>
      <c r="D79" s="2"/>
      <c r="E79" s="2"/>
      <c r="F79" s="2" t="s">
        <v>70</v>
      </c>
      <c r="G79" s="2"/>
      <c r="H79" s="2"/>
      <c r="I79" s="2"/>
      <c r="J79" s="2"/>
      <c r="K79" s="2"/>
      <c r="L79" s="46">
        <f>'Input SO transportdienst'!L69</f>
        <v>121</v>
      </c>
      <c r="M79" s="46">
        <f>'Input SO transportdienst'!M69</f>
        <v>2579.748553758629</v>
      </c>
      <c r="N79" s="46">
        <f>'Input SO transportdienst'!N69</f>
        <v>2770.2975000000006</v>
      </c>
      <c r="O79" s="46">
        <f>'Input SO transportdienst'!O69</f>
        <v>88.712999999999994</v>
      </c>
      <c r="P79" s="46">
        <f>'Input SO transportdienst'!P69</f>
        <v>2036.9535419126325</v>
      </c>
      <c r="Q79" s="46">
        <f>'Input SO transportdienst'!Q69</f>
        <v>683.87268018018017</v>
      </c>
      <c r="R79" s="2"/>
      <c r="S79" s="2"/>
      <c r="T79" s="2"/>
      <c r="U79" s="2"/>
      <c r="V79" s="2"/>
      <c r="W79" s="2"/>
      <c r="X79" s="2"/>
      <c r="Y79" s="2"/>
      <c r="Z79" s="2"/>
      <c r="AA79" s="2"/>
      <c r="AB79" s="2"/>
      <c r="AC79" s="2"/>
      <c r="AD79" s="2"/>
      <c r="AE79" s="2"/>
      <c r="AF79" s="2"/>
      <c r="AG79" s="2"/>
      <c r="AH79" s="2"/>
    </row>
    <row r="80" spans="1:34" ht="12.75" customHeight="1" x14ac:dyDescent="0.35">
      <c r="L80" s="2"/>
      <c r="M80" s="2"/>
      <c r="N80" s="2"/>
      <c r="O80" s="2"/>
      <c r="P80" s="2"/>
      <c r="Q80" s="2"/>
    </row>
    <row r="81" spans="1:34" ht="12.75" customHeight="1" x14ac:dyDescent="0.35">
      <c r="B81" s="1" t="s">
        <v>463</v>
      </c>
      <c r="L81" s="2"/>
      <c r="M81" s="2"/>
      <c r="N81" s="2"/>
      <c r="O81" s="2"/>
      <c r="P81" s="2"/>
      <c r="Q81" s="2"/>
    </row>
    <row r="82" spans="1:34" s="30" customFormat="1" ht="12.7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row>
    <row r="83" spans="1:34" ht="12.75" customHeight="1" x14ac:dyDescent="0.35">
      <c r="B83" s="2" t="s">
        <v>464</v>
      </c>
      <c r="F83" s="2" t="s">
        <v>70</v>
      </c>
      <c r="L83" s="46">
        <f>'Input SO transportdienst'!L73</f>
        <v>22564</v>
      </c>
      <c r="M83" s="46">
        <f>'Input SO transportdienst'!M73</f>
        <v>0</v>
      </c>
      <c r="N83" s="46">
        <f>'Input SO transportdienst'!N73</f>
        <v>631815.51416666666</v>
      </c>
      <c r="O83" s="46">
        <f>'Input SO transportdienst'!O73</f>
        <v>25174.799999999999</v>
      </c>
      <c r="P83" s="46">
        <f>'Input SO transportdienst'!P73</f>
        <v>0</v>
      </c>
      <c r="Q83" s="46">
        <f>'Input SO transportdienst'!Q73</f>
        <v>0</v>
      </c>
      <c r="R83" s="30"/>
    </row>
    <row r="84" spans="1:34" ht="12.75" customHeight="1" x14ac:dyDescent="0.35">
      <c r="B84" s="2" t="s">
        <v>465</v>
      </c>
      <c r="F84" s="2" t="s">
        <v>70</v>
      </c>
      <c r="L84" s="46">
        <f>'Input SO transportdienst'!L74</f>
        <v>6941</v>
      </c>
      <c r="M84" s="46">
        <f>'Input SO transportdienst'!M74</f>
        <v>0</v>
      </c>
      <c r="N84" s="46">
        <f>'Input SO transportdienst'!N74</f>
        <v>114152.84916666667</v>
      </c>
      <c r="O84" s="46">
        <f>'Input SO transportdienst'!O74</f>
        <v>2903.2</v>
      </c>
      <c r="P84" s="46">
        <f>'Input SO transportdienst'!P74</f>
        <v>0</v>
      </c>
      <c r="Q84" s="46">
        <f>'Input SO transportdienst'!Q74</f>
        <v>0</v>
      </c>
    </row>
    <row r="85" spans="1:34" ht="12.75" customHeight="1" x14ac:dyDescent="0.35">
      <c r="L85" s="2"/>
      <c r="M85" s="2"/>
      <c r="N85" s="2"/>
      <c r="O85" s="2"/>
      <c r="P85" s="2"/>
      <c r="Q85" s="2"/>
    </row>
    <row r="86" spans="1:34" ht="12.75" customHeight="1" x14ac:dyDescent="0.35">
      <c r="B86" s="2" t="s">
        <v>466</v>
      </c>
      <c r="F86" s="2" t="s">
        <v>70</v>
      </c>
      <c r="L86" s="46">
        <f>'Input SO transportdienst'!L76</f>
        <v>0</v>
      </c>
      <c r="M86" s="46">
        <f>'Input SO transportdienst'!M76</f>
        <v>752800.60098651855</v>
      </c>
      <c r="N86" s="46">
        <f>'Input SO transportdienst'!N76</f>
        <v>0</v>
      </c>
      <c r="O86" s="46">
        <f>'Input SO transportdienst'!O76</f>
        <v>0</v>
      </c>
      <c r="P86" s="46">
        <f>'Input SO transportdienst'!P76</f>
        <v>645622.89263235836</v>
      </c>
      <c r="Q86" s="46">
        <f>'Input SO transportdienst'!Q76</f>
        <v>308599.53232565097</v>
      </c>
    </row>
    <row r="87" spans="1:34" ht="12.5" x14ac:dyDescent="0.35">
      <c r="L87" s="2"/>
      <c r="M87" s="2"/>
      <c r="N87" s="2"/>
      <c r="O87" s="2"/>
      <c r="P87" s="2"/>
      <c r="Q87" s="2"/>
    </row>
    <row r="88" spans="1:34" s="6" customFormat="1" ht="13" x14ac:dyDescent="0.35">
      <c r="B88" s="6" t="s">
        <v>595</v>
      </c>
    </row>
    <row r="89" spans="1:34" ht="12.5" x14ac:dyDescent="0.35">
      <c r="L89" s="2"/>
      <c r="M89" s="2"/>
      <c r="N89" s="2"/>
      <c r="O89" s="2"/>
      <c r="P89" s="2"/>
      <c r="Q89" s="2"/>
    </row>
    <row r="90" spans="1:34" ht="12.65" customHeight="1" x14ac:dyDescent="0.35">
      <c r="B90" s="1" t="s">
        <v>447</v>
      </c>
    </row>
    <row r="91" spans="1:34" ht="12.65" customHeight="1" x14ac:dyDescent="0.35"/>
    <row r="92" spans="1:34" ht="12.65" customHeight="1" x14ac:dyDescent="0.35">
      <c r="B92" s="1" t="s">
        <v>448</v>
      </c>
    </row>
    <row r="93" spans="1:34" ht="12.65" customHeight="1" x14ac:dyDescent="0.35">
      <c r="B93" s="2" t="s">
        <v>449</v>
      </c>
      <c r="F93" s="2" t="s">
        <v>70</v>
      </c>
      <c r="L93" s="46">
        <f>'Input SO transportdienst'!L83</f>
        <v>19857</v>
      </c>
      <c r="M93" s="46">
        <f>'Input SO transportdienst'!M83</f>
        <v>404078.44546306098</v>
      </c>
      <c r="N93" s="46">
        <f>'Input SO transportdienst'!N83</f>
        <v>510615.31956944062</v>
      </c>
      <c r="O93" s="46">
        <f>'Input SO transportdienst'!O83</f>
        <v>14886.96</v>
      </c>
      <c r="P93" s="46">
        <f>'Input SO transportdienst'!P83</f>
        <v>481638.22800333705</v>
      </c>
      <c r="Q93" s="46">
        <f>'Input SO transportdienst'!Q83</f>
        <v>11033.281476464641</v>
      </c>
      <c r="S93" s="19"/>
    </row>
    <row r="94" spans="1:34" ht="12.65" customHeight="1" x14ac:dyDescent="0.35">
      <c r="B94" s="2" t="s">
        <v>450</v>
      </c>
      <c r="F94" s="2" t="s">
        <v>70</v>
      </c>
      <c r="L94" s="46">
        <f>'Input SO transportdienst'!L84</f>
        <v>114773</v>
      </c>
      <c r="M94" s="46">
        <f>'Input SO transportdienst'!M84</f>
        <v>1776032.0819168524</v>
      </c>
      <c r="N94" s="46">
        <f>'Input SO transportdienst'!N84</f>
        <v>1914763.9671693449</v>
      </c>
      <c r="O94" s="46">
        <f>'Input SO transportdienst'!O84</f>
        <v>84213.35</v>
      </c>
      <c r="P94" s="46">
        <f>'Input SO transportdienst'!P84</f>
        <v>1532866.8475126682</v>
      </c>
      <c r="Q94" s="46">
        <f>'Input SO transportdienst'!Q84</f>
        <v>41780.94884248219</v>
      </c>
    </row>
    <row r="95" spans="1:34" ht="12.65" customHeight="1" x14ac:dyDescent="0.35">
      <c r="B95" s="2" t="s">
        <v>451</v>
      </c>
      <c r="F95" s="2" t="s">
        <v>70</v>
      </c>
      <c r="L95" s="46">
        <f>'Input SO transportdienst'!L85</f>
        <v>2398</v>
      </c>
      <c r="M95" s="46">
        <f>'Input SO transportdienst'!M85</f>
        <v>27013.637050708352</v>
      </c>
      <c r="N95" s="46">
        <f>'Input SO transportdienst'!N85</f>
        <v>28184.669403957454</v>
      </c>
      <c r="O95" s="46">
        <f>'Input SO transportdienst'!O85</f>
        <v>1726.19</v>
      </c>
      <c r="P95" s="46">
        <f>'Input SO transportdienst'!P85</f>
        <v>18317.128729452477</v>
      </c>
      <c r="Q95" s="46">
        <f>'Input SO transportdienst'!Q85</f>
        <v>567.97229496230887</v>
      </c>
    </row>
    <row r="96" spans="1:34" ht="12.65" customHeight="1" x14ac:dyDescent="0.35">
      <c r="B96" s="2" t="s">
        <v>452</v>
      </c>
      <c r="F96" s="2" t="s">
        <v>70</v>
      </c>
      <c r="L96" s="46">
        <f>'Input SO transportdienst'!L86</f>
        <v>173</v>
      </c>
      <c r="M96" s="46">
        <f>'Input SO transportdienst'!M86</f>
        <v>7538.3933094757067</v>
      </c>
      <c r="N96" s="46">
        <f>'Input SO transportdienst'!N86</f>
        <v>11465.398902053472</v>
      </c>
      <c r="O96" s="46">
        <f>'Input SO transportdienst'!O86</f>
        <v>603.16</v>
      </c>
      <c r="P96" s="46">
        <f>'Input SO transportdienst'!P86</f>
        <v>7753.344284390063</v>
      </c>
      <c r="Q96" s="46">
        <f>'Input SO transportdienst'!Q86</f>
        <v>350.15371749925163</v>
      </c>
    </row>
    <row r="97" spans="1:34" ht="12.65" customHeight="1" x14ac:dyDescent="0.35">
      <c r="B97" s="2" t="s">
        <v>453</v>
      </c>
      <c r="F97" s="2" t="s">
        <v>70</v>
      </c>
      <c r="L97" s="46">
        <f>'Input SO transportdienst'!L87</f>
        <v>1724</v>
      </c>
      <c r="M97" s="46">
        <f>'Input SO transportdienst'!M87</f>
        <v>21709.641493439027</v>
      </c>
      <c r="N97" s="46">
        <f>'Input SO transportdienst'!N87</f>
        <v>18540.860662050647</v>
      </c>
      <c r="O97" s="46">
        <f>'Input SO transportdienst'!O87</f>
        <v>829.21</v>
      </c>
      <c r="P97" s="46">
        <f>'Input SO transportdienst'!P87</f>
        <v>13884.229624273887</v>
      </c>
      <c r="Q97" s="46">
        <f>'Input SO transportdienst'!Q87</f>
        <v>334.61626696004987</v>
      </c>
    </row>
    <row r="98" spans="1:34" s="30" customFormat="1" ht="12.65" customHeight="1" x14ac:dyDescent="0.35">
      <c r="A98" s="2"/>
      <c r="B98" s="2" t="s">
        <v>454</v>
      </c>
      <c r="C98" s="2"/>
      <c r="D98" s="2"/>
      <c r="E98" s="2"/>
      <c r="F98" s="2" t="s">
        <v>70</v>
      </c>
      <c r="G98" s="2"/>
      <c r="H98" s="2"/>
      <c r="I98" s="2"/>
      <c r="J98" s="2"/>
      <c r="K98" s="2"/>
      <c r="L98" s="46">
        <f>'Input SO transportdienst'!L88</f>
        <v>567</v>
      </c>
      <c r="M98" s="46">
        <f>'Input SO transportdienst'!M88</f>
        <v>7657.5424829805197</v>
      </c>
      <c r="N98" s="46">
        <f>'Input SO transportdienst'!N88</f>
        <v>7629.5901639344265</v>
      </c>
      <c r="O98" s="46">
        <f>'Input SO transportdienst'!O88</f>
        <v>292.79000000000002</v>
      </c>
      <c r="P98" s="46">
        <f>'Input SO transportdienst'!P88</f>
        <v>5831.2459584723765</v>
      </c>
      <c r="Q98" s="46">
        <f>'Input SO transportdienst'!Q88</f>
        <v>255.28101402469241</v>
      </c>
      <c r="R98" s="2"/>
      <c r="S98" s="2"/>
      <c r="T98" s="2"/>
      <c r="U98" s="2"/>
      <c r="V98" s="2"/>
      <c r="W98" s="2"/>
      <c r="X98" s="2"/>
      <c r="Y98" s="2"/>
      <c r="Z98" s="2"/>
      <c r="AA98" s="2"/>
      <c r="AB98" s="2"/>
      <c r="AC98" s="2"/>
      <c r="AD98" s="2"/>
      <c r="AE98" s="2"/>
      <c r="AF98" s="2"/>
      <c r="AG98" s="2"/>
      <c r="AH98" s="2"/>
    </row>
    <row r="99" spans="1:34" s="30" customFormat="1" ht="12.6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spans="1:34" s="30" customFormat="1" ht="12.65" customHeight="1" x14ac:dyDescent="0.35">
      <c r="A100" s="2"/>
      <c r="B100" s="1" t="s">
        <v>455</v>
      </c>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spans="1:34" s="30" customFormat="1" ht="12.65" customHeight="1" x14ac:dyDescent="0.35">
      <c r="A101" s="2"/>
      <c r="B101" s="2" t="s">
        <v>456</v>
      </c>
      <c r="C101" s="2"/>
      <c r="D101" s="2"/>
      <c r="E101" s="2"/>
      <c r="F101" s="2" t="s">
        <v>70</v>
      </c>
      <c r="G101" s="2"/>
      <c r="H101" s="2"/>
      <c r="I101" s="2"/>
      <c r="J101" s="2"/>
      <c r="K101" s="2"/>
      <c r="L101" s="46">
        <f>'Input SO transportdienst'!L91</f>
        <v>224</v>
      </c>
      <c r="M101" s="46">
        <f>'Input SO transportdienst'!M91</f>
        <v>2834.1414948832612</v>
      </c>
      <c r="N101" s="46">
        <f>'Input SO transportdienst'!N91</f>
        <v>3065.9424999999997</v>
      </c>
      <c r="O101" s="46">
        <f>'Input SO transportdienst'!O91</f>
        <v>118.19</v>
      </c>
      <c r="P101" s="46">
        <f>'Input SO transportdienst'!P91</f>
        <v>2319.1861111111111</v>
      </c>
      <c r="Q101" s="46">
        <f>'Input SO transportdienst'!Q91</f>
        <v>100.07703387753756</v>
      </c>
      <c r="R101" s="2"/>
      <c r="S101" s="2"/>
      <c r="T101" s="2"/>
      <c r="U101" s="2"/>
      <c r="V101" s="2"/>
      <c r="W101" s="2"/>
      <c r="X101" s="2"/>
      <c r="Y101" s="2"/>
      <c r="Z101" s="2"/>
      <c r="AA101" s="2"/>
      <c r="AB101" s="2"/>
      <c r="AC101" s="2"/>
      <c r="AD101" s="2"/>
      <c r="AE101" s="2"/>
      <c r="AF101" s="2"/>
      <c r="AG101" s="2"/>
      <c r="AH101" s="2"/>
    </row>
    <row r="102" spans="1:34" s="30" customFormat="1" ht="12.65" customHeight="1" x14ac:dyDescent="0.35">
      <c r="A102" s="2"/>
      <c r="B102" s="2" t="s">
        <v>457</v>
      </c>
      <c r="C102" s="2"/>
      <c r="D102" s="2"/>
      <c r="E102" s="2"/>
      <c r="F102" s="2" t="s">
        <v>70</v>
      </c>
      <c r="G102" s="2"/>
      <c r="H102" s="2"/>
      <c r="I102" s="2"/>
      <c r="J102" s="2"/>
      <c r="K102" s="2"/>
      <c r="L102" s="46">
        <f>'Input SO transportdienst'!L92</f>
        <v>168</v>
      </c>
      <c r="M102" s="46">
        <f>'Input SO transportdienst'!M92</f>
        <v>2815.7821693701203</v>
      </c>
      <c r="N102" s="46">
        <f>'Input SO transportdienst'!N92</f>
        <v>3348.0050000000006</v>
      </c>
      <c r="O102" s="46">
        <f>'Input SO transportdienst'!O92</f>
        <v>114.85</v>
      </c>
      <c r="P102" s="46">
        <f>'Input SO transportdienst'!P92</f>
        <v>2703.42</v>
      </c>
      <c r="Q102" s="46">
        <f>'Input SO transportdienst'!Q92</f>
        <v>162.08228755420211</v>
      </c>
      <c r="R102" s="2"/>
      <c r="S102" s="2"/>
      <c r="T102" s="2"/>
      <c r="U102" s="2"/>
      <c r="V102" s="2"/>
      <c r="W102" s="2"/>
      <c r="X102" s="2"/>
      <c r="Y102" s="2"/>
      <c r="Z102" s="2"/>
      <c r="AA102" s="2"/>
      <c r="AB102" s="2"/>
      <c r="AC102" s="2"/>
      <c r="AD102" s="2"/>
      <c r="AE102" s="2"/>
      <c r="AF102" s="2"/>
      <c r="AG102" s="2"/>
      <c r="AH102" s="2"/>
    </row>
    <row r="103" spans="1:34" s="30" customFormat="1" ht="12.65" customHeight="1" x14ac:dyDescent="0.35">
      <c r="A103" s="2"/>
      <c r="B103" s="2" t="s">
        <v>458</v>
      </c>
      <c r="C103" s="2"/>
      <c r="D103" s="2"/>
      <c r="E103" s="2"/>
      <c r="F103" s="2" t="s">
        <v>70</v>
      </c>
      <c r="G103" s="2"/>
      <c r="H103" s="2"/>
      <c r="I103" s="2"/>
      <c r="J103" s="2"/>
      <c r="K103" s="2"/>
      <c r="L103" s="46">
        <f>'Input SO transportdienst'!L93</f>
        <v>51</v>
      </c>
      <c r="M103" s="46">
        <f>'Input SO transportdienst'!M93</f>
        <v>1230.0751023190448</v>
      </c>
      <c r="N103" s="46">
        <f>'Input SO transportdienst'!N93</f>
        <v>1191.5458333333331</v>
      </c>
      <c r="O103" s="46">
        <f>'Input SO transportdienst'!O93</f>
        <v>30</v>
      </c>
      <c r="P103" s="46">
        <f>'Input SO transportdienst'!P93</f>
        <v>1175.2683333333332</v>
      </c>
      <c r="Q103" s="46">
        <f>'Input SO transportdienst'!Q93</f>
        <v>141.75269618480388</v>
      </c>
      <c r="R103" s="2"/>
      <c r="S103" s="2"/>
      <c r="T103" s="2"/>
      <c r="U103" s="2"/>
      <c r="V103" s="2"/>
      <c r="W103" s="2"/>
      <c r="X103" s="2"/>
      <c r="Y103" s="2"/>
      <c r="Z103" s="2"/>
      <c r="AA103" s="2"/>
      <c r="AB103" s="2"/>
      <c r="AC103" s="2"/>
      <c r="AD103" s="2"/>
      <c r="AE103" s="2"/>
      <c r="AF103" s="2"/>
      <c r="AG103" s="2"/>
      <c r="AH103" s="2"/>
    </row>
    <row r="104" spans="1:34" s="30" customFormat="1" ht="12.65" customHeight="1" x14ac:dyDescent="0.35">
      <c r="A104" s="2"/>
      <c r="B104" s="2" t="s">
        <v>459</v>
      </c>
      <c r="C104" s="2"/>
      <c r="D104" s="2"/>
      <c r="E104" s="2"/>
      <c r="F104" s="2" t="s">
        <v>70</v>
      </c>
      <c r="G104" s="2"/>
      <c r="H104" s="2"/>
      <c r="I104" s="2"/>
      <c r="J104" s="2"/>
      <c r="K104" s="2"/>
      <c r="L104" s="46">
        <f>'Input SO transportdienst'!L94</f>
        <v>28</v>
      </c>
      <c r="M104" s="46">
        <f>'Input SO transportdienst'!M94</f>
        <v>378.22844548713306</v>
      </c>
      <c r="N104" s="46">
        <f>'Input SO transportdienst'!N94</f>
        <v>347.10083333333336</v>
      </c>
      <c r="O104" s="46">
        <f>'Input SO transportdienst'!O94</f>
        <v>17</v>
      </c>
      <c r="P104" s="46">
        <f>'Input SO transportdienst'!P94</f>
        <v>262.70444444444445</v>
      </c>
      <c r="Q104" s="46">
        <f>'Input SO transportdienst'!Q94</f>
        <v>71.37720941339191</v>
      </c>
      <c r="R104" s="2"/>
      <c r="S104" s="2"/>
      <c r="T104" s="2"/>
      <c r="U104" s="2"/>
      <c r="V104" s="2"/>
      <c r="W104" s="2"/>
      <c r="X104" s="2"/>
      <c r="Y104" s="2"/>
      <c r="Z104" s="2"/>
      <c r="AA104" s="2"/>
      <c r="AB104" s="2"/>
      <c r="AC104" s="2"/>
      <c r="AD104" s="2"/>
      <c r="AE104" s="2"/>
      <c r="AF104" s="2"/>
      <c r="AG104" s="2"/>
      <c r="AH104" s="2"/>
    </row>
    <row r="105" spans="1:34" s="30" customFormat="1" ht="12.65" customHeight="1" x14ac:dyDescent="0.35">
      <c r="A105" s="2"/>
      <c r="B105" s="2" t="s">
        <v>460</v>
      </c>
      <c r="C105" s="2"/>
      <c r="D105" s="2"/>
      <c r="E105" s="2"/>
      <c r="F105" s="2" t="s">
        <v>70</v>
      </c>
      <c r="G105" s="2"/>
      <c r="H105" s="2"/>
      <c r="I105" s="2"/>
      <c r="J105" s="2"/>
      <c r="K105" s="2"/>
      <c r="L105" s="46">
        <f>'Input SO transportdienst'!L95</f>
        <v>11</v>
      </c>
      <c r="M105" s="46">
        <f>'Input SO transportdienst'!M95</f>
        <v>171.36761894859001</v>
      </c>
      <c r="N105" s="46">
        <f>'Input SO transportdienst'!N95</f>
        <v>69.162499999999994</v>
      </c>
      <c r="O105" s="46">
        <f>'Input SO transportdienst'!O95</f>
        <v>2</v>
      </c>
      <c r="P105" s="46">
        <f>'Input SO transportdienst'!P95</f>
        <v>187.18222222222224</v>
      </c>
      <c r="Q105" s="46">
        <f>'Input SO transportdienst'!Q95</f>
        <v>12.187995192286733</v>
      </c>
      <c r="R105" s="2"/>
      <c r="S105" s="2"/>
      <c r="T105" s="2"/>
      <c r="U105" s="2"/>
      <c r="V105" s="2"/>
      <c r="W105" s="2"/>
      <c r="X105" s="2"/>
      <c r="Y105" s="2"/>
      <c r="Z105" s="2"/>
      <c r="AA105" s="2"/>
      <c r="AB105" s="2"/>
      <c r="AC105" s="2"/>
      <c r="AD105" s="2"/>
      <c r="AE105" s="2"/>
      <c r="AF105" s="2"/>
      <c r="AG105" s="2"/>
      <c r="AH105" s="2"/>
    </row>
    <row r="106" spans="1:34" s="30" customFormat="1" ht="12.6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row>
    <row r="107" spans="1:34" s="30" customFormat="1" ht="12.65" customHeight="1" x14ac:dyDescent="0.35">
      <c r="A107" s="2"/>
      <c r="B107" s="1" t="s">
        <v>461</v>
      </c>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row>
    <row r="108" spans="1:34" s="30" customFormat="1" ht="12.6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row>
    <row r="109" spans="1:34" s="30" customFormat="1" ht="12.65" customHeight="1" x14ac:dyDescent="0.35">
      <c r="A109" s="2"/>
      <c r="B109" s="2" t="s">
        <v>462</v>
      </c>
      <c r="C109" s="2"/>
      <c r="D109" s="2"/>
      <c r="E109" s="2"/>
      <c r="F109" s="2" t="s">
        <v>70</v>
      </c>
      <c r="G109" s="2"/>
      <c r="H109" s="2"/>
      <c r="I109" s="2"/>
      <c r="J109" s="2"/>
      <c r="K109" s="2"/>
      <c r="L109" s="46">
        <f>'Input SO transportdienst'!L99</f>
        <v>116</v>
      </c>
      <c r="M109" s="46">
        <f>'Input SO transportdienst'!M99</f>
        <v>2540.6497574222681</v>
      </c>
      <c r="N109" s="46">
        <f>'Input SO transportdienst'!N99</f>
        <v>2745.2133333333331</v>
      </c>
      <c r="O109" s="46">
        <f>'Input SO transportdienst'!O99</f>
        <v>89.566999999999993</v>
      </c>
      <c r="P109" s="46">
        <f>'Input SO transportdienst'!P99</f>
        <v>2021.7938584474889</v>
      </c>
      <c r="Q109" s="46">
        <f>'Input SO transportdienst'!Q99</f>
        <v>686.44781333673347</v>
      </c>
      <c r="R109" s="2"/>
      <c r="S109" s="2"/>
      <c r="T109" s="2"/>
      <c r="U109" s="2"/>
      <c r="V109" s="2"/>
      <c r="W109" s="2"/>
      <c r="X109" s="2"/>
      <c r="Y109" s="2"/>
      <c r="Z109" s="2"/>
      <c r="AA109" s="2"/>
      <c r="AB109" s="2"/>
      <c r="AC109" s="2"/>
      <c r="AD109" s="2"/>
      <c r="AE109" s="2"/>
      <c r="AF109" s="2"/>
      <c r="AG109" s="2"/>
      <c r="AH109" s="2"/>
    </row>
    <row r="110" spans="1:34" ht="12.75" customHeight="1" x14ac:dyDescent="0.35">
      <c r="L110" s="2"/>
      <c r="M110" s="2"/>
      <c r="N110" s="2"/>
      <c r="O110" s="2"/>
      <c r="P110" s="2"/>
      <c r="Q110" s="2"/>
    </row>
    <row r="111" spans="1:34" ht="12.75" customHeight="1" x14ac:dyDescent="0.35">
      <c r="B111" s="1" t="s">
        <v>463</v>
      </c>
      <c r="L111" s="2"/>
      <c r="M111" s="2"/>
      <c r="N111" s="2"/>
      <c r="O111" s="2"/>
      <c r="P111" s="2"/>
      <c r="Q111" s="2"/>
    </row>
    <row r="112" spans="1:34" s="30" customFormat="1" ht="12.7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row>
    <row r="113" spans="2:18" ht="12.75" customHeight="1" x14ac:dyDescent="0.35">
      <c r="B113" s="2" t="s">
        <v>464</v>
      </c>
      <c r="F113" s="2" t="s">
        <v>70</v>
      </c>
      <c r="L113" s="46">
        <f>'Input SO transportdienst'!L103</f>
        <v>21982</v>
      </c>
      <c r="M113" s="46">
        <f>'Input SO transportdienst'!M103</f>
        <v>0</v>
      </c>
      <c r="N113" s="46">
        <f>'Input SO transportdienst'!N103</f>
        <v>637427.17249999999</v>
      </c>
      <c r="O113" s="46">
        <f>'Input SO transportdienst'!O103</f>
        <v>25265.5</v>
      </c>
      <c r="P113" s="46">
        <f>'Input SO transportdienst'!P103</f>
        <v>0</v>
      </c>
      <c r="Q113" s="46">
        <f>'Input SO transportdienst'!Q103</f>
        <v>0</v>
      </c>
      <c r="R113" s="30"/>
    </row>
    <row r="114" spans="2:18" ht="12.75" customHeight="1" x14ac:dyDescent="0.35">
      <c r="B114" s="2" t="s">
        <v>465</v>
      </c>
      <c r="F114" s="2" t="s">
        <v>70</v>
      </c>
      <c r="L114" s="46">
        <f>'Input SO transportdienst'!L104</f>
        <v>6962</v>
      </c>
      <c r="M114" s="46">
        <f>'Input SO transportdienst'!M104</f>
        <v>0</v>
      </c>
      <c r="N114" s="46">
        <f>'Input SO transportdienst'!N104</f>
        <v>112035.65333333334</v>
      </c>
      <c r="O114" s="46">
        <f>'Input SO transportdienst'!O104</f>
        <v>2854.12</v>
      </c>
      <c r="P114" s="46">
        <f>'Input SO transportdienst'!P104</f>
        <v>0</v>
      </c>
      <c r="Q114" s="46">
        <f>'Input SO transportdienst'!Q104</f>
        <v>0</v>
      </c>
    </row>
    <row r="115" spans="2:18" ht="12.75" customHeight="1" x14ac:dyDescent="0.35">
      <c r="L115" s="2"/>
      <c r="M115" s="2"/>
      <c r="N115" s="2"/>
      <c r="O115" s="2"/>
      <c r="P115" s="2"/>
      <c r="Q115" s="2"/>
    </row>
    <row r="116" spans="2:18" ht="12.75" customHeight="1" x14ac:dyDescent="0.35">
      <c r="B116" s="2" t="s">
        <v>466</v>
      </c>
      <c r="F116" s="2" t="s">
        <v>70</v>
      </c>
      <c r="L116" s="46">
        <f>'Input SO transportdienst'!L106</f>
        <v>0</v>
      </c>
      <c r="M116" s="46">
        <f>'Input SO transportdienst'!M106</f>
        <v>745772.27735213307</v>
      </c>
      <c r="N116" s="46">
        <f>'Input SO transportdienst'!N106</f>
        <v>0</v>
      </c>
      <c r="O116" s="46">
        <f>'Input SO transportdienst'!O106</f>
        <v>0</v>
      </c>
      <c r="P116" s="46">
        <f>'Input SO transportdienst'!P106</f>
        <v>652103.8183446792</v>
      </c>
      <c r="Q116" s="46">
        <f>'Input SO transportdienst'!Q106</f>
        <v>307427.5279724822</v>
      </c>
    </row>
    <row r="118" spans="2:18" s="6" customFormat="1" ht="12.75" customHeight="1" x14ac:dyDescent="0.35">
      <c r="B118" s="6" t="s">
        <v>468</v>
      </c>
    </row>
    <row r="120" spans="2:18" ht="12.75" customHeight="1" x14ac:dyDescent="0.35">
      <c r="B120" s="26" t="s">
        <v>448</v>
      </c>
    </row>
    <row r="121" spans="2:18" ht="12.75" customHeight="1" x14ac:dyDescent="0.35">
      <c r="B121" s="2" t="s">
        <v>449</v>
      </c>
      <c r="F121" s="2" t="s">
        <v>70</v>
      </c>
      <c r="H121" s="207">
        <f>'Input SO transportdienst'!H111</f>
        <v>1.5</v>
      </c>
    </row>
    <row r="122" spans="2:18" ht="12.75" customHeight="1" x14ac:dyDescent="0.35">
      <c r="B122" s="2" t="s">
        <v>450</v>
      </c>
      <c r="F122" s="2" t="s">
        <v>70</v>
      </c>
      <c r="H122" s="46">
        <f>'Input SO transportdienst'!H112</f>
        <v>3</v>
      </c>
    </row>
    <row r="123" spans="2:18" ht="12.75" customHeight="1" x14ac:dyDescent="0.35">
      <c r="B123" s="2" t="s">
        <v>451</v>
      </c>
      <c r="F123" s="2" t="s">
        <v>70</v>
      </c>
      <c r="H123" s="46">
        <f>'Input SO transportdienst'!H113</f>
        <v>6</v>
      </c>
    </row>
    <row r="124" spans="2:18" ht="12.75" customHeight="1" x14ac:dyDescent="0.35">
      <c r="B124" s="2" t="s">
        <v>452</v>
      </c>
      <c r="F124" s="2" t="s">
        <v>70</v>
      </c>
      <c r="H124" s="46">
        <f>'Input SO transportdienst'!H114</f>
        <v>10</v>
      </c>
    </row>
    <row r="125" spans="2:18" ht="12.75" customHeight="1" x14ac:dyDescent="0.35">
      <c r="B125" s="2" t="s">
        <v>453</v>
      </c>
      <c r="F125" s="2" t="s">
        <v>70</v>
      </c>
      <c r="H125" s="46">
        <f>'Input SO transportdienst'!H115</f>
        <v>16</v>
      </c>
    </row>
    <row r="126" spans="2:18" ht="12.75" customHeight="1" x14ac:dyDescent="0.35">
      <c r="B126" s="2" t="s">
        <v>454</v>
      </c>
      <c r="F126" s="2" t="s">
        <v>70</v>
      </c>
      <c r="H126" s="46">
        <f>'Input SO transportdienst'!H116</f>
        <v>25</v>
      </c>
    </row>
    <row r="128" spans="2:18" ht="12.75" customHeight="1" x14ac:dyDescent="0.35">
      <c r="B128" s="1" t="s">
        <v>455</v>
      </c>
    </row>
    <row r="129" spans="2:8" ht="12.75" customHeight="1" x14ac:dyDescent="0.35">
      <c r="B129" s="2" t="s">
        <v>456</v>
      </c>
      <c r="F129" s="2" t="s">
        <v>70</v>
      </c>
      <c r="H129" s="46">
        <f>'Input SO transportdienst'!H119</f>
        <v>40</v>
      </c>
    </row>
    <row r="130" spans="2:8" ht="12.75" customHeight="1" x14ac:dyDescent="0.35">
      <c r="B130" s="2" t="s">
        <v>457</v>
      </c>
      <c r="F130" s="2" t="s">
        <v>70</v>
      </c>
      <c r="H130" s="46">
        <f>'Input SO transportdienst'!H120</f>
        <v>65</v>
      </c>
    </row>
    <row r="131" spans="2:8" ht="12.75" customHeight="1" x14ac:dyDescent="0.35">
      <c r="B131" s="2" t="s">
        <v>458</v>
      </c>
      <c r="F131" s="2" t="s">
        <v>70</v>
      </c>
      <c r="H131" s="46">
        <f>'Input SO transportdienst'!H121</f>
        <v>100</v>
      </c>
    </row>
    <row r="132" spans="2:8" ht="12.75" customHeight="1" x14ac:dyDescent="0.35">
      <c r="B132" s="2" t="s">
        <v>459</v>
      </c>
      <c r="F132" s="2" t="s">
        <v>70</v>
      </c>
      <c r="H132" s="46">
        <f>'Input SO transportdienst'!H122</f>
        <v>160</v>
      </c>
    </row>
    <row r="133" spans="2:8" ht="12.75" customHeight="1" x14ac:dyDescent="0.35">
      <c r="B133" s="2" t="s">
        <v>460</v>
      </c>
      <c r="F133" s="2" t="s">
        <v>70</v>
      </c>
      <c r="H133" s="46">
        <f>'Input SO transportdienst'!H123</f>
        <v>250</v>
      </c>
    </row>
    <row r="135" spans="2:8" s="6" customFormat="1" ht="12.75" customHeight="1" x14ac:dyDescent="0.35">
      <c r="B135" s="6" t="s">
        <v>473</v>
      </c>
    </row>
    <row r="137" spans="2:8" ht="12.75" customHeight="1" x14ac:dyDescent="0.35">
      <c r="B137" s="26" t="s">
        <v>190</v>
      </c>
    </row>
    <row r="138" spans="2:8" ht="12.75" customHeight="1" x14ac:dyDescent="0.35">
      <c r="B138" s="2" t="s">
        <v>470</v>
      </c>
      <c r="F138" s="2" t="s">
        <v>70</v>
      </c>
      <c r="H138" s="46">
        <f>'Input SO transportdienst'!H128</f>
        <v>17.99807557038752</v>
      </c>
    </row>
    <row r="139" spans="2:8" ht="12.75" customHeight="1" x14ac:dyDescent="0.35">
      <c r="B139" s="2" t="s">
        <v>471</v>
      </c>
      <c r="F139" s="2" t="s">
        <v>70</v>
      </c>
      <c r="H139" s="46">
        <f>'Input SO transportdienst'!H129</f>
        <v>26.043085449153235</v>
      </c>
    </row>
    <row r="141" spans="2:8" ht="12.75" customHeight="1" x14ac:dyDescent="0.35">
      <c r="B141" s="26" t="s">
        <v>194</v>
      </c>
    </row>
    <row r="142" spans="2:8" ht="12.75" customHeight="1" x14ac:dyDescent="0.35">
      <c r="B142" s="2" t="s">
        <v>470</v>
      </c>
      <c r="F142" s="2" t="s">
        <v>70</v>
      </c>
      <c r="H142" s="46">
        <f>'Input SO transportdienst'!H132</f>
        <v>18</v>
      </c>
    </row>
    <row r="143" spans="2:8" ht="12.75" customHeight="1" x14ac:dyDescent="0.35">
      <c r="B143" s="2" t="s">
        <v>471</v>
      </c>
      <c r="F143" s="2" t="s">
        <v>70</v>
      </c>
      <c r="H143" s="46">
        <f>'Input SO transportdienst'!H133</f>
        <v>25.909433727611123</v>
      </c>
    </row>
    <row r="145" spans="2:17" ht="12.75" customHeight="1" x14ac:dyDescent="0.35">
      <c r="B145" s="26" t="s">
        <v>195</v>
      </c>
    </row>
    <row r="146" spans="2:17" ht="12.75" customHeight="1" x14ac:dyDescent="0.35">
      <c r="B146" s="2" t="s">
        <v>470</v>
      </c>
      <c r="F146" s="2" t="s">
        <v>70</v>
      </c>
      <c r="H146" s="46">
        <f>'Input SO transportdienst'!H136</f>
        <v>747.293089917673</v>
      </c>
    </row>
    <row r="147" spans="2:17" ht="12.75" customHeight="1" x14ac:dyDescent="0.35">
      <c r="B147" s="2" t="s">
        <v>472</v>
      </c>
      <c r="F147" s="2" t="s">
        <v>70</v>
      </c>
      <c r="H147" s="46">
        <f>'Input SO transportdienst'!H137</f>
        <v>21.965623005145261</v>
      </c>
    </row>
    <row r="149" spans="2:17" s="6" customFormat="1" ht="12.75" customHeight="1" x14ac:dyDescent="0.35">
      <c r="B149" s="6" t="s">
        <v>717</v>
      </c>
    </row>
    <row r="151" spans="2:17" ht="12.75" customHeight="1" x14ac:dyDescent="0.35">
      <c r="B151" s="26" t="s">
        <v>474</v>
      </c>
    </row>
    <row r="152" spans="2:17" ht="12.75" customHeight="1" x14ac:dyDescent="0.35">
      <c r="B152" s="2" t="s">
        <v>470</v>
      </c>
      <c r="F152" s="2" t="s">
        <v>70</v>
      </c>
      <c r="L152" s="105">
        <f>SUM(L33:L38)</f>
        <v>141739</v>
      </c>
      <c r="M152" s="105">
        <f t="shared" ref="M152:Q152" si="0">SUM(M33:M38)</f>
        <v>2276908</v>
      </c>
      <c r="N152" s="105">
        <f t="shared" si="0"/>
        <v>2522762</v>
      </c>
      <c r="O152" s="105">
        <f t="shared" si="0"/>
        <v>104239</v>
      </c>
      <c r="P152" s="105">
        <f t="shared" si="0"/>
        <v>2091510</v>
      </c>
      <c r="Q152" s="105">
        <f t="shared" si="0"/>
        <v>54760</v>
      </c>
    </row>
    <row r="153" spans="2:17" ht="12.75" customHeight="1" x14ac:dyDescent="0.35">
      <c r="B153" s="2" t="s">
        <v>471</v>
      </c>
      <c r="F153" s="2" t="s">
        <v>70</v>
      </c>
      <c r="L153" s="105">
        <f>SUMPRODUCT(L33:L38,$H$121:$H$126)</f>
        <v>463963.5</v>
      </c>
      <c r="M153" s="105">
        <f t="shared" ref="M153:Q153" si="1">SUMPRODUCT(M33:M38,$H$121:$H$126)</f>
        <v>7193532.5</v>
      </c>
      <c r="N153" s="105">
        <f t="shared" si="1"/>
        <v>7761397</v>
      </c>
      <c r="O153" s="105">
        <f t="shared" si="1"/>
        <v>334568</v>
      </c>
      <c r="P153" s="105">
        <f t="shared" si="1"/>
        <v>6267723</v>
      </c>
      <c r="Q153" s="105">
        <f t="shared" si="1"/>
        <v>169900.5</v>
      </c>
    </row>
    <row r="155" spans="2:17" ht="12.75" customHeight="1" x14ac:dyDescent="0.35">
      <c r="B155" s="26" t="s">
        <v>475</v>
      </c>
    </row>
    <row r="156" spans="2:17" ht="12.75" customHeight="1" x14ac:dyDescent="0.35">
      <c r="B156" s="2" t="s">
        <v>470</v>
      </c>
      <c r="F156" s="2" t="s">
        <v>70</v>
      </c>
      <c r="L156" s="105">
        <f>SUM(L41:L45)</f>
        <v>485</v>
      </c>
      <c r="M156" s="105">
        <f t="shared" ref="M156:Q156" si="2">SUM(M41:M45)</f>
        <v>7760</v>
      </c>
      <c r="N156" s="105">
        <f t="shared" si="2"/>
        <v>8382</v>
      </c>
      <c r="O156" s="105">
        <f t="shared" si="2"/>
        <v>302</v>
      </c>
      <c r="P156" s="105">
        <f t="shared" si="2"/>
        <v>6924</v>
      </c>
      <c r="Q156" s="105">
        <f t="shared" si="2"/>
        <v>569</v>
      </c>
    </row>
    <row r="157" spans="2:17" ht="12.75" customHeight="1" x14ac:dyDescent="0.35">
      <c r="B157" s="2" t="s">
        <v>471</v>
      </c>
      <c r="F157" s="2" t="s">
        <v>70</v>
      </c>
      <c r="L157" s="105">
        <f>SUMPRODUCT(L41:L45,$H$129:$H$133)</f>
        <v>32120</v>
      </c>
      <c r="M157" s="105">
        <f t="shared" ref="M157:Q157" si="3">SUMPRODUCT(M41:M45,$H$129:$H$133)</f>
        <v>546470</v>
      </c>
      <c r="N157" s="105">
        <f t="shared" si="3"/>
        <v>558350</v>
      </c>
      <c r="O157" s="105">
        <f t="shared" si="3"/>
        <v>19985</v>
      </c>
      <c r="P157" s="105">
        <f t="shared" si="3"/>
        <v>499620</v>
      </c>
      <c r="Q157" s="105">
        <f t="shared" si="3"/>
        <v>51615</v>
      </c>
    </row>
    <row r="159" spans="2:17" ht="12.75" customHeight="1" x14ac:dyDescent="0.35">
      <c r="B159" s="26" t="s">
        <v>476</v>
      </c>
    </row>
    <row r="160" spans="2:17" ht="12.75" customHeight="1" x14ac:dyDescent="0.35">
      <c r="B160" s="2" t="s">
        <v>470</v>
      </c>
      <c r="F160" s="2" t="s">
        <v>70</v>
      </c>
      <c r="L160" s="46">
        <f>L49</f>
        <v>118</v>
      </c>
      <c r="M160" s="46">
        <f t="shared" ref="M160:Q160" si="4">M49</f>
        <v>2599</v>
      </c>
      <c r="N160" s="46">
        <f t="shared" si="4"/>
        <v>2799</v>
      </c>
      <c r="O160" s="46">
        <f t="shared" si="4"/>
        <v>87</v>
      </c>
      <c r="P160" s="46">
        <f t="shared" si="4"/>
        <v>2065</v>
      </c>
      <c r="Q160" s="46">
        <f t="shared" si="4"/>
        <v>705</v>
      </c>
    </row>
    <row r="161" spans="2:17" ht="12.75" customHeight="1" x14ac:dyDescent="0.35">
      <c r="B161" s="2" t="s">
        <v>472</v>
      </c>
      <c r="F161" s="2" t="s">
        <v>70</v>
      </c>
      <c r="L161" s="105">
        <f>SUM(L53:L54,L56)</f>
        <v>31098</v>
      </c>
      <c r="M161" s="105">
        <f t="shared" ref="M161:Q161" si="5">SUM(M53:M54,M56)</f>
        <v>760246</v>
      </c>
      <c r="N161" s="105">
        <f t="shared" si="5"/>
        <v>746068</v>
      </c>
      <c r="O161" s="105">
        <f t="shared" si="5"/>
        <v>27948</v>
      </c>
      <c r="P161" s="105">
        <f t="shared" si="5"/>
        <v>642028</v>
      </c>
      <c r="Q161" s="105">
        <f t="shared" si="5"/>
        <v>310156</v>
      </c>
    </row>
    <row r="163" spans="2:17" ht="12.75" customHeight="1" x14ac:dyDescent="0.35">
      <c r="B163" s="1" t="s">
        <v>477</v>
      </c>
    </row>
    <row r="164" spans="2:17" ht="12.75" customHeight="1" x14ac:dyDescent="0.35">
      <c r="B164" s="2" t="s">
        <v>719</v>
      </c>
      <c r="F164" s="2" t="s">
        <v>70</v>
      </c>
      <c r="H164" s="121"/>
      <c r="L164" s="105">
        <f>SUMPRODUCT(L152:L161,$H$138:$H$147)</f>
        <v>16246278.849214526</v>
      </c>
      <c r="M164" s="105">
        <f t="shared" ref="M164:Q164" si="6">SUMPRODUCT(M152:M161,$H$138:$H$147)</f>
        <v>261261643.84657416</v>
      </c>
      <c r="N164" s="105">
        <f t="shared" si="6"/>
        <v>280632516.50259751</v>
      </c>
      <c r="O164" s="105">
        <f t="shared" si="6"/>
        <v>11791430.175550872</v>
      </c>
      <c r="P164" s="105">
        <f t="shared" si="6"/>
        <v>229589209.21326074</v>
      </c>
      <c r="Q164" s="105">
        <f t="shared" si="6"/>
        <v>14097476.67661472</v>
      </c>
    </row>
    <row r="166" spans="2:17" s="6" customFormat="1" ht="12.75" customHeight="1" x14ac:dyDescent="0.35">
      <c r="B166" s="6" t="s">
        <v>718</v>
      </c>
    </row>
    <row r="168" spans="2:17" ht="12.75" customHeight="1" x14ac:dyDescent="0.35">
      <c r="B168" s="26" t="s">
        <v>474</v>
      </c>
    </row>
    <row r="169" spans="2:17" ht="12.75" customHeight="1" x14ac:dyDescent="0.35">
      <c r="B169" s="2" t="s">
        <v>470</v>
      </c>
      <c r="F169" s="2" t="s">
        <v>70</v>
      </c>
      <c r="L169" s="105">
        <f>SUM(L63:L68)</f>
        <v>140642</v>
      </c>
      <c r="M169" s="105">
        <f t="shared" ref="M169:Q169" si="7">SUM(M63:M68)</f>
        <v>2261584.9988623173</v>
      </c>
      <c r="N169" s="105">
        <f t="shared" si="7"/>
        <v>2508004.4849110455</v>
      </c>
      <c r="O169" s="105">
        <f t="shared" si="7"/>
        <v>103440.60999999999</v>
      </c>
      <c r="P169" s="105">
        <f t="shared" si="7"/>
        <v>2075790.5121543778</v>
      </c>
      <c r="Q169" s="105">
        <f t="shared" si="7"/>
        <v>54578.772885866172</v>
      </c>
    </row>
    <row r="170" spans="2:17" ht="12.75" customHeight="1" x14ac:dyDescent="0.35">
      <c r="B170" s="2" t="s">
        <v>471</v>
      </c>
      <c r="F170" s="2" t="s">
        <v>70</v>
      </c>
      <c r="L170" s="105">
        <f>SUMPRODUCT(L63:L68,$H$121:$H$126)</f>
        <v>444074</v>
      </c>
      <c r="M170" s="105">
        <f t="shared" ref="M170:Q170" si="8">SUMPRODUCT(M63:M68,$H$121:$H$126)</f>
        <v>6884736.5474220905</v>
      </c>
      <c r="N170" s="105">
        <f t="shared" si="8"/>
        <v>7442582.1287154295</v>
      </c>
      <c r="O170" s="105">
        <f t="shared" si="8"/>
        <v>320420.98000000004</v>
      </c>
      <c r="P170" s="105">
        <f t="shared" si="8"/>
        <v>5996594.0313524064</v>
      </c>
      <c r="Q170" s="105">
        <f t="shared" si="8"/>
        <v>163194.14599147532</v>
      </c>
    </row>
    <row r="172" spans="2:17" ht="12.75" customHeight="1" x14ac:dyDescent="0.35">
      <c r="B172" s="26" t="s">
        <v>475</v>
      </c>
    </row>
    <row r="173" spans="2:17" ht="12.75" customHeight="1" x14ac:dyDescent="0.35">
      <c r="B173" s="2" t="s">
        <v>470</v>
      </c>
      <c r="F173" s="2" t="s">
        <v>70</v>
      </c>
      <c r="L173" s="105">
        <f>SUM(L71:L75)</f>
        <v>483</v>
      </c>
      <c r="M173" s="105">
        <f t="shared" ref="M173:Q173" si="9">SUM(M71:M75)</f>
        <v>7592.5137748577727</v>
      </c>
      <c r="N173" s="105">
        <f t="shared" si="9"/>
        <v>8223.256666666668</v>
      </c>
      <c r="O173" s="105">
        <f t="shared" si="9"/>
        <v>293.08</v>
      </c>
      <c r="P173" s="105">
        <f t="shared" si="9"/>
        <v>6789.7051111111105</v>
      </c>
      <c r="Q173" s="105">
        <f t="shared" si="9"/>
        <v>560.70777777777766</v>
      </c>
    </row>
    <row r="174" spans="2:17" ht="12.75" customHeight="1" x14ac:dyDescent="0.35">
      <c r="B174" s="2" t="s">
        <v>471</v>
      </c>
      <c r="F174" s="2" t="s">
        <v>70</v>
      </c>
      <c r="L174" s="105">
        <f>SUMPRODUCT(L71:L75,$H$129:$H$133)</f>
        <v>32100</v>
      </c>
      <c r="M174" s="105">
        <f t="shared" ref="M174:Q174" si="10">SUMPRODUCT(M71:M75,$H$129:$H$133)</f>
        <v>534986.50338718563</v>
      </c>
      <c r="N174" s="105">
        <f t="shared" si="10"/>
        <v>547205.4291666667</v>
      </c>
      <c r="O174" s="105">
        <f t="shared" si="10"/>
        <v>19336.400000000001</v>
      </c>
      <c r="P174" s="105">
        <f t="shared" si="10"/>
        <v>487139.60444444453</v>
      </c>
      <c r="Q174" s="105">
        <f t="shared" si="10"/>
        <v>50913.576381886101</v>
      </c>
    </row>
    <row r="176" spans="2:17" ht="12.75" customHeight="1" x14ac:dyDescent="0.35">
      <c r="B176" s="26" t="s">
        <v>476</v>
      </c>
    </row>
    <row r="177" spans="2:17" ht="12.75" customHeight="1" x14ac:dyDescent="0.35">
      <c r="B177" s="2" t="s">
        <v>470</v>
      </c>
      <c r="F177" s="2" t="s">
        <v>70</v>
      </c>
      <c r="L177" s="46">
        <f>L79</f>
        <v>121</v>
      </c>
      <c r="M177" s="46">
        <f t="shared" ref="M177:Q177" si="11">M79</f>
        <v>2579.748553758629</v>
      </c>
      <c r="N177" s="46">
        <f t="shared" si="11"/>
        <v>2770.2975000000006</v>
      </c>
      <c r="O177" s="46">
        <f t="shared" si="11"/>
        <v>88.712999999999994</v>
      </c>
      <c r="P177" s="46">
        <f t="shared" si="11"/>
        <v>2036.9535419126325</v>
      </c>
      <c r="Q177" s="46">
        <f t="shared" si="11"/>
        <v>683.87268018018017</v>
      </c>
    </row>
    <row r="178" spans="2:17" ht="12.75" customHeight="1" x14ac:dyDescent="0.35">
      <c r="B178" s="2" t="s">
        <v>472</v>
      </c>
      <c r="F178" s="2" t="s">
        <v>70</v>
      </c>
      <c r="L178" s="105">
        <f>SUM(L83:L84,L86)</f>
        <v>29505</v>
      </c>
      <c r="M178" s="105">
        <f t="shared" ref="M178:Q178" si="12">SUM(M83:M84,M86)</f>
        <v>752800.60098651855</v>
      </c>
      <c r="N178" s="105">
        <f t="shared" si="12"/>
        <v>745968.36333333328</v>
      </c>
      <c r="O178" s="105">
        <f t="shared" si="12"/>
        <v>28078</v>
      </c>
      <c r="P178" s="105">
        <f t="shared" si="12"/>
        <v>645622.89263235836</v>
      </c>
      <c r="Q178" s="105">
        <f t="shared" si="12"/>
        <v>308599.53232565097</v>
      </c>
    </row>
    <row r="180" spans="2:17" ht="12.75" customHeight="1" x14ac:dyDescent="0.35">
      <c r="B180" s="1" t="s">
        <v>477</v>
      </c>
    </row>
    <row r="181" spans="2:17" ht="12.75" customHeight="1" x14ac:dyDescent="0.35">
      <c r="B181" s="2" t="s">
        <v>597</v>
      </c>
      <c r="F181" s="2" t="s">
        <v>70</v>
      </c>
      <c r="H181" s="121"/>
      <c r="L181" s="105">
        <f>SUMPRODUCT(L169:L178,$H$138:$H$147)</f>
        <v>15675247.465420879</v>
      </c>
      <c r="M181" s="105">
        <f t="shared" ref="M181:Q181" si="13">SUMPRODUCT(M169:M178,$H$138:$H$147)</f>
        <v>252465384.98769021</v>
      </c>
      <c r="N181" s="105">
        <f t="shared" si="13"/>
        <v>271748742.03467077</v>
      </c>
      <c r="O181" s="105">
        <f t="shared" si="13"/>
        <v>11395798.866623316</v>
      </c>
      <c r="P181" s="105">
        <f t="shared" si="13"/>
        <v>221977481.62729734</v>
      </c>
      <c r="Q181" s="105">
        <f t="shared" si="13"/>
        <v>13851260.955810077</v>
      </c>
    </row>
    <row r="183" spans="2:17" s="6" customFormat="1" ht="12.75" customHeight="1" x14ac:dyDescent="0.35">
      <c r="B183" s="6" t="s">
        <v>596</v>
      </c>
    </row>
    <row r="185" spans="2:17" ht="12.75" customHeight="1" x14ac:dyDescent="0.35">
      <c r="B185" s="26" t="s">
        <v>474</v>
      </c>
    </row>
    <row r="186" spans="2:17" ht="12.75" customHeight="1" x14ac:dyDescent="0.35">
      <c r="B186" s="2" t="s">
        <v>470</v>
      </c>
      <c r="F186" s="2" t="s">
        <v>70</v>
      </c>
      <c r="L186" s="105">
        <f t="shared" ref="L186:Q186" si="14">SUM(L93:L98)</f>
        <v>139492</v>
      </c>
      <c r="M186" s="105">
        <f t="shared" si="14"/>
        <v>2244029.7417165171</v>
      </c>
      <c r="N186" s="105">
        <f t="shared" si="14"/>
        <v>2491199.8058707817</v>
      </c>
      <c r="O186" s="105">
        <f t="shared" si="14"/>
        <v>102551.66</v>
      </c>
      <c r="P186" s="105">
        <f t="shared" si="14"/>
        <v>2060291.0241125941</v>
      </c>
      <c r="Q186" s="105">
        <f t="shared" si="14"/>
        <v>54322.253612393135</v>
      </c>
    </row>
    <row r="187" spans="2:17" ht="12.75" customHeight="1" x14ac:dyDescent="0.35">
      <c r="B187" s="2" t="s">
        <v>471</v>
      </c>
      <c r="F187" s="2" t="s">
        <v>70</v>
      </c>
      <c r="L187" s="105">
        <f t="shared" ref="L187:Q187" si="15">SUMPRODUCT(L93:L98,$H$121:$H$126)</f>
        <v>431981.5</v>
      </c>
      <c r="M187" s="105">
        <f t="shared" si="15"/>
        <v>6710472.4953136938</v>
      </c>
      <c r="N187" s="105">
        <f t="shared" si="15"/>
        <v>7281370.4109976469</v>
      </c>
      <c r="O187" s="105">
        <f t="shared" si="15"/>
        <v>311946.33999999997</v>
      </c>
      <c r="P187" s="105">
        <f t="shared" si="15"/>
        <v>5876422.922713819</v>
      </c>
      <c r="Q187" s="105">
        <f t="shared" si="15"/>
        <v>160538.025308888</v>
      </c>
    </row>
    <row r="189" spans="2:17" ht="12.75" customHeight="1" x14ac:dyDescent="0.35">
      <c r="B189" s="26" t="s">
        <v>475</v>
      </c>
    </row>
    <row r="190" spans="2:17" ht="12.75" customHeight="1" x14ac:dyDescent="0.35">
      <c r="B190" s="2" t="s">
        <v>470</v>
      </c>
      <c r="F190" s="2" t="s">
        <v>70</v>
      </c>
      <c r="L190" s="105">
        <f t="shared" ref="L190:Q190" si="16">SUM(L101:L105)</f>
        <v>482</v>
      </c>
      <c r="M190" s="105">
        <f t="shared" si="16"/>
        <v>7429.5948310081494</v>
      </c>
      <c r="N190" s="105">
        <f t="shared" si="16"/>
        <v>8021.7566666666671</v>
      </c>
      <c r="O190" s="105">
        <f t="shared" si="16"/>
        <v>282.03999999999996</v>
      </c>
      <c r="P190" s="105">
        <f t="shared" si="16"/>
        <v>6647.7611111111119</v>
      </c>
      <c r="Q190" s="105">
        <f t="shared" si="16"/>
        <v>487.47722222222217</v>
      </c>
    </row>
    <row r="191" spans="2:17" ht="12.75" customHeight="1" x14ac:dyDescent="0.35">
      <c r="B191" s="2" t="s">
        <v>471</v>
      </c>
      <c r="F191" s="2" t="s">
        <v>70</v>
      </c>
      <c r="L191" s="105">
        <f t="shared" ref="L191:Q191" si="17">SUMPRODUCT(L101:L105,$H$129:$H$133)</f>
        <v>32210</v>
      </c>
      <c r="M191" s="105">
        <f t="shared" si="17"/>
        <v>522757.46705138154</v>
      </c>
      <c r="N191" s="105">
        <f t="shared" si="17"/>
        <v>532239.3666666667</v>
      </c>
      <c r="O191" s="105">
        <f t="shared" si="17"/>
        <v>18412.849999999999</v>
      </c>
      <c r="P191" s="105">
        <f t="shared" si="17"/>
        <v>474844.8444444444</v>
      </c>
      <c r="Q191" s="105">
        <f t="shared" si="17"/>
        <v>43181.051968819418</v>
      </c>
    </row>
    <row r="193" spans="1:17" ht="12.75" customHeight="1" x14ac:dyDescent="0.35">
      <c r="B193" s="26" t="s">
        <v>476</v>
      </c>
    </row>
    <row r="194" spans="1:17" ht="12.75" customHeight="1" x14ac:dyDescent="0.35">
      <c r="B194" s="2" t="s">
        <v>470</v>
      </c>
      <c r="F194" s="2" t="s">
        <v>70</v>
      </c>
      <c r="L194" s="46">
        <f t="shared" ref="L194:Q194" si="18">L109</f>
        <v>116</v>
      </c>
      <c r="M194" s="46">
        <f t="shared" si="18"/>
        <v>2540.6497574222681</v>
      </c>
      <c r="N194" s="46">
        <f t="shared" si="18"/>
        <v>2745.2133333333331</v>
      </c>
      <c r="O194" s="46">
        <f t="shared" si="18"/>
        <v>89.566999999999993</v>
      </c>
      <c r="P194" s="46">
        <f t="shared" si="18"/>
        <v>2021.7938584474889</v>
      </c>
      <c r="Q194" s="46">
        <f t="shared" si="18"/>
        <v>686.44781333673347</v>
      </c>
    </row>
    <row r="195" spans="1:17" ht="12.75" customHeight="1" x14ac:dyDescent="0.35">
      <c r="B195" s="2" t="s">
        <v>472</v>
      </c>
      <c r="F195" s="2" t="s">
        <v>70</v>
      </c>
      <c r="L195" s="105">
        <f t="shared" ref="L195:Q195" si="19">SUM(L113:L114,L116)</f>
        <v>28944</v>
      </c>
      <c r="M195" s="105">
        <f t="shared" si="19"/>
        <v>745772.27735213307</v>
      </c>
      <c r="N195" s="105">
        <f t="shared" si="19"/>
        <v>749462.82583333331</v>
      </c>
      <c r="O195" s="105">
        <f t="shared" si="19"/>
        <v>28119.62</v>
      </c>
      <c r="P195" s="105">
        <f t="shared" si="19"/>
        <v>652103.8183446792</v>
      </c>
      <c r="Q195" s="105">
        <f t="shared" si="19"/>
        <v>307427.5279724822</v>
      </c>
    </row>
    <row r="197" spans="1:17" ht="12.75" customHeight="1" x14ac:dyDescent="0.35">
      <c r="B197" s="1" t="s">
        <v>713</v>
      </c>
    </row>
    <row r="198" spans="1:17" ht="12.75" customHeight="1" x14ac:dyDescent="0.35">
      <c r="B198" s="2" t="s">
        <v>597</v>
      </c>
      <c r="F198" s="2" t="s">
        <v>70</v>
      </c>
      <c r="H198" s="121"/>
      <c r="L198" s="105">
        <f>SUMPRODUCT(L186:L195,$H$138:$H$147)</f>
        <v>15326396.52547561</v>
      </c>
      <c r="M198" s="105">
        <f t="shared" ref="M198:Q198" si="20">SUMPRODUCT(M186:M195,$H$138:$H$147)</f>
        <v>247107670.82802612</v>
      </c>
      <c r="N198" s="105">
        <f t="shared" si="20"/>
        <v>266914463.22839621</v>
      </c>
      <c r="O198" s="105">
        <f t="shared" si="20"/>
        <v>11136518.723683339</v>
      </c>
      <c r="P198" s="105">
        <f t="shared" si="20"/>
        <v>218378817.80223021</v>
      </c>
      <c r="Q198" s="105">
        <f t="shared" si="20"/>
        <v>13551987.619244892</v>
      </c>
    </row>
    <row r="200" spans="1:17" s="6" customFormat="1" ht="12.75" customHeight="1" x14ac:dyDescent="0.35">
      <c r="B200" s="6" t="s">
        <v>721</v>
      </c>
    </row>
    <row r="202" spans="1:17" ht="12.75" customHeight="1" x14ac:dyDescent="0.35">
      <c r="B202" s="1" t="s">
        <v>722</v>
      </c>
    </row>
    <row r="203" spans="1:17" ht="12.75" customHeight="1" x14ac:dyDescent="0.35">
      <c r="B203" s="2" t="s">
        <v>852</v>
      </c>
      <c r="F203" s="2" t="s">
        <v>72</v>
      </c>
      <c r="L203" s="49">
        <f t="shared" ref="L203:Q203" si="21" xml:space="preserve"> L164/L$21 - 1</f>
        <v>-8.0541901655822867E-3</v>
      </c>
      <c r="M203" s="49">
        <f t="shared" si="21"/>
        <v>-1.8953470092181068E-2</v>
      </c>
      <c r="N203" s="49">
        <f t="shared" si="21"/>
        <v>-1.6198457742550021E-2</v>
      </c>
      <c r="O203" s="49">
        <f t="shared" si="21"/>
        <v>-1.4152894480274569E-2</v>
      </c>
      <c r="P203" s="49">
        <f t="shared" si="21"/>
        <v>-2.3252284938670043E-2</v>
      </c>
      <c r="Q203" s="49">
        <f t="shared" si="21"/>
        <v>-8.3619441593080213E-3</v>
      </c>
    </row>
    <row r="204" spans="1:17" ht="12.75" customHeight="1" x14ac:dyDescent="0.35">
      <c r="B204" s="2" t="s">
        <v>844</v>
      </c>
      <c r="F204" s="2" t="s">
        <v>72</v>
      </c>
      <c r="L204" s="49">
        <f t="shared" ref="L204:Q204" si="22" xml:space="preserve"> L181/L$21 - 1</f>
        <v>-4.291953956006489E-2</v>
      </c>
      <c r="M204" s="49">
        <f t="shared" si="22"/>
        <v>-5.1983727050782691E-2</v>
      </c>
      <c r="N204" s="49">
        <f t="shared" si="22"/>
        <v>-4.7341930108243502E-2</v>
      </c>
      <c r="O204" s="49">
        <f t="shared" si="22"/>
        <v>-4.7230474973260939E-2</v>
      </c>
      <c r="P204" s="49">
        <f t="shared" si="22"/>
        <v>-5.5635067878407773E-2</v>
      </c>
      <c r="Q204" s="49">
        <f t="shared" si="22"/>
        <v>-2.5681134273744965E-2</v>
      </c>
    </row>
    <row r="205" spans="1:17" ht="12.75" customHeight="1" x14ac:dyDescent="0.35">
      <c r="B205" s="2" t="s">
        <v>845</v>
      </c>
      <c r="F205" s="2" t="s">
        <v>72</v>
      </c>
      <c r="L205" s="49">
        <f t="shared" ref="L205:Q205" si="23" xml:space="preserve"> L198/L$21 - 1</f>
        <v>-6.421926187476823E-2</v>
      </c>
      <c r="M205" s="49">
        <f t="shared" si="23"/>
        <v>-7.210212945838268E-2</v>
      </c>
      <c r="N205" s="49">
        <f t="shared" si="23"/>
        <v>-6.4289256827851915E-2</v>
      </c>
      <c r="O205" s="49">
        <f t="shared" si="23"/>
        <v>-6.8908131935188854E-2</v>
      </c>
      <c r="P205" s="49">
        <f t="shared" si="23"/>
        <v>-7.0944962800965627E-2</v>
      </c>
      <c r="Q205" s="49">
        <f t="shared" si="23"/>
        <v>-4.673247817337689E-2</v>
      </c>
    </row>
    <row r="206" spans="1:17" ht="12.75" customHeight="1" x14ac:dyDescent="0.35">
      <c r="A206" s="260"/>
    </row>
    <row r="207" spans="1:17" ht="12.75" customHeight="1" x14ac:dyDescent="0.35">
      <c r="A207" s="260"/>
      <c r="B207" s="1" t="s">
        <v>838</v>
      </c>
    </row>
    <row r="208" spans="1:17" ht="12.75" customHeight="1" x14ac:dyDescent="0.35">
      <c r="A208" s="260"/>
      <c r="B208" s="2" t="s">
        <v>839</v>
      </c>
      <c r="F208" s="2" t="s">
        <v>70</v>
      </c>
      <c r="L208" s="105">
        <f>$H$138*L24+$H$142*L25+$H$146*L26</f>
        <v>2652089.384294048</v>
      </c>
      <c r="M208" s="105">
        <f t="shared" ref="M208:Q208" si="24">$H$138*M24+$H$142*M25+$H$146*M26</f>
        <v>43206222.412117422</v>
      </c>
      <c r="N208" s="105">
        <f t="shared" si="24"/>
        <v>47747379.444197558</v>
      </c>
      <c r="O208" s="105">
        <f t="shared" si="24"/>
        <v>1953190.4199854813</v>
      </c>
      <c r="P208" s="105">
        <f t="shared" si="24"/>
        <v>39690542.799351729</v>
      </c>
      <c r="Q208" s="105">
        <f t="shared" si="24"/>
        <v>1605141.4440024043</v>
      </c>
    </row>
    <row r="209" spans="1:17" ht="12.75" customHeight="1" x14ac:dyDescent="0.35">
      <c r="A209" s="260"/>
    </row>
    <row r="210" spans="1:17" ht="12.75" customHeight="1" x14ac:dyDescent="0.35">
      <c r="A210" s="260"/>
      <c r="B210" s="2" t="s">
        <v>840</v>
      </c>
      <c r="F210" s="2" t="s">
        <v>70</v>
      </c>
      <c r="L210" s="105">
        <f>$H$138*L152+$H$142*L156+$H$146*L160</f>
        <v>2647939.8178814421</v>
      </c>
      <c r="M210" s="105">
        <f t="shared" ref="M210:P210" si="25">$H$138*M152+$H$142*M156+$H$146*M160</f>
        <v>43061856.991515942</v>
      </c>
      <c r="N210" s="105">
        <f t="shared" si="25"/>
        <v>47647410.480781533</v>
      </c>
      <c r="O210" s="105">
        <f t="shared" si="25"/>
        <v>1946551.8982044624</v>
      </c>
      <c r="P210" s="105">
        <f t="shared" si="25"/>
        <v>39310947.266901202</v>
      </c>
      <c r="Q210" s="105">
        <f>$H$138*Q152+$H$142*Q156+$H$146*Q160</f>
        <v>1522658.2466263801</v>
      </c>
    </row>
    <row r="211" spans="1:17" ht="12.75" customHeight="1" x14ac:dyDescent="0.35">
      <c r="A211" s="260"/>
      <c r="B211" s="2" t="s">
        <v>841</v>
      </c>
      <c r="F211" s="2" t="s">
        <v>70</v>
      </c>
      <c r="L211" s="105">
        <f>$H$138*L169+$H$142*L173+$H$146*L177</f>
        <v>2630401.8082504799</v>
      </c>
      <c r="M211" s="105">
        <f t="shared" ref="M211:Q211" si="26">$H$138*M169+$H$142*M173+$H$146*M177</f>
        <v>42768671.234275132</v>
      </c>
      <c r="N211" s="105">
        <f t="shared" si="26"/>
        <v>47357497.049066029</v>
      </c>
      <c r="O211" s="105">
        <f t="shared" si="26"/>
        <v>1933301.9677128494</v>
      </c>
      <c r="P211" s="105">
        <f t="shared" si="26"/>
        <v>39004650.504402548</v>
      </c>
      <c r="Q211" s="105">
        <f t="shared" si="26"/>
        <v>1503458.9472209641</v>
      </c>
    </row>
    <row r="212" spans="1:17" ht="12.75" customHeight="1" x14ac:dyDescent="0.35">
      <c r="A212" s="260"/>
      <c r="B212" s="2" t="s">
        <v>842</v>
      </c>
      <c r="F212" s="2" t="s">
        <v>70</v>
      </c>
      <c r="L212" s="105">
        <f>$H$138*L186+$H$142*L190+$H$146*L194</f>
        <v>2605949.5558949457</v>
      </c>
      <c r="M212" s="105">
        <f t="shared" ref="M212:Q212" si="27">$H$138*M186+$H$142*M190+$H$146*M194</f>
        <v>42420559.588191882</v>
      </c>
      <c r="N212" s="105">
        <f t="shared" si="27"/>
        <v>47032672.941346906</v>
      </c>
      <c r="O212" s="105">
        <f t="shared" si="27"/>
        <v>1917742.0467333433</v>
      </c>
      <c r="P212" s="105">
        <f t="shared" si="27"/>
        <v>38711805.828625366</v>
      </c>
      <c r="Q212" s="105">
        <f t="shared" si="27"/>
        <v>1499448.3231652458</v>
      </c>
    </row>
    <row r="213" spans="1:17" ht="12.75" customHeight="1" x14ac:dyDescent="0.35">
      <c r="A213" s="260"/>
    </row>
    <row r="214" spans="1:17" ht="12.75" customHeight="1" x14ac:dyDescent="0.35">
      <c r="A214" s="260"/>
      <c r="B214" s="2" t="s">
        <v>846</v>
      </c>
      <c r="F214" s="2" t="s">
        <v>72</v>
      </c>
      <c r="L214" s="49">
        <f>L210/L$208-1</f>
        <v>-1.5646404820214288E-3</v>
      </c>
      <c r="M214" s="49">
        <f t="shared" ref="M214:Q214" si="28">M210/M$208-1</f>
        <v>-3.3413108700980354E-3</v>
      </c>
      <c r="N214" s="49">
        <f t="shared" si="28"/>
        <v>-2.0937057610220799E-3</v>
      </c>
      <c r="O214" s="49">
        <f t="shared" si="28"/>
        <v>-3.3988093086532167E-3</v>
      </c>
      <c r="P214" s="49">
        <f t="shared" si="28"/>
        <v>-9.5638785886477118E-3</v>
      </c>
      <c r="Q214" s="49">
        <f t="shared" si="28"/>
        <v>-5.1386871658084643E-2</v>
      </c>
    </row>
    <row r="215" spans="1:17" ht="12.75" customHeight="1" x14ac:dyDescent="0.35">
      <c r="A215" s="260"/>
      <c r="B215" s="2" t="s">
        <v>847</v>
      </c>
      <c r="F215" s="2" t="s">
        <v>72</v>
      </c>
      <c r="L215" s="49">
        <f t="shared" ref="L215:Q216" si="29">L211/L$208-1</f>
        <v>-8.1775434010649128E-3</v>
      </c>
      <c r="M215" s="49">
        <f t="shared" si="29"/>
        <v>-1.0127040815296473E-2</v>
      </c>
      <c r="N215" s="49">
        <f t="shared" si="29"/>
        <v>-8.1655244679382788E-3</v>
      </c>
      <c r="O215" s="49">
        <f t="shared" si="29"/>
        <v>-1.0182546498860967E-2</v>
      </c>
      <c r="P215" s="49">
        <f t="shared" si="29"/>
        <v>-1.7281000625680165E-2</v>
      </c>
      <c r="Q215" s="49">
        <f t="shared" si="29"/>
        <v>-6.334799787356804E-2</v>
      </c>
    </row>
    <row r="216" spans="1:17" ht="12.75" customHeight="1" x14ac:dyDescent="0.35">
      <c r="A216" s="260"/>
      <c r="B216" s="2" t="s">
        <v>848</v>
      </c>
      <c r="F216" s="2" t="s">
        <v>72</v>
      </c>
      <c r="L216" s="49">
        <f t="shared" si="29"/>
        <v>-1.7397538963938031E-2</v>
      </c>
      <c r="M216" s="49">
        <f t="shared" si="29"/>
        <v>-1.8184020265219814E-2</v>
      </c>
      <c r="N216" s="49">
        <f t="shared" si="29"/>
        <v>-1.49684969347047E-2</v>
      </c>
      <c r="O216" s="49">
        <f t="shared" si="29"/>
        <v>-1.8148959205115056E-2</v>
      </c>
      <c r="P216" s="49">
        <f t="shared" si="29"/>
        <v>-2.465919843107689E-2</v>
      </c>
      <c r="Q216" s="49">
        <f t="shared" si="29"/>
        <v>-6.5846608865579914E-2</v>
      </c>
    </row>
    <row r="217" spans="1:17" ht="12.75" customHeight="1" x14ac:dyDescent="0.35">
      <c r="A217" s="260"/>
    </row>
    <row r="218" spans="1:17" ht="12.75" customHeight="1" x14ac:dyDescent="0.35">
      <c r="A218" s="260"/>
      <c r="B218" s="1" t="s">
        <v>843</v>
      </c>
    </row>
    <row r="219" spans="1:17" ht="12.75" customHeight="1" x14ac:dyDescent="0.35">
      <c r="A219" s="260"/>
      <c r="B219" s="2" t="s">
        <v>853</v>
      </c>
      <c r="F219" s="2" t="s">
        <v>72</v>
      </c>
      <c r="L219" s="49">
        <f xml:space="preserve"> MIN(L203 - L214, 0)</f>
        <v>-6.4895496835608579E-3</v>
      </c>
      <c r="M219" s="49">
        <f t="shared" ref="M219:Q219" si="30" xml:space="preserve"> MIN(M203 - M214, 0)</f>
        <v>-1.5612159222083033E-2</v>
      </c>
      <c r="N219" s="49">
        <f t="shared" si="30"/>
        <v>-1.4104751981527941E-2</v>
      </c>
      <c r="O219" s="49">
        <f t="shared" si="30"/>
        <v>-1.0754085171621353E-2</v>
      </c>
      <c r="P219" s="49">
        <f t="shared" si="30"/>
        <v>-1.3688406350022331E-2</v>
      </c>
      <c r="Q219" s="49">
        <f t="shared" si="30"/>
        <v>0</v>
      </c>
    </row>
    <row r="220" spans="1:17" ht="12.75" customHeight="1" x14ac:dyDescent="0.35">
      <c r="A220" s="260"/>
      <c r="B220" s="2" t="s">
        <v>854</v>
      </c>
      <c r="F220" s="2" t="s">
        <v>72</v>
      </c>
      <c r="L220" s="49">
        <f t="shared" ref="L220:Q220" si="31" xml:space="preserve"> MIN(L204 - L215, 0)</f>
        <v>-3.4741996158999977E-2</v>
      </c>
      <c r="M220" s="49">
        <f t="shared" si="31"/>
        <v>-4.1856686235486218E-2</v>
      </c>
      <c r="N220" s="49">
        <f t="shared" si="31"/>
        <v>-3.9176405640305223E-2</v>
      </c>
      <c r="O220" s="49">
        <f t="shared" si="31"/>
        <v>-3.7047928474399971E-2</v>
      </c>
      <c r="P220" s="49">
        <f t="shared" si="31"/>
        <v>-3.8354067252727608E-2</v>
      </c>
      <c r="Q220" s="49">
        <f t="shared" si="31"/>
        <v>0</v>
      </c>
    </row>
    <row r="221" spans="1:17" ht="12.75" customHeight="1" x14ac:dyDescent="0.35">
      <c r="A221" s="260"/>
      <c r="B221" s="2" t="s">
        <v>855</v>
      </c>
      <c r="F221" s="2" t="s">
        <v>72</v>
      </c>
      <c r="L221" s="49">
        <f t="shared" ref="L221:Q221" si="32" xml:space="preserve"> MIN(L205 - L216, 0)</f>
        <v>-4.6821722910830199E-2</v>
      </c>
      <c r="M221" s="49">
        <f t="shared" si="32"/>
        <v>-5.3918109193162866E-2</v>
      </c>
      <c r="N221" s="49">
        <f t="shared" si="32"/>
        <v>-4.9320759893147215E-2</v>
      </c>
      <c r="O221" s="49">
        <f t="shared" si="32"/>
        <v>-5.0759172730073798E-2</v>
      </c>
      <c r="P221" s="49">
        <f t="shared" si="32"/>
        <v>-4.6285764369888738E-2</v>
      </c>
      <c r="Q221" s="49">
        <f t="shared" si="32"/>
        <v>0</v>
      </c>
    </row>
    <row r="222" spans="1:17" ht="12.75" customHeight="1" x14ac:dyDescent="0.35">
      <c r="A222" s="260"/>
    </row>
    <row r="223" spans="1:17" ht="12.75" customHeight="1" x14ac:dyDescent="0.35">
      <c r="A223" s="260"/>
    </row>
  </sheetData>
  <phoneticPr fontId="66" type="noConversion"/>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97A7C-FB97-491C-8133-7C56E2DC3A07}">
  <sheetPr>
    <tabColor rgb="FFFFFFCC"/>
  </sheetPr>
  <dimension ref="B1:AA107"/>
  <sheetViews>
    <sheetView showGridLines="0" zoomScale="85" zoomScaleNormal="85" workbookViewId="0">
      <pane xSplit="6" ySplit="12" topLeftCell="G13" activePane="bottomRight" state="frozen"/>
      <selection activeCell="D52" sqref="D52"/>
      <selection pane="topRight" activeCell="D52" sqref="D52"/>
      <selection pane="bottomLeft" activeCell="D52" sqref="D52"/>
      <selection pane="bottomRight" activeCell="G13" sqref="G13"/>
    </sheetView>
  </sheetViews>
  <sheetFormatPr defaultColWidth="9.26953125" defaultRowHeight="12.5" x14ac:dyDescent="0.35"/>
  <cols>
    <col min="1" max="1" width="4.54296875" style="260" customWidth="1"/>
    <col min="2" max="2" width="66.453125" style="260" customWidth="1"/>
    <col min="3" max="3" width="1.7265625" style="260" customWidth="1"/>
    <col min="4" max="4" width="14.54296875" style="260" customWidth="1"/>
    <col min="5" max="5" width="2.453125" style="260" customWidth="1"/>
    <col min="6" max="6" width="13" style="260" customWidth="1"/>
    <col min="7" max="7" width="2.453125" style="260" customWidth="1"/>
    <col min="8" max="8" width="18.7265625" style="260" customWidth="1"/>
    <col min="9" max="9" width="2.453125" style="260" customWidth="1"/>
    <col min="10" max="10" width="16.453125" style="260" customWidth="1"/>
    <col min="11" max="11" width="2.54296875" style="260" customWidth="1"/>
    <col min="12" max="17" width="14" style="260" customWidth="1"/>
    <col min="18" max="18" width="2.453125" style="260" customWidth="1"/>
    <col min="19" max="19" width="19.7265625" style="260" customWidth="1"/>
    <col min="20" max="20" width="13" style="260" bestFit="1" customWidth="1"/>
    <col min="21" max="21" width="9.26953125" style="260"/>
    <col min="22" max="22" width="10.7265625" style="260" bestFit="1" customWidth="1"/>
    <col min="23" max="24" width="12" style="260" bestFit="1" customWidth="1"/>
    <col min="25" max="25" width="10.7265625" style="260" bestFit="1" customWidth="1"/>
    <col min="26" max="26" width="13" style="260" bestFit="1" customWidth="1"/>
    <col min="27" max="27" width="10.7265625" style="260" bestFit="1" customWidth="1"/>
    <col min="28" max="16384" width="9.26953125" style="260"/>
  </cols>
  <sheetData>
    <row r="1" spans="2:19" s="2" customFormat="1" x14ac:dyDescent="0.35"/>
    <row r="2" spans="2:19" s="95" customFormat="1" ht="18" x14ac:dyDescent="0.35">
      <c r="B2" s="18" t="s">
        <v>795</v>
      </c>
    </row>
    <row r="3" spans="2:19" s="2" customFormat="1" x14ac:dyDescent="0.35"/>
    <row r="4" spans="2:19" s="2" customFormat="1" ht="13" x14ac:dyDescent="0.35">
      <c r="B4" s="1" t="s">
        <v>29</v>
      </c>
      <c r="C4" s="1"/>
      <c r="D4" s="1"/>
    </row>
    <row r="5" spans="2:19" s="2" customFormat="1" x14ac:dyDescent="0.35">
      <c r="B5" s="69" t="s">
        <v>888</v>
      </c>
      <c r="H5" s="19"/>
    </row>
    <row r="6" spans="2:19" s="2" customFormat="1" x14ac:dyDescent="0.35">
      <c r="B6" s="69"/>
      <c r="H6" s="19"/>
    </row>
    <row r="7" spans="2:19" s="2" customFormat="1" x14ac:dyDescent="0.35">
      <c r="B7" s="69" t="s">
        <v>882</v>
      </c>
      <c r="H7" s="19"/>
    </row>
    <row r="8" spans="2:19" s="2" customFormat="1" x14ac:dyDescent="0.35">
      <c r="B8" s="69" t="s">
        <v>889</v>
      </c>
      <c r="H8" s="19"/>
    </row>
    <row r="9" spans="2:19" s="293" customFormat="1" ht="39" customHeight="1" x14ac:dyDescent="0.35">
      <c r="B9" s="298" t="s">
        <v>890</v>
      </c>
      <c r="C9" s="298"/>
      <c r="D9" s="298"/>
      <c r="E9" s="298"/>
      <c r="F9" s="298"/>
      <c r="G9" s="298"/>
      <c r="H9" s="298"/>
      <c r="I9" s="298"/>
      <c r="J9" s="298"/>
    </row>
    <row r="10" spans="2:19" s="2" customFormat="1" x14ac:dyDescent="0.35">
      <c r="B10" s="69"/>
      <c r="H10" s="19"/>
    </row>
    <row r="11" spans="2:19" s="6" customFormat="1" ht="13" x14ac:dyDescent="0.35">
      <c r="B11" s="6" t="s">
        <v>45</v>
      </c>
      <c r="D11" s="6" t="s">
        <v>730</v>
      </c>
      <c r="F11" s="6" t="s">
        <v>27</v>
      </c>
      <c r="H11" s="6" t="s">
        <v>28</v>
      </c>
      <c r="J11" s="6" t="s">
        <v>49</v>
      </c>
      <c r="L11" s="6" t="s">
        <v>88</v>
      </c>
      <c r="M11" s="6" t="s">
        <v>65</v>
      </c>
      <c r="N11" s="6" t="s">
        <v>66</v>
      </c>
      <c r="O11" s="6" t="s">
        <v>67</v>
      </c>
      <c r="P11" s="6" t="s">
        <v>68</v>
      </c>
      <c r="Q11" s="6" t="s">
        <v>69</v>
      </c>
      <c r="S11" s="6" t="s">
        <v>47</v>
      </c>
    </row>
    <row r="12" spans="2:19" s="2" customFormat="1" x14ac:dyDescent="0.35"/>
    <row r="13" spans="2:19" s="2" customFormat="1" x14ac:dyDescent="0.35"/>
    <row r="14" spans="2:19" s="6" customFormat="1" ht="13" x14ac:dyDescent="0.35">
      <c r="B14" s="6" t="s">
        <v>761</v>
      </c>
    </row>
    <row r="16" spans="2:19" ht="13" x14ac:dyDescent="0.35">
      <c r="B16" s="148" t="s">
        <v>725</v>
      </c>
      <c r="J16" s="89"/>
    </row>
    <row r="17" spans="2:17" x14ac:dyDescent="0.35">
      <c r="B17" s="260" t="s">
        <v>129</v>
      </c>
      <c r="F17" s="260" t="s">
        <v>110</v>
      </c>
      <c r="L17" s="46">
        <f>'Input daling volumes gas'!M14</f>
        <v>22364849.838650633</v>
      </c>
      <c r="M17" s="46">
        <f>'Input daling volumes gas'!N14</f>
        <v>364778627.52034658</v>
      </c>
      <c r="N17" s="46">
        <f>'Input daling volumes gas'!O14</f>
        <v>395721843.36583602</v>
      </c>
      <c r="O17" s="46">
        <f>'Input daling volumes gas'!P14</f>
        <v>16383453.319744868</v>
      </c>
      <c r="P17" s="46">
        <f>'Input daling volumes gas'!Q14</f>
        <v>321623425.23223299</v>
      </c>
      <c r="Q17" s="46">
        <f>'Input daling volumes gas'!R14</f>
        <v>18980681.998230651</v>
      </c>
    </row>
    <row r="18" spans="2:17" x14ac:dyDescent="0.35">
      <c r="B18" s="260" t="s">
        <v>137</v>
      </c>
      <c r="F18" s="260" t="s">
        <v>136</v>
      </c>
      <c r="L18" s="46">
        <f>'Input daling volumes gas'!M15</f>
        <v>24576733.487693179</v>
      </c>
      <c r="M18" s="46">
        <f>'Input daling volumes gas'!N15</f>
        <v>400891711.64486086</v>
      </c>
      <c r="N18" s="46">
        <f>'Input daling volumes gas'!O15</f>
        <v>435056594.5964002</v>
      </c>
      <c r="O18" s="46">
        <f>'Input daling volumes gas'!P15</f>
        <v>18002138.507735662</v>
      </c>
      <c r="P18" s="46">
        <f>'Input daling volumes gas'!Q15</f>
        <v>353464144.33022404</v>
      </c>
      <c r="Q18" s="46">
        <f>'Input daling volumes gas'!R15</f>
        <v>20821808.152059022</v>
      </c>
    </row>
    <row r="19" spans="2:17" x14ac:dyDescent="0.35">
      <c r="B19" s="260" t="s">
        <v>177</v>
      </c>
      <c r="F19" s="260" t="s">
        <v>160</v>
      </c>
      <c r="L19" s="46">
        <f>'Input daling volumes gas'!M16</f>
        <v>24795466.415733647</v>
      </c>
      <c r="M19" s="46">
        <f>'Input daling volumes gas'!N16</f>
        <v>404499737.04966456</v>
      </c>
      <c r="N19" s="46">
        <f>'Input daling volumes gas'!O16</f>
        <v>439146126.5856064</v>
      </c>
      <c r="O19" s="46">
        <f>'Input daling volumes gas'!P16</f>
        <v>18160557.326603733</v>
      </c>
      <c r="P19" s="46">
        <f>'Input daling volumes gas'!Q16</f>
        <v>356645321.62919599</v>
      </c>
      <c r="Q19" s="46">
        <f>'Input daling volumes gas'!R16</f>
        <v>20967560.809123434</v>
      </c>
    </row>
    <row r="21" spans="2:17" ht="13" x14ac:dyDescent="0.35">
      <c r="B21" s="148" t="s">
        <v>726</v>
      </c>
    </row>
    <row r="22" spans="2:17" x14ac:dyDescent="0.35">
      <c r="B22" s="2" t="s">
        <v>729</v>
      </c>
      <c r="F22" s="260" t="s">
        <v>72</v>
      </c>
      <c r="L22" s="48">
        <f>'Input daling volumes gas'!M19</f>
        <v>0.75085338954503056</v>
      </c>
      <c r="M22" s="48">
        <f>'Input daling volumes gas'!N19</f>
        <v>0.74996913489254102</v>
      </c>
      <c r="N22" s="48">
        <f>'Input daling volumes gas'!O19</f>
        <v>0.73986901131257143</v>
      </c>
      <c r="O22" s="48">
        <f>'Input daling volumes gas'!P19</f>
        <v>0.75300924270873693</v>
      </c>
      <c r="P22" s="48">
        <f>'Input daling volumes gas'!Q19</f>
        <v>0.75019402539056568</v>
      </c>
      <c r="Q22" s="48">
        <f>'Input daling volumes gas'!R19</f>
        <v>0.80444318983722551</v>
      </c>
    </row>
    <row r="23" spans="2:17" x14ac:dyDescent="0.35">
      <c r="B23" s="2" t="s">
        <v>727</v>
      </c>
      <c r="F23" s="260" t="s">
        <v>72</v>
      </c>
      <c r="L23" s="48">
        <f>'Input daling volumes gas'!M20</f>
        <v>0.74236679947895268</v>
      </c>
      <c r="M23" s="48">
        <f>'Input daling volumes gas'!N20</f>
        <v>0.74148316280034643</v>
      </c>
      <c r="N23" s="48">
        <f>'Input daling volumes gas'!O20</f>
        <v>0.73116860181319177</v>
      </c>
      <c r="O23" s="48">
        <f>'Input daling volumes gas'!P20</f>
        <v>0.74458412761300519</v>
      </c>
      <c r="P23" s="48">
        <f>'Input daling volumes gas'!Q20</f>
        <v>0.74171198772573732</v>
      </c>
      <c r="Q23" s="48">
        <f>'Input daling volumes gas'!R20</f>
        <v>0.79738241890007111</v>
      </c>
    </row>
    <row r="24" spans="2:17" x14ac:dyDescent="0.35">
      <c r="B24" s="2" t="s">
        <v>728</v>
      </c>
      <c r="F24" s="260" t="s">
        <v>72</v>
      </c>
      <c r="L24" s="48">
        <f>'Input daling volumes gas'!M21</f>
        <v>0.73388020941287468</v>
      </c>
      <c r="M24" s="48">
        <f>'Input daling volumes gas'!N21</f>
        <v>0.73299719070815184</v>
      </c>
      <c r="N24" s="48">
        <f>'Input daling volumes gas'!O21</f>
        <v>0.72246819231381232</v>
      </c>
      <c r="O24" s="48">
        <f>'Input daling volumes gas'!P21</f>
        <v>0.73615901251727367</v>
      </c>
      <c r="P24" s="48">
        <f>'Input daling volumes gas'!Q21</f>
        <v>0.73322995006090896</v>
      </c>
      <c r="Q24" s="48">
        <f>'Input daling volumes gas'!R21</f>
        <v>0.79032164796291671</v>
      </c>
    </row>
    <row r="26" spans="2:17" ht="13" x14ac:dyDescent="0.35">
      <c r="B26" s="148" t="s">
        <v>731</v>
      </c>
    </row>
    <row r="27" spans="2:17" x14ac:dyDescent="0.35">
      <c r="B27" s="260" t="s">
        <v>741</v>
      </c>
      <c r="D27" s="2" t="s">
        <v>739</v>
      </c>
      <c r="F27" s="2" t="s">
        <v>105</v>
      </c>
      <c r="H27" s="46">
        <f>'Input daling volumes gas'!I24</f>
        <v>379815326.26128149</v>
      </c>
    </row>
    <row r="28" spans="2:17" x14ac:dyDescent="0.35">
      <c r="B28" s="260" t="s">
        <v>732</v>
      </c>
      <c r="D28" s="2" t="s">
        <v>739</v>
      </c>
      <c r="F28" s="2" t="s">
        <v>105</v>
      </c>
      <c r="H28" s="46">
        <f>'Input daling volumes gas'!I25</f>
        <v>662017154.33689165</v>
      </c>
    </row>
    <row r="29" spans="2:17" x14ac:dyDescent="0.35">
      <c r="B29" s="260" t="s">
        <v>733</v>
      </c>
      <c r="D29" s="2" t="s">
        <v>739</v>
      </c>
      <c r="F29" s="2" t="s">
        <v>105</v>
      </c>
      <c r="H29" s="46">
        <f>'Input daling volumes gas'!I26</f>
        <v>837085846.22654307</v>
      </c>
    </row>
    <row r="30" spans="2:17" x14ac:dyDescent="0.35">
      <c r="B30" s="260" t="s">
        <v>734</v>
      </c>
      <c r="D30" s="2" t="s">
        <v>739</v>
      </c>
      <c r="F30" s="2" t="s">
        <v>105</v>
      </c>
      <c r="H30" s="46">
        <f>'Input daling volumes gas'!I27</f>
        <v>859101389.19927979</v>
      </c>
    </row>
    <row r="32" spans="2:17" ht="13" x14ac:dyDescent="0.35">
      <c r="B32" s="148" t="s">
        <v>735</v>
      </c>
    </row>
    <row r="33" spans="2:17" x14ac:dyDescent="0.35">
      <c r="B33" s="260" t="s">
        <v>741</v>
      </c>
      <c r="D33" s="2" t="s">
        <v>740</v>
      </c>
      <c r="F33" s="2" t="s">
        <v>105</v>
      </c>
      <c r="H33" s="46">
        <f>'Input daling volumes gas'!I30</f>
        <v>359796898.51298791</v>
      </c>
    </row>
    <row r="34" spans="2:17" x14ac:dyDescent="0.35">
      <c r="B34" s="260" t="s">
        <v>736</v>
      </c>
      <c r="D34" s="2" t="s">
        <v>740</v>
      </c>
      <c r="F34" s="2" t="s">
        <v>117</v>
      </c>
      <c r="H34" s="46">
        <f>'Input daling volumes gas'!I31</f>
        <v>693019858.85834277</v>
      </c>
    </row>
    <row r="35" spans="2:17" x14ac:dyDescent="0.35">
      <c r="B35" s="260" t="s">
        <v>737</v>
      </c>
      <c r="D35" s="2" t="s">
        <v>740</v>
      </c>
      <c r="F35" s="2" t="s">
        <v>117</v>
      </c>
      <c r="H35" s="46">
        <f>'Input daling volumes gas'!I32</f>
        <v>776759237.39233088</v>
      </c>
    </row>
    <row r="36" spans="2:17" x14ac:dyDescent="0.35">
      <c r="B36" s="260" t="s">
        <v>738</v>
      </c>
      <c r="D36" s="2" t="s">
        <v>740</v>
      </c>
      <c r="F36" s="2" t="s">
        <v>117</v>
      </c>
      <c r="H36" s="46">
        <f>'Input daling volumes gas'!I33</f>
        <v>798769874.44232631</v>
      </c>
    </row>
    <row r="38" spans="2:17" ht="13" x14ac:dyDescent="0.35">
      <c r="B38" s="148" t="s">
        <v>756</v>
      </c>
    </row>
    <row r="39" spans="2:17" x14ac:dyDescent="0.35">
      <c r="B39" s="2" t="s">
        <v>757</v>
      </c>
      <c r="F39" s="260" t="s">
        <v>72</v>
      </c>
      <c r="H39" s="55">
        <f>'Input daling volumes gas'!I36</f>
        <v>2.5441281586564557E-3</v>
      </c>
    </row>
    <row r="40" spans="2:17" x14ac:dyDescent="0.35">
      <c r="B40" s="2" t="s">
        <v>758</v>
      </c>
      <c r="F40" s="260" t="s">
        <v>72</v>
      </c>
      <c r="H40" s="48">
        <f>'Input daling volumes gas'!I37</f>
        <v>1.7999999999999999E-2</v>
      </c>
    </row>
    <row r="42" spans="2:17" s="6" customFormat="1" ht="13" x14ac:dyDescent="0.35">
      <c r="B42" s="6" t="s">
        <v>762</v>
      </c>
    </row>
    <row r="43" spans="2:17" x14ac:dyDescent="0.35">
      <c r="B43" s="2"/>
      <c r="C43" s="2"/>
      <c r="D43" s="2"/>
      <c r="E43" s="2"/>
      <c r="F43" s="2"/>
    </row>
    <row r="44" spans="2:17" ht="13" x14ac:dyDescent="0.35">
      <c r="B44" s="1" t="s">
        <v>722</v>
      </c>
      <c r="C44" s="2"/>
      <c r="D44" s="2"/>
      <c r="E44" s="2"/>
      <c r="F44" s="2"/>
    </row>
    <row r="45" spans="2:17" x14ac:dyDescent="0.35">
      <c r="B45" s="2" t="s">
        <v>852</v>
      </c>
      <c r="C45" s="2"/>
      <c r="D45" s="2"/>
      <c r="E45" s="2"/>
      <c r="F45" s="2" t="s">
        <v>72</v>
      </c>
      <c r="L45" s="48">
        <f>'SO transportdienst'!L203</f>
        <v>-8.0541901655822867E-3</v>
      </c>
      <c r="M45" s="48">
        <f>'SO transportdienst'!M203</f>
        <v>-1.8953470092181068E-2</v>
      </c>
      <c r="N45" s="48">
        <f>'SO transportdienst'!N203</f>
        <v>-1.6198457742550021E-2</v>
      </c>
      <c r="O45" s="48">
        <f>'SO transportdienst'!O203</f>
        <v>-1.4152894480274569E-2</v>
      </c>
      <c r="P45" s="48">
        <f>'SO transportdienst'!P203</f>
        <v>-2.3252284938670043E-2</v>
      </c>
      <c r="Q45" s="48">
        <f>'SO transportdienst'!Q203</f>
        <v>-8.3619441593080213E-3</v>
      </c>
    </row>
    <row r="46" spans="2:17" x14ac:dyDescent="0.35">
      <c r="B46" s="2" t="s">
        <v>844</v>
      </c>
      <c r="C46" s="2"/>
      <c r="D46" s="2"/>
      <c r="E46" s="2"/>
      <c r="F46" s="2" t="s">
        <v>72</v>
      </c>
      <c r="L46" s="48">
        <f>'SO transportdienst'!L204</f>
        <v>-4.291953956006489E-2</v>
      </c>
      <c r="M46" s="48">
        <f>'SO transportdienst'!M204</f>
        <v>-5.1983727050782691E-2</v>
      </c>
      <c r="N46" s="48">
        <f>'SO transportdienst'!N204</f>
        <v>-4.7341930108243502E-2</v>
      </c>
      <c r="O46" s="48">
        <f>'SO transportdienst'!O204</f>
        <v>-4.7230474973260939E-2</v>
      </c>
      <c r="P46" s="48">
        <f>'SO transportdienst'!P204</f>
        <v>-5.5635067878407773E-2</v>
      </c>
      <c r="Q46" s="48">
        <f>'SO transportdienst'!Q204</f>
        <v>-2.5681134273744965E-2</v>
      </c>
    </row>
    <row r="47" spans="2:17" x14ac:dyDescent="0.35">
      <c r="B47" s="2" t="s">
        <v>845</v>
      </c>
      <c r="C47" s="2"/>
      <c r="D47" s="2"/>
      <c r="E47" s="2"/>
      <c r="F47" s="2" t="s">
        <v>72</v>
      </c>
      <c r="L47" s="48">
        <f>'SO transportdienst'!L205</f>
        <v>-6.421926187476823E-2</v>
      </c>
      <c r="M47" s="48">
        <f>'SO transportdienst'!M205</f>
        <v>-7.210212945838268E-2</v>
      </c>
      <c r="N47" s="48">
        <f>'SO transportdienst'!N205</f>
        <v>-6.4289256827851915E-2</v>
      </c>
      <c r="O47" s="48">
        <f>'SO transportdienst'!O205</f>
        <v>-6.8908131935188854E-2</v>
      </c>
      <c r="P47" s="48">
        <f>'SO transportdienst'!P205</f>
        <v>-7.0944962800965627E-2</v>
      </c>
      <c r="Q47" s="48">
        <f>'SO transportdienst'!Q205</f>
        <v>-4.673247817337689E-2</v>
      </c>
    </row>
    <row r="49" spans="2:17" ht="13" x14ac:dyDescent="0.35">
      <c r="B49" s="1" t="s">
        <v>843</v>
      </c>
      <c r="C49" s="2"/>
      <c r="D49" s="2"/>
      <c r="E49" s="2"/>
      <c r="F49" s="2"/>
    </row>
    <row r="50" spans="2:17" x14ac:dyDescent="0.35">
      <c r="B50" s="2" t="s">
        <v>853</v>
      </c>
      <c r="C50" s="2"/>
      <c r="D50" s="2"/>
      <c r="E50" s="2"/>
      <c r="F50" s="2" t="s">
        <v>72</v>
      </c>
      <c r="L50" s="48">
        <f>'SO transportdienst'!L219</f>
        <v>-6.4895496835608579E-3</v>
      </c>
      <c r="M50" s="48">
        <f>'SO transportdienst'!M219</f>
        <v>-1.5612159222083033E-2</v>
      </c>
      <c r="N50" s="48">
        <f>'SO transportdienst'!N219</f>
        <v>-1.4104751981527941E-2</v>
      </c>
      <c r="O50" s="48">
        <f>'SO transportdienst'!O219</f>
        <v>-1.0754085171621353E-2</v>
      </c>
      <c r="P50" s="48">
        <f>'SO transportdienst'!P219</f>
        <v>-1.3688406350022331E-2</v>
      </c>
      <c r="Q50" s="48">
        <f>'SO transportdienst'!Q219</f>
        <v>0</v>
      </c>
    </row>
    <row r="51" spans="2:17" x14ac:dyDescent="0.35">
      <c r="B51" s="2" t="s">
        <v>854</v>
      </c>
      <c r="C51" s="2"/>
      <c r="D51" s="2"/>
      <c r="E51" s="2"/>
      <c r="F51" s="2" t="s">
        <v>72</v>
      </c>
      <c r="L51" s="48">
        <f>'SO transportdienst'!L220</f>
        <v>-3.4741996158999977E-2</v>
      </c>
      <c r="M51" s="48">
        <f>'SO transportdienst'!M220</f>
        <v>-4.1856686235486218E-2</v>
      </c>
      <c r="N51" s="48">
        <f>'SO transportdienst'!N220</f>
        <v>-3.9176405640305223E-2</v>
      </c>
      <c r="O51" s="48">
        <f>'SO transportdienst'!O220</f>
        <v>-3.7047928474399971E-2</v>
      </c>
      <c r="P51" s="48">
        <f>'SO transportdienst'!P220</f>
        <v>-3.8354067252727608E-2</v>
      </c>
      <c r="Q51" s="48">
        <f>'SO transportdienst'!Q220</f>
        <v>0</v>
      </c>
    </row>
    <row r="52" spans="2:17" x14ac:dyDescent="0.35">
      <c r="B52" s="2" t="s">
        <v>855</v>
      </c>
      <c r="C52" s="2"/>
      <c r="D52" s="2"/>
      <c r="E52" s="2"/>
      <c r="F52" s="2" t="s">
        <v>72</v>
      </c>
      <c r="L52" s="48">
        <f>'SO transportdienst'!L221</f>
        <v>-4.6821722910830199E-2</v>
      </c>
      <c r="M52" s="48">
        <f>'SO transportdienst'!M221</f>
        <v>-5.3918109193162866E-2</v>
      </c>
      <c r="N52" s="48">
        <f>'SO transportdienst'!N221</f>
        <v>-4.9320759893147215E-2</v>
      </c>
      <c r="O52" s="48">
        <f>'SO transportdienst'!O221</f>
        <v>-5.0759172730073798E-2</v>
      </c>
      <c r="P52" s="48">
        <f>'SO transportdienst'!P221</f>
        <v>-4.6285764369888738E-2</v>
      </c>
      <c r="Q52" s="48">
        <f>'SO transportdienst'!Q221</f>
        <v>0</v>
      </c>
    </row>
    <row r="54" spans="2:17" s="6" customFormat="1" ht="13" x14ac:dyDescent="0.35">
      <c r="B54" s="6" t="s">
        <v>218</v>
      </c>
    </row>
    <row r="56" spans="2:17" ht="13" x14ac:dyDescent="0.35">
      <c r="B56" s="148" t="s">
        <v>763</v>
      </c>
    </row>
    <row r="57" spans="2:17" x14ac:dyDescent="0.35">
      <c r="B57" s="170" t="s">
        <v>764</v>
      </c>
      <c r="F57" s="260" t="s">
        <v>72</v>
      </c>
      <c r="H57" s="48">
        <f>Parameters!P72</f>
        <v>0.22652385902348815</v>
      </c>
    </row>
    <row r="58" spans="2:17" x14ac:dyDescent="0.35">
      <c r="B58" s="170" t="s">
        <v>765</v>
      </c>
      <c r="F58" s="260" t="s">
        <v>72</v>
      </c>
      <c r="H58" s="48">
        <f>Parameters!P73</f>
        <v>0.19085598925142944</v>
      </c>
    </row>
    <row r="59" spans="2:17" x14ac:dyDescent="0.35">
      <c r="B59" s="170" t="s">
        <v>583</v>
      </c>
      <c r="F59" s="260" t="s">
        <v>72</v>
      </c>
      <c r="H59" s="48">
        <f>Parameters!P74</f>
        <v>0.11818696111160243</v>
      </c>
    </row>
    <row r="61" spans="2:17" s="6" customFormat="1" ht="13" x14ac:dyDescent="0.35">
      <c r="B61" s="6" t="s">
        <v>766</v>
      </c>
      <c r="L61" s="93"/>
      <c r="M61" s="93"/>
      <c r="N61" s="93"/>
      <c r="O61" s="93"/>
      <c r="P61" s="93"/>
      <c r="Q61" s="93"/>
    </row>
    <row r="63" spans="2:17" ht="13" x14ac:dyDescent="0.35">
      <c r="B63" s="148" t="s">
        <v>767</v>
      </c>
    </row>
    <row r="64" spans="2:17" x14ac:dyDescent="0.35">
      <c r="B64" s="2" t="s">
        <v>774</v>
      </c>
      <c r="C64" s="2"/>
      <c r="D64" s="2" t="s">
        <v>739</v>
      </c>
      <c r="E64" s="2"/>
      <c r="F64" s="2" t="s">
        <v>105</v>
      </c>
      <c r="H64" s="105">
        <f>H29-H28</f>
        <v>175068691.88965142</v>
      </c>
    </row>
    <row r="65" spans="2:17" x14ac:dyDescent="0.35">
      <c r="B65" s="260" t="s">
        <v>768</v>
      </c>
      <c r="D65" s="2" t="s">
        <v>739</v>
      </c>
      <c r="F65" s="2" t="s">
        <v>105</v>
      </c>
      <c r="H65" s="105">
        <f>H27+H64</f>
        <v>554884018.15093291</v>
      </c>
    </row>
    <row r="66" spans="2:17" x14ac:dyDescent="0.35">
      <c r="B66" s="260" t="s">
        <v>769</v>
      </c>
      <c r="F66" s="2" t="s">
        <v>72</v>
      </c>
      <c r="H66" s="49">
        <f>H65/H30</f>
        <v>0.64588886146268387</v>
      </c>
    </row>
    <row r="68" spans="2:17" ht="13" x14ac:dyDescent="0.35">
      <c r="B68" s="148" t="s">
        <v>770</v>
      </c>
    </row>
    <row r="69" spans="2:17" x14ac:dyDescent="0.35">
      <c r="B69" s="264" t="s">
        <v>798</v>
      </c>
      <c r="D69" s="2" t="s">
        <v>740</v>
      </c>
      <c r="F69" s="2" t="s">
        <v>117</v>
      </c>
      <c r="H69" s="105">
        <f xml:space="preserve"> H33 * (1 - H39) ^ 5 * (1 + H40) ^ 5</f>
        <v>388387068.79149884</v>
      </c>
    </row>
    <row r="70" spans="2:17" x14ac:dyDescent="0.35">
      <c r="B70" s="2" t="s">
        <v>771</v>
      </c>
      <c r="C70" s="2"/>
      <c r="D70" s="2" t="s">
        <v>740</v>
      </c>
      <c r="E70" s="2"/>
      <c r="F70" s="2" t="s">
        <v>117</v>
      </c>
      <c r="H70" s="105">
        <f>H35-H34</f>
        <v>83739378.533988118</v>
      </c>
    </row>
    <row r="71" spans="2:17" x14ac:dyDescent="0.35">
      <c r="B71" s="260" t="s">
        <v>772</v>
      </c>
      <c r="D71" s="2" t="s">
        <v>740</v>
      </c>
      <c r="F71" s="2" t="s">
        <v>117</v>
      </c>
      <c r="H71" s="105">
        <f>H69+H70</f>
        <v>472126447.32548696</v>
      </c>
    </row>
    <row r="72" spans="2:17" x14ac:dyDescent="0.35">
      <c r="B72" s="260" t="s">
        <v>773</v>
      </c>
      <c r="F72" s="2" t="s">
        <v>72</v>
      </c>
      <c r="H72" s="49">
        <f>H71/H36</f>
        <v>0.5910669173084544</v>
      </c>
    </row>
    <row r="74" spans="2:17" ht="13" x14ac:dyDescent="0.35">
      <c r="B74" s="148" t="s">
        <v>775</v>
      </c>
    </row>
    <row r="75" spans="2:17" x14ac:dyDescent="0.35">
      <c r="B75" s="260" t="s">
        <v>776</v>
      </c>
      <c r="F75" s="260" t="s">
        <v>72</v>
      </c>
      <c r="H75" s="49">
        <f xml:space="preserve"> H$66 + (H$72 - H$66) / 5</f>
        <v>0.63492447263183793</v>
      </c>
    </row>
    <row r="76" spans="2:17" x14ac:dyDescent="0.35">
      <c r="B76" s="260" t="s">
        <v>777</v>
      </c>
      <c r="F76" s="260" t="s">
        <v>72</v>
      </c>
      <c r="H76" s="49">
        <f xml:space="preserve"> H$66 + 2 * (H$72 - H$66) / 5</f>
        <v>0.6239600838009921</v>
      </c>
    </row>
    <row r="77" spans="2:17" x14ac:dyDescent="0.35">
      <c r="B77" s="260" t="s">
        <v>778</v>
      </c>
      <c r="F77" s="260" t="s">
        <v>72</v>
      </c>
      <c r="H77" s="49">
        <f xml:space="preserve"> H$66 + 3 * (H$72 - H$66) / 5</f>
        <v>0.61299569497014617</v>
      </c>
    </row>
    <row r="79" spans="2:17" s="6" customFormat="1" ht="13" x14ac:dyDescent="0.35">
      <c r="B79" s="6" t="s">
        <v>792</v>
      </c>
      <c r="L79" s="93"/>
      <c r="M79" s="93"/>
      <c r="N79" s="93"/>
      <c r="O79" s="93"/>
      <c r="P79" s="93"/>
      <c r="Q79" s="93"/>
    </row>
    <row r="81" spans="2:17" ht="13" x14ac:dyDescent="0.35">
      <c r="B81" s="148" t="s">
        <v>779</v>
      </c>
    </row>
    <row r="82" spans="2:17" x14ac:dyDescent="0.35">
      <c r="B82" s="260" t="s">
        <v>780</v>
      </c>
      <c r="F82" s="36" t="s">
        <v>110</v>
      </c>
      <c r="L82" s="105">
        <f xml:space="preserve"> L$17 * L$22</f>
        <v>16792723.308016457</v>
      </c>
      <c r="M82" s="105">
        <f t="shared" ref="M82:Q82" si="0" xml:space="preserve"> M$17 * M$22</f>
        <v>273572711.70872277</v>
      </c>
      <c r="N82" s="105">
        <f t="shared" si="0"/>
        <v>292782329.00586933</v>
      </c>
      <c r="O82" s="105">
        <f t="shared" si="0"/>
        <v>12336891.777255025</v>
      </c>
      <c r="P82" s="105">
        <f t="shared" si="0"/>
        <v>241279972.03487051</v>
      </c>
      <c r="Q82" s="105">
        <f t="shared" si="0"/>
        <v>15268880.371942669</v>
      </c>
    </row>
    <row r="83" spans="2:17" x14ac:dyDescent="0.35">
      <c r="B83" s="260" t="s">
        <v>781</v>
      </c>
      <c r="F83" s="36" t="s">
        <v>136</v>
      </c>
      <c r="L83" s="105">
        <f xml:space="preserve"> L$18 * L$23</f>
        <v>18244950.980905984</v>
      </c>
      <c r="M83" s="105">
        <f t="shared" ref="M83:Q83" si="1" xml:space="preserve"> M$18 * M$23</f>
        <v>297254454.29087591</v>
      </c>
      <c r="N83" s="105">
        <f t="shared" si="1"/>
        <v>318099721.98065853</v>
      </c>
      <c r="O83" s="105">
        <f t="shared" si="1"/>
        <v>13404106.595950846</v>
      </c>
      <c r="P83" s="105">
        <f t="shared" si="1"/>
        <v>262168593.08094737</v>
      </c>
      <c r="Q83" s="105">
        <f t="shared" si="1"/>
        <v>16602943.750162043</v>
      </c>
    </row>
    <row r="84" spans="2:17" x14ac:dyDescent="0.35">
      <c r="B84" s="260" t="s">
        <v>782</v>
      </c>
      <c r="F84" s="36" t="s">
        <v>160</v>
      </c>
      <c r="L84" s="105">
        <f xml:space="preserve"> L$19 * L$24</f>
        <v>18196902.085668512</v>
      </c>
      <c r="M84" s="105">
        <f t="shared" ref="M84:Q84" si="2" xml:space="preserve"> M$19 * M$24</f>
        <v>296497170.89959025</v>
      </c>
      <c r="N84" s="105">
        <f t="shared" si="2"/>
        <v>317269108.23591566</v>
      </c>
      <c r="O84" s="105">
        <f t="shared" si="2"/>
        <v>13369057.948315943</v>
      </c>
      <c r="P84" s="105">
        <f t="shared" si="2"/>
        <v>261503031.36763218</v>
      </c>
      <c r="Q84" s="105">
        <f t="shared" si="2"/>
        <v>16571117.212429099</v>
      </c>
    </row>
    <row r="85" spans="2:17" x14ac:dyDescent="0.35">
      <c r="F85" s="36"/>
    </row>
    <row r="86" spans="2:17" x14ac:dyDescent="0.35">
      <c r="B86" s="260" t="s">
        <v>783</v>
      </c>
      <c r="F86" s="36" t="s">
        <v>110</v>
      </c>
      <c r="L86" s="105">
        <f t="shared" ref="L86:Q86" si="3" xml:space="preserve"> L$82 * $H$75</f>
        <v>10662110.990394721</v>
      </c>
      <c r="M86" s="105">
        <f t="shared" si="3"/>
        <v>173698009.70812264</v>
      </c>
      <c r="N86" s="105">
        <f t="shared" si="3"/>
        <v>185894665.83997285</v>
      </c>
      <c r="O86" s="105">
        <f t="shared" si="3"/>
        <v>7832994.505589704</v>
      </c>
      <c r="P86" s="105">
        <f t="shared" si="3"/>
        <v>153194559.00086477</v>
      </c>
      <c r="Q86" s="105">
        <f t="shared" si="3"/>
        <v>9694585.8178343214</v>
      </c>
    </row>
    <row r="87" spans="2:17" x14ac:dyDescent="0.35">
      <c r="B87" s="260" t="s">
        <v>784</v>
      </c>
      <c r="F87" s="36" t="s">
        <v>136</v>
      </c>
      <c r="L87" s="105">
        <f t="shared" ref="L87:Q87" si="4" xml:space="preserve"> L$83 * $H$76</f>
        <v>11384121.14299109</v>
      </c>
      <c r="M87" s="105">
        <f t="shared" si="4"/>
        <v>185474914.20955312</v>
      </c>
      <c r="N87" s="105">
        <f t="shared" si="4"/>
        <v>198481529.18412399</v>
      </c>
      <c r="O87" s="105">
        <f t="shared" si="4"/>
        <v>8363627.4748869203</v>
      </c>
      <c r="P87" s="105">
        <f t="shared" si="4"/>
        <v>163582737.30877611</v>
      </c>
      <c r="Q87" s="105">
        <f t="shared" si="4"/>
        <v>10359574.173694266</v>
      </c>
    </row>
    <row r="88" spans="2:17" x14ac:dyDescent="0.35">
      <c r="B88" s="260" t="s">
        <v>785</v>
      </c>
      <c r="F88" s="36" t="s">
        <v>160</v>
      </c>
      <c r="L88" s="105">
        <f t="shared" ref="L88:Q88" si="5" xml:space="preserve"> L$84 * $H$77</f>
        <v>11154622.640308071</v>
      </c>
      <c r="M88" s="105">
        <f t="shared" si="5"/>
        <v>181751489.33227652</v>
      </c>
      <c r="N88" s="105">
        <f t="shared" si="5"/>
        <v>194484597.49563363</v>
      </c>
      <c r="O88" s="105">
        <f t="shared" si="5"/>
        <v>8195174.9681240879</v>
      </c>
      <c r="P88" s="105">
        <f t="shared" si="5"/>
        <v>160300232.45000163</v>
      </c>
      <c r="Q88" s="105">
        <f t="shared" si="5"/>
        <v>10158023.512064727</v>
      </c>
    </row>
    <row r="89" spans="2:17" x14ac:dyDescent="0.35">
      <c r="F89" s="36"/>
    </row>
    <row r="90" spans="2:17" x14ac:dyDescent="0.35">
      <c r="B90" s="285" t="s">
        <v>850</v>
      </c>
      <c r="F90" s="36" t="s">
        <v>110</v>
      </c>
      <c r="L90" s="105">
        <f xml:space="preserve"> L$82 - L$86</f>
        <v>6130612.3176217359</v>
      </c>
      <c r="M90" s="105">
        <f t="shared" ref="M90:Q90" si="6" xml:space="preserve"> M$82 - M$86</f>
        <v>99874702.000600129</v>
      </c>
      <c r="N90" s="105">
        <f t="shared" si="6"/>
        <v>106887663.16589648</v>
      </c>
      <c r="O90" s="105">
        <f t="shared" si="6"/>
        <v>4503897.2716653207</v>
      </c>
      <c r="P90" s="105">
        <f t="shared" si="6"/>
        <v>88085413.034005731</v>
      </c>
      <c r="Q90" s="105">
        <f t="shared" si="6"/>
        <v>5574294.5541083477</v>
      </c>
    </row>
    <row r="91" spans="2:17" x14ac:dyDescent="0.35">
      <c r="B91" s="285" t="s">
        <v>849</v>
      </c>
      <c r="F91" s="36" t="s">
        <v>136</v>
      </c>
      <c r="L91" s="105">
        <f xml:space="preserve"> L$83 - L$87</f>
        <v>6860829.8379148934</v>
      </c>
      <c r="M91" s="105">
        <f t="shared" ref="M91:Q91" si="7" xml:space="preserve"> M$83 - M$87</f>
        <v>111779540.08132279</v>
      </c>
      <c r="N91" s="105">
        <f t="shared" si="7"/>
        <v>119618192.79653454</v>
      </c>
      <c r="O91" s="105">
        <f t="shared" si="7"/>
        <v>5040479.1210639253</v>
      </c>
      <c r="P91" s="105">
        <f t="shared" si="7"/>
        <v>98585855.772171259</v>
      </c>
      <c r="Q91" s="105">
        <f t="shared" si="7"/>
        <v>6243369.5764677767</v>
      </c>
    </row>
    <row r="92" spans="2:17" x14ac:dyDescent="0.35">
      <c r="B92" s="285" t="s">
        <v>851</v>
      </c>
      <c r="F92" s="36" t="s">
        <v>160</v>
      </c>
      <c r="L92" s="105">
        <f xml:space="preserve"> L$84 - L$88</f>
        <v>7042279.4453604408</v>
      </c>
      <c r="M92" s="105">
        <f t="shared" ref="M92:Q92" si="8" xml:space="preserve"> M$84 - M$88</f>
        <v>114745681.56731373</v>
      </c>
      <c r="N92" s="105">
        <f t="shared" si="8"/>
        <v>122784510.74028203</v>
      </c>
      <c r="O92" s="105">
        <f t="shared" si="8"/>
        <v>5173882.9801918548</v>
      </c>
      <c r="P92" s="105">
        <f t="shared" si="8"/>
        <v>101202798.91763055</v>
      </c>
      <c r="Q92" s="105">
        <f t="shared" si="8"/>
        <v>6413093.7003643718</v>
      </c>
    </row>
    <row r="94" spans="2:17" s="6" customFormat="1" ht="13" x14ac:dyDescent="0.35">
      <c r="B94" s="6" t="s">
        <v>793</v>
      </c>
      <c r="L94" s="93"/>
      <c r="M94" s="93"/>
      <c r="N94" s="93"/>
      <c r="O94" s="93"/>
      <c r="P94" s="93"/>
      <c r="Q94" s="93"/>
    </row>
    <row r="96" spans="2:17" ht="13" x14ac:dyDescent="0.35">
      <c r="B96" s="148" t="s">
        <v>786</v>
      </c>
    </row>
    <row r="97" spans="2:27" x14ac:dyDescent="0.35">
      <c r="B97" s="260" t="s">
        <v>787</v>
      </c>
      <c r="F97" s="36" t="s">
        <v>110</v>
      </c>
      <c r="J97" s="105">
        <f>SUM(L97:Q97)</f>
        <v>14504163.121572394</v>
      </c>
      <c r="L97" s="105">
        <f>L86*-L45+L90*-L50</f>
        <v>125659.58270904041</v>
      </c>
      <c r="M97" s="105">
        <f t="shared" ref="M97:Q97" si="9">M86*-M45+M90*-M50</f>
        <v>4851439.7819657438</v>
      </c>
      <c r="N97" s="105">
        <f t="shared" si="9"/>
        <v>4518830.8680143263</v>
      </c>
      <c r="O97" s="105">
        <f t="shared" si="9"/>
        <v>159294.83956590344</v>
      </c>
      <c r="P97" s="105">
        <f t="shared" si="9"/>
        <v>4767872.4640610311</v>
      </c>
      <c r="Q97" s="105">
        <f t="shared" si="9"/>
        <v>81065.585256350081</v>
      </c>
    </row>
    <row r="98" spans="2:27" x14ac:dyDescent="0.35">
      <c r="B98" s="260" t="s">
        <v>788</v>
      </c>
      <c r="F98" s="36" t="s">
        <v>136</v>
      </c>
      <c r="J98" s="105">
        <f t="shared" ref="J98:J99" si="10">SUM(L98:Q98)</f>
        <v>42859976.398595303</v>
      </c>
      <c r="L98" s="105">
        <f t="shared" ref="L98:Q98" si="11">L87*-L46+L91*-L51</f>
        <v>726960.1616295689</v>
      </c>
      <c r="M98" s="105">
        <f t="shared" si="11"/>
        <v>14320398.451767629</v>
      </c>
      <c r="N98" s="105">
        <f t="shared" si="11"/>
        <v>14082709.525369365</v>
      </c>
      <c r="O98" s="105">
        <f t="shared" si="11"/>
        <v>581757.40809220704</v>
      </c>
      <c r="P98" s="105">
        <f t="shared" si="11"/>
        <v>12882105.236363068</v>
      </c>
      <c r="Q98" s="105">
        <f t="shared" si="11"/>
        <v>266045.61537346302</v>
      </c>
      <c r="S98" s="125"/>
    </row>
    <row r="99" spans="2:27" x14ac:dyDescent="0.35">
      <c r="B99" s="260" t="s">
        <v>789</v>
      </c>
      <c r="F99" s="36" t="s">
        <v>160</v>
      </c>
      <c r="J99" s="105">
        <f t="shared" si="10"/>
        <v>56255497.263161242</v>
      </c>
      <c r="L99" s="105">
        <f t="shared" ref="L99:Q99" si="12">L88*-L47+L92*-L52</f>
        <v>1046073.2893034642</v>
      </c>
      <c r="M99" s="105">
        <f t="shared" si="12"/>
        <v>19291539.601279978</v>
      </c>
      <c r="N99" s="105">
        <f t="shared" si="12"/>
        <v>18559095.610277202</v>
      </c>
      <c r="O99" s="105">
        <f t="shared" si="12"/>
        <v>827336.21781219915</v>
      </c>
      <c r="P99" s="105">
        <f t="shared" si="12"/>
        <v>16056742.932426188</v>
      </c>
      <c r="Q99" s="105">
        <f t="shared" si="12"/>
        <v>474709.61206221412</v>
      </c>
    </row>
    <row r="101" spans="2:27" ht="13" x14ac:dyDescent="0.35">
      <c r="B101" s="148" t="s">
        <v>794</v>
      </c>
    </row>
    <row r="102" spans="2:27" x14ac:dyDescent="0.35">
      <c r="B102" s="260" t="s">
        <v>787</v>
      </c>
      <c r="F102" s="2" t="s">
        <v>117</v>
      </c>
      <c r="J102" s="105">
        <f>SUM(L102:Q102)</f>
        <v>17789702.123777132</v>
      </c>
      <c r="L102" s="105">
        <f t="shared" ref="L102:Q104" si="13" xml:space="preserve"> L97 * (1 + $H57)</f>
        <v>154124.47630757344</v>
      </c>
      <c r="M102" s="105">
        <f t="shared" si="13"/>
        <v>5950406.6431966936</v>
      </c>
      <c r="N102" s="105">
        <f t="shared" si="13"/>
        <v>5542453.87451139</v>
      </c>
      <c r="O102" s="105">
        <f t="shared" si="13"/>
        <v>195378.92134689933</v>
      </c>
      <c r="P102" s="105">
        <f t="shared" si="13"/>
        <v>5847909.3339519631</v>
      </c>
      <c r="Q102" s="105">
        <f t="shared" si="13"/>
        <v>99428.874462616091</v>
      </c>
    </row>
    <row r="103" spans="2:27" x14ac:dyDescent="0.35">
      <c r="B103" s="260" t="s">
        <v>788</v>
      </c>
      <c r="F103" s="2" t="s">
        <v>117</v>
      </c>
      <c r="J103" s="105">
        <f t="shared" ref="J103:J104" si="14">SUM(L103:Q103)</f>
        <v>51040059.593442127</v>
      </c>
      <c r="L103" s="105">
        <f t="shared" si="13"/>
        <v>865704.8624237593</v>
      </c>
      <c r="M103" s="105">
        <f t="shared" si="13"/>
        <v>17053532.264754377</v>
      </c>
      <c r="N103" s="105">
        <f t="shared" si="13"/>
        <v>16770478.983174263</v>
      </c>
      <c r="O103" s="105">
        <f t="shared" si="13"/>
        <v>692789.29371799272</v>
      </c>
      <c r="P103" s="105">
        <f t="shared" si="13"/>
        <v>15340732.174890161</v>
      </c>
      <c r="Q103" s="105">
        <f t="shared" si="13"/>
        <v>316822.01448157063</v>
      </c>
    </row>
    <row r="104" spans="2:27" x14ac:dyDescent="0.35">
      <c r="B104" s="260" t="s">
        <v>789</v>
      </c>
      <c r="F104" s="2" t="s">
        <v>117</v>
      </c>
      <c r="J104" s="105">
        <f t="shared" si="14"/>
        <v>62904163.530516334</v>
      </c>
      <c r="L104" s="105">
        <f t="shared" si="13"/>
        <v>1169705.5124662588</v>
      </c>
      <c r="M104" s="105">
        <f t="shared" si="13"/>
        <v>21571548.041919392</v>
      </c>
      <c r="N104" s="105">
        <f t="shared" si="13"/>
        <v>20752538.721435543</v>
      </c>
      <c r="O104" s="105">
        <f t="shared" si="13"/>
        <v>925116.57121298974</v>
      </c>
      <c r="P104" s="105">
        <f t="shared" si="13"/>
        <v>17954440.584959839</v>
      </c>
      <c r="Q104" s="105">
        <f t="shared" si="13"/>
        <v>530814.09852231492</v>
      </c>
    </row>
    <row r="105" spans="2:27" x14ac:dyDescent="0.35">
      <c r="F105" s="36"/>
    </row>
    <row r="106" spans="2:27" x14ac:dyDescent="0.35">
      <c r="B106" s="36" t="s">
        <v>790</v>
      </c>
      <c r="F106" s="2" t="s">
        <v>117</v>
      </c>
      <c r="J106" s="105">
        <f t="shared" ref="J106" si="15">SUM(L106:Q106)</f>
        <v>131733925.24773559</v>
      </c>
      <c r="L106" s="37">
        <f>SUM(L102:L104)</f>
        <v>2189534.8511975915</v>
      </c>
      <c r="M106" s="37">
        <f t="shared" ref="M106:Q106" si="16">SUM(M102:M104)</f>
        <v>44575486.949870467</v>
      </c>
      <c r="N106" s="37">
        <f t="shared" si="16"/>
        <v>43065471.579121195</v>
      </c>
      <c r="O106" s="37">
        <f t="shared" si="16"/>
        <v>1813284.7862778818</v>
      </c>
      <c r="P106" s="37">
        <f t="shared" si="16"/>
        <v>39143082.09380196</v>
      </c>
      <c r="Q106" s="37">
        <f t="shared" si="16"/>
        <v>947064.98746650165</v>
      </c>
      <c r="T106" s="125"/>
      <c r="U106" s="262"/>
      <c r="V106" s="263"/>
      <c r="W106" s="263"/>
      <c r="X106" s="263"/>
      <c r="Y106" s="263"/>
      <c r="Z106" s="263"/>
      <c r="AA106" s="263"/>
    </row>
    <row r="107" spans="2:27" x14ac:dyDescent="0.35">
      <c r="B107" s="261"/>
      <c r="F107" s="2"/>
      <c r="J107" s="125"/>
      <c r="L107" s="263"/>
      <c r="M107" s="263"/>
      <c r="N107" s="263"/>
      <c r="O107" s="263"/>
      <c r="P107" s="263"/>
      <c r="Q107" s="263"/>
      <c r="T107" s="125"/>
      <c r="U107" s="262"/>
      <c r="V107" s="263"/>
      <c r="W107" s="263"/>
      <c r="X107" s="263"/>
      <c r="Y107" s="263"/>
      <c r="Z107" s="263"/>
      <c r="AA107" s="263"/>
    </row>
  </sheetData>
  <mergeCells count="1">
    <mergeCell ref="B9:J9"/>
  </mergeCells>
  <phoneticPr fontId="66" type="noConversion"/>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26FC9-BBBB-4080-9EEF-98EA12409C06}">
  <sheetPr>
    <tabColor rgb="FFFFFFCC"/>
  </sheetPr>
  <dimension ref="A1:Z116"/>
  <sheetViews>
    <sheetView showGridLines="0" zoomScale="85" zoomScaleNormal="85" workbookViewId="0">
      <pane xSplit="6" ySplit="23" topLeftCell="G24" activePane="bottomRight" state="frozen"/>
      <selection pane="topRight" activeCell="G1" sqref="G1"/>
      <selection pane="bottomLeft" activeCell="A9" sqref="A9"/>
      <selection pane="bottomRight" activeCell="G24" sqref="G24"/>
    </sheetView>
  </sheetViews>
  <sheetFormatPr defaultColWidth="9.26953125" defaultRowHeight="12" customHeight="1" x14ac:dyDescent="0.35"/>
  <cols>
    <col min="1" max="1" width="3" style="98" customWidth="1"/>
    <col min="2" max="2" width="65.7265625" style="98" customWidth="1"/>
    <col min="3" max="3" width="3.7265625" style="98" customWidth="1"/>
    <col min="4" max="4" width="3.453125" style="98" customWidth="1"/>
    <col min="5" max="5" width="3.26953125" style="98" customWidth="1"/>
    <col min="6" max="6" width="15" style="98" bestFit="1" customWidth="1"/>
    <col min="7" max="7" width="2.54296875" style="98" customWidth="1"/>
    <col min="8" max="8" width="13.7265625" style="98" customWidth="1"/>
    <col min="9" max="9" width="2.7265625" style="98" customWidth="1"/>
    <col min="10" max="10" width="14" style="98" customWidth="1"/>
    <col min="11" max="11" width="2.26953125" style="98" customWidth="1"/>
    <col min="12" max="17" width="14" style="98" customWidth="1"/>
    <col min="18" max="18" width="2.26953125" style="98" customWidth="1"/>
    <col min="19" max="19" width="2.54296875" style="98" customWidth="1"/>
    <col min="20" max="16384" width="9.26953125" style="98"/>
  </cols>
  <sheetData>
    <row r="1" spans="1:17" s="2" customFormat="1" ht="12.5" x14ac:dyDescent="0.35">
      <c r="L1" s="99"/>
      <c r="M1" s="99"/>
      <c r="N1" s="99"/>
      <c r="O1" s="99"/>
      <c r="P1" s="99"/>
      <c r="Q1" s="99"/>
    </row>
    <row r="2" spans="1:17" s="18" customFormat="1" ht="18" x14ac:dyDescent="0.35">
      <c r="A2" s="290"/>
      <c r="B2" s="18" t="s">
        <v>598</v>
      </c>
      <c r="L2" s="172"/>
      <c r="M2" s="172"/>
      <c r="N2" s="172"/>
      <c r="O2" s="172"/>
      <c r="P2" s="172"/>
      <c r="Q2" s="172"/>
    </row>
    <row r="3" spans="1:17" s="2" customFormat="1" ht="12" customHeight="1" x14ac:dyDescent="0.35">
      <c r="A3" s="291"/>
      <c r="L3" s="99"/>
      <c r="M3" s="99"/>
      <c r="N3" s="99"/>
      <c r="O3" s="99"/>
      <c r="P3" s="99"/>
      <c r="Q3" s="99"/>
    </row>
    <row r="4" spans="1:17" s="2" customFormat="1" ht="13" x14ac:dyDescent="0.35">
      <c r="B4" s="1" t="s">
        <v>58</v>
      </c>
      <c r="L4" s="99"/>
      <c r="M4" s="99"/>
      <c r="N4" s="99"/>
      <c r="O4" s="99"/>
      <c r="P4" s="99"/>
      <c r="Q4" s="99"/>
    </row>
    <row r="5" spans="1:17" s="2" customFormat="1" ht="12.5" x14ac:dyDescent="0.35">
      <c r="B5" s="2" t="s">
        <v>615</v>
      </c>
      <c r="L5" s="99"/>
      <c r="M5" s="99"/>
      <c r="N5" s="99"/>
      <c r="O5" s="99"/>
      <c r="P5" s="99"/>
      <c r="Q5" s="99"/>
    </row>
    <row r="6" spans="1:17" s="2" customFormat="1" ht="12.5" x14ac:dyDescent="0.35">
      <c r="L6" s="99"/>
      <c r="M6" s="99"/>
      <c r="N6" s="99"/>
      <c r="O6" s="99"/>
      <c r="P6" s="99"/>
      <c r="Q6" s="99"/>
    </row>
    <row r="7" spans="1:17" s="2" customFormat="1" ht="12.5" x14ac:dyDescent="0.35">
      <c r="B7" s="2" t="s">
        <v>799</v>
      </c>
      <c r="L7" s="99"/>
      <c r="M7" s="99"/>
      <c r="N7" s="99"/>
      <c r="O7" s="99"/>
      <c r="P7" s="99"/>
      <c r="Q7" s="99"/>
    </row>
    <row r="8" spans="1:17" s="2" customFormat="1" ht="12.5" x14ac:dyDescent="0.35">
      <c r="B8" s="2" t="s">
        <v>427</v>
      </c>
      <c r="L8" s="99"/>
      <c r="M8" s="99"/>
      <c r="N8" s="99"/>
      <c r="O8" s="99"/>
      <c r="P8" s="99"/>
      <c r="Q8" s="99"/>
    </row>
    <row r="9" spans="1:17" s="2" customFormat="1" ht="12.5" x14ac:dyDescent="0.35">
      <c r="B9" s="2" t="s">
        <v>428</v>
      </c>
      <c r="L9" s="99"/>
      <c r="M9" s="99"/>
      <c r="N9" s="99"/>
      <c r="O9" s="99"/>
      <c r="P9" s="99"/>
      <c r="Q9" s="99"/>
    </row>
    <row r="10" spans="1:17" s="2" customFormat="1" ht="12.5" x14ac:dyDescent="0.35">
      <c r="B10" s="2" t="s">
        <v>616</v>
      </c>
      <c r="L10" s="99"/>
      <c r="M10" s="99"/>
      <c r="N10" s="99"/>
      <c r="O10" s="99"/>
      <c r="P10" s="99"/>
      <c r="Q10" s="99"/>
    </row>
    <row r="11" spans="1:17" s="2" customFormat="1" ht="12.5" x14ac:dyDescent="0.35">
      <c r="B11" s="2" t="s">
        <v>617</v>
      </c>
      <c r="L11" s="99"/>
      <c r="M11" s="99"/>
      <c r="N11" s="99"/>
      <c r="O11" s="99"/>
      <c r="P11" s="99"/>
      <c r="Q11" s="99"/>
    </row>
    <row r="12" spans="1:17" s="2" customFormat="1" ht="12.5" x14ac:dyDescent="0.35">
      <c r="B12" s="2" t="s">
        <v>618</v>
      </c>
      <c r="L12" s="99"/>
      <c r="M12" s="99"/>
      <c r="N12" s="99"/>
      <c r="O12" s="99"/>
      <c r="P12" s="99"/>
      <c r="Q12" s="99"/>
    </row>
    <row r="13" spans="1:17" s="2" customFormat="1" ht="12.5" x14ac:dyDescent="0.35">
      <c r="L13" s="99"/>
      <c r="M13" s="99"/>
      <c r="N13" s="99"/>
      <c r="O13" s="99"/>
      <c r="P13" s="99"/>
      <c r="Q13" s="99"/>
    </row>
    <row r="14" spans="1:17" s="2" customFormat="1" ht="12.5" x14ac:dyDescent="0.35">
      <c r="B14" s="2" t="s">
        <v>389</v>
      </c>
      <c r="L14" s="99"/>
      <c r="M14" s="99"/>
      <c r="N14" s="99"/>
      <c r="O14" s="99"/>
      <c r="P14" s="99"/>
      <c r="Q14" s="99"/>
    </row>
    <row r="15" spans="1:17" s="2" customFormat="1" ht="12.5" x14ac:dyDescent="0.35">
      <c r="B15" s="2" t="s">
        <v>388</v>
      </c>
      <c r="L15" s="99"/>
      <c r="M15" s="99"/>
      <c r="N15" s="99"/>
      <c r="O15" s="99"/>
      <c r="P15" s="99"/>
      <c r="Q15" s="99"/>
    </row>
    <row r="16" spans="1:17" s="2" customFormat="1" ht="12.5" x14ac:dyDescent="0.35">
      <c r="B16" s="2" t="s">
        <v>429</v>
      </c>
      <c r="L16" s="99"/>
      <c r="M16" s="99"/>
      <c r="N16" s="99"/>
      <c r="O16" s="99"/>
      <c r="P16" s="99"/>
      <c r="Q16" s="99"/>
    </row>
    <row r="17" spans="1:26" s="2" customFormat="1" ht="12.5" x14ac:dyDescent="0.35">
      <c r="B17" s="2" t="s">
        <v>619</v>
      </c>
      <c r="L17" s="99"/>
      <c r="M17" s="99"/>
      <c r="N17" s="99"/>
      <c r="O17" s="99"/>
      <c r="P17" s="99"/>
      <c r="Q17" s="99"/>
    </row>
    <row r="18" spans="1:26" s="2" customFormat="1" ht="12.5" x14ac:dyDescent="0.35">
      <c r="L18" s="99"/>
      <c r="M18" s="99"/>
      <c r="N18" s="99"/>
      <c r="O18" s="99"/>
      <c r="P18" s="99"/>
      <c r="Q18" s="99"/>
    </row>
    <row r="19" spans="1:26" s="2" customFormat="1" ht="13" x14ac:dyDescent="0.35">
      <c r="B19" s="4" t="s">
        <v>162</v>
      </c>
      <c r="L19" s="99"/>
      <c r="M19" s="99"/>
      <c r="N19" s="99"/>
      <c r="O19" s="99"/>
      <c r="P19" s="99"/>
      <c r="Q19" s="99"/>
    </row>
    <row r="20" spans="1:26" s="2" customFormat="1" ht="12.5" x14ac:dyDescent="0.35">
      <c r="B20" s="2" t="s">
        <v>620</v>
      </c>
      <c r="L20" s="99"/>
      <c r="M20" s="99"/>
      <c r="N20" s="99"/>
      <c r="O20" s="99"/>
      <c r="P20" s="99"/>
      <c r="Q20" s="99"/>
    </row>
    <row r="21" spans="1:26" s="2" customFormat="1" ht="12.5" x14ac:dyDescent="0.35">
      <c r="L21" s="99"/>
      <c r="M21" s="99"/>
      <c r="N21" s="99"/>
      <c r="O21" s="99"/>
      <c r="P21" s="99"/>
      <c r="Q21" s="99"/>
    </row>
    <row r="22" spans="1:26" s="6" customFormat="1" ht="13" x14ac:dyDescent="0.35">
      <c r="B22" s="6" t="s">
        <v>45</v>
      </c>
      <c r="F22" s="6" t="s">
        <v>27</v>
      </c>
      <c r="H22" s="6" t="s">
        <v>28</v>
      </c>
      <c r="J22" s="6" t="s">
        <v>49</v>
      </c>
      <c r="L22" s="100" t="s">
        <v>88</v>
      </c>
      <c r="M22" s="100" t="s">
        <v>65</v>
      </c>
      <c r="N22" s="100" t="s">
        <v>66</v>
      </c>
      <c r="O22" s="100" t="s">
        <v>67</v>
      </c>
      <c r="P22" s="100" t="s">
        <v>68</v>
      </c>
      <c r="Q22" s="100" t="s">
        <v>69</v>
      </c>
      <c r="T22" s="6" t="s">
        <v>47</v>
      </c>
    </row>
    <row r="23" spans="1:26" s="2" customFormat="1" ht="12.5" x14ac:dyDescent="0.35">
      <c r="L23" s="99"/>
      <c r="M23" s="99"/>
      <c r="N23" s="99"/>
      <c r="O23" s="99"/>
      <c r="P23" s="99"/>
      <c r="Q23" s="99"/>
    </row>
    <row r="24" spans="1:26" s="2" customFormat="1" ht="12.5" x14ac:dyDescent="0.35">
      <c r="L24" s="99"/>
      <c r="M24" s="99"/>
      <c r="N24" s="99"/>
      <c r="O24" s="99"/>
      <c r="P24" s="99"/>
      <c r="Q24" s="99"/>
    </row>
    <row r="25" spans="1:26" s="6" customFormat="1" ht="13" x14ac:dyDescent="0.35">
      <c r="B25" s="6" t="s">
        <v>144</v>
      </c>
    </row>
    <row r="26" spans="1:26" s="78" customFormat="1" ht="12" customHeight="1" x14ac:dyDescent="0.35">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s="78" customFormat="1" ht="12" customHeight="1" x14ac:dyDescent="0.25">
      <c r="A27" s="2"/>
      <c r="B27" s="45" t="s">
        <v>401</v>
      </c>
      <c r="C27" s="2"/>
      <c r="D27" s="2"/>
      <c r="E27" s="2"/>
      <c r="F27" s="166"/>
      <c r="G27" s="2"/>
      <c r="H27" s="2"/>
      <c r="I27" s="2"/>
      <c r="J27" s="2"/>
      <c r="K27" s="2"/>
      <c r="L27" s="2"/>
      <c r="M27" s="2"/>
      <c r="N27" s="2"/>
      <c r="O27" s="2"/>
      <c r="P27" s="2"/>
      <c r="Q27" s="2"/>
      <c r="R27" s="2"/>
      <c r="S27" s="2"/>
      <c r="T27" s="2"/>
      <c r="U27" s="2"/>
      <c r="V27" s="2"/>
      <c r="W27" s="2"/>
      <c r="X27" s="2"/>
      <c r="Y27" s="2"/>
      <c r="Z27" s="2"/>
    </row>
    <row r="28" spans="1:26" s="78" customFormat="1" ht="12" customHeight="1" x14ac:dyDescent="0.25">
      <c r="A28" s="2"/>
      <c r="B28" s="195" t="s">
        <v>396</v>
      </c>
      <c r="C28" s="2"/>
      <c r="D28" s="2"/>
      <c r="E28" s="2"/>
      <c r="F28" s="2" t="s">
        <v>230</v>
      </c>
      <c r="G28" s="2"/>
      <c r="H28" s="2"/>
      <c r="I28" s="2"/>
      <c r="J28" s="2"/>
      <c r="K28" s="2"/>
      <c r="L28" s="101">
        <f>'Input netverliezen'!L15</f>
        <v>0</v>
      </c>
      <c r="M28" s="101">
        <f>'Input netverliezen'!M15</f>
        <v>0</v>
      </c>
      <c r="N28" s="101">
        <f>'Input netverliezen'!N15</f>
        <v>68136.289432364487</v>
      </c>
      <c r="O28" s="101">
        <f>'Input netverliezen'!O15</f>
        <v>0</v>
      </c>
      <c r="P28" s="101">
        <f>'Input netverliezen'!P15</f>
        <v>0</v>
      </c>
      <c r="Q28" s="101">
        <f>'Input netverliezen'!Q15</f>
        <v>0</v>
      </c>
      <c r="R28" s="2"/>
      <c r="S28" s="2"/>
      <c r="T28" s="2"/>
      <c r="U28" s="2"/>
      <c r="V28" s="2"/>
      <c r="W28" s="2"/>
      <c r="X28" s="2"/>
      <c r="Y28" s="2"/>
      <c r="Z28" s="2"/>
    </row>
    <row r="29" spans="1:26" s="78" customFormat="1" ht="12" customHeight="1" x14ac:dyDescent="0.25">
      <c r="A29" s="2"/>
      <c r="B29" s="195" t="s">
        <v>397</v>
      </c>
      <c r="C29" s="2"/>
      <c r="D29" s="2"/>
      <c r="E29" s="2"/>
      <c r="F29" s="2" t="s">
        <v>230</v>
      </c>
      <c r="G29" s="2"/>
      <c r="H29" s="2"/>
      <c r="I29" s="2"/>
      <c r="J29" s="2"/>
      <c r="K29" s="2"/>
      <c r="L29" s="101">
        <f>'Input netverliezen'!L16</f>
        <v>296</v>
      </c>
      <c r="M29" s="101">
        <f>'Input netverliezen'!M16</f>
        <v>338341.48364207731</v>
      </c>
      <c r="N29" s="101">
        <f>'Input netverliezen'!N16</f>
        <v>3777.2212936876767</v>
      </c>
      <c r="O29" s="101">
        <f>'Input netverliezen'!O16</f>
        <v>0</v>
      </c>
      <c r="P29" s="101">
        <f>'Input netverliezen'!P16</f>
        <v>43906.519999999975</v>
      </c>
      <c r="Q29" s="101">
        <f>'Input netverliezen'!Q16</f>
        <v>0</v>
      </c>
      <c r="R29" s="2"/>
      <c r="S29" s="2"/>
      <c r="T29" s="2"/>
      <c r="U29" s="2"/>
      <c r="V29" s="2"/>
      <c r="W29" s="2"/>
      <c r="X29" s="2"/>
      <c r="Y29" s="2"/>
      <c r="Z29" s="2"/>
    </row>
    <row r="30" spans="1:26" s="78" customFormat="1" ht="12" customHeight="1" x14ac:dyDescent="0.25">
      <c r="A30" s="2"/>
      <c r="B30" s="195" t="s">
        <v>398</v>
      </c>
      <c r="C30" s="2"/>
      <c r="D30" s="2"/>
      <c r="E30" s="2"/>
      <c r="F30" s="2" t="s">
        <v>230</v>
      </c>
      <c r="G30" s="2"/>
      <c r="H30" s="2"/>
      <c r="I30" s="2"/>
      <c r="J30" s="2"/>
      <c r="K30" s="2"/>
      <c r="L30" s="101">
        <f>'Input netverliezen'!L17</f>
        <v>226</v>
      </c>
      <c r="M30" s="101">
        <f>'Input netverliezen'!M17</f>
        <v>144761.03999999983</v>
      </c>
      <c r="N30" s="101">
        <f>'Input netverliezen'!N17</f>
        <v>23283.608117251351</v>
      </c>
      <c r="O30" s="101">
        <f>'Input netverliezen'!O17</f>
        <v>0</v>
      </c>
      <c r="P30" s="101">
        <f>'Input netverliezen'!P17</f>
        <v>199891.10999999993</v>
      </c>
      <c r="Q30" s="101">
        <f>'Input netverliezen'!Q17</f>
        <v>0</v>
      </c>
      <c r="R30" s="2"/>
      <c r="S30" s="2"/>
      <c r="T30" s="2"/>
      <c r="U30" s="2"/>
      <c r="V30" s="2"/>
      <c r="W30" s="2"/>
      <c r="X30" s="2"/>
      <c r="Y30" s="2"/>
      <c r="Z30" s="2"/>
    </row>
    <row r="31" spans="1:26" s="78" customFormat="1" ht="12" customHeight="1" x14ac:dyDescent="0.35">
      <c r="A31" s="2"/>
      <c r="B31" s="169"/>
      <c r="C31" s="169"/>
      <c r="D31" s="169"/>
      <c r="E31" s="169"/>
      <c r="F31" s="169"/>
      <c r="G31" s="2"/>
      <c r="H31" s="2"/>
      <c r="I31" s="2"/>
      <c r="J31" s="2"/>
      <c r="K31" s="2"/>
      <c r="L31" s="121"/>
      <c r="M31" s="121"/>
      <c r="N31" s="121"/>
      <c r="O31" s="121"/>
      <c r="P31" s="121"/>
      <c r="Q31" s="121"/>
      <c r="R31" s="2"/>
      <c r="S31" s="2"/>
      <c r="T31" s="2"/>
      <c r="U31" s="2"/>
      <c r="V31" s="2"/>
      <c r="W31" s="2"/>
      <c r="X31" s="2"/>
      <c r="Y31" s="2"/>
      <c r="Z31" s="2"/>
    </row>
    <row r="32" spans="1:26" s="78" customFormat="1" ht="12" customHeight="1" x14ac:dyDescent="0.25">
      <c r="A32" s="2"/>
      <c r="B32" s="45" t="s">
        <v>400</v>
      </c>
      <c r="C32" s="2"/>
      <c r="D32" s="2"/>
      <c r="E32" s="2"/>
      <c r="F32" s="166"/>
      <c r="G32" s="2"/>
      <c r="H32" s="2"/>
      <c r="I32" s="2"/>
      <c r="J32" s="2"/>
      <c r="K32" s="2"/>
      <c r="L32" s="121"/>
      <c r="M32" s="121"/>
      <c r="N32" s="121"/>
      <c r="O32" s="121"/>
      <c r="P32" s="121"/>
      <c r="Q32" s="121"/>
      <c r="R32" s="2"/>
      <c r="S32" s="2"/>
      <c r="T32" s="2"/>
      <c r="U32" s="2"/>
      <c r="V32" s="2"/>
      <c r="W32" s="2"/>
      <c r="X32" s="2"/>
      <c r="Y32" s="2"/>
      <c r="Z32" s="2"/>
    </row>
    <row r="33" spans="1:26" s="78" customFormat="1" ht="12" customHeight="1" x14ac:dyDescent="0.25">
      <c r="A33" s="2"/>
      <c r="B33" s="195" t="s">
        <v>396</v>
      </c>
      <c r="C33" s="2"/>
      <c r="D33" s="2"/>
      <c r="E33" s="2"/>
      <c r="F33" s="2" t="s">
        <v>232</v>
      </c>
      <c r="G33" s="2"/>
      <c r="H33" s="2"/>
      <c r="I33" s="2"/>
      <c r="J33" s="2"/>
      <c r="K33" s="2"/>
      <c r="L33" s="101">
        <f>'Input netverliezen'!L20</f>
        <v>0</v>
      </c>
      <c r="M33" s="101">
        <f>'Input netverliezen'!M20</f>
        <v>0</v>
      </c>
      <c r="N33" s="101">
        <f>'Input netverliezen'!N20</f>
        <v>92849.209494752635</v>
      </c>
      <c r="O33" s="101">
        <f>'Input netverliezen'!O20</f>
        <v>0</v>
      </c>
      <c r="P33" s="101">
        <f>'Input netverliezen'!P20</f>
        <v>0</v>
      </c>
      <c r="Q33" s="101">
        <f>'Input netverliezen'!Q20</f>
        <v>0</v>
      </c>
      <c r="R33" s="2"/>
      <c r="S33" s="2"/>
      <c r="T33" s="2"/>
      <c r="U33" s="2"/>
      <c r="V33" s="2"/>
      <c r="W33" s="2"/>
      <c r="X33" s="2"/>
      <c r="Y33" s="2"/>
      <c r="Z33" s="2"/>
    </row>
    <row r="34" spans="1:26" s="78" customFormat="1" ht="12" customHeight="1" x14ac:dyDescent="0.25">
      <c r="A34" s="2"/>
      <c r="B34" s="195" t="s">
        <v>397</v>
      </c>
      <c r="C34" s="2"/>
      <c r="D34" s="2"/>
      <c r="E34" s="2"/>
      <c r="F34" s="2" t="s">
        <v>232</v>
      </c>
      <c r="G34" s="2"/>
      <c r="H34" s="2"/>
      <c r="I34" s="2"/>
      <c r="J34" s="2"/>
      <c r="K34" s="2"/>
      <c r="L34" s="101">
        <f>'Input netverliezen'!L21</f>
        <v>0</v>
      </c>
      <c r="M34" s="101">
        <f>'Input netverliezen'!M21</f>
        <v>361441.53088511043</v>
      </c>
      <c r="N34" s="101">
        <f>'Input netverliezen'!N21</f>
        <v>6508.8589675875764</v>
      </c>
      <c r="O34" s="101">
        <f>'Input netverliezen'!O21</f>
        <v>0</v>
      </c>
      <c r="P34" s="101">
        <f>'Input netverliezen'!P21</f>
        <v>47285.129999999961</v>
      </c>
      <c r="Q34" s="101">
        <f>'Input netverliezen'!Q21</f>
        <v>0</v>
      </c>
      <c r="R34" s="2"/>
      <c r="S34" s="2"/>
      <c r="T34" s="2"/>
      <c r="U34" s="2"/>
      <c r="V34" s="2"/>
      <c r="W34" s="2"/>
      <c r="X34" s="2"/>
      <c r="Y34" s="2"/>
      <c r="Z34" s="2"/>
    </row>
    <row r="35" spans="1:26" s="78" customFormat="1" ht="12" customHeight="1" x14ac:dyDescent="0.25">
      <c r="A35" s="2"/>
      <c r="B35" s="195" t="s">
        <v>398</v>
      </c>
      <c r="C35" s="2"/>
      <c r="D35" s="2"/>
      <c r="E35" s="2"/>
      <c r="F35" s="2" t="s">
        <v>232</v>
      </c>
      <c r="G35" s="2"/>
      <c r="H35" s="2"/>
      <c r="I35" s="2"/>
      <c r="J35" s="2"/>
      <c r="K35" s="2"/>
      <c r="L35" s="101">
        <f>'Input netverliezen'!L22</f>
        <v>0</v>
      </c>
      <c r="M35" s="101">
        <f>'Input netverliezen'!M22</f>
        <v>231231.12999999998</v>
      </c>
      <c r="N35" s="101">
        <f>'Input netverliezen'!N22</f>
        <v>35900.116539833398</v>
      </c>
      <c r="O35" s="101">
        <f>'Input netverliezen'!O22</f>
        <v>192.68</v>
      </c>
      <c r="P35" s="101">
        <f>'Input netverliezen'!P22</f>
        <v>195001.82000000004</v>
      </c>
      <c r="Q35" s="101">
        <f>'Input netverliezen'!Q22</f>
        <v>0</v>
      </c>
      <c r="R35" s="2"/>
      <c r="S35" s="2"/>
      <c r="T35" s="2"/>
      <c r="U35" s="2"/>
      <c r="V35" s="2"/>
      <c r="W35" s="2"/>
      <c r="X35" s="2"/>
      <c r="Y35" s="2"/>
      <c r="Z35" s="2"/>
    </row>
    <row r="36" spans="1:26" s="78" customFormat="1" ht="12" customHeight="1" x14ac:dyDescent="0.35">
      <c r="A36" s="2"/>
      <c r="B36" s="169"/>
      <c r="C36" s="169"/>
      <c r="D36" s="169"/>
      <c r="E36" s="169"/>
      <c r="F36" s="169"/>
      <c r="G36" s="2"/>
      <c r="H36" s="2"/>
      <c r="I36" s="2"/>
      <c r="J36" s="2"/>
      <c r="K36" s="2"/>
      <c r="L36" s="121"/>
      <c r="M36" s="121"/>
      <c r="N36" s="121"/>
      <c r="O36" s="121"/>
      <c r="P36" s="121"/>
      <c r="Q36" s="121"/>
      <c r="R36" s="2"/>
      <c r="S36" s="2"/>
      <c r="T36" s="2"/>
      <c r="U36" s="2"/>
      <c r="V36" s="2"/>
      <c r="W36" s="2"/>
      <c r="X36" s="2"/>
      <c r="Y36" s="2"/>
      <c r="Z36" s="2"/>
    </row>
    <row r="37" spans="1:26" s="78" customFormat="1" ht="12" customHeight="1" x14ac:dyDescent="0.25">
      <c r="A37" s="2"/>
      <c r="B37" s="45" t="s">
        <v>399</v>
      </c>
      <c r="C37" s="2"/>
      <c r="D37" s="2"/>
      <c r="E37" s="2"/>
      <c r="F37" s="166"/>
      <c r="G37" s="2"/>
      <c r="H37" s="2"/>
      <c r="I37" s="2"/>
      <c r="J37" s="2"/>
      <c r="K37" s="2"/>
      <c r="L37" s="121"/>
      <c r="M37" s="121"/>
      <c r="N37" s="121"/>
      <c r="O37" s="121"/>
      <c r="P37" s="121"/>
      <c r="Q37" s="121"/>
      <c r="R37" s="2"/>
      <c r="S37" s="2"/>
      <c r="T37" s="2"/>
      <c r="U37" s="2"/>
      <c r="V37" s="2"/>
      <c r="W37" s="2"/>
      <c r="X37" s="2"/>
      <c r="Y37" s="2"/>
      <c r="Z37" s="2"/>
    </row>
    <row r="38" spans="1:26" s="78" customFormat="1" ht="12" customHeight="1" x14ac:dyDescent="0.25">
      <c r="A38" s="2"/>
      <c r="B38" s="195" t="s">
        <v>396</v>
      </c>
      <c r="C38" s="2"/>
      <c r="D38" s="2"/>
      <c r="E38" s="2"/>
      <c r="F38" s="2" t="s">
        <v>96</v>
      </c>
      <c r="G38" s="2"/>
      <c r="H38" s="2"/>
      <c r="I38" s="2"/>
      <c r="J38" s="2"/>
      <c r="K38" s="2"/>
      <c r="L38" s="101">
        <f>'Input netverliezen'!L25</f>
        <v>0</v>
      </c>
      <c r="M38" s="101">
        <f>'Input netverliezen'!M25</f>
        <v>0</v>
      </c>
      <c r="N38" s="101">
        <f>'Input netverliezen'!N25</f>
        <v>338993.16779187752</v>
      </c>
      <c r="O38" s="101">
        <f>'Input netverliezen'!O25</f>
        <v>1102.6199999999999</v>
      </c>
      <c r="P38" s="101">
        <f>'Input netverliezen'!P25</f>
        <v>92621.01999999999</v>
      </c>
      <c r="Q38" s="101">
        <f>'Input netverliezen'!Q25</f>
        <v>0</v>
      </c>
      <c r="R38" s="2"/>
      <c r="S38" s="2"/>
      <c r="T38" s="2"/>
      <c r="U38" s="2"/>
      <c r="V38" s="2"/>
      <c r="W38" s="2"/>
      <c r="X38" s="2"/>
      <c r="Y38" s="2"/>
      <c r="Z38" s="2"/>
    </row>
    <row r="39" spans="1:26" s="78" customFormat="1" ht="12" customHeight="1" x14ac:dyDescent="0.25">
      <c r="A39" s="2"/>
      <c r="B39" s="195" t="s">
        <v>397</v>
      </c>
      <c r="C39" s="2"/>
      <c r="D39" s="2"/>
      <c r="E39" s="2"/>
      <c r="F39" s="2" t="s">
        <v>96</v>
      </c>
      <c r="G39" s="2"/>
      <c r="H39" s="2"/>
      <c r="I39" s="2"/>
      <c r="J39" s="2"/>
      <c r="K39" s="2"/>
      <c r="L39" s="101">
        <f>'Input netverliezen'!L26</f>
        <v>0</v>
      </c>
      <c r="M39" s="101">
        <f>'Input netverliezen'!M26</f>
        <v>283505.3120024883</v>
      </c>
      <c r="N39" s="101">
        <f>'Input netverliezen'!N26</f>
        <v>6453.9323930081655</v>
      </c>
      <c r="O39" s="101">
        <f>'Input netverliezen'!O26</f>
        <v>0</v>
      </c>
      <c r="P39" s="101">
        <f>'Input netverliezen'!P26</f>
        <v>53221.710000000006</v>
      </c>
      <c r="Q39" s="101">
        <f>'Input netverliezen'!Q26</f>
        <v>0</v>
      </c>
      <c r="R39" s="2"/>
      <c r="S39" s="2"/>
      <c r="T39" s="2"/>
      <c r="U39" s="2"/>
      <c r="V39" s="2"/>
      <c r="W39" s="2"/>
      <c r="X39" s="2"/>
      <c r="Y39" s="2"/>
      <c r="Z39" s="2"/>
    </row>
    <row r="40" spans="1:26" s="78" customFormat="1" ht="12" customHeight="1" x14ac:dyDescent="0.25">
      <c r="A40" s="2"/>
      <c r="B40" s="195" t="s">
        <v>398</v>
      </c>
      <c r="C40" s="2"/>
      <c r="D40" s="2"/>
      <c r="E40" s="2"/>
      <c r="F40" s="2" t="s">
        <v>96</v>
      </c>
      <c r="G40" s="2"/>
      <c r="H40" s="2"/>
      <c r="I40" s="2"/>
      <c r="J40" s="2"/>
      <c r="K40" s="2"/>
      <c r="L40" s="101">
        <f>'Input netverliezen'!L27</f>
        <v>0</v>
      </c>
      <c r="M40" s="101">
        <f>'Input netverliezen'!M27</f>
        <v>106459.13000000048</v>
      </c>
      <c r="N40" s="101">
        <f>'Input netverliezen'!N27</f>
        <v>111990.89633615169</v>
      </c>
      <c r="O40" s="101">
        <f>'Input netverliezen'!O27</f>
        <v>56.71</v>
      </c>
      <c r="P40" s="101">
        <f>'Input netverliezen'!P27</f>
        <v>151533.64000000019</v>
      </c>
      <c r="Q40" s="101">
        <f>'Input netverliezen'!Q27</f>
        <v>0</v>
      </c>
      <c r="R40" s="2"/>
      <c r="S40" s="2"/>
      <c r="T40" s="2"/>
      <c r="U40" s="2"/>
      <c r="V40" s="2"/>
      <c r="W40" s="2"/>
      <c r="X40" s="2"/>
      <c r="Y40" s="2"/>
      <c r="Z40" s="2"/>
    </row>
    <row r="41" spans="1:26" s="78" customFormat="1" ht="12"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s="78" customFormat="1" ht="12" customHeight="1" x14ac:dyDescent="0.35">
      <c r="A42" s="2"/>
      <c r="B42" s="1" t="s">
        <v>395</v>
      </c>
      <c r="C42" s="2"/>
      <c r="D42" s="2"/>
      <c r="E42" s="2"/>
      <c r="F42" s="2"/>
      <c r="G42" s="2"/>
      <c r="H42" s="2"/>
      <c r="I42" s="2"/>
      <c r="J42" s="2"/>
      <c r="K42" s="2"/>
      <c r="L42" s="2"/>
      <c r="M42" s="2"/>
      <c r="N42" s="2"/>
      <c r="O42" s="2"/>
      <c r="P42" s="2"/>
      <c r="Q42" s="2"/>
      <c r="R42" s="2"/>
      <c r="S42" s="2"/>
      <c r="T42" s="2"/>
      <c r="U42" s="2"/>
      <c r="V42" s="2"/>
      <c r="W42" s="2"/>
      <c r="X42" s="2"/>
      <c r="Y42" s="2"/>
      <c r="Z42" s="2"/>
    </row>
    <row r="43" spans="1:26" s="78" customFormat="1" ht="12" customHeight="1" x14ac:dyDescent="0.35">
      <c r="A43" s="2"/>
      <c r="B43" s="2" t="s">
        <v>352</v>
      </c>
      <c r="C43" s="2"/>
      <c r="D43" s="2"/>
      <c r="E43" s="2"/>
      <c r="F43" s="2" t="s">
        <v>105</v>
      </c>
      <c r="G43" s="2"/>
      <c r="H43" s="2"/>
      <c r="I43" s="2"/>
      <c r="J43" s="2"/>
      <c r="K43" s="2"/>
      <c r="L43" s="101">
        <f>'Input netverliezen'!L30</f>
        <v>387578.53175849176</v>
      </c>
      <c r="M43" s="101">
        <f>'Input netverliezen'!M30</f>
        <v>6967906.6656788541</v>
      </c>
      <c r="N43" s="101">
        <f>'Input netverliezen'!N30</f>
        <v>7257609.7463143384</v>
      </c>
      <c r="O43" s="101">
        <f>'Input netverliezen'!O30</f>
        <v>294041.30620461947</v>
      </c>
      <c r="P43" s="101">
        <f>'Input netverliezen'!P30</f>
        <v>6073955.0590023557</v>
      </c>
      <c r="Q43" s="101">
        <f>'Input netverliezen'!Q30</f>
        <v>1034437.6159310647</v>
      </c>
      <c r="R43" s="2"/>
      <c r="S43" s="2"/>
      <c r="T43" s="2"/>
      <c r="U43" s="2"/>
      <c r="V43" s="2"/>
      <c r="W43" s="2"/>
      <c r="X43" s="2"/>
      <c r="Y43" s="2"/>
      <c r="Z43" s="2"/>
    </row>
    <row r="44" spans="1:26" s="78" customFormat="1" ht="12" customHeight="1" x14ac:dyDescent="0.35">
      <c r="A44" s="2"/>
      <c r="B44" s="2"/>
      <c r="C44" s="2"/>
      <c r="D44" s="2"/>
      <c r="E44" s="2"/>
      <c r="F44" s="2"/>
      <c r="G44" s="2"/>
      <c r="H44" s="2"/>
      <c r="I44" s="2"/>
      <c r="J44" s="2"/>
      <c r="K44" s="2"/>
      <c r="L44" s="121"/>
      <c r="M44" s="121"/>
      <c r="N44" s="121"/>
      <c r="O44" s="121"/>
      <c r="P44" s="121"/>
      <c r="Q44" s="121"/>
      <c r="R44" s="2"/>
      <c r="S44" s="2"/>
      <c r="T44" s="2"/>
      <c r="U44" s="2"/>
      <c r="V44" s="2"/>
      <c r="W44" s="2"/>
      <c r="X44" s="2"/>
      <c r="Y44" s="2"/>
      <c r="Z44" s="2"/>
    </row>
    <row r="45" spans="1:26" s="78" customFormat="1" ht="12" customHeight="1" x14ac:dyDescent="0.25">
      <c r="A45" s="206"/>
      <c r="B45" s="45" t="s">
        <v>598</v>
      </c>
      <c r="C45" s="2"/>
      <c r="D45" s="2"/>
      <c r="E45" s="2"/>
      <c r="F45" s="202"/>
      <c r="G45" s="2"/>
      <c r="H45" s="2"/>
      <c r="I45" s="2"/>
      <c r="J45" s="2"/>
      <c r="K45" s="2"/>
      <c r="L45" s="2"/>
      <c r="M45" s="2"/>
      <c r="N45" s="2"/>
      <c r="O45" s="2"/>
      <c r="P45" s="2"/>
      <c r="Q45" s="2"/>
      <c r="R45" s="2"/>
      <c r="S45" s="2"/>
      <c r="T45" s="2"/>
      <c r="U45" s="2"/>
      <c r="V45" s="2"/>
      <c r="W45" s="2"/>
      <c r="X45" s="2"/>
      <c r="Y45" s="2"/>
      <c r="Z45" s="2"/>
    </row>
    <row r="46" spans="1:26" s="78" customFormat="1" ht="12" customHeight="1" x14ac:dyDescent="0.35">
      <c r="A46" s="206"/>
      <c r="B46" s="2" t="s">
        <v>351</v>
      </c>
      <c r="C46" s="2"/>
      <c r="D46" s="2"/>
      <c r="E46" s="2"/>
      <c r="F46" s="2" t="s">
        <v>160</v>
      </c>
      <c r="G46" s="2"/>
      <c r="H46" s="2"/>
      <c r="I46" s="2"/>
      <c r="J46" s="2"/>
      <c r="K46" s="2"/>
      <c r="L46" s="101">
        <f>'Input netverliezen'!L33</f>
        <v>-297693</v>
      </c>
      <c r="M46" s="101">
        <f>'Input netverliezen'!M33</f>
        <v>14408584.739999998</v>
      </c>
      <c r="N46" s="101">
        <f>'Input netverliezen'!N33</f>
        <v>21696317.940000005</v>
      </c>
      <c r="O46" s="101">
        <f>'Input netverliezen'!O33</f>
        <v>89889.51</v>
      </c>
      <c r="P46" s="101">
        <f>'Input netverliezen'!P33</f>
        <v>25494868.190000001</v>
      </c>
      <c r="Q46" s="101">
        <f>'Input netverliezen'!Q33</f>
        <v>3918850.03</v>
      </c>
      <c r="R46" s="2"/>
      <c r="S46" s="2"/>
      <c r="T46" s="2"/>
      <c r="U46" s="2"/>
      <c r="V46" s="2"/>
      <c r="W46" s="2"/>
      <c r="X46" s="2"/>
      <c r="Y46" s="2"/>
      <c r="Z46" s="2"/>
    </row>
    <row r="47" spans="1:26" s="78" customFormat="1" ht="12" customHeight="1" x14ac:dyDescent="0.25">
      <c r="A47" s="206"/>
      <c r="B47" s="195" t="s">
        <v>424</v>
      </c>
      <c r="C47" s="2"/>
      <c r="D47" s="2"/>
      <c r="E47" s="2"/>
      <c r="F47" s="2" t="s">
        <v>160</v>
      </c>
      <c r="G47" s="2"/>
      <c r="H47" s="2"/>
      <c r="I47" s="2"/>
      <c r="J47" s="2"/>
      <c r="K47" s="2"/>
      <c r="L47" s="101">
        <f>'Input netverliezen'!L34</f>
        <v>51041</v>
      </c>
      <c r="M47" s="101">
        <f>'Input netverliezen'!M34</f>
        <v>2269385.9500000002</v>
      </c>
      <c r="N47" s="101">
        <f>'Input netverliezen'!N34</f>
        <v>5035085.2059859838</v>
      </c>
      <c r="O47" s="101">
        <f>'Input netverliezen'!O34</f>
        <v>23931.61</v>
      </c>
      <c r="P47" s="101">
        <f>'Input netverliezen'!P34</f>
        <v>5238779.5254198248</v>
      </c>
      <c r="Q47" s="101">
        <f>'Input netverliezen'!Q34</f>
        <v>0</v>
      </c>
      <c r="R47" s="2"/>
      <c r="S47" s="2"/>
      <c r="T47" s="2"/>
      <c r="U47" s="2"/>
      <c r="V47" s="2"/>
      <c r="W47" s="2"/>
      <c r="X47" s="2"/>
      <c r="Y47" s="2"/>
      <c r="Z47" s="2"/>
    </row>
    <row r="48" spans="1:26" s="78" customFormat="1" ht="12" customHeight="1" x14ac:dyDescent="0.25">
      <c r="A48" s="206"/>
      <c r="B48" s="195" t="s">
        <v>397</v>
      </c>
      <c r="C48" s="2"/>
      <c r="D48" s="2"/>
      <c r="E48" s="2"/>
      <c r="F48" s="2" t="s">
        <v>160</v>
      </c>
      <c r="G48" s="2"/>
      <c r="H48" s="2"/>
      <c r="I48" s="2"/>
      <c r="J48" s="2"/>
      <c r="K48" s="2"/>
      <c r="L48" s="101">
        <f>'Input netverliezen'!L35</f>
        <v>0</v>
      </c>
      <c r="M48" s="101">
        <f>'Input netverliezen'!M35</f>
        <v>199208.48933688481</v>
      </c>
      <c r="N48" s="101">
        <f>'Input netverliezen'!N35</f>
        <v>3228.5025552474003</v>
      </c>
      <c r="O48" s="101">
        <f>'Input netverliezen'!O35</f>
        <v>0</v>
      </c>
      <c r="P48" s="101">
        <f>'Input netverliezen'!P35</f>
        <v>14172.279999999993</v>
      </c>
      <c r="Q48" s="101">
        <f>'Input netverliezen'!Q35</f>
        <v>0</v>
      </c>
      <c r="R48" s="2"/>
      <c r="S48" s="2"/>
      <c r="T48" s="2"/>
      <c r="U48" s="2"/>
      <c r="V48" s="2"/>
      <c r="W48" s="2"/>
      <c r="X48" s="2"/>
      <c r="Y48" s="2"/>
      <c r="Z48" s="2"/>
    </row>
    <row r="49" spans="1:26" s="78" customFormat="1" ht="12" customHeight="1" x14ac:dyDescent="0.25">
      <c r="A49" s="206"/>
      <c r="B49" s="195" t="s">
        <v>398</v>
      </c>
      <c r="C49" s="2"/>
      <c r="D49" s="2"/>
      <c r="E49" s="2"/>
      <c r="F49" s="2" t="s">
        <v>160</v>
      </c>
      <c r="G49" s="2"/>
      <c r="H49" s="2"/>
      <c r="I49" s="2"/>
      <c r="J49" s="2"/>
      <c r="K49" s="2"/>
      <c r="L49" s="101">
        <f>'Input netverliezen'!L36</f>
        <v>6930</v>
      </c>
      <c r="M49" s="101">
        <f>'Input netverliezen'!M36</f>
        <v>325226.75</v>
      </c>
      <c r="N49" s="101">
        <f>'Input netverliezen'!N36</f>
        <v>422957.09741068271</v>
      </c>
      <c r="O49" s="101">
        <f>'Input netverliezen'!O36</f>
        <v>0</v>
      </c>
      <c r="P49" s="101">
        <f>'Input netverliezen'!P36</f>
        <v>547158.08999999601</v>
      </c>
      <c r="Q49" s="101">
        <f>'Input netverliezen'!Q36</f>
        <v>0</v>
      </c>
      <c r="R49" s="2"/>
      <c r="S49" s="2"/>
      <c r="T49" s="2"/>
      <c r="U49" s="2"/>
      <c r="V49" s="2"/>
      <c r="W49" s="2"/>
      <c r="X49" s="2"/>
      <c r="Y49" s="2"/>
      <c r="Z49" s="2"/>
    </row>
    <row r="50" spans="1:26" s="78" customFormat="1" ht="12" customHeight="1" x14ac:dyDescent="0.35">
      <c r="A50" s="206"/>
      <c r="B50" s="2"/>
      <c r="C50" s="2"/>
      <c r="D50" s="2"/>
      <c r="E50" s="2"/>
      <c r="F50" s="2"/>
      <c r="G50" s="2"/>
      <c r="H50" s="2"/>
      <c r="I50" s="2"/>
      <c r="J50" s="2"/>
      <c r="K50" s="2"/>
      <c r="L50" s="2"/>
      <c r="M50" s="2"/>
      <c r="N50" s="2"/>
      <c r="O50" s="2"/>
      <c r="P50" s="2"/>
      <c r="Q50" s="2"/>
      <c r="R50" s="2"/>
      <c r="S50" s="2"/>
      <c r="T50" s="2"/>
      <c r="U50" s="2"/>
      <c r="V50" s="2"/>
      <c r="W50" s="2"/>
      <c r="X50" s="2"/>
      <c r="Y50" s="2"/>
      <c r="Z50" s="2"/>
    </row>
    <row r="51" spans="1:26" s="78" customFormat="1" ht="12" customHeight="1" x14ac:dyDescent="0.35">
      <c r="A51" s="206"/>
      <c r="B51" s="87" t="s">
        <v>604</v>
      </c>
      <c r="C51" s="2"/>
      <c r="D51" s="2"/>
      <c r="E51" s="2"/>
      <c r="F51" s="2" t="s">
        <v>160</v>
      </c>
      <c r="G51" s="2"/>
      <c r="H51" s="2"/>
      <c r="I51" s="2"/>
      <c r="J51" s="2"/>
      <c r="K51" s="2"/>
      <c r="L51" s="101">
        <f>'Input netverliezen'!L38</f>
        <v>0</v>
      </c>
      <c r="M51" s="101">
        <f>'Input netverliezen'!M38</f>
        <v>5263003.9506905992</v>
      </c>
      <c r="N51" s="101">
        <f>'Input netverliezen'!N38</f>
        <v>9209111.7490670923</v>
      </c>
      <c r="O51" s="101">
        <f>'Input netverliezen'!O38</f>
        <v>0</v>
      </c>
      <c r="P51" s="101">
        <f>'Input netverliezen'!P38</f>
        <v>6222131.1476470418</v>
      </c>
      <c r="Q51" s="101">
        <f>'Input netverliezen'!Q38</f>
        <v>1632037.259899134</v>
      </c>
      <c r="R51" s="2"/>
      <c r="S51" s="2"/>
      <c r="T51" s="2"/>
      <c r="U51" s="2"/>
      <c r="V51" s="2"/>
      <c r="W51" s="2"/>
      <c r="X51" s="2"/>
      <c r="Y51" s="2"/>
      <c r="Z51" s="2"/>
    </row>
    <row r="52" spans="1:26" s="78" customFormat="1" ht="12" customHeight="1" x14ac:dyDescent="0.35">
      <c r="A52" s="206"/>
      <c r="B52" s="2"/>
      <c r="C52" s="2"/>
      <c r="D52" s="2"/>
      <c r="E52" s="2"/>
      <c r="F52" s="2"/>
      <c r="G52" s="2"/>
      <c r="H52" s="2"/>
      <c r="I52" s="2"/>
      <c r="J52" s="2"/>
      <c r="K52" s="2"/>
      <c r="L52" s="2"/>
      <c r="M52" s="2"/>
      <c r="N52" s="2"/>
      <c r="O52" s="2"/>
      <c r="P52" s="2"/>
      <c r="Q52" s="2"/>
      <c r="R52" s="2"/>
      <c r="S52" s="2"/>
      <c r="T52" s="2"/>
      <c r="U52" s="2"/>
      <c r="V52" s="2"/>
      <c r="W52" s="2"/>
      <c r="X52" s="2"/>
      <c r="Y52" s="2"/>
      <c r="Z52" s="2"/>
    </row>
    <row r="53" spans="1:26" s="78" customFormat="1" ht="12" customHeight="1" x14ac:dyDescent="0.35">
      <c r="A53" s="2"/>
      <c r="B53" s="196" t="s">
        <v>199</v>
      </c>
      <c r="C53" s="2"/>
      <c r="D53" s="2"/>
      <c r="E53" s="2"/>
      <c r="F53" s="2"/>
      <c r="G53" s="2"/>
      <c r="H53" s="2"/>
      <c r="I53" s="2"/>
      <c r="J53" s="2"/>
      <c r="K53" s="2"/>
      <c r="L53" s="2"/>
      <c r="M53" s="2"/>
      <c r="N53" s="2"/>
      <c r="O53" s="2"/>
      <c r="P53" s="2"/>
      <c r="Q53" s="2"/>
      <c r="R53" s="2"/>
      <c r="S53" s="2"/>
      <c r="T53" s="2"/>
      <c r="U53" s="2"/>
      <c r="V53" s="2"/>
      <c r="W53" s="2"/>
      <c r="X53" s="2"/>
      <c r="Y53" s="2"/>
      <c r="Z53" s="2"/>
    </row>
    <row r="54" spans="1:26" ht="12" customHeight="1" x14ac:dyDescent="0.35">
      <c r="A54" s="169"/>
      <c r="B54" s="87" t="s">
        <v>354</v>
      </c>
      <c r="C54" s="78"/>
      <c r="D54" s="78"/>
      <c r="E54" s="78"/>
      <c r="F54" s="2" t="s">
        <v>70</v>
      </c>
      <c r="J54" s="105">
        <f>SUM(L54:Q54)</f>
        <v>829798182.34168494</v>
      </c>
      <c r="L54" s="101">
        <f>'Input netverliezen'!L42</f>
        <v>16401680.494385676</v>
      </c>
      <c r="M54" s="101">
        <f>'Input netverliezen'!M42</f>
        <v>266533758.56356135</v>
      </c>
      <c r="N54" s="101">
        <f>'Input netverliezen'!N42</f>
        <v>285455588.10709691</v>
      </c>
      <c r="O54" s="101">
        <f>'Input netverliezen'!O42</f>
        <v>12040239.024494292</v>
      </c>
      <c r="P54" s="101">
        <f>'Input netverliezen'!P42</f>
        <v>235138144.63941851</v>
      </c>
      <c r="Q54" s="101">
        <f>'Input netverliezen'!Q42</f>
        <v>14228771.512728186</v>
      </c>
    </row>
    <row r="55" spans="1:26" ht="12" customHeight="1" x14ac:dyDescent="0.35">
      <c r="A55" s="169"/>
      <c r="B55" s="169"/>
      <c r="C55" s="169"/>
      <c r="D55" s="169"/>
      <c r="E55" s="169"/>
      <c r="F55" s="169"/>
    </row>
    <row r="56" spans="1:26" ht="12" customHeight="1" x14ac:dyDescent="0.35">
      <c r="A56" s="169"/>
      <c r="B56" s="87" t="s">
        <v>484</v>
      </c>
      <c r="C56" s="169"/>
      <c r="D56" s="169"/>
      <c r="E56" s="169"/>
      <c r="F56" s="208" t="s">
        <v>70</v>
      </c>
      <c r="L56" s="101">
        <f>'Input netverliezen'!L43</f>
        <v>16378191.921518842</v>
      </c>
      <c r="M56" s="101">
        <f>'Input netverliezen'!M43</f>
        <v>266309125.89958686</v>
      </c>
      <c r="N56" s="101">
        <f>'Input netverliezen'!N43</f>
        <v>285253178.05322069</v>
      </c>
      <c r="O56" s="101">
        <f>'Input netverliezen'!O43</f>
        <v>11960708.825466996</v>
      </c>
      <c r="P56" s="101">
        <f>'Input netverliezen'!P43</f>
        <v>235054769.69438812</v>
      </c>
      <c r="Q56" s="101">
        <f>'Input netverliezen'!Q43</f>
        <v>14216353.026773611</v>
      </c>
    </row>
    <row r="57" spans="1:26" ht="12" customHeight="1" x14ac:dyDescent="0.35">
      <c r="A57" s="169"/>
      <c r="B57" s="2" t="s">
        <v>597</v>
      </c>
      <c r="C57" s="169"/>
      <c r="D57" s="169"/>
      <c r="E57" s="169"/>
      <c r="F57" s="208" t="s">
        <v>70</v>
      </c>
      <c r="L57" s="101">
        <f>'SO transportdienst'!L198</f>
        <v>15326396.52547561</v>
      </c>
      <c r="M57" s="101">
        <f>'SO transportdienst'!M198</f>
        <v>247107670.82802612</v>
      </c>
      <c r="N57" s="101">
        <f>'SO transportdienst'!N198</f>
        <v>266914463.22839621</v>
      </c>
      <c r="O57" s="101">
        <f>'SO transportdienst'!O198</f>
        <v>11136518.723683339</v>
      </c>
      <c r="P57" s="101">
        <f>'SO transportdienst'!P198</f>
        <v>218378817.80223021</v>
      </c>
      <c r="Q57" s="101">
        <f>'SO transportdienst'!Q198</f>
        <v>13551987.619244892</v>
      </c>
    </row>
    <row r="58" spans="1:26" ht="12" customHeight="1" x14ac:dyDescent="0.35">
      <c r="A58" s="169"/>
      <c r="B58" s="169"/>
      <c r="C58" s="169"/>
      <c r="D58" s="169"/>
      <c r="E58" s="169"/>
      <c r="F58" s="169"/>
    </row>
    <row r="59" spans="1:26" ht="12" customHeight="1" x14ac:dyDescent="0.35">
      <c r="A59" s="169"/>
      <c r="B59" s="173" t="s">
        <v>186</v>
      </c>
    </row>
    <row r="60" spans="1:26" ht="12" customHeight="1" x14ac:dyDescent="0.35">
      <c r="A60" s="169"/>
      <c r="B60" s="2" t="s">
        <v>156</v>
      </c>
      <c r="C60" s="2"/>
      <c r="D60" s="2"/>
      <c r="E60" s="2"/>
      <c r="F60" s="2" t="s">
        <v>70</v>
      </c>
      <c r="L60" s="177">
        <f>'TI-berekening 2026'!L14</f>
        <v>1.4000000000000001</v>
      </c>
      <c r="M60" s="177">
        <f>'TI-berekening 2026'!M14</f>
        <v>1.3900000000000001</v>
      </c>
      <c r="N60" s="177">
        <f>'TI-berekening 2026'!N14</f>
        <v>1.35</v>
      </c>
      <c r="O60" s="177">
        <f>'TI-berekening 2026'!O14</f>
        <v>1.4000000000000001</v>
      </c>
      <c r="P60" s="177">
        <f>'TI-berekening 2026'!P14</f>
        <v>1.3900000000000001</v>
      </c>
      <c r="Q60" s="177">
        <f>'TI-berekening 2026'!Q14</f>
        <v>1.54</v>
      </c>
    </row>
    <row r="61" spans="1:26" ht="12" customHeight="1" x14ac:dyDescent="0.35">
      <c r="A61" s="169"/>
    </row>
    <row r="62" spans="1:26" ht="12" customHeight="1" x14ac:dyDescent="0.35">
      <c r="A62" s="169"/>
      <c r="B62" s="2" t="s">
        <v>412</v>
      </c>
      <c r="C62" s="129"/>
      <c r="D62" s="129"/>
      <c r="E62" s="129"/>
      <c r="F62" s="129" t="s">
        <v>72</v>
      </c>
      <c r="H62" s="55">
        <f>'Input netverliezen'!H45</f>
        <v>-7.5913637800173505E-4</v>
      </c>
    </row>
    <row r="63" spans="1:26" ht="12" customHeight="1" x14ac:dyDescent="0.35">
      <c r="A63" s="169"/>
    </row>
    <row r="64" spans="1:26" ht="12" customHeight="1" x14ac:dyDescent="0.35">
      <c r="A64" s="169"/>
      <c r="B64" s="148" t="s">
        <v>250</v>
      </c>
    </row>
    <row r="65" spans="1:17" ht="12" customHeight="1" x14ac:dyDescent="0.35">
      <c r="A65" s="169"/>
      <c r="B65" s="2" t="s">
        <v>408</v>
      </c>
      <c r="C65" s="170"/>
      <c r="D65" s="170"/>
      <c r="E65" s="170"/>
      <c r="F65" s="2" t="s">
        <v>72</v>
      </c>
      <c r="H65" s="48">
        <f>'Input parameters'!AA19</f>
        <v>2.1000000000000001E-2</v>
      </c>
    </row>
    <row r="66" spans="1:17" ht="12" customHeight="1" x14ac:dyDescent="0.35">
      <c r="A66" s="169"/>
      <c r="B66" s="2" t="s">
        <v>409</v>
      </c>
      <c r="C66" s="170"/>
      <c r="D66" s="170"/>
      <c r="E66" s="170"/>
      <c r="F66" s="2" t="s">
        <v>72</v>
      </c>
      <c r="H66" s="48">
        <f>'Input parameters'!AB19</f>
        <v>2.8000000000000001E-2</v>
      </c>
    </row>
    <row r="67" spans="1:17" ht="12" customHeight="1" x14ac:dyDescent="0.35">
      <c r="A67" s="169"/>
      <c r="B67" s="2" t="s">
        <v>410</v>
      </c>
      <c r="C67" s="170"/>
      <c r="D67" s="170"/>
      <c r="E67" s="170"/>
      <c r="F67" s="2" t="s">
        <v>72</v>
      </c>
      <c r="H67" s="48">
        <f>'Input parameters'!AC19</f>
        <v>7.0000000000000001E-3</v>
      </c>
    </row>
    <row r="68" spans="1:17" ht="12" customHeight="1" x14ac:dyDescent="0.35">
      <c r="A68" s="169"/>
      <c r="B68" s="2" t="s">
        <v>111</v>
      </c>
      <c r="C68" s="2"/>
      <c r="D68" s="2"/>
      <c r="E68" s="2"/>
      <c r="F68" s="2" t="s">
        <v>72</v>
      </c>
      <c r="H68" s="48">
        <f>'Input parameters'!AD19</f>
        <v>2.4E-2</v>
      </c>
    </row>
    <row r="69" spans="1:17" ht="12" customHeight="1" x14ac:dyDescent="0.35">
      <c r="A69" s="169"/>
      <c r="B69" s="2" t="s">
        <v>138</v>
      </c>
      <c r="F69" s="2" t="s">
        <v>72</v>
      </c>
      <c r="H69" s="48">
        <f>'Input parameters'!AE19</f>
        <v>0.12</v>
      </c>
    </row>
    <row r="70" spans="1:17" ht="12" customHeight="1" x14ac:dyDescent="0.35">
      <c r="A70" s="250"/>
      <c r="B70" s="2" t="s">
        <v>176</v>
      </c>
      <c r="F70" s="2" t="s">
        <v>72</v>
      </c>
      <c r="H70" s="48">
        <f>'Input parameters'!AF19</f>
        <v>0.03</v>
      </c>
    </row>
    <row r="71" spans="1:17" ht="12" customHeight="1" x14ac:dyDescent="0.35">
      <c r="A71" s="169"/>
    </row>
    <row r="72" spans="1:17" ht="12" customHeight="1" x14ac:dyDescent="0.35">
      <c r="A72" s="169"/>
      <c r="B72" s="2" t="s">
        <v>609</v>
      </c>
      <c r="C72" s="170"/>
      <c r="D72" s="170"/>
      <c r="E72" s="170"/>
      <c r="F72" s="170" t="s">
        <v>72</v>
      </c>
      <c r="H72" s="176">
        <f>'Input netverliezen'!H47</f>
        <v>0.75</v>
      </c>
    </row>
    <row r="73" spans="1:17" ht="12" customHeight="1" x14ac:dyDescent="0.35">
      <c r="A73" s="2"/>
      <c r="B73" s="2"/>
      <c r="C73" s="2"/>
      <c r="D73" s="2"/>
      <c r="E73" s="2"/>
      <c r="F73" s="2"/>
    </row>
    <row r="74" spans="1:17" ht="12" customHeight="1" x14ac:dyDescent="0.35">
      <c r="A74" s="210"/>
      <c r="B74" s="170" t="s">
        <v>583</v>
      </c>
      <c r="F74" s="170" t="s">
        <v>72</v>
      </c>
      <c r="H74" s="48">
        <f>Parameters!P74</f>
        <v>0.11818696111160243</v>
      </c>
    </row>
    <row r="75" spans="1:17" ht="12" customHeight="1" x14ac:dyDescent="0.35">
      <c r="A75" s="2"/>
      <c r="B75" s="2"/>
      <c r="C75" s="2"/>
      <c r="D75" s="2"/>
      <c r="E75" s="2"/>
      <c r="F75" s="2"/>
    </row>
    <row r="76" spans="1:17" s="6" customFormat="1" ht="13" x14ac:dyDescent="0.35">
      <c r="B76" s="6" t="s">
        <v>355</v>
      </c>
    </row>
    <row r="77" spans="1:17" ht="12" customHeight="1" x14ac:dyDescent="0.35">
      <c r="A77" s="170"/>
      <c r="B77" s="170"/>
      <c r="C77" s="170"/>
      <c r="D77" s="170"/>
      <c r="E77" s="170"/>
      <c r="F77" s="170"/>
    </row>
    <row r="78" spans="1:17" ht="12" customHeight="1" x14ac:dyDescent="0.35">
      <c r="A78" s="170"/>
      <c r="B78" s="197" t="s">
        <v>430</v>
      </c>
      <c r="C78" s="170"/>
      <c r="D78" s="170"/>
      <c r="E78" s="170"/>
      <c r="F78" s="170"/>
    </row>
    <row r="79" spans="1:17" ht="12" customHeight="1" x14ac:dyDescent="0.35">
      <c r="A79" s="170"/>
      <c r="B79" s="170" t="s">
        <v>431</v>
      </c>
      <c r="C79" s="170"/>
      <c r="D79" s="170"/>
      <c r="E79" s="170"/>
      <c r="F79" s="2" t="s">
        <v>96</v>
      </c>
      <c r="J79" s="105">
        <f>SUM(L79:Q79)</f>
        <v>864722.7084227812</v>
      </c>
      <c r="L79" s="38">
        <f>(L28+L29+L30)*(1+$H$65)*(1+$H$66)*(1-$H$62)^2</f>
        <v>548.71709051128971</v>
      </c>
      <c r="M79" s="38">
        <f t="shared" ref="M79:Q79" si="0">(M28+M29+M30)*(1+$H$65)*(1+$H$66)*(1-$H$62)^2</f>
        <v>507828.75707191962</v>
      </c>
      <c r="N79" s="38">
        <f t="shared" si="0"/>
        <v>100069.51355700185</v>
      </c>
      <c r="O79" s="38">
        <f t="shared" si="0"/>
        <v>0</v>
      </c>
      <c r="P79" s="38">
        <f>(P28+P29+P30)*(1+$H$65)*(1+$H$66)*(1-$H$62)^2</f>
        <v>256275.72070334834</v>
      </c>
      <c r="Q79" s="38">
        <f t="shared" si="0"/>
        <v>0</v>
      </c>
    </row>
    <row r="80" spans="1:17" ht="12" customHeight="1" x14ac:dyDescent="0.35">
      <c r="A80" s="170"/>
      <c r="B80" s="170" t="s">
        <v>432</v>
      </c>
      <c r="C80" s="170"/>
      <c r="D80" s="170"/>
      <c r="E80" s="170"/>
      <c r="F80" s="2" t="s">
        <v>96</v>
      </c>
      <c r="J80" s="105">
        <f>SUM(L80:Q80)</f>
        <v>998339.26997499564</v>
      </c>
      <c r="L80" s="38">
        <f t="shared" ref="L80:Q80" si="1">(L33+L34+L35)*(1+$H$66)*(1-$H$62)</f>
        <v>0</v>
      </c>
      <c r="M80" s="38">
        <f t="shared" si="1"/>
        <v>609730.01250957802</v>
      </c>
      <c r="N80" s="38">
        <f t="shared" si="1"/>
        <v>139150.9686143345</v>
      </c>
      <c r="O80" s="38">
        <f t="shared" si="1"/>
        <v>198.22540596843814</v>
      </c>
      <c r="P80" s="38">
        <f t="shared" si="1"/>
        <v>249260.06344511459</v>
      </c>
      <c r="Q80" s="38">
        <f t="shared" si="1"/>
        <v>0</v>
      </c>
    </row>
    <row r="81" spans="1:19" ht="12" customHeight="1" x14ac:dyDescent="0.35">
      <c r="A81" s="170"/>
      <c r="B81" s="170" t="s">
        <v>433</v>
      </c>
      <c r="C81" s="170"/>
      <c r="D81" s="170"/>
      <c r="E81" s="170"/>
      <c r="F81" s="2" t="s">
        <v>96</v>
      </c>
      <c r="J81" s="105">
        <f>SUM(L81:Q81)</f>
        <v>1145938.1385235263</v>
      </c>
      <c r="L81" s="38">
        <f t="shared" ref="L81:Q81" si="2">L38+L39+L40</f>
        <v>0</v>
      </c>
      <c r="M81" s="38">
        <f>M38+M39+M40</f>
        <v>389964.44200248877</v>
      </c>
      <c r="N81" s="38">
        <f t="shared" si="2"/>
        <v>457437.99652103736</v>
      </c>
      <c r="O81" s="38">
        <f t="shared" si="2"/>
        <v>1159.33</v>
      </c>
      <c r="P81" s="38">
        <f t="shared" si="2"/>
        <v>297376.37000000017</v>
      </c>
      <c r="Q81" s="38">
        <f t="shared" si="2"/>
        <v>0</v>
      </c>
    </row>
    <row r="82" spans="1:19" ht="12" customHeight="1" x14ac:dyDescent="0.35">
      <c r="A82" s="170"/>
      <c r="B82" s="170"/>
      <c r="C82" s="170"/>
      <c r="D82" s="170"/>
      <c r="E82" s="170"/>
      <c r="F82" s="170"/>
    </row>
    <row r="83" spans="1:19" ht="12" customHeight="1" x14ac:dyDescent="0.35">
      <c r="A83" s="170"/>
      <c r="B83" s="170" t="s">
        <v>413</v>
      </c>
      <c r="C83" s="170"/>
      <c r="D83" s="170"/>
      <c r="E83" s="170"/>
      <c r="F83" s="2" t="s">
        <v>96</v>
      </c>
      <c r="H83" s="105">
        <f>(J79+J80+J81)/3</f>
        <v>1003000.0389737677</v>
      </c>
    </row>
    <row r="84" spans="1:19" ht="12" customHeight="1" x14ac:dyDescent="0.35">
      <c r="A84" s="170"/>
      <c r="B84" s="170" t="s">
        <v>414</v>
      </c>
      <c r="C84" s="170"/>
      <c r="D84" s="170"/>
      <c r="E84" s="170"/>
      <c r="F84" s="169" t="s">
        <v>105</v>
      </c>
      <c r="H84" s="105">
        <f>H83*(1+H67)*(1-H62)</f>
        <v>1010787.7829600231</v>
      </c>
    </row>
    <row r="85" spans="1:19" ht="12" customHeight="1" x14ac:dyDescent="0.35">
      <c r="A85" s="170"/>
      <c r="B85" s="170" t="s">
        <v>415</v>
      </c>
      <c r="C85" s="170"/>
      <c r="D85" s="170"/>
      <c r="E85" s="170"/>
      <c r="F85" s="198" t="s">
        <v>416</v>
      </c>
      <c r="H85" s="199">
        <f>H84/J54</f>
        <v>1.2181127947371332E-3</v>
      </c>
    </row>
    <row r="86" spans="1:19" ht="12" customHeight="1" x14ac:dyDescent="0.35">
      <c r="A86" s="170"/>
      <c r="B86" s="170"/>
      <c r="C86" s="170"/>
      <c r="D86" s="170"/>
      <c r="E86" s="170"/>
      <c r="F86" s="170"/>
    </row>
    <row r="87" spans="1:19" ht="12" customHeight="1" x14ac:dyDescent="0.35">
      <c r="A87" s="170"/>
      <c r="B87" s="170" t="s">
        <v>417</v>
      </c>
      <c r="C87" s="170"/>
      <c r="D87" s="170"/>
      <c r="E87" s="170"/>
      <c r="F87" s="169" t="s">
        <v>105</v>
      </c>
      <c r="J87" s="105">
        <f>SUM(L87:Q87)</f>
        <v>1010787.782960023</v>
      </c>
      <c r="L87" s="105">
        <f>$H$85*L54</f>
        <v>19979.096865401661</v>
      </c>
      <c r="M87" s="105">
        <f t="shared" ref="M87:Q87" si="3">$H$85*M54</f>
        <v>324668.18153565202</v>
      </c>
      <c r="N87" s="105">
        <f t="shared" si="3"/>
        <v>347717.10420246777</v>
      </c>
      <c r="O87" s="105">
        <f t="shared" si="3"/>
        <v>14666.369207429838</v>
      </c>
      <c r="P87" s="105">
        <f t="shared" si="3"/>
        <v>286424.78251602635</v>
      </c>
      <c r="Q87" s="105">
        <f t="shared" si="3"/>
        <v>17332.248633045438</v>
      </c>
    </row>
    <row r="88" spans="1:19" ht="12" customHeight="1" x14ac:dyDescent="0.35">
      <c r="A88" s="251"/>
      <c r="B88" s="170"/>
      <c r="C88" s="170"/>
      <c r="D88" s="170"/>
      <c r="E88" s="170"/>
      <c r="F88" s="169"/>
    </row>
    <row r="89" spans="1:19" ht="12" customHeight="1" x14ac:dyDescent="0.35">
      <c r="A89" s="250"/>
      <c r="B89" s="2" t="s">
        <v>418</v>
      </c>
      <c r="C89" s="169"/>
      <c r="D89" s="169"/>
      <c r="E89" s="169"/>
      <c r="F89" s="169" t="s">
        <v>105</v>
      </c>
      <c r="J89" s="105">
        <f>SUM(L89:Q89)</f>
        <v>21004741.141929701</v>
      </c>
      <c r="L89" s="105">
        <f>L43-L87</f>
        <v>367599.4348930901</v>
      </c>
      <c r="M89" s="105">
        <f>M43-M87</f>
        <v>6643238.4841432022</v>
      </c>
      <c r="N89" s="105">
        <f t="shared" ref="N89:Q89" si="4">N43-N87</f>
        <v>6909892.6421118705</v>
      </c>
      <c r="O89" s="105">
        <f t="shared" si="4"/>
        <v>279374.93699718965</v>
      </c>
      <c r="P89" s="105">
        <f t="shared" si="4"/>
        <v>5787530.2764863297</v>
      </c>
      <c r="Q89" s="105">
        <f t="shared" si="4"/>
        <v>1017105.3672980192</v>
      </c>
    </row>
    <row r="90" spans="1:19" ht="12" customHeight="1" x14ac:dyDescent="0.35">
      <c r="A90" s="250"/>
      <c r="B90" s="2" t="s">
        <v>612</v>
      </c>
      <c r="C90" s="169"/>
      <c r="D90" s="169"/>
      <c r="E90" s="169"/>
      <c r="F90" s="231" t="s">
        <v>160</v>
      </c>
      <c r="J90" s="105">
        <f>SUM(L90:Q90)</f>
        <v>23849681.210065648</v>
      </c>
      <c r="L90" s="105">
        <f>L89 * (1 + $H$68 - L$60/100) * (1 + $H$69 - L$60/100) * (1 + $H$70 - L$60/100)</f>
        <v>417200.71473754209</v>
      </c>
      <c r="M90" s="105">
        <f>M89 * (1 + $H$68 - M$60/100) * (1 + $H$69 - M$60/100) * (1 + $H$70 - M$60/100)</f>
        <v>7541800.8150769975</v>
      </c>
      <c r="N90" s="105">
        <f t="shared" ref="N90:Q90" si="5">N89 * (1 + $H$68 - N$60/100) * (1 + $H$69 - N$60/100) * (1 + $H$70 - N$60/100)</f>
        <v>7853557.3403193196</v>
      </c>
      <c r="O90" s="105">
        <f t="shared" si="5"/>
        <v>317071.82419603399</v>
      </c>
      <c r="P90" s="105">
        <f t="shared" si="5"/>
        <v>6570349.7865795596</v>
      </c>
      <c r="Q90" s="105">
        <f t="shared" si="5"/>
        <v>1149700.7291561947</v>
      </c>
    </row>
    <row r="91" spans="1:19" ht="12" customHeight="1" x14ac:dyDescent="0.35">
      <c r="A91" s="251"/>
      <c r="B91" s="170"/>
      <c r="C91" s="170"/>
      <c r="D91" s="170"/>
      <c r="E91" s="170"/>
      <c r="F91" s="170"/>
    </row>
    <row r="92" spans="1:19" ht="12" customHeight="1" x14ac:dyDescent="0.35">
      <c r="A92" s="250"/>
      <c r="B92" s="197" t="s">
        <v>598</v>
      </c>
      <c r="C92" s="170"/>
      <c r="D92" s="170"/>
      <c r="E92" s="170"/>
      <c r="F92" s="170"/>
    </row>
    <row r="93" spans="1:19" ht="12" customHeight="1" x14ac:dyDescent="0.35">
      <c r="A93" s="250"/>
      <c r="B93" s="170" t="s">
        <v>611</v>
      </c>
      <c r="C93" s="170"/>
      <c r="D93" s="170"/>
      <c r="E93" s="170"/>
      <c r="F93" s="170" t="s">
        <v>160</v>
      </c>
      <c r="J93" s="105">
        <f>SUM(L93:Q93)</f>
        <v>51173712.909291387</v>
      </c>
      <c r="L93" s="105">
        <f>L46-L47-L48-L49</f>
        <v>-355664</v>
      </c>
      <c r="M93" s="105">
        <f>M46-M47-M48-M49</f>
        <v>11614763.550663114</v>
      </c>
      <c r="N93" s="105">
        <f t="shared" ref="N93:Q93" si="6">N46-N47-N48-N49</f>
        <v>16235047.134048091</v>
      </c>
      <c r="O93" s="105">
        <f t="shared" si="6"/>
        <v>65957.899999999994</v>
      </c>
      <c r="P93" s="105">
        <f t="shared" si="6"/>
        <v>19694758.29458018</v>
      </c>
      <c r="Q93" s="105">
        <f t="shared" si="6"/>
        <v>3918850.03</v>
      </c>
      <c r="S93" s="210"/>
    </row>
    <row r="94" spans="1:19" ht="12" customHeight="1" x14ac:dyDescent="0.35">
      <c r="A94" s="250"/>
      <c r="B94" s="170" t="s">
        <v>610</v>
      </c>
      <c r="C94" s="170"/>
      <c r="D94" s="170"/>
      <c r="E94" s="170"/>
      <c r="F94" s="170" t="s">
        <v>160</v>
      </c>
      <c r="J94" s="105">
        <f>SUM(L94:Q94)</f>
        <v>27324031.699225735</v>
      </c>
      <c r="L94" s="105">
        <f t="shared" ref="L94:Q94" si="7">L93-L90</f>
        <v>-772864.71473754209</v>
      </c>
      <c r="M94" s="105">
        <f>M93-M90</f>
        <v>4072962.7355861161</v>
      </c>
      <c r="N94" s="105">
        <f t="shared" si="7"/>
        <v>8381489.7937287716</v>
      </c>
      <c r="O94" s="105">
        <f t="shared" si="7"/>
        <v>-251113.924196034</v>
      </c>
      <c r="P94" s="105">
        <f t="shared" si="7"/>
        <v>13124408.50800062</v>
      </c>
      <c r="Q94" s="105">
        <f t="shared" si="7"/>
        <v>2769149.3008438051</v>
      </c>
    </row>
    <row r="95" spans="1:19" ht="12" customHeight="1" x14ac:dyDescent="0.35">
      <c r="A95" s="251"/>
      <c r="B95" s="170"/>
      <c r="C95" s="170"/>
      <c r="D95" s="170"/>
      <c r="E95" s="170"/>
      <c r="F95" s="170"/>
    </row>
    <row r="96" spans="1:19" s="6" customFormat="1" ht="13" x14ac:dyDescent="0.35">
      <c r="B96" s="6" t="s">
        <v>356</v>
      </c>
    </row>
    <row r="97" spans="1:17" ht="12" customHeight="1" x14ac:dyDescent="0.35">
      <c r="A97" s="170"/>
      <c r="B97" s="170"/>
      <c r="C97" s="170"/>
      <c r="D97" s="170"/>
      <c r="E97" s="170"/>
      <c r="F97" s="170"/>
    </row>
    <row r="98" spans="1:17" ht="12" customHeight="1" x14ac:dyDescent="0.35">
      <c r="A98" s="170"/>
      <c r="B98" s="175" t="s">
        <v>613</v>
      </c>
      <c r="C98" s="170"/>
      <c r="D98" s="170"/>
      <c r="E98" s="170"/>
      <c r="F98" s="170"/>
    </row>
    <row r="99" spans="1:17" ht="12" customHeight="1" x14ac:dyDescent="0.35">
      <c r="A99" s="170"/>
      <c r="B99" s="170" t="s">
        <v>357</v>
      </c>
      <c r="C99" s="170"/>
      <c r="D99" s="170"/>
      <c r="E99" s="170"/>
      <c r="F99" s="170" t="s">
        <v>160</v>
      </c>
      <c r="J99" s="105">
        <f>SUM(L99:Q99)</f>
        <v>20493023.7744193</v>
      </c>
      <c r="L99" s="105">
        <f t="shared" ref="L99:Q99" si="8">L94*$H$72</f>
        <v>-579648.5360531566</v>
      </c>
      <c r="M99" s="105">
        <f t="shared" si="8"/>
        <v>3054722.0516895871</v>
      </c>
      <c r="N99" s="105">
        <f t="shared" si="8"/>
        <v>6286117.3452965785</v>
      </c>
      <c r="O99" s="105">
        <f t="shared" si="8"/>
        <v>-188335.44314702551</v>
      </c>
      <c r="P99" s="105">
        <f t="shared" si="8"/>
        <v>9843306.3810004648</v>
      </c>
      <c r="Q99" s="105">
        <f t="shared" si="8"/>
        <v>2076861.9756328538</v>
      </c>
    </row>
    <row r="100" spans="1:17" ht="12" customHeight="1" x14ac:dyDescent="0.35">
      <c r="A100" s="170"/>
      <c r="B100" s="170"/>
      <c r="C100" s="170"/>
      <c r="D100" s="170"/>
      <c r="E100" s="170"/>
      <c r="F100" s="170"/>
    </row>
    <row r="101" spans="1:17" ht="12" customHeight="1" x14ac:dyDescent="0.35">
      <c r="A101" s="170"/>
      <c r="B101" s="175" t="s">
        <v>614</v>
      </c>
      <c r="C101" s="170"/>
      <c r="D101" s="170"/>
      <c r="E101" s="170"/>
      <c r="F101" s="170"/>
    </row>
    <row r="102" spans="1:17" ht="12" customHeight="1" x14ac:dyDescent="0.35">
      <c r="A102" s="170"/>
      <c r="B102" s="170" t="s">
        <v>358</v>
      </c>
      <c r="C102" s="170"/>
      <c r="D102" s="170"/>
      <c r="E102" s="170"/>
      <c r="F102" s="170" t="s">
        <v>160</v>
      </c>
      <c r="H102" s="139">
        <f>J94/J54</f>
        <v>3.292852681614402E-2</v>
      </c>
    </row>
    <row r="103" spans="1:17" ht="12" customHeight="1" x14ac:dyDescent="0.35">
      <c r="A103" s="170"/>
      <c r="B103" s="170" t="s">
        <v>359</v>
      </c>
      <c r="C103" s="170"/>
      <c r="D103" s="170"/>
      <c r="E103" s="170"/>
      <c r="F103" s="170" t="s">
        <v>160</v>
      </c>
      <c r="J103" s="105">
        <f>SUM(L103:Q103)</f>
        <v>27324031.699225739</v>
      </c>
      <c r="L103" s="105">
        <f t="shared" ref="L103:Q103" si="9">L54*$H$102</f>
        <v>540083.17598920502</v>
      </c>
      <c r="M103" s="105">
        <f t="shared" si="9"/>
        <v>8776564.0162678864</v>
      </c>
      <c r="N103" s="105">
        <f t="shared" si="9"/>
        <v>9399631.9878027029</v>
      </c>
      <c r="O103" s="105">
        <f t="shared" si="9"/>
        <v>396467.33359084401</v>
      </c>
      <c r="P103" s="105">
        <f t="shared" si="9"/>
        <v>7742752.701257444</v>
      </c>
      <c r="Q103" s="105">
        <f t="shared" si="9"/>
        <v>468532.4843176562</v>
      </c>
    </row>
    <row r="104" spans="1:17" ht="12" customHeight="1" x14ac:dyDescent="0.35">
      <c r="A104" s="170"/>
      <c r="B104" s="170"/>
      <c r="C104" s="170"/>
      <c r="D104" s="170"/>
      <c r="E104" s="170"/>
      <c r="F104" s="170"/>
    </row>
    <row r="105" spans="1:17" ht="12" customHeight="1" x14ac:dyDescent="0.35">
      <c r="A105" s="170"/>
      <c r="B105" s="170" t="s">
        <v>360</v>
      </c>
      <c r="C105" s="170"/>
      <c r="D105" s="170"/>
      <c r="E105" s="170"/>
      <c r="F105" s="170" t="s">
        <v>160</v>
      </c>
      <c r="J105" s="105">
        <f>SUM(L105:Q105)</f>
        <v>6831007.9248064347</v>
      </c>
      <c r="L105" s="105">
        <f t="shared" ref="L105:Q105" si="10">L103*(1-$H$72)</f>
        <v>135020.79399730125</v>
      </c>
      <c r="M105" s="105">
        <f t="shared" si="10"/>
        <v>2194141.0040669716</v>
      </c>
      <c r="N105" s="105">
        <f t="shared" si="10"/>
        <v>2349907.9969506757</v>
      </c>
      <c r="O105" s="105">
        <f t="shared" si="10"/>
        <v>99116.833397711001</v>
      </c>
      <c r="P105" s="105">
        <f t="shared" si="10"/>
        <v>1935688.175314361</v>
      </c>
      <c r="Q105" s="105">
        <f t="shared" si="10"/>
        <v>117133.12107941405</v>
      </c>
    </row>
    <row r="106" spans="1:17" ht="12" customHeight="1" x14ac:dyDescent="0.35">
      <c r="A106" s="170"/>
      <c r="B106" s="170"/>
      <c r="C106" s="170"/>
      <c r="D106" s="170"/>
      <c r="E106" s="170"/>
      <c r="F106" s="170"/>
    </row>
    <row r="107" spans="1:17" s="6" customFormat="1" ht="13" x14ac:dyDescent="0.35">
      <c r="B107" s="6" t="s">
        <v>361</v>
      </c>
    </row>
    <row r="108" spans="1:17" ht="12" customHeight="1" x14ac:dyDescent="0.35">
      <c r="A108" s="170"/>
      <c r="B108" s="170"/>
      <c r="C108" s="170"/>
      <c r="D108" s="170"/>
      <c r="E108" s="170"/>
      <c r="F108" s="170"/>
    </row>
    <row r="109" spans="1:17" ht="12" customHeight="1" x14ac:dyDescent="0.35">
      <c r="A109" s="170"/>
      <c r="B109" s="170" t="s">
        <v>608</v>
      </c>
      <c r="C109" s="170"/>
      <c r="D109" s="170"/>
      <c r="E109" s="170"/>
      <c r="F109" s="170" t="s">
        <v>160</v>
      </c>
      <c r="J109" s="105">
        <f>SUM(L109:Q109)</f>
        <v>27324031.699225739</v>
      </c>
      <c r="L109" s="105">
        <f t="shared" ref="L109:Q109" si="11">L99+L105</f>
        <v>-444627.74205585534</v>
      </c>
      <c r="M109" s="105">
        <f t="shared" si="11"/>
        <v>5248863.0557565587</v>
      </c>
      <c r="N109" s="105">
        <f t="shared" si="11"/>
        <v>8636025.3422472551</v>
      </c>
      <c r="O109" s="105">
        <f t="shared" si="11"/>
        <v>-89218.609749314506</v>
      </c>
      <c r="P109" s="105">
        <f t="shared" si="11"/>
        <v>11778994.556314826</v>
      </c>
      <c r="Q109" s="105">
        <f t="shared" si="11"/>
        <v>2193995.096712268</v>
      </c>
    </row>
    <row r="110" spans="1:17" ht="12" customHeight="1" x14ac:dyDescent="0.35">
      <c r="A110" s="251"/>
      <c r="B110" s="170" t="s">
        <v>607</v>
      </c>
      <c r="C110" s="170"/>
      <c r="D110" s="170"/>
      <c r="E110" s="170"/>
      <c r="F110" s="170" t="s">
        <v>160</v>
      </c>
      <c r="J110" s="105">
        <f>SUM(L110:Q110)</f>
        <v>20837065.356280107</v>
      </c>
      <c r="L110" s="105">
        <f>L51 * (L57/L56)</f>
        <v>0</v>
      </c>
      <c r="M110" s="105">
        <f>M51 * (M57/M56)</f>
        <v>4883530.1584979258</v>
      </c>
      <c r="N110" s="105">
        <f t="shared" ref="N110:Q110" si="12">N51 * (N57/N56)</f>
        <v>8617064.7986749299</v>
      </c>
      <c r="O110" s="105">
        <f t="shared" si="12"/>
        <v>0</v>
      </c>
      <c r="P110" s="105">
        <f t="shared" si="12"/>
        <v>5780702.284834493</v>
      </c>
      <c r="Q110" s="105">
        <f t="shared" si="12"/>
        <v>1555768.11427276</v>
      </c>
    </row>
    <row r="111" spans="1:17" ht="12" customHeight="1" x14ac:dyDescent="0.35">
      <c r="A111" s="170"/>
      <c r="B111" s="170"/>
      <c r="C111" s="170"/>
      <c r="D111" s="170"/>
      <c r="E111" s="170"/>
      <c r="F111" s="170"/>
    </row>
    <row r="112" spans="1:17" ht="12" customHeight="1" x14ac:dyDescent="0.35">
      <c r="A112" s="170"/>
      <c r="B112" s="170" t="s">
        <v>606</v>
      </c>
      <c r="C112" s="170"/>
      <c r="D112" s="170"/>
      <c r="E112" s="170"/>
      <c r="F112" s="170" t="s">
        <v>160</v>
      </c>
      <c r="J112" s="105">
        <f>SUM(L112:Q112)</f>
        <v>6486966.3429456288</v>
      </c>
      <c r="L112" s="105">
        <f t="shared" ref="L112:Q112" si="13">L109-L110</f>
        <v>-444627.74205585534</v>
      </c>
      <c r="M112" s="105">
        <f t="shared" si="13"/>
        <v>365332.89725863282</v>
      </c>
      <c r="N112" s="105">
        <f t="shared" si="13"/>
        <v>18960.543572325259</v>
      </c>
      <c r="O112" s="105">
        <f t="shared" si="13"/>
        <v>-89218.609749314506</v>
      </c>
      <c r="P112" s="105">
        <f t="shared" si="13"/>
        <v>5998292.2714803331</v>
      </c>
      <c r="Q112" s="105">
        <f t="shared" si="13"/>
        <v>638226.98243950796</v>
      </c>
    </row>
    <row r="113" spans="1:17" ht="12" customHeight="1" x14ac:dyDescent="0.35">
      <c r="A113" s="169"/>
      <c r="B113" s="170"/>
      <c r="C113" s="170"/>
      <c r="D113" s="170"/>
      <c r="E113" s="170"/>
      <c r="F113" s="170"/>
    </row>
    <row r="114" spans="1:17" ht="12" customHeight="1" x14ac:dyDescent="0.35">
      <c r="A114" s="169"/>
      <c r="B114" s="170" t="s">
        <v>605</v>
      </c>
      <c r="C114" s="170"/>
      <c r="D114" s="170"/>
      <c r="E114" s="170"/>
      <c r="F114" s="170" t="s">
        <v>117</v>
      </c>
      <c r="J114" s="105">
        <f>SUM(L114:Q114)</f>
        <v>7253641.181851618</v>
      </c>
      <c r="L114" s="37">
        <f t="shared" ref="L114:Q114" si="14">L112*(1+$H$74)</f>
        <v>-497176.94371535029</v>
      </c>
      <c r="M114" s="37">
        <f t="shared" si="14"/>
        <v>408510.48217972787</v>
      </c>
      <c r="N114" s="37">
        <f t="shared" si="14"/>
        <v>21201.432598162508</v>
      </c>
      <c r="O114" s="37">
        <f t="shared" si="14"/>
        <v>-99763.086110187971</v>
      </c>
      <c r="P114" s="37">
        <f t="shared" si="14"/>
        <v>6707212.2069058046</v>
      </c>
      <c r="Q114" s="37">
        <f t="shared" si="14"/>
        <v>713657.0899934615</v>
      </c>
    </row>
    <row r="115" spans="1:17" ht="12" customHeight="1" x14ac:dyDescent="0.35">
      <c r="A115" s="169"/>
      <c r="B115" s="170"/>
      <c r="C115" s="170"/>
      <c r="D115" s="170"/>
      <c r="E115" s="170"/>
      <c r="F115" s="170"/>
    </row>
    <row r="116" spans="1:17" ht="12" customHeight="1" x14ac:dyDescent="0.35">
      <c r="A116" s="169"/>
    </row>
  </sheetData>
  <phoneticPr fontId="66" type="noConversion"/>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3FDC-9A16-403B-9BC6-0996DB6F8A37}">
  <sheetPr>
    <tabColor rgb="FFFFFFCC"/>
  </sheetPr>
  <dimension ref="A1:X126"/>
  <sheetViews>
    <sheetView showGridLines="0" zoomScale="85" zoomScaleNormal="85" workbookViewId="0">
      <pane xSplit="6" ySplit="20" topLeftCell="G21" activePane="bottomRight" state="frozen"/>
      <selection pane="topRight" activeCell="G1" sqref="G1"/>
      <selection pane="bottomLeft" activeCell="A21" sqref="A21"/>
      <selection pane="bottomRight" activeCell="G21" sqref="G21"/>
    </sheetView>
  </sheetViews>
  <sheetFormatPr defaultColWidth="9.26953125" defaultRowHeight="12" customHeight="1" x14ac:dyDescent="0.35"/>
  <cols>
    <col min="1" max="1" width="3" style="129" customWidth="1"/>
    <col min="2" max="2" width="77" style="129" customWidth="1"/>
    <col min="3" max="3" width="3.7265625" style="129" customWidth="1"/>
    <col min="4" max="4" width="3.453125" style="129" customWidth="1"/>
    <col min="5" max="5" width="3.26953125" style="129" customWidth="1"/>
    <col min="6" max="6" width="13.26953125" style="129" customWidth="1"/>
    <col min="7" max="7" width="2.54296875" style="129" customWidth="1"/>
    <col min="8" max="8" width="13.7265625" style="129" customWidth="1"/>
    <col min="9" max="9" width="2.7265625" style="129" customWidth="1"/>
    <col min="10" max="10" width="15" style="129" bestFit="1" customWidth="1"/>
    <col min="11" max="11" width="2.26953125" style="129" customWidth="1"/>
    <col min="12" max="17" width="14" style="129" customWidth="1"/>
    <col min="18" max="18" width="2.453125" style="129" customWidth="1"/>
    <col min="19" max="19" width="14" style="129" customWidth="1"/>
    <col min="20" max="20" width="2.453125" style="129" customWidth="1"/>
    <col min="21" max="21" width="15.7265625" style="129" customWidth="1"/>
    <col min="22" max="16384" width="9.26953125" style="129"/>
  </cols>
  <sheetData>
    <row r="1" spans="1:17" s="2" customFormat="1" ht="12.5" x14ac:dyDescent="0.35">
      <c r="L1" s="99"/>
      <c r="M1" s="99"/>
      <c r="N1" s="99"/>
      <c r="O1" s="99"/>
      <c r="P1" s="99"/>
      <c r="Q1" s="99"/>
    </row>
    <row r="2" spans="1:17" s="95" customFormat="1" ht="18" x14ac:dyDescent="0.35">
      <c r="A2" s="181"/>
      <c r="B2" s="181" t="s">
        <v>639</v>
      </c>
      <c r="L2" s="104"/>
      <c r="M2" s="104"/>
      <c r="N2" s="104"/>
      <c r="O2" s="104"/>
      <c r="P2" s="104"/>
      <c r="Q2" s="104"/>
    </row>
    <row r="3" spans="1:17" s="2" customFormat="1" ht="12" customHeight="1" x14ac:dyDescent="0.35">
      <c r="L3" s="99"/>
      <c r="M3" s="99"/>
      <c r="N3" s="99"/>
      <c r="O3" s="99"/>
      <c r="P3" s="99"/>
      <c r="Q3" s="99"/>
    </row>
    <row r="4" spans="1:17" s="2" customFormat="1" ht="12" customHeight="1" x14ac:dyDescent="0.35">
      <c r="B4" s="1" t="s">
        <v>58</v>
      </c>
      <c r="L4" s="99"/>
      <c r="M4" s="99"/>
      <c r="N4" s="99"/>
      <c r="O4" s="99"/>
      <c r="P4" s="99"/>
      <c r="Q4" s="99"/>
    </row>
    <row r="5" spans="1:17" s="2" customFormat="1" ht="13" x14ac:dyDescent="0.25">
      <c r="B5" s="39" t="s">
        <v>495</v>
      </c>
      <c r="C5" s="1"/>
      <c r="D5" s="1"/>
    </row>
    <row r="6" spans="1:17" s="2" customFormat="1" ht="13" x14ac:dyDescent="0.25">
      <c r="B6" s="39" t="s">
        <v>492</v>
      </c>
      <c r="C6" s="1"/>
      <c r="D6" s="1"/>
    </row>
    <row r="7" spans="1:17" s="2" customFormat="1" ht="13" x14ac:dyDescent="0.25">
      <c r="B7" s="39" t="s">
        <v>309</v>
      </c>
      <c r="C7" s="1"/>
      <c r="D7" s="1"/>
    </row>
    <row r="8" spans="1:17" s="2" customFormat="1" ht="13" x14ac:dyDescent="0.25">
      <c r="B8" s="39" t="s">
        <v>346</v>
      </c>
      <c r="C8" s="1"/>
      <c r="D8" s="1"/>
    </row>
    <row r="9" spans="1:17" s="2" customFormat="1" ht="12.5" x14ac:dyDescent="0.35">
      <c r="B9" s="2" t="s">
        <v>310</v>
      </c>
      <c r="H9" s="19"/>
    </row>
    <row r="10" spans="1:17" s="2" customFormat="1" ht="12.5" x14ac:dyDescent="0.35">
      <c r="H10" s="19"/>
    </row>
    <row r="11" spans="1:17" s="2" customFormat="1" ht="12.5" x14ac:dyDescent="0.35">
      <c r="B11" s="2" t="s">
        <v>311</v>
      </c>
      <c r="H11" s="19"/>
    </row>
    <row r="12" spans="1:17" s="2" customFormat="1" ht="12.5" x14ac:dyDescent="0.35">
      <c r="B12" s="2" t="s">
        <v>493</v>
      </c>
      <c r="H12" s="19"/>
    </row>
    <row r="13" spans="1:17" s="2" customFormat="1" ht="12.5" x14ac:dyDescent="0.35">
      <c r="B13" s="2" t="s">
        <v>625</v>
      </c>
      <c r="H13" s="19"/>
    </row>
    <row r="14" spans="1:17" s="2" customFormat="1" ht="12.5" x14ac:dyDescent="0.35">
      <c r="B14" s="2" t="s">
        <v>494</v>
      </c>
      <c r="H14" s="19"/>
    </row>
    <row r="15" spans="1:17" s="2" customFormat="1" ht="12.5" x14ac:dyDescent="0.35">
      <c r="B15" s="2" t="s">
        <v>312</v>
      </c>
      <c r="H15" s="19"/>
    </row>
    <row r="16" spans="1:17" s="2" customFormat="1" ht="12.5" x14ac:dyDescent="0.35">
      <c r="B16" s="2" t="s">
        <v>313</v>
      </c>
      <c r="H16" s="19"/>
    </row>
    <row r="17" spans="2:24" s="2" customFormat="1" ht="12.5" x14ac:dyDescent="0.35">
      <c r="B17" s="2" t="s">
        <v>314</v>
      </c>
      <c r="H17" s="19"/>
    </row>
    <row r="18" spans="2:24" s="2" customFormat="1" ht="12" customHeight="1" x14ac:dyDescent="0.35">
      <c r="L18" s="99"/>
      <c r="M18" s="99"/>
      <c r="N18" s="99"/>
      <c r="O18" s="99"/>
      <c r="P18" s="99"/>
      <c r="Q18" s="99"/>
    </row>
    <row r="19" spans="2:24" s="6" customFormat="1" ht="12" customHeight="1" x14ac:dyDescent="0.35">
      <c r="B19" s="6" t="s">
        <v>45</v>
      </c>
      <c r="F19" s="6" t="s">
        <v>27</v>
      </c>
      <c r="H19" s="6" t="s">
        <v>28</v>
      </c>
      <c r="J19" s="6" t="s">
        <v>49</v>
      </c>
      <c r="L19" s="100" t="s">
        <v>88</v>
      </c>
      <c r="M19" s="100" t="s">
        <v>65</v>
      </c>
      <c r="N19" s="100" t="s">
        <v>66</v>
      </c>
      <c r="O19" s="100" t="s">
        <v>67</v>
      </c>
      <c r="P19" s="100" t="s">
        <v>68</v>
      </c>
      <c r="Q19" s="100" t="s">
        <v>69</v>
      </c>
      <c r="S19" s="6" t="s">
        <v>64</v>
      </c>
      <c r="U19" s="6" t="s">
        <v>239</v>
      </c>
    </row>
    <row r="20" spans="2:24" s="2" customFormat="1" ht="12" customHeight="1" x14ac:dyDescent="0.35">
      <c r="L20" s="99"/>
      <c r="M20" s="99"/>
      <c r="N20" s="99"/>
      <c r="O20" s="99"/>
      <c r="P20" s="99"/>
      <c r="Q20" s="99"/>
    </row>
    <row r="21" spans="2:24" s="2" customFormat="1" ht="12" customHeight="1" x14ac:dyDescent="0.35">
      <c r="L21" s="99"/>
      <c r="M21" s="99"/>
      <c r="N21" s="99"/>
      <c r="O21" s="99"/>
      <c r="P21" s="99"/>
      <c r="Q21" s="99"/>
    </row>
    <row r="22" spans="2:24" s="6" customFormat="1" ht="13" x14ac:dyDescent="0.35">
      <c r="B22" s="6" t="s">
        <v>249</v>
      </c>
    </row>
    <row r="23" spans="2:24" ht="12.5" x14ac:dyDescent="0.35">
      <c r="R23" s="2"/>
    </row>
    <row r="24" spans="2:24" ht="13" x14ac:dyDescent="0.35">
      <c r="B24" s="130" t="s">
        <v>240</v>
      </c>
      <c r="R24" s="2"/>
    </row>
    <row r="25" spans="2:24" ht="12.5" x14ac:dyDescent="0.25">
      <c r="B25" s="131" t="s">
        <v>229</v>
      </c>
      <c r="F25" s="131" t="s">
        <v>230</v>
      </c>
      <c r="K25" s="2"/>
      <c r="L25" s="101">
        <f>'Input rente'!L17</f>
        <v>30652480.316061754</v>
      </c>
      <c r="M25" s="101">
        <f>'Input rente'!M17</f>
        <v>394254915.4142642</v>
      </c>
      <c r="N25" s="101">
        <f>'Input rente'!N17</f>
        <v>474872325.14985597</v>
      </c>
      <c r="O25" s="101">
        <f>'Input rente'!O17</f>
        <v>13550831.825132813</v>
      </c>
      <c r="P25" s="101">
        <f>'Input rente'!P17</f>
        <v>523512609.75456166</v>
      </c>
      <c r="Q25" s="101">
        <f>'Input rente'!Q17</f>
        <v>4445816.9122776175</v>
      </c>
      <c r="R25" s="2"/>
      <c r="S25" s="101">
        <f>'Input rente'!S17</f>
        <v>23909206.87880842</v>
      </c>
      <c r="T25" s="2"/>
      <c r="W25" s="2"/>
    </row>
    <row r="26" spans="2:24" ht="12.5" x14ac:dyDescent="0.25">
      <c r="B26" s="131" t="s">
        <v>231</v>
      </c>
      <c r="F26" s="131" t="s">
        <v>232</v>
      </c>
      <c r="K26" s="2"/>
      <c r="L26" s="101">
        <f>'Input rente'!L18</f>
        <v>32381728.118142974</v>
      </c>
      <c r="M26" s="101">
        <f>'Input rente'!M18</f>
        <v>430824188.62226701</v>
      </c>
      <c r="N26" s="101">
        <f>'Input rente'!N18</f>
        <v>498196289.91242325</v>
      </c>
      <c r="O26" s="101">
        <f>'Input rente'!O18</f>
        <v>13877279.674869154</v>
      </c>
      <c r="P26" s="101">
        <f>'Input rente'!P18</f>
        <v>553547665.17372274</v>
      </c>
      <c r="Q26" s="101">
        <f>'Input rente'!Q18</f>
        <v>5306249.0338292299</v>
      </c>
      <c r="S26" s="101">
        <f>'Input rente'!S18</f>
        <v>26571132.509465653</v>
      </c>
      <c r="T26" s="2"/>
      <c r="W26" s="2"/>
    </row>
    <row r="27" spans="2:24" ht="12.5" x14ac:dyDescent="0.25">
      <c r="B27" s="129" t="s">
        <v>233</v>
      </c>
      <c r="F27" s="131" t="s">
        <v>96</v>
      </c>
      <c r="K27" s="2"/>
      <c r="L27" s="101">
        <f>'Input rente'!L19</f>
        <v>33655137.099942259</v>
      </c>
      <c r="M27" s="101">
        <f>'Input rente'!M19</f>
        <v>470682349.42935896</v>
      </c>
      <c r="N27" s="101">
        <f>'Input rente'!N19</f>
        <v>515359430.54450917</v>
      </c>
      <c r="O27" s="101">
        <f>'Input rente'!O19</f>
        <v>14509438.926430915</v>
      </c>
      <c r="P27" s="101">
        <f>'Input rente'!P19</f>
        <v>584621308.46684813</v>
      </c>
      <c r="Q27" s="101">
        <f>'Input rente'!Q19</f>
        <v>6144622.2314581117</v>
      </c>
      <c r="S27" s="101">
        <f>'Input rente'!S19</f>
        <v>27870432.564941615</v>
      </c>
      <c r="T27" s="2"/>
      <c r="W27" s="2"/>
    </row>
    <row r="28" spans="2:24" ht="12.5" x14ac:dyDescent="0.35">
      <c r="R28" s="2"/>
      <c r="W28" s="2"/>
    </row>
    <row r="29" spans="2:24" ht="13" x14ac:dyDescent="0.35">
      <c r="B29" s="130" t="s">
        <v>241</v>
      </c>
      <c r="R29" s="2"/>
      <c r="W29" s="2"/>
    </row>
    <row r="30" spans="2:24" ht="12.5" x14ac:dyDescent="0.25">
      <c r="B30" s="131" t="s">
        <v>229</v>
      </c>
      <c r="F30" s="131" t="s">
        <v>230</v>
      </c>
      <c r="K30" s="2"/>
      <c r="L30" s="101">
        <f>'Input rente'!L22</f>
        <v>88606458.440240785</v>
      </c>
      <c r="M30" s="101">
        <f>'Input rente'!M22</f>
        <v>2031930430.9568429</v>
      </c>
      <c r="N30" s="101">
        <f>'Input rente'!N22</f>
        <v>2192572173.8942842</v>
      </c>
      <c r="O30" s="101">
        <f>'Input rente'!O22</f>
        <v>134235076.96486095</v>
      </c>
      <c r="P30" s="101">
        <f>'Input rente'!P22</f>
        <v>1599840013.6930697</v>
      </c>
      <c r="Q30" s="101">
        <f>'Input rente'!Q22</f>
        <v>114950789.67042841</v>
      </c>
      <c r="R30" s="2"/>
      <c r="S30" s="101">
        <f>'Input rente'!S22</f>
        <v>133331815.58543745</v>
      </c>
      <c r="T30" s="2"/>
      <c r="U30" s="101">
        <f>'Input rente'!U22</f>
        <v>136082375.25258124</v>
      </c>
      <c r="V30" s="2"/>
      <c r="W30" s="2"/>
      <c r="X30" s="2"/>
    </row>
    <row r="31" spans="2:24" ht="12.5" x14ac:dyDescent="0.25">
      <c r="B31" s="131" t="s">
        <v>231</v>
      </c>
      <c r="F31" s="131" t="s">
        <v>232</v>
      </c>
      <c r="K31" s="2"/>
      <c r="L31" s="101">
        <f>'Input rente'!L23</f>
        <v>87159418.324196801</v>
      </c>
      <c r="M31" s="101">
        <f>'Input rente'!M23</f>
        <v>2125583728.4493718</v>
      </c>
      <c r="N31" s="101">
        <f>'Input rente'!N23</f>
        <v>2208864039.1738081</v>
      </c>
      <c r="O31" s="101">
        <f>'Input rente'!O23</f>
        <v>131656865.26070504</v>
      </c>
      <c r="P31" s="101">
        <f>'Input rente'!P23</f>
        <v>1642805785.3970008</v>
      </c>
      <c r="Q31" s="101">
        <f>'Input rente'!Q23</f>
        <v>114564740.14767645</v>
      </c>
      <c r="S31" s="101">
        <f>'Input rente'!S23</f>
        <v>137813406.4031584</v>
      </c>
      <c r="T31" s="2"/>
      <c r="U31" s="101">
        <f>'Input rente'!U23</f>
        <v>133674859.88588828</v>
      </c>
      <c r="V31" s="2"/>
      <c r="W31" s="2"/>
      <c r="X31" s="2"/>
    </row>
    <row r="32" spans="2:24" ht="12.5" x14ac:dyDescent="0.25">
      <c r="B32" s="129" t="s">
        <v>233</v>
      </c>
      <c r="F32" s="131" t="s">
        <v>96</v>
      </c>
      <c r="K32" s="2"/>
      <c r="L32" s="101">
        <f>'Input rente'!L24</f>
        <v>85929787.491672069</v>
      </c>
      <c r="M32" s="101">
        <f>'Input rente'!M24</f>
        <v>2227267699.5519772</v>
      </c>
      <c r="N32" s="101">
        <f>'Input rente'!N24</f>
        <v>2242584564.1130085</v>
      </c>
      <c r="O32" s="101">
        <f>'Input rente'!O24</f>
        <v>130593520.99825928</v>
      </c>
      <c r="P32" s="101">
        <f>'Input rente'!P24</f>
        <v>1670805630.1382911</v>
      </c>
      <c r="Q32" s="101">
        <f>'Input rente'!Q24</f>
        <v>112196988.28063172</v>
      </c>
      <c r="S32" s="101">
        <f>'Input rente'!S24</f>
        <v>139065836.12812001</v>
      </c>
      <c r="T32" s="2"/>
      <c r="U32" s="178"/>
      <c r="V32" s="2"/>
      <c r="W32" s="2"/>
      <c r="X32" s="2"/>
    </row>
    <row r="33" spans="1:23" ht="12.5" x14ac:dyDescent="0.35"/>
    <row r="34" spans="1:23" s="6" customFormat="1" ht="13" x14ac:dyDescent="0.35">
      <c r="B34" s="6" t="s">
        <v>218</v>
      </c>
    </row>
    <row r="35" spans="1:23" ht="12.5" x14ac:dyDescent="0.35"/>
    <row r="36" spans="1:23" ht="13" x14ac:dyDescent="0.35">
      <c r="B36" s="1" t="s">
        <v>498</v>
      </c>
    </row>
    <row r="37" spans="1:23" ht="12.5" x14ac:dyDescent="0.35">
      <c r="B37" s="2" t="s">
        <v>242</v>
      </c>
      <c r="F37" s="129" t="s">
        <v>72</v>
      </c>
      <c r="H37" s="134">
        <f>'Input rente'!H29</f>
        <v>3.4000000000000002E-2</v>
      </c>
      <c r="W37" s="2"/>
    </row>
    <row r="38" spans="1:23" ht="12.5" x14ac:dyDescent="0.35">
      <c r="B38" s="2" t="s">
        <v>243</v>
      </c>
      <c r="F38" s="129" t="s">
        <v>72</v>
      </c>
      <c r="H38" s="134">
        <f>'Input rente'!H30</f>
        <v>3.6999999999999998E-2</v>
      </c>
      <c r="W38" s="2"/>
    </row>
    <row r="39" spans="1:23" ht="12.5" x14ac:dyDescent="0.35">
      <c r="B39" s="2"/>
    </row>
    <row r="40" spans="1:23" ht="13" x14ac:dyDescent="0.35">
      <c r="B40" s="1" t="s">
        <v>235</v>
      </c>
    </row>
    <row r="41" spans="1:23" ht="12.5" x14ac:dyDescent="0.35">
      <c r="A41" s="257"/>
      <c r="B41" s="2" t="s">
        <v>623</v>
      </c>
      <c r="F41" s="129" t="s">
        <v>72</v>
      </c>
      <c r="H41" s="134">
        <f>'Input rente'!H33</f>
        <v>0.05</v>
      </c>
    </row>
    <row r="42" spans="1:23" ht="12.5" x14ac:dyDescent="0.35">
      <c r="B42" s="2"/>
    </row>
    <row r="43" spans="1:23" ht="13" x14ac:dyDescent="0.35">
      <c r="B43" s="1" t="s">
        <v>244</v>
      </c>
    </row>
    <row r="44" spans="1:23" ht="12.5" x14ac:dyDescent="0.35">
      <c r="B44" s="2" t="s">
        <v>236</v>
      </c>
      <c r="F44" s="129" t="s">
        <v>72</v>
      </c>
      <c r="H44" s="134">
        <f>'Input rente'!H36</f>
        <v>-3.6868648042002516E-2</v>
      </c>
      <c r="W44" s="2"/>
    </row>
    <row r="45" spans="1:23" ht="12.5" x14ac:dyDescent="0.35">
      <c r="B45" s="2" t="s">
        <v>237</v>
      </c>
      <c r="F45" s="129" t="s">
        <v>72</v>
      </c>
      <c r="H45" s="134">
        <f>'Input rente'!H37</f>
        <v>-3.1175556579387642E-2</v>
      </c>
      <c r="R45" s="2"/>
      <c r="S45" s="2"/>
      <c r="T45" s="2"/>
      <c r="U45" s="2"/>
      <c r="W45" s="2"/>
    </row>
    <row r="46" spans="1:23" ht="12.5" x14ac:dyDescent="0.35">
      <c r="B46" s="2"/>
    </row>
    <row r="47" spans="1:23" ht="13" x14ac:dyDescent="0.35">
      <c r="B47" s="1" t="s">
        <v>245</v>
      </c>
    </row>
    <row r="48" spans="1:23" ht="12.5" x14ac:dyDescent="0.35">
      <c r="B48" s="2" t="s">
        <v>236</v>
      </c>
      <c r="F48" s="129" t="s">
        <v>72</v>
      </c>
      <c r="H48" s="134">
        <f>'Input rente'!H40</f>
        <v>-7.5913637800173461E-4</v>
      </c>
    </row>
    <row r="49" spans="1:23" ht="12.5" x14ac:dyDescent="0.35">
      <c r="B49" s="2" t="s">
        <v>237</v>
      </c>
      <c r="F49" s="129" t="s">
        <v>72</v>
      </c>
      <c r="H49" s="134">
        <f>'Input rente'!H41</f>
        <v>2.5444272186812E-3</v>
      </c>
    </row>
    <row r="50" spans="1:23" ht="12.5" x14ac:dyDescent="0.35">
      <c r="B50" s="2"/>
    </row>
    <row r="51" spans="1:23" ht="13" x14ac:dyDescent="0.35">
      <c r="B51" s="1" t="s">
        <v>250</v>
      </c>
    </row>
    <row r="52" spans="1:23" ht="12.5" x14ac:dyDescent="0.35">
      <c r="B52" s="2" t="s">
        <v>251</v>
      </c>
      <c r="F52" s="129" t="s">
        <v>72</v>
      </c>
      <c r="H52" s="134">
        <f>'Input parameters'!AA19</f>
        <v>2.1000000000000001E-2</v>
      </c>
    </row>
    <row r="53" spans="1:23" ht="12.5" x14ac:dyDescent="0.35">
      <c r="B53" s="2" t="s">
        <v>252</v>
      </c>
      <c r="F53" s="129" t="s">
        <v>72</v>
      </c>
      <c r="H53" s="134">
        <f>'Input parameters'!AB19</f>
        <v>2.8000000000000001E-2</v>
      </c>
    </row>
    <row r="54" spans="1:23" ht="12.5" x14ac:dyDescent="0.35">
      <c r="B54" s="2" t="s">
        <v>253</v>
      </c>
      <c r="F54" s="129" t="s">
        <v>72</v>
      </c>
      <c r="H54" s="134">
        <f>'Input parameters'!AC19</f>
        <v>7.0000000000000001E-3</v>
      </c>
    </row>
    <row r="55" spans="1:23" ht="12.5" x14ac:dyDescent="0.35">
      <c r="B55" s="2"/>
    </row>
    <row r="56" spans="1:23" ht="12.5" x14ac:dyDescent="0.35">
      <c r="B56" s="2" t="s">
        <v>238</v>
      </c>
      <c r="C56" s="2"/>
      <c r="D56" s="2"/>
      <c r="E56" s="2"/>
      <c r="F56" s="2" t="s">
        <v>72</v>
      </c>
      <c r="G56" s="2"/>
      <c r="H56" s="134">
        <f>'Input rente'!H43</f>
        <v>1.7999999999999999E-2</v>
      </c>
      <c r="I56" s="2"/>
      <c r="J56" s="2"/>
      <c r="K56" s="2"/>
      <c r="L56" s="2"/>
      <c r="M56" s="2"/>
      <c r="N56" s="2"/>
      <c r="O56" s="2"/>
      <c r="P56" s="2"/>
      <c r="Q56" s="2"/>
    </row>
    <row r="57" spans="1:23" ht="12.5" x14ac:dyDescent="0.35">
      <c r="B57" s="2"/>
    </row>
    <row r="58" spans="1:23" s="2" customFormat="1" ht="13" x14ac:dyDescent="0.35">
      <c r="B58" s="1" t="s">
        <v>199</v>
      </c>
      <c r="C58" s="129"/>
      <c r="D58" s="129"/>
      <c r="E58" s="129"/>
      <c r="F58" s="129"/>
      <c r="G58" s="129"/>
      <c r="H58" s="129"/>
      <c r="I58" s="129"/>
      <c r="J58" s="129"/>
      <c r="K58" s="129"/>
      <c r="L58" s="129"/>
      <c r="M58" s="129"/>
      <c r="N58" s="129"/>
      <c r="O58" s="129"/>
      <c r="P58" s="129"/>
      <c r="Q58" s="129"/>
      <c r="R58" s="129"/>
      <c r="S58" s="129"/>
      <c r="T58" s="129"/>
      <c r="U58" s="129"/>
    </row>
    <row r="59" spans="1:23" ht="12.5" x14ac:dyDescent="0.35">
      <c r="B59" s="87" t="s">
        <v>248</v>
      </c>
      <c r="F59" s="129" t="s">
        <v>70</v>
      </c>
      <c r="J59" s="105">
        <f>SUM(L59:Q59)</f>
        <v>264524640.82615989</v>
      </c>
      <c r="K59" s="2"/>
      <c r="L59" s="107">
        <f>'Input rente'!L46</f>
        <v>5120838.4661773751</v>
      </c>
      <c r="M59" s="107">
        <f>'Input rente'!M46</f>
        <v>83821433.468037471</v>
      </c>
      <c r="N59" s="107">
        <f>'Input rente'!N46</f>
        <v>94615610.206328645</v>
      </c>
      <c r="O59" s="107">
        <f>'Input rente'!O46</f>
        <v>3719013.8211027142</v>
      </c>
      <c r="P59" s="107">
        <f>'Input rente'!P46</f>
        <v>73837318.031333953</v>
      </c>
      <c r="Q59" s="107">
        <f>'Input rente'!Q46</f>
        <v>3410426.8331797407</v>
      </c>
    </row>
    <row r="60" spans="1:23" ht="12.5" x14ac:dyDescent="0.35">
      <c r="B60" s="87" t="s">
        <v>247</v>
      </c>
      <c r="F60" s="129" t="s">
        <v>70</v>
      </c>
      <c r="J60" s="105">
        <f>SUM(L60:Q60)</f>
        <v>280366757.95199353</v>
      </c>
      <c r="K60" s="2"/>
      <c r="L60" s="107">
        <f>'Input rente'!L47</f>
        <v>5505982.2846343154</v>
      </c>
      <c r="M60" s="107">
        <f>'Input rente'!M47</f>
        <v>89278102.858918875</v>
      </c>
      <c r="N60" s="107">
        <f>'Input rente'!N47</f>
        <v>99477334.853988722</v>
      </c>
      <c r="O60" s="107">
        <f>'Input rente'!O47</f>
        <v>3971361.9924819255</v>
      </c>
      <c r="P60" s="107">
        <f>'Input rente'!P47</f>
        <v>78559150.739823759</v>
      </c>
      <c r="Q60" s="107">
        <f>'Input rente'!Q47</f>
        <v>3574825.2221459462</v>
      </c>
    </row>
    <row r="61" spans="1:23" ht="12.5" x14ac:dyDescent="0.35">
      <c r="B61" s="87" t="s">
        <v>246</v>
      </c>
      <c r="F61" s="129" t="s">
        <v>70</v>
      </c>
      <c r="J61" s="105">
        <f>SUM(L61:Q61)</f>
        <v>829798182.34168494</v>
      </c>
      <c r="K61" s="2"/>
      <c r="L61" s="107">
        <f>'Input rente'!L48</f>
        <v>16401680.494385676</v>
      </c>
      <c r="M61" s="107">
        <f>'Input rente'!M48</f>
        <v>266533758.56356135</v>
      </c>
      <c r="N61" s="107">
        <f>'Input rente'!N48</f>
        <v>285455588.10709691</v>
      </c>
      <c r="O61" s="107">
        <f>'Input rente'!O48</f>
        <v>12040239.024494292</v>
      </c>
      <c r="P61" s="107">
        <f>'Input rente'!P48</f>
        <v>235138144.63941851</v>
      </c>
      <c r="Q61" s="107">
        <f>'Input rente'!Q48</f>
        <v>14228771.512728186</v>
      </c>
      <c r="W61" s="2"/>
    </row>
    <row r="63" spans="1:23" ht="12" customHeight="1" x14ac:dyDescent="0.25">
      <c r="A63" s="257"/>
      <c r="B63" s="39" t="s">
        <v>583</v>
      </c>
      <c r="C63" s="135"/>
      <c r="D63" s="135"/>
      <c r="E63" s="135"/>
      <c r="F63" s="142" t="s">
        <v>72</v>
      </c>
      <c r="G63" s="2"/>
      <c r="H63" s="143">
        <f>Parameters!P74</f>
        <v>0.11818696111160243</v>
      </c>
    </row>
    <row r="65" spans="1:17" s="6" customFormat="1" ht="13" x14ac:dyDescent="0.35">
      <c r="B65" s="6" t="s">
        <v>626</v>
      </c>
    </row>
    <row r="67" spans="1:17" ht="12" customHeight="1" x14ac:dyDescent="0.35">
      <c r="B67" s="130" t="s">
        <v>262</v>
      </c>
    </row>
    <row r="68" spans="1:17" ht="12" customHeight="1" x14ac:dyDescent="0.25">
      <c r="B68" s="132" t="s">
        <v>229</v>
      </c>
      <c r="C68" s="135"/>
      <c r="D68" s="135"/>
      <c r="E68" s="135"/>
      <c r="F68" s="135" t="s">
        <v>230</v>
      </c>
      <c r="J68" s="105">
        <f>SUM(L68:Q68)</f>
        <v>1465198186.2509625</v>
      </c>
      <c r="L68" s="119">
        <f t="shared" ref="L68:O70" si="0">L25</f>
        <v>30652480.316061754</v>
      </c>
      <c r="M68" s="119">
        <f t="shared" si="0"/>
        <v>394254915.4142642</v>
      </c>
      <c r="N68" s="119">
        <f t="shared" si="0"/>
        <v>474872325.14985597</v>
      </c>
      <c r="O68" s="119">
        <f t="shared" si="0"/>
        <v>13550831.825132813</v>
      </c>
      <c r="P68" s="105">
        <f>P25+S25</f>
        <v>547421816.63337004</v>
      </c>
      <c r="Q68" s="119">
        <f>Q25</f>
        <v>4445816.9122776175</v>
      </c>
    </row>
    <row r="69" spans="1:17" ht="12" customHeight="1" x14ac:dyDescent="0.25">
      <c r="B69" s="132" t="s">
        <v>231</v>
      </c>
      <c r="C69" s="135"/>
      <c r="D69" s="135"/>
      <c r="E69" s="135"/>
      <c r="F69" s="135" t="s">
        <v>232</v>
      </c>
      <c r="J69" s="105">
        <f>SUM(L69:Q69)</f>
        <v>1560704533.0447202</v>
      </c>
      <c r="L69" s="119">
        <f t="shared" si="0"/>
        <v>32381728.118142974</v>
      </c>
      <c r="M69" s="119">
        <f t="shared" si="0"/>
        <v>430824188.62226701</v>
      </c>
      <c r="N69" s="119">
        <f t="shared" si="0"/>
        <v>498196289.91242325</v>
      </c>
      <c r="O69" s="119">
        <f t="shared" si="0"/>
        <v>13877279.674869154</v>
      </c>
      <c r="P69" s="105">
        <f>P26+S26</f>
        <v>580118797.68318844</v>
      </c>
      <c r="Q69" s="119">
        <f>Q26</f>
        <v>5306249.0338292299</v>
      </c>
    </row>
    <row r="70" spans="1:17" ht="12" customHeight="1" x14ac:dyDescent="0.25">
      <c r="B70" s="132" t="s">
        <v>233</v>
      </c>
      <c r="C70" s="135"/>
      <c r="D70" s="135"/>
      <c r="E70" s="135"/>
      <c r="F70" s="135" t="s">
        <v>96</v>
      </c>
      <c r="J70" s="105">
        <f>SUM(L70:Q70)</f>
        <v>1652842719.2634892</v>
      </c>
      <c r="L70" s="119">
        <f t="shared" si="0"/>
        <v>33655137.099942259</v>
      </c>
      <c r="M70" s="119">
        <f t="shared" si="0"/>
        <v>470682349.42935896</v>
      </c>
      <c r="N70" s="119">
        <f t="shared" si="0"/>
        <v>515359430.54450917</v>
      </c>
      <c r="O70" s="119">
        <f t="shared" si="0"/>
        <v>14509438.926430915</v>
      </c>
      <c r="P70" s="105">
        <f>P27+S27</f>
        <v>612491741.03178978</v>
      </c>
      <c r="Q70" s="119">
        <f>Q27</f>
        <v>6144622.2314581117</v>
      </c>
    </row>
    <row r="72" spans="1:17" s="2" customFormat="1" ht="12" customHeight="1" x14ac:dyDescent="0.35">
      <c r="B72" s="1" t="s">
        <v>261</v>
      </c>
      <c r="K72" s="121"/>
    </row>
    <row r="73" spans="1:17" s="2" customFormat="1" ht="12" customHeight="1" x14ac:dyDescent="0.25">
      <c r="B73" s="132" t="s">
        <v>229</v>
      </c>
      <c r="C73" s="135"/>
      <c r="D73" s="135"/>
      <c r="E73" s="135"/>
      <c r="F73" s="135" t="s">
        <v>105</v>
      </c>
      <c r="J73" s="105">
        <f>J68*(1-H44)^3*(1+H52)*(1+H53)*(1+H54)</f>
        <v>1726298639.3328245</v>
      </c>
      <c r="K73" s="136"/>
      <c r="N73" s="137"/>
    </row>
    <row r="74" spans="1:17" s="2" customFormat="1" ht="12" customHeight="1" x14ac:dyDescent="0.25">
      <c r="B74" s="132" t="s">
        <v>231</v>
      </c>
      <c r="C74" s="135"/>
      <c r="D74" s="135"/>
      <c r="E74" s="135"/>
      <c r="F74" s="135" t="s">
        <v>105</v>
      </c>
      <c r="G74" s="129"/>
      <c r="H74" s="129"/>
      <c r="J74" s="105">
        <f>J69*(1-H44)^2*(1+H53)*(1+H54)</f>
        <v>1736963781.0367148</v>
      </c>
      <c r="K74" s="136"/>
      <c r="N74" s="137"/>
    </row>
    <row r="75" spans="1:17" s="2" customFormat="1" ht="12" customHeight="1" x14ac:dyDescent="0.25">
      <c r="B75" s="132" t="s">
        <v>233</v>
      </c>
      <c r="C75" s="135"/>
      <c r="D75" s="135"/>
      <c r="E75" s="135"/>
      <c r="F75" s="135" t="s">
        <v>105</v>
      </c>
      <c r="G75" s="129"/>
      <c r="H75" s="129"/>
      <c r="J75" s="105">
        <f>J70*(1-H44)*(1+H54)</f>
        <v>1725777261.3190424</v>
      </c>
      <c r="K75" s="136"/>
      <c r="N75" s="137"/>
    </row>
    <row r="77" spans="1:17" ht="12" customHeight="1" x14ac:dyDescent="0.25">
      <c r="B77" s="144" t="s">
        <v>260</v>
      </c>
      <c r="F77" s="135" t="s">
        <v>105</v>
      </c>
      <c r="J77" s="105">
        <f>(J73+J74+J75)/3</f>
        <v>1729679893.8961937</v>
      </c>
    </row>
    <row r="79" spans="1:17" ht="12" customHeight="1" x14ac:dyDescent="0.25">
      <c r="A79" s="257"/>
      <c r="B79" s="232" t="s">
        <v>627</v>
      </c>
      <c r="F79" s="233" t="s">
        <v>160</v>
      </c>
      <c r="J79" s="105">
        <f>J77*(1-H45)^3*(1+H56)^3</f>
        <v>2000814842.5257165</v>
      </c>
    </row>
    <row r="81" spans="1:17" s="6" customFormat="1" ht="13" x14ac:dyDescent="0.35">
      <c r="B81" s="6" t="s">
        <v>879</v>
      </c>
    </row>
    <row r="83" spans="1:17" ht="12" customHeight="1" x14ac:dyDescent="0.35">
      <c r="B83" s="130" t="s">
        <v>257</v>
      </c>
    </row>
    <row r="84" spans="1:17" ht="12" customHeight="1" x14ac:dyDescent="0.25">
      <c r="B84" s="132" t="s">
        <v>229</v>
      </c>
      <c r="C84" s="135"/>
      <c r="D84" s="135"/>
      <c r="E84" s="135"/>
      <c r="F84" s="135" t="s">
        <v>230</v>
      </c>
      <c r="J84" s="105">
        <f>SUM(L84:Q84)</f>
        <v>6297314057.4928856</v>
      </c>
      <c r="L84" s="119">
        <f t="shared" ref="L84:N86" si="1">L30</f>
        <v>88606458.440240785</v>
      </c>
      <c r="M84" s="119">
        <f t="shared" si="1"/>
        <v>2031930430.9568429</v>
      </c>
      <c r="N84" s="119">
        <f t="shared" si="1"/>
        <v>2192572173.8942842</v>
      </c>
      <c r="O84" s="119">
        <f>U30</f>
        <v>136082375.25258124</v>
      </c>
      <c r="P84" s="105">
        <f>P30+S30</f>
        <v>1733171829.2785072</v>
      </c>
      <c r="Q84" s="119">
        <f>Q30</f>
        <v>114950789.67042841</v>
      </c>
    </row>
    <row r="85" spans="1:17" ht="12" customHeight="1" x14ac:dyDescent="0.25">
      <c r="B85" s="132" t="s">
        <v>231</v>
      </c>
      <c r="C85" s="135"/>
      <c r="D85" s="135"/>
      <c r="E85" s="135"/>
      <c r="F85" s="135" t="s">
        <v>232</v>
      </c>
      <c r="J85" s="105">
        <f>SUM(L85:Q85)</f>
        <v>6450465977.7811003</v>
      </c>
      <c r="L85" s="119">
        <f t="shared" si="1"/>
        <v>87159418.324196801</v>
      </c>
      <c r="M85" s="119">
        <f t="shared" si="1"/>
        <v>2125583728.4493718</v>
      </c>
      <c r="N85" s="119">
        <f t="shared" si="1"/>
        <v>2208864039.1738081</v>
      </c>
      <c r="O85" s="119">
        <f>U31</f>
        <v>133674859.88588828</v>
      </c>
      <c r="P85" s="105">
        <f>P31+S31</f>
        <v>1780619191.8001592</v>
      </c>
      <c r="Q85" s="119">
        <f>Q31</f>
        <v>114564740.14767645</v>
      </c>
    </row>
    <row r="86" spans="1:17" ht="12" customHeight="1" x14ac:dyDescent="0.25">
      <c r="B86" s="132" t="s">
        <v>233</v>
      </c>
      <c r="C86" s="135"/>
      <c r="D86" s="135"/>
      <c r="E86" s="135"/>
      <c r="F86" s="135" t="s">
        <v>96</v>
      </c>
      <c r="J86" s="105">
        <f>SUM(L86:Q86)</f>
        <v>6608444026.7019606</v>
      </c>
      <c r="L86" s="119">
        <f t="shared" si="1"/>
        <v>85929787.491672069</v>
      </c>
      <c r="M86" s="119">
        <f t="shared" si="1"/>
        <v>2227267699.5519772</v>
      </c>
      <c r="N86" s="119">
        <f t="shared" si="1"/>
        <v>2242584564.1130085</v>
      </c>
      <c r="O86" s="119">
        <f>O32</f>
        <v>130593520.99825928</v>
      </c>
      <c r="P86" s="105">
        <f>P32+S32</f>
        <v>1809871466.2664111</v>
      </c>
      <c r="Q86" s="119">
        <f>Q32</f>
        <v>112196988.28063172</v>
      </c>
    </row>
    <row r="88" spans="1:17" ht="12" customHeight="1" x14ac:dyDescent="0.35">
      <c r="B88" s="1" t="s">
        <v>258</v>
      </c>
      <c r="C88" s="2"/>
      <c r="D88" s="2"/>
      <c r="E88" s="2"/>
      <c r="F88" s="2"/>
      <c r="G88" s="2"/>
      <c r="H88" s="2"/>
      <c r="I88" s="2"/>
      <c r="J88" s="2"/>
    </row>
    <row r="89" spans="1:17" ht="12" customHeight="1" x14ac:dyDescent="0.25">
      <c r="B89" s="132" t="s">
        <v>229</v>
      </c>
      <c r="C89" s="135"/>
      <c r="D89" s="135"/>
      <c r="E89" s="135"/>
      <c r="F89" s="135" t="s">
        <v>105</v>
      </c>
      <c r="G89" s="2"/>
      <c r="H89" s="2"/>
      <c r="I89" s="2"/>
      <c r="J89" s="105">
        <f>J84*(1-H48)^3*(1+H52)*(1+H53)*(1+H54)</f>
        <v>6671021972.7888393</v>
      </c>
    </row>
    <row r="90" spans="1:17" ht="12" customHeight="1" x14ac:dyDescent="0.25">
      <c r="B90" s="132" t="s">
        <v>231</v>
      </c>
      <c r="C90" s="135"/>
      <c r="D90" s="135"/>
      <c r="E90" s="135"/>
      <c r="F90" s="135" t="s">
        <v>105</v>
      </c>
      <c r="I90" s="2"/>
      <c r="J90" s="105">
        <f>J85*(1-H48)^2*(1+H53)*(1+H54)</f>
        <v>6687638687.629694</v>
      </c>
    </row>
    <row r="91" spans="1:17" ht="12" customHeight="1" x14ac:dyDescent="0.25">
      <c r="B91" s="132" t="s">
        <v>233</v>
      </c>
      <c r="C91" s="135"/>
      <c r="D91" s="135"/>
      <c r="E91" s="135"/>
      <c r="F91" s="135" t="s">
        <v>105</v>
      </c>
      <c r="I91" s="2"/>
      <c r="J91" s="105">
        <f>J86*(1-H48)*(1+H54)</f>
        <v>6659754962.1233702</v>
      </c>
    </row>
    <row r="93" spans="1:17" ht="12" customHeight="1" x14ac:dyDescent="0.25">
      <c r="B93" s="144" t="s">
        <v>259</v>
      </c>
      <c r="F93" s="135" t="s">
        <v>105</v>
      </c>
      <c r="J93" s="105">
        <f>(J89+J90+J91)/3</f>
        <v>6672805207.5139685</v>
      </c>
    </row>
    <row r="95" spans="1:17" ht="12" customHeight="1" x14ac:dyDescent="0.25">
      <c r="A95" s="257"/>
      <c r="B95" s="232" t="s">
        <v>628</v>
      </c>
      <c r="F95" s="233" t="s">
        <v>160</v>
      </c>
      <c r="J95" s="105">
        <f>J93*(1-H49)^3*(1+H56)^3</f>
        <v>6986062462.3090954</v>
      </c>
    </row>
    <row r="97" spans="1:17" s="6" customFormat="1" ht="13" x14ac:dyDescent="0.35">
      <c r="B97" s="6" t="s">
        <v>497</v>
      </c>
    </row>
    <row r="98" spans="1:17" ht="12" customHeight="1" x14ac:dyDescent="0.35">
      <c r="L98" s="2"/>
      <c r="M98" s="2"/>
    </row>
    <row r="99" spans="1:17" ht="12" customHeight="1" x14ac:dyDescent="0.35">
      <c r="A99" s="257"/>
      <c r="B99" s="2" t="s">
        <v>629</v>
      </c>
      <c r="F99" s="129" t="s">
        <v>72</v>
      </c>
      <c r="H99" s="138">
        <f>H37-3*(H37-H38)/5</f>
        <v>3.5799999999999998E-2</v>
      </c>
    </row>
    <row r="100" spans="1:17" ht="12" customHeight="1" x14ac:dyDescent="0.35">
      <c r="B100" s="2"/>
    </row>
    <row r="101" spans="1:17" ht="12" customHeight="1" x14ac:dyDescent="0.25">
      <c r="B101" s="232" t="s">
        <v>631</v>
      </c>
      <c r="F101" s="233" t="s">
        <v>160</v>
      </c>
      <c r="J101" s="105">
        <f>J79*H99</f>
        <v>71629171.362420648</v>
      </c>
    </row>
    <row r="102" spans="1:17" ht="12" customHeight="1" x14ac:dyDescent="0.25">
      <c r="B102" s="232" t="s">
        <v>632</v>
      </c>
      <c r="F102" s="233" t="s">
        <v>160</v>
      </c>
      <c r="J102" s="105">
        <f>J79*H41</f>
        <v>100040742.12628584</v>
      </c>
    </row>
    <row r="104" spans="1:17" ht="12" customHeight="1" x14ac:dyDescent="0.25">
      <c r="B104" s="232" t="s">
        <v>633</v>
      </c>
      <c r="F104" s="233" t="s">
        <v>160</v>
      </c>
      <c r="J104" s="105">
        <f>J102-J101</f>
        <v>28411570.763865188</v>
      </c>
    </row>
    <row r="106" spans="1:17" ht="12" customHeight="1" x14ac:dyDescent="0.35">
      <c r="B106" s="144" t="s">
        <v>282</v>
      </c>
      <c r="F106" s="2" t="s">
        <v>630</v>
      </c>
      <c r="H106" s="139">
        <f>J104/J60</f>
        <v>0.10133715912472771</v>
      </c>
    </row>
    <row r="108" spans="1:17" ht="12" customHeight="1" x14ac:dyDescent="0.25">
      <c r="B108" s="144" t="s">
        <v>283</v>
      </c>
      <c r="F108" s="233" t="s">
        <v>160</v>
      </c>
      <c r="L108" s="105">
        <f t="shared" ref="L108:Q108" si="2">$H$106*L59</f>
        <v>518931.22249904322</v>
      </c>
      <c r="M108" s="105">
        <f t="shared" si="2"/>
        <v>8494225.9414132908</v>
      </c>
      <c r="N108" s="105">
        <f t="shared" si="2"/>
        <v>9588077.1471619364</v>
      </c>
      <c r="O108" s="105">
        <f t="shared" si="2"/>
        <v>376874.29537614738</v>
      </c>
      <c r="P108" s="105">
        <f t="shared" si="2"/>
        <v>7482464.0466844151</v>
      </c>
      <c r="Q108" s="105">
        <f t="shared" si="2"/>
        <v>345602.96667717659</v>
      </c>
    </row>
    <row r="110" spans="1:17" s="6" customFormat="1" ht="13" x14ac:dyDescent="0.35">
      <c r="B110" s="6" t="s">
        <v>496</v>
      </c>
    </row>
    <row r="111" spans="1:17" ht="12" customHeight="1" x14ac:dyDescent="0.35">
      <c r="L111" s="2"/>
      <c r="M111" s="2"/>
    </row>
    <row r="112" spans="1:17" ht="12" customHeight="1" x14ac:dyDescent="0.35">
      <c r="A112" s="257"/>
      <c r="B112" s="2" t="s">
        <v>629</v>
      </c>
      <c r="F112" s="129" t="s">
        <v>72</v>
      </c>
      <c r="H112" s="138">
        <f>H37-3*(H37-H38)/5</f>
        <v>3.5799999999999998E-2</v>
      </c>
    </row>
    <row r="113" spans="2:17" ht="12" customHeight="1" x14ac:dyDescent="0.35">
      <c r="B113" s="2"/>
    </row>
    <row r="114" spans="2:17" ht="12" customHeight="1" x14ac:dyDescent="0.25">
      <c r="B114" s="232" t="s">
        <v>634</v>
      </c>
      <c r="F114" s="233" t="s">
        <v>160</v>
      </c>
      <c r="J114" s="105">
        <f>J95*H112</f>
        <v>250101036.15066561</v>
      </c>
    </row>
    <row r="115" spans="2:17" ht="12" customHeight="1" x14ac:dyDescent="0.25">
      <c r="B115" s="232" t="s">
        <v>635</v>
      </c>
      <c r="F115" s="233" t="s">
        <v>160</v>
      </c>
      <c r="J115" s="105">
        <f>J95*H41</f>
        <v>349303123.11545479</v>
      </c>
    </row>
    <row r="117" spans="2:17" ht="12" customHeight="1" x14ac:dyDescent="0.25">
      <c r="B117" s="232" t="s">
        <v>636</v>
      </c>
      <c r="F117" s="233" t="s">
        <v>160</v>
      </c>
      <c r="J117" s="105">
        <f>J115-J114</f>
        <v>99202086.964789182</v>
      </c>
    </row>
    <row r="119" spans="2:17" ht="12" customHeight="1" x14ac:dyDescent="0.35">
      <c r="B119" s="144" t="s">
        <v>280</v>
      </c>
      <c r="F119" s="2" t="s">
        <v>630</v>
      </c>
      <c r="H119" s="139">
        <f>J117/J61</f>
        <v>0.11954965565824879</v>
      </c>
    </row>
    <row r="121" spans="2:17" ht="12" customHeight="1" x14ac:dyDescent="0.25">
      <c r="B121" s="144" t="s">
        <v>281</v>
      </c>
      <c r="F121" s="233" t="s">
        <v>160</v>
      </c>
      <c r="L121" s="105">
        <f t="shared" ref="L121:Q121" si="3">$H$119*L61</f>
        <v>1960815.2553204235</v>
      </c>
      <c r="M121" s="105">
        <f t="shared" si="3"/>
        <v>31864019.057572581</v>
      </c>
      <c r="N121" s="105">
        <f t="shared" si="3"/>
        <v>34126117.263926335</v>
      </c>
      <c r="O121" s="105">
        <f t="shared" si="3"/>
        <v>1439406.4294213019</v>
      </c>
      <c r="P121" s="105">
        <f t="shared" si="3"/>
        <v>28110684.223761983</v>
      </c>
      <c r="Q121" s="105">
        <f t="shared" si="3"/>
        <v>1701044.7347865545</v>
      </c>
    </row>
    <row r="123" spans="2:17" s="140" customFormat="1" ht="13" x14ac:dyDescent="0.35">
      <c r="B123" s="140" t="s">
        <v>200</v>
      </c>
    </row>
    <row r="124" spans="2:17" s="141" customFormat="1" ht="12" customHeight="1" x14ac:dyDescent="0.35"/>
    <row r="125" spans="2:17" ht="12" customHeight="1" x14ac:dyDescent="0.25">
      <c r="B125" s="234" t="s">
        <v>637</v>
      </c>
      <c r="F125" s="233" t="s">
        <v>117</v>
      </c>
      <c r="J125" s="105">
        <f>SUM(L125:Q125)</f>
        <v>29974316.055341516</v>
      </c>
      <c r="L125" s="127">
        <f t="shared" ref="L125:Q125" si="4">L108*(1+$H$63)</f>
        <v>580262.12671213399</v>
      </c>
      <c r="M125" s="127">
        <f t="shared" si="4"/>
        <v>9498132.6924242675</v>
      </c>
      <c r="N125" s="127">
        <f t="shared" si="4"/>
        <v>10721262.848088607</v>
      </c>
      <c r="O125" s="127">
        <f t="shared" si="4"/>
        <v>421415.92306773068</v>
      </c>
      <c r="P125" s="127">
        <f t="shared" si="4"/>
        <v>8366793.733988869</v>
      </c>
      <c r="Q125" s="127">
        <f t="shared" si="4"/>
        <v>386448.73105990648</v>
      </c>
    </row>
    <row r="126" spans="2:17" ht="12" customHeight="1" x14ac:dyDescent="0.25">
      <c r="B126" s="234" t="s">
        <v>638</v>
      </c>
      <c r="F126" s="233" t="s">
        <v>117</v>
      </c>
      <c r="J126" s="105">
        <f>SUM(L126:Q126)</f>
        <v>110926480.15908653</v>
      </c>
      <c r="L126" s="127">
        <f t="shared" ref="L126:Q126" si="5">L121*(1+$H$63)</f>
        <v>2192558.0516480152</v>
      </c>
      <c r="M126" s="127">
        <f t="shared" si="5"/>
        <v>35629930.638789274</v>
      </c>
      <c r="N126" s="127">
        <f t="shared" si="5"/>
        <v>38159379.357887983</v>
      </c>
      <c r="O126" s="127">
        <f t="shared" si="5"/>
        <v>1609525.5011191079</v>
      </c>
      <c r="P126" s="127">
        <f t="shared" si="5"/>
        <v>31433000.566936277</v>
      </c>
      <c r="Q126" s="127">
        <f t="shared" si="5"/>
        <v>1902086.0427058691</v>
      </c>
    </row>
  </sheetData>
  <phoneticPr fontId="66" type="noConversion"/>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FF1E0-EB15-43F5-9F8A-B322AD85D02B}">
  <sheetPr>
    <tabColor rgb="FFFFFFCC"/>
  </sheetPr>
  <dimension ref="A1:T49"/>
  <sheetViews>
    <sheetView showGridLines="0" zoomScale="85" zoomScaleNormal="85" workbookViewId="0">
      <pane xSplit="6" ySplit="13" topLeftCell="G14" activePane="bottomRight" state="frozen"/>
      <selection activeCell="Q27" sqref="Q27"/>
      <selection pane="topRight" activeCell="Q27" sqref="Q27"/>
      <selection pane="bottomLeft" activeCell="Q27" sqref="Q27"/>
      <selection pane="bottomRight" activeCell="G14" sqref="G14"/>
    </sheetView>
  </sheetViews>
  <sheetFormatPr defaultColWidth="9.26953125" defaultRowHeight="12" customHeight="1" x14ac:dyDescent="0.35"/>
  <cols>
    <col min="1" max="1" width="3" style="98" customWidth="1"/>
    <col min="2" max="2" width="65.7265625" style="98" customWidth="1"/>
    <col min="3" max="3" width="3.7265625" style="98" customWidth="1"/>
    <col min="4" max="4" width="3.453125" style="98" customWidth="1"/>
    <col min="5" max="5" width="3.26953125" style="98" customWidth="1"/>
    <col min="6" max="6" width="13.54296875" style="98" customWidth="1"/>
    <col min="7" max="7" width="2.54296875" style="98" customWidth="1"/>
    <col min="8" max="8" width="13.7265625" style="98" customWidth="1"/>
    <col min="9" max="9" width="2.7265625" style="98" customWidth="1"/>
    <col min="10" max="10" width="14" style="98" customWidth="1"/>
    <col min="11" max="11" width="2.26953125" style="98" customWidth="1"/>
    <col min="12" max="17" width="14" style="98" customWidth="1"/>
    <col min="18" max="18" width="2.26953125" style="98" customWidth="1"/>
    <col min="19" max="19" width="2.54296875" style="98" customWidth="1"/>
    <col min="20" max="16384" width="9.26953125" style="98"/>
  </cols>
  <sheetData>
    <row r="1" spans="1:20" s="2" customFormat="1" ht="12.5" x14ac:dyDescent="0.35">
      <c r="L1" s="99"/>
      <c r="M1" s="99"/>
      <c r="N1" s="99"/>
      <c r="O1" s="99"/>
      <c r="P1" s="99"/>
      <c r="Q1" s="99"/>
    </row>
    <row r="2" spans="1:20" s="95" customFormat="1" ht="18" x14ac:dyDescent="0.35">
      <c r="B2" s="18" t="s">
        <v>649</v>
      </c>
      <c r="L2" s="104"/>
      <c r="M2" s="104"/>
      <c r="N2" s="104"/>
      <c r="O2" s="104"/>
      <c r="P2" s="104"/>
      <c r="Q2" s="104"/>
    </row>
    <row r="3" spans="1:20" s="2" customFormat="1" ht="12" customHeight="1" x14ac:dyDescent="0.35">
      <c r="L3" s="99"/>
      <c r="M3" s="99"/>
      <c r="N3" s="99"/>
      <c r="O3" s="99"/>
      <c r="P3" s="99"/>
      <c r="Q3" s="99"/>
    </row>
    <row r="4" spans="1:20" s="2" customFormat="1" ht="12" customHeight="1" x14ac:dyDescent="0.35">
      <c r="B4" s="1" t="s">
        <v>58</v>
      </c>
      <c r="L4" s="99"/>
      <c r="M4" s="99"/>
      <c r="N4" s="99"/>
      <c r="O4" s="99"/>
      <c r="P4" s="99"/>
      <c r="Q4" s="99"/>
    </row>
    <row r="5" spans="1:20" s="2" customFormat="1" ht="13" x14ac:dyDescent="0.35">
      <c r="B5" s="2" t="s">
        <v>488</v>
      </c>
      <c r="C5" s="1"/>
      <c r="D5" s="1"/>
    </row>
    <row r="6" spans="1:20" s="2" customFormat="1" ht="12.5" x14ac:dyDescent="0.35">
      <c r="H6" s="19"/>
    </row>
    <row r="7" spans="1:20" s="2" customFormat="1" ht="12.5" x14ac:dyDescent="0.35">
      <c r="B7" s="62" t="s">
        <v>293</v>
      </c>
      <c r="H7" s="19"/>
    </row>
    <row r="8" spans="1:20" s="2" customFormat="1" ht="12.5" x14ac:dyDescent="0.35">
      <c r="B8" s="62" t="s">
        <v>502</v>
      </c>
      <c r="H8" s="19"/>
    </row>
    <row r="9" spans="1:20" s="2" customFormat="1" ht="12.5" x14ac:dyDescent="0.35">
      <c r="B9" s="62" t="s">
        <v>503</v>
      </c>
      <c r="H9" s="19"/>
    </row>
    <row r="10" spans="1:20" s="2" customFormat="1" ht="12.5" x14ac:dyDescent="0.35">
      <c r="B10" s="62" t="s">
        <v>504</v>
      </c>
      <c r="H10" s="19"/>
    </row>
    <row r="11" spans="1:20" s="2" customFormat="1" ht="12" customHeight="1" x14ac:dyDescent="0.35">
      <c r="L11" s="99"/>
      <c r="M11" s="99"/>
      <c r="N11" s="99"/>
      <c r="O11" s="99"/>
      <c r="P11" s="99"/>
      <c r="Q11" s="99"/>
    </row>
    <row r="12" spans="1:20" s="6" customFormat="1" ht="12" customHeight="1" x14ac:dyDescent="0.35">
      <c r="B12" s="6" t="s">
        <v>45</v>
      </c>
      <c r="F12" s="6" t="s">
        <v>27</v>
      </c>
      <c r="H12" s="6" t="s">
        <v>28</v>
      </c>
      <c r="J12" s="6" t="s">
        <v>49</v>
      </c>
      <c r="L12" s="100" t="s">
        <v>88</v>
      </c>
      <c r="M12" s="100" t="s">
        <v>65</v>
      </c>
      <c r="N12" s="100" t="s">
        <v>66</v>
      </c>
      <c r="O12" s="100" t="s">
        <v>67</v>
      </c>
      <c r="P12" s="100" t="s">
        <v>68</v>
      </c>
      <c r="Q12" s="100" t="s">
        <v>69</v>
      </c>
      <c r="T12" s="6" t="s">
        <v>47</v>
      </c>
    </row>
    <row r="13" spans="1:20" s="2" customFormat="1" ht="12" customHeight="1" x14ac:dyDescent="0.35">
      <c r="L13" s="99"/>
      <c r="M13" s="99"/>
      <c r="N13" s="99"/>
      <c r="O13" s="99"/>
      <c r="P13" s="99"/>
      <c r="Q13" s="99"/>
    </row>
    <row r="14" spans="1:20" s="2" customFormat="1" ht="12" customHeight="1" x14ac:dyDescent="0.35">
      <c r="L14" s="99"/>
      <c r="M14" s="99"/>
      <c r="N14" s="99"/>
      <c r="O14" s="99"/>
      <c r="P14" s="99"/>
      <c r="Q14" s="99"/>
    </row>
    <row r="15" spans="1:20" s="6" customFormat="1" ht="12" customHeight="1" x14ac:dyDescent="0.35">
      <c r="B15" s="6" t="s">
        <v>144</v>
      </c>
    </row>
    <row r="16" spans="1:20" s="78" customFormat="1" ht="12" customHeight="1" x14ac:dyDescent="0.25">
      <c r="A16" s="2"/>
      <c r="B16" s="87"/>
      <c r="F16" s="94"/>
      <c r="J16" s="89"/>
      <c r="K16" s="2"/>
      <c r="L16" s="97"/>
      <c r="M16" s="97"/>
      <c r="N16" s="97"/>
      <c r="O16" s="97"/>
      <c r="P16" s="97"/>
      <c r="Q16" s="97"/>
      <c r="S16" s="2"/>
    </row>
    <row r="17" spans="2:17" ht="12" customHeight="1" x14ac:dyDescent="0.35">
      <c r="B17" s="1" t="s">
        <v>189</v>
      </c>
      <c r="C17" s="2"/>
      <c r="D17" s="2"/>
      <c r="E17" s="2"/>
      <c r="F17" s="2"/>
    </row>
    <row r="18" spans="2:17" ht="12" customHeight="1" x14ac:dyDescent="0.35">
      <c r="B18" s="2" t="s">
        <v>190</v>
      </c>
      <c r="C18" s="2"/>
      <c r="D18" s="2"/>
      <c r="E18" s="2"/>
      <c r="F18" s="2" t="s">
        <v>70</v>
      </c>
      <c r="J18" s="118">
        <f>SUM(L18:Q18)</f>
        <v>25</v>
      </c>
      <c r="L18" s="46">
        <f>'Input invoeding'!L20</f>
        <v>0</v>
      </c>
      <c r="M18" s="46">
        <f>'Input invoeding'!M20</f>
        <v>0</v>
      </c>
      <c r="N18" s="46">
        <f>'Input invoeding'!N20</f>
        <v>0</v>
      </c>
      <c r="O18" s="46">
        <f>'Input invoeding'!O20</f>
        <v>0</v>
      </c>
      <c r="P18" s="46">
        <f>'Input invoeding'!P20</f>
        <v>25</v>
      </c>
      <c r="Q18" s="46">
        <f>'Input invoeding'!Q20</f>
        <v>0</v>
      </c>
    </row>
    <row r="19" spans="2:17" ht="12" customHeight="1" x14ac:dyDescent="0.35">
      <c r="B19" s="2" t="s">
        <v>219</v>
      </c>
      <c r="C19" s="2"/>
      <c r="D19" s="2"/>
      <c r="E19" s="2"/>
      <c r="F19" s="2" t="s">
        <v>70</v>
      </c>
      <c r="J19" s="118">
        <f>SUM(L19:Q19)</f>
        <v>23.333333333333332</v>
      </c>
      <c r="L19" s="46">
        <f>'Input invoeding'!L21</f>
        <v>0</v>
      </c>
      <c r="M19" s="46">
        <f>'Input invoeding'!M21</f>
        <v>0</v>
      </c>
      <c r="N19" s="46">
        <f>'Input invoeding'!N21</f>
        <v>23.333333333333332</v>
      </c>
      <c r="O19" s="46">
        <f>'Input invoeding'!O21</f>
        <v>0</v>
      </c>
      <c r="P19" s="46">
        <f>'Input invoeding'!P21</f>
        <v>0</v>
      </c>
      <c r="Q19" s="46">
        <f>'Input invoeding'!Q21</f>
        <v>0</v>
      </c>
    </row>
    <row r="20" spans="2:17" ht="12" customHeight="1" x14ac:dyDescent="0.35">
      <c r="B20" s="2" t="s">
        <v>220</v>
      </c>
      <c r="C20" s="2"/>
      <c r="D20" s="2"/>
      <c r="E20" s="2"/>
      <c r="F20" s="2" t="s">
        <v>70</v>
      </c>
      <c r="J20" s="118">
        <f>SUM(L20:Q20)</f>
        <v>28435.309574131996</v>
      </c>
      <c r="L20" s="46">
        <f>'Input invoeding'!L22</f>
        <v>1069.3333333333333</v>
      </c>
      <c r="M20" s="46">
        <f>'Input invoeding'!M22</f>
        <v>10226.555555555555</v>
      </c>
      <c r="N20" s="46">
        <f>'Input invoeding'!N22</f>
        <v>9187.3333333333339</v>
      </c>
      <c r="O20" s="46">
        <f>'Input invoeding'!O22</f>
        <v>3620.6666666666665</v>
      </c>
      <c r="P20" s="46">
        <f>'Input invoeding'!P22</f>
        <v>3766.0606245853473</v>
      </c>
      <c r="Q20" s="46">
        <f>'Input invoeding'!Q22</f>
        <v>565.36006065775757</v>
      </c>
    </row>
    <row r="21" spans="2:17" ht="12" customHeight="1" x14ac:dyDescent="0.35">
      <c r="B21" s="2"/>
      <c r="C21" s="2"/>
      <c r="D21" s="2"/>
      <c r="E21" s="2"/>
      <c r="F21" s="2"/>
      <c r="J21" s="116"/>
      <c r="L21" s="116"/>
      <c r="M21" s="116"/>
      <c r="N21" s="116"/>
      <c r="O21" s="116"/>
      <c r="P21" s="116"/>
      <c r="Q21" s="116"/>
    </row>
    <row r="22" spans="2:17" ht="12" customHeight="1" x14ac:dyDescent="0.35">
      <c r="B22" s="1" t="s">
        <v>648</v>
      </c>
      <c r="C22" s="2"/>
      <c r="D22" s="2"/>
      <c r="E22" s="2"/>
      <c r="F22" s="2"/>
      <c r="J22" s="116"/>
      <c r="L22" s="116"/>
      <c r="M22" s="116"/>
      <c r="N22" s="116"/>
      <c r="O22" s="116"/>
      <c r="P22" s="116"/>
      <c r="Q22" s="116"/>
    </row>
    <row r="23" spans="2:17" ht="12" customHeight="1" x14ac:dyDescent="0.35">
      <c r="B23" s="2" t="s">
        <v>190</v>
      </c>
      <c r="C23" s="112"/>
      <c r="D23" s="112"/>
      <c r="E23" s="112"/>
      <c r="F23" s="2" t="s">
        <v>70</v>
      </c>
      <c r="J23" s="118">
        <f>SUM(L23:Q23)</f>
        <v>25</v>
      </c>
      <c r="L23" s="46">
        <f>'Input invoeding'!L26</f>
        <v>0</v>
      </c>
      <c r="M23" s="46">
        <f>'Input invoeding'!M26</f>
        <v>0</v>
      </c>
      <c r="N23" s="46">
        <f>'Input invoeding'!N26</f>
        <v>0</v>
      </c>
      <c r="O23" s="46">
        <f>'Input invoeding'!O26</f>
        <v>0</v>
      </c>
      <c r="P23" s="46">
        <f>'Input invoeding'!P26</f>
        <v>25</v>
      </c>
      <c r="Q23" s="46">
        <f>'Input invoeding'!Q26</f>
        <v>0</v>
      </c>
    </row>
    <row r="24" spans="2:17" ht="12" customHeight="1" x14ac:dyDescent="0.35">
      <c r="B24" s="2" t="s">
        <v>219</v>
      </c>
      <c r="C24" s="112"/>
      <c r="D24" s="112"/>
      <c r="E24" s="112"/>
      <c r="F24" s="2" t="s">
        <v>70</v>
      </c>
      <c r="J24" s="118">
        <f>SUM(L24:Q24)</f>
        <v>0</v>
      </c>
      <c r="L24" s="46">
        <f>'Input invoeding'!L27</f>
        <v>0</v>
      </c>
      <c r="M24" s="46">
        <f>'Input invoeding'!M27</f>
        <v>0</v>
      </c>
      <c r="N24" s="46">
        <f>'Input invoeding'!N27</f>
        <v>0</v>
      </c>
      <c r="O24" s="46">
        <f>'Input invoeding'!O27</f>
        <v>0</v>
      </c>
      <c r="P24" s="46">
        <f>'Input invoeding'!P27</f>
        <v>0</v>
      </c>
      <c r="Q24" s="46">
        <f>'Input invoeding'!Q27</f>
        <v>0</v>
      </c>
    </row>
    <row r="25" spans="2:17" ht="12" customHeight="1" x14ac:dyDescent="0.35">
      <c r="B25" s="2" t="s">
        <v>220</v>
      </c>
      <c r="C25" s="112"/>
      <c r="D25" s="112"/>
      <c r="E25" s="112"/>
      <c r="F25" s="2" t="s">
        <v>70</v>
      </c>
      <c r="J25" s="118">
        <f>SUM(L25:Q25)</f>
        <v>53840.837289138472</v>
      </c>
      <c r="L25" s="46">
        <f>'Input invoeding'!L28</f>
        <v>4460</v>
      </c>
      <c r="M25" s="46">
        <f>'Input invoeding'!M28</f>
        <v>21609.252700000001</v>
      </c>
      <c r="N25" s="46">
        <f>'Input invoeding'!N28</f>
        <v>17674</v>
      </c>
      <c r="O25" s="46">
        <f>'Input invoeding'!O28</f>
        <v>4565</v>
      </c>
      <c r="P25" s="46">
        <f>'Input invoeding'!P28</f>
        <v>4785.9539380153547</v>
      </c>
      <c r="Q25" s="46">
        <f>'Input invoeding'!Q28</f>
        <v>746.63065112311631</v>
      </c>
    </row>
    <row r="26" spans="2:17" ht="12" customHeight="1" x14ac:dyDescent="0.35">
      <c r="J26" s="116"/>
    </row>
    <row r="27" spans="2:17" ht="12" customHeight="1" x14ac:dyDescent="0.35">
      <c r="B27" s="1" t="s">
        <v>197</v>
      </c>
      <c r="C27" s="2"/>
      <c r="D27" s="2"/>
      <c r="E27" s="2"/>
      <c r="F27" s="2"/>
      <c r="J27" s="116"/>
    </row>
    <row r="28" spans="2:17" ht="12" customHeight="1" x14ac:dyDescent="0.35">
      <c r="B28" s="2" t="s">
        <v>190</v>
      </c>
      <c r="C28" s="2"/>
      <c r="D28" s="2"/>
      <c r="E28" s="2"/>
      <c r="F28" s="115" t="s">
        <v>193</v>
      </c>
      <c r="H28" s="117">
        <f>'Input invoeding'!H32</f>
        <v>29.574175433735139</v>
      </c>
      <c r="J28" s="116"/>
    </row>
    <row r="29" spans="2:17" ht="12" customHeight="1" x14ac:dyDescent="0.35">
      <c r="B29" s="2" t="s">
        <v>194</v>
      </c>
      <c r="C29" s="2"/>
      <c r="D29" s="2"/>
      <c r="E29" s="2"/>
      <c r="F29" s="115" t="s">
        <v>193</v>
      </c>
      <c r="H29" s="117">
        <f>'Input invoeding'!H33</f>
        <v>29.422402347261787</v>
      </c>
      <c r="J29" s="116"/>
    </row>
    <row r="30" spans="2:17" ht="12" customHeight="1" x14ac:dyDescent="0.35">
      <c r="B30" s="2" t="s">
        <v>195</v>
      </c>
      <c r="C30" s="2"/>
      <c r="D30" s="2"/>
      <c r="E30" s="2"/>
      <c r="F30" s="115" t="s">
        <v>193</v>
      </c>
      <c r="H30" s="117">
        <f>'Input invoeding'!H34</f>
        <v>24.943864256551674</v>
      </c>
      <c r="J30" s="116"/>
    </row>
    <row r="31" spans="2:17" ht="12" customHeight="1" x14ac:dyDescent="0.35">
      <c r="J31" s="116"/>
    </row>
    <row r="32" spans="2:17" ht="12" customHeight="1" x14ac:dyDescent="0.35">
      <c r="B32" s="2" t="s">
        <v>196</v>
      </c>
      <c r="F32" s="235" t="s">
        <v>160</v>
      </c>
      <c r="J32" s="118">
        <f>SUM(L32:Q32)</f>
        <v>-55416.6997649716</v>
      </c>
      <c r="L32" s="46">
        <f>'Input invoeding'!L38</f>
        <v>-1954.2443401205801</v>
      </c>
      <c r="M32" s="46">
        <f>'Input invoeding'!M38</f>
        <v>-21056.117774024053</v>
      </c>
      <c r="N32" s="46">
        <f>'Input invoeding'!N38</f>
        <v>-17056.218908828298</v>
      </c>
      <c r="O32" s="46">
        <f>'Input invoeding'!O38</f>
        <v>-7118.0444961067406</v>
      </c>
      <c r="P32" s="46">
        <f>'Input invoeding'!P38</f>
        <v>-7607.3488287502942</v>
      </c>
      <c r="Q32" s="46">
        <f>'Input invoeding'!Q38</f>
        <v>-624.72541714163617</v>
      </c>
    </row>
    <row r="34" spans="1:17" ht="12" customHeight="1" x14ac:dyDescent="0.25">
      <c r="A34" s="210"/>
      <c r="B34" s="39" t="s">
        <v>583</v>
      </c>
      <c r="F34" s="115" t="s">
        <v>72</v>
      </c>
      <c r="H34" s="48">
        <f>Parameters!P74</f>
        <v>0.11818696111160243</v>
      </c>
    </row>
    <row r="36" spans="1:17" s="6" customFormat="1" ht="12" customHeight="1" x14ac:dyDescent="0.35">
      <c r="B36" s="6" t="s">
        <v>501</v>
      </c>
    </row>
    <row r="38" spans="1:17" ht="12" customHeight="1" x14ac:dyDescent="0.35">
      <c r="B38" s="1" t="s">
        <v>198</v>
      </c>
      <c r="C38" s="2"/>
      <c r="D38" s="2"/>
      <c r="E38" s="2"/>
      <c r="F38" s="2"/>
    </row>
    <row r="39" spans="1:17" ht="12" customHeight="1" x14ac:dyDescent="0.35">
      <c r="B39" s="2" t="s">
        <v>190</v>
      </c>
      <c r="C39" s="2"/>
      <c r="D39" s="2"/>
      <c r="E39" s="2"/>
      <c r="F39" s="2" t="s">
        <v>70</v>
      </c>
      <c r="L39" s="118">
        <f>L23-L18</f>
        <v>0</v>
      </c>
      <c r="M39" s="118">
        <f t="shared" ref="M39:Q39" si="0">M23-M18</f>
        <v>0</v>
      </c>
      <c r="N39" s="118">
        <f t="shared" si="0"/>
        <v>0</v>
      </c>
      <c r="O39" s="118">
        <f t="shared" si="0"/>
        <v>0</v>
      </c>
      <c r="P39" s="118">
        <f t="shared" si="0"/>
        <v>0</v>
      </c>
      <c r="Q39" s="118">
        <f t="shared" si="0"/>
        <v>0</v>
      </c>
    </row>
    <row r="40" spans="1:17" ht="12" customHeight="1" x14ac:dyDescent="0.35">
      <c r="B40" s="2" t="s">
        <v>191</v>
      </c>
      <c r="C40" s="2"/>
      <c r="D40" s="2"/>
      <c r="E40" s="2"/>
      <c r="F40" s="2" t="s">
        <v>70</v>
      </c>
      <c r="L40" s="118">
        <f t="shared" ref="L40:Q40" si="1">L24-L19</f>
        <v>0</v>
      </c>
      <c r="M40" s="118">
        <f t="shared" si="1"/>
        <v>0</v>
      </c>
      <c r="N40" s="118">
        <f t="shared" si="1"/>
        <v>-23.333333333333332</v>
      </c>
      <c r="O40" s="118">
        <f t="shared" si="1"/>
        <v>0</v>
      </c>
      <c r="P40" s="118">
        <f t="shared" si="1"/>
        <v>0</v>
      </c>
      <c r="Q40" s="118">
        <f t="shared" si="1"/>
        <v>0</v>
      </c>
    </row>
    <row r="41" spans="1:17" ht="12" customHeight="1" x14ac:dyDescent="0.35">
      <c r="B41" s="2" t="s">
        <v>192</v>
      </c>
      <c r="C41" s="2"/>
      <c r="D41" s="2"/>
      <c r="E41" s="2"/>
      <c r="F41" s="2" t="s">
        <v>70</v>
      </c>
      <c r="L41" s="118">
        <f t="shared" ref="L41:Q41" si="2">L25-L20</f>
        <v>3390.666666666667</v>
      </c>
      <c r="M41" s="118">
        <f t="shared" si="2"/>
        <v>11382.697144444446</v>
      </c>
      <c r="N41" s="118">
        <f t="shared" si="2"/>
        <v>8486.6666666666661</v>
      </c>
      <c r="O41" s="118">
        <f t="shared" si="2"/>
        <v>944.33333333333348</v>
      </c>
      <c r="P41" s="118">
        <f t="shared" si="2"/>
        <v>1019.8933134300073</v>
      </c>
      <c r="Q41" s="118">
        <f t="shared" si="2"/>
        <v>181.27059046535874</v>
      </c>
    </row>
    <row r="43" spans="1:17" ht="12" customHeight="1" x14ac:dyDescent="0.35">
      <c r="B43" s="2" t="s">
        <v>499</v>
      </c>
      <c r="C43" s="2"/>
      <c r="D43" s="2"/>
      <c r="E43" s="2"/>
      <c r="F43" s="2" t="s">
        <v>160</v>
      </c>
      <c r="J43" s="105">
        <f>SUM(L43:Q43)</f>
        <v>633025.51196774689</v>
      </c>
      <c r="L43" s="118">
        <f>SUMPRODUCT(L39:L41,$H$28:$H$30)</f>
        <v>84576.329072547887</v>
      </c>
      <c r="M43" s="118">
        <f t="shared" ref="M43:Q43" si="3">SUMPRODUCT(M39:M41,$H$28:$H$30)</f>
        <v>283928.45244446065</v>
      </c>
      <c r="N43" s="118">
        <f t="shared" si="3"/>
        <v>211003.73860249907</v>
      </c>
      <c r="O43" s="118">
        <f t="shared" si="3"/>
        <v>23555.322479603634</v>
      </c>
      <c r="P43" s="118">
        <f t="shared" si="3"/>
        <v>25440.080366362814</v>
      </c>
      <c r="Q43" s="118">
        <f t="shared" si="3"/>
        <v>4521.5890022728781</v>
      </c>
    </row>
    <row r="45" spans="1:17" ht="12" customHeight="1" x14ac:dyDescent="0.35">
      <c r="B45" s="214" t="s">
        <v>500</v>
      </c>
      <c r="F45" s="2" t="s">
        <v>160</v>
      </c>
      <c r="J45" s="105">
        <f>SUM(L45:Q45)</f>
        <v>688442.21173271863</v>
      </c>
      <c r="L45" s="105">
        <f>L43-L32</f>
        <v>86530.573412668469</v>
      </c>
      <c r="M45" s="105">
        <f t="shared" ref="M45:Q45" si="4">M43-M32</f>
        <v>304984.57021848473</v>
      </c>
      <c r="N45" s="105">
        <f t="shared" si="4"/>
        <v>228059.95751132737</v>
      </c>
      <c r="O45" s="105">
        <f t="shared" si="4"/>
        <v>30673.366975710374</v>
      </c>
      <c r="P45" s="105">
        <f t="shared" si="4"/>
        <v>33047.429195113109</v>
      </c>
      <c r="Q45" s="105">
        <f t="shared" si="4"/>
        <v>5146.3144194145143</v>
      </c>
    </row>
    <row r="47" spans="1:17" s="6" customFormat="1" ht="12" customHeight="1" x14ac:dyDescent="0.35">
      <c r="B47" s="6" t="s">
        <v>71</v>
      </c>
    </row>
    <row r="49" spans="2:17" ht="12" customHeight="1" x14ac:dyDescent="0.35">
      <c r="B49" s="115" t="s">
        <v>188</v>
      </c>
      <c r="F49" s="2" t="s">
        <v>117</v>
      </c>
      <c r="J49" s="105">
        <f>SUM(L49:Q49)</f>
        <v>769807.10463835881</v>
      </c>
      <c r="L49" s="37">
        <f>L45*(1+$H$34)</f>
        <v>96757.358927556183</v>
      </c>
      <c r="M49" s="37">
        <f t="shared" ref="M49:Q49" si="5">M45*(1+$H$34)</f>
        <v>341029.76975853555</v>
      </c>
      <c r="N49" s="37">
        <f t="shared" si="5"/>
        <v>255013.67084083232</v>
      </c>
      <c r="O49" s="37">
        <f t="shared" si="5"/>
        <v>34298.559005630566</v>
      </c>
      <c r="P49" s="37">
        <f t="shared" si="5"/>
        <v>36953.204424234376</v>
      </c>
      <c r="Q49" s="37">
        <f t="shared" si="5"/>
        <v>5754.5416815699364</v>
      </c>
    </row>
  </sheetData>
  <phoneticPr fontId="6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G42"/>
  <sheetViews>
    <sheetView showGridLines="0" zoomScale="85" zoomScaleNormal="85" workbookViewId="0">
      <pane ySplit="3" topLeftCell="A4" activePane="bottomLeft" state="frozen"/>
      <selection activeCell="Q27" sqref="Q27"/>
      <selection pane="bottomLeft" activeCell="A4" sqref="A4"/>
    </sheetView>
  </sheetViews>
  <sheetFormatPr defaultColWidth="9.26953125" defaultRowHeight="15" customHeight="1" x14ac:dyDescent="0.35"/>
  <cols>
    <col min="1" max="1" width="2.7265625" style="2" customWidth="1"/>
    <col min="2" max="2" width="7.54296875" style="2" customWidth="1"/>
    <col min="3" max="3" width="68.26953125" style="2" bestFit="1" customWidth="1"/>
    <col min="4" max="4" width="116.81640625" style="70" customWidth="1"/>
    <col min="5" max="5" width="143.54296875" style="209" bestFit="1" customWidth="1"/>
    <col min="6" max="6" width="4.54296875" style="2" customWidth="1"/>
    <col min="7" max="7" width="43.453125" style="2" customWidth="1"/>
    <col min="8" max="8" width="28.7265625" style="2" customWidth="1"/>
    <col min="9" max="9" width="26.7265625" style="2" customWidth="1"/>
    <col min="10" max="10" width="58.453125" style="2" customWidth="1"/>
    <col min="11" max="11" width="22" style="2" customWidth="1"/>
    <col min="12" max="16384" width="9.26953125" style="2"/>
  </cols>
  <sheetData>
    <row r="2" spans="2:7" s="9" customFormat="1" ht="18" x14ac:dyDescent="0.35">
      <c r="B2" s="8" t="s">
        <v>24</v>
      </c>
    </row>
    <row r="4" spans="2:7" s="6" customFormat="1" ht="15" customHeight="1" x14ac:dyDescent="0.35">
      <c r="B4" s="6" t="s">
        <v>25</v>
      </c>
      <c r="D4" s="71"/>
      <c r="E4" s="219"/>
    </row>
    <row r="5" spans="2:7" ht="12.5" x14ac:dyDescent="0.35">
      <c r="D5" s="2"/>
    </row>
    <row r="6" spans="2:7" ht="13" x14ac:dyDescent="0.35">
      <c r="B6" s="5"/>
      <c r="D6" s="2"/>
    </row>
    <row r="7" spans="2:7" ht="12.5" x14ac:dyDescent="0.35">
      <c r="D7" s="2"/>
    </row>
    <row r="8" spans="2:7" ht="13" x14ac:dyDescent="0.35">
      <c r="B8" s="84" t="s">
        <v>55</v>
      </c>
      <c r="C8" s="84" t="s">
        <v>56</v>
      </c>
      <c r="D8" s="84" t="s">
        <v>57</v>
      </c>
      <c r="E8" s="84" t="s">
        <v>61</v>
      </c>
    </row>
    <row r="9" spans="2:7" ht="12.5" x14ac:dyDescent="0.35">
      <c r="B9" s="25"/>
      <c r="C9" s="25" t="s">
        <v>63</v>
      </c>
      <c r="D9" s="25" t="s">
        <v>26</v>
      </c>
      <c r="E9" s="25" t="s">
        <v>62</v>
      </c>
    </row>
    <row r="10" spans="2:7" ht="12" customHeight="1" x14ac:dyDescent="0.35">
      <c r="B10" s="193">
        <v>1</v>
      </c>
      <c r="C10" s="220" t="s">
        <v>686</v>
      </c>
      <c r="D10" s="220" t="s">
        <v>687</v>
      </c>
      <c r="E10" s="220" t="s">
        <v>512</v>
      </c>
    </row>
    <row r="11" spans="2:7" ht="12" customHeight="1" x14ac:dyDescent="0.35">
      <c r="B11" s="193">
        <v>2</v>
      </c>
      <c r="C11" s="220" t="s">
        <v>558</v>
      </c>
      <c r="D11" s="220" t="s">
        <v>557</v>
      </c>
      <c r="E11" s="220" t="s">
        <v>512</v>
      </c>
      <c r="G11" s="85"/>
    </row>
    <row r="12" spans="2:7" ht="12" customHeight="1" x14ac:dyDescent="0.35">
      <c r="B12" s="193">
        <v>3</v>
      </c>
      <c r="C12" s="220" t="s">
        <v>132</v>
      </c>
      <c r="D12" s="217"/>
      <c r="E12" s="147" t="s">
        <v>513</v>
      </c>
    </row>
    <row r="13" spans="2:7" ht="12.75" customHeight="1" x14ac:dyDescent="0.35">
      <c r="B13" s="193">
        <v>4</v>
      </c>
      <c r="C13" s="220" t="s">
        <v>369</v>
      </c>
      <c r="D13" s="218"/>
      <c r="E13" s="221" t="s">
        <v>514</v>
      </c>
    </row>
    <row r="14" spans="2:7" ht="12.5" x14ac:dyDescent="0.35">
      <c r="B14" s="193">
        <v>5</v>
      </c>
      <c r="C14" s="220" t="s">
        <v>520</v>
      </c>
      <c r="D14" s="222"/>
      <c r="E14" s="220" t="s">
        <v>522</v>
      </c>
    </row>
    <row r="15" spans="2:7" ht="12.5" x14ac:dyDescent="0.25">
      <c r="B15" s="193">
        <v>6</v>
      </c>
      <c r="C15" s="220" t="s">
        <v>519</v>
      </c>
      <c r="D15" s="222" t="s">
        <v>526</v>
      </c>
      <c r="E15" s="224" t="s">
        <v>525</v>
      </c>
    </row>
    <row r="16" spans="2:7" ht="12.5" x14ac:dyDescent="0.25">
      <c r="B16" s="193">
        <v>7</v>
      </c>
      <c r="C16" s="220" t="s">
        <v>530</v>
      </c>
      <c r="D16" s="222" t="s">
        <v>532</v>
      </c>
      <c r="E16" s="226" t="s">
        <v>525</v>
      </c>
    </row>
    <row r="17" spans="2:5" ht="12" customHeight="1" x14ac:dyDescent="0.25">
      <c r="B17" s="193">
        <v>8</v>
      </c>
      <c r="C17" s="220" t="s">
        <v>511</v>
      </c>
      <c r="D17" s="220" t="s">
        <v>688</v>
      </c>
      <c r="E17" s="224" t="s">
        <v>525</v>
      </c>
    </row>
    <row r="18" spans="2:5" ht="12" customHeight="1" x14ac:dyDescent="0.35">
      <c r="B18" s="193">
        <v>9</v>
      </c>
      <c r="C18" s="222" t="s">
        <v>865</v>
      </c>
      <c r="D18" s="222"/>
      <c r="E18" s="221"/>
    </row>
    <row r="19" spans="2:5" ht="12" customHeight="1" x14ac:dyDescent="0.35">
      <c r="B19" s="193">
        <v>10</v>
      </c>
      <c r="C19" s="223" t="s">
        <v>624</v>
      </c>
      <c r="D19" s="220" t="s">
        <v>515</v>
      </c>
      <c r="E19" s="220" t="s">
        <v>512</v>
      </c>
    </row>
    <row r="20" spans="2:5" ht="12" customHeight="1" x14ac:dyDescent="0.35">
      <c r="B20" s="193">
        <v>11</v>
      </c>
      <c r="C20" s="220" t="s">
        <v>689</v>
      </c>
      <c r="D20" s="220" t="s">
        <v>690</v>
      </c>
      <c r="E20" s="225"/>
    </row>
    <row r="21" spans="2:5" ht="12" customHeight="1" x14ac:dyDescent="0.35">
      <c r="B21" s="193">
        <v>12</v>
      </c>
      <c r="C21" s="220" t="s">
        <v>531</v>
      </c>
      <c r="D21" s="220" t="s">
        <v>524</v>
      </c>
      <c r="E21" s="194" t="s">
        <v>523</v>
      </c>
    </row>
    <row r="22" spans="2:5" ht="12" customHeight="1" x14ac:dyDescent="0.25">
      <c r="B22" s="193">
        <v>13</v>
      </c>
      <c r="C22" s="220" t="s">
        <v>516</v>
      </c>
      <c r="D22" s="221"/>
      <c r="E22" s="224" t="s">
        <v>517</v>
      </c>
    </row>
    <row r="23" spans="2:5" ht="12" customHeight="1" x14ac:dyDescent="0.35">
      <c r="B23" s="193">
        <v>14</v>
      </c>
      <c r="C23" s="220" t="s">
        <v>869</v>
      </c>
      <c r="D23" s="220" t="s">
        <v>868</v>
      </c>
      <c r="E23" s="288" t="s">
        <v>872</v>
      </c>
    </row>
    <row r="24" spans="2:5" ht="12" customHeight="1" x14ac:dyDescent="0.35">
      <c r="B24" s="193">
        <v>15</v>
      </c>
      <c r="C24" s="220" t="s">
        <v>870</v>
      </c>
      <c r="D24" s="220" t="s">
        <v>871</v>
      </c>
      <c r="E24" s="288" t="s">
        <v>873</v>
      </c>
    </row>
    <row r="25" spans="2:5" ht="12" customHeight="1" x14ac:dyDescent="0.25">
      <c r="B25" s="193">
        <v>16</v>
      </c>
      <c r="C25" s="220" t="s">
        <v>518</v>
      </c>
      <c r="D25" s="220" t="s">
        <v>529</v>
      </c>
      <c r="E25" s="224" t="s">
        <v>528</v>
      </c>
    </row>
    <row r="26" spans="2:5" ht="12" customHeight="1" x14ac:dyDescent="0.25">
      <c r="B26" s="193">
        <v>17</v>
      </c>
      <c r="C26" s="220" t="s">
        <v>691</v>
      </c>
      <c r="D26" s="220" t="s">
        <v>692</v>
      </c>
      <c r="E26" s="242" t="s">
        <v>693</v>
      </c>
    </row>
    <row r="27" spans="2:5" ht="12" customHeight="1" x14ac:dyDescent="0.25">
      <c r="B27" s="193">
        <v>18</v>
      </c>
      <c r="C27" s="220" t="s">
        <v>521</v>
      </c>
      <c r="D27" s="220" t="s">
        <v>527</v>
      </c>
      <c r="E27" s="224" t="s">
        <v>556</v>
      </c>
    </row>
    <row r="28" spans="2:5" ht="12.75" customHeight="1" x14ac:dyDescent="0.35">
      <c r="B28" s="193">
        <v>19</v>
      </c>
      <c r="C28" s="193" t="s">
        <v>875</v>
      </c>
      <c r="D28" s="193"/>
      <c r="E28" s="241"/>
    </row>
    <row r="29" spans="2:5" ht="12.75" customHeight="1" x14ac:dyDescent="0.35">
      <c r="B29" s="193">
        <v>20</v>
      </c>
      <c r="C29" s="193" t="s">
        <v>805</v>
      </c>
      <c r="D29" s="193"/>
      <c r="E29" s="289"/>
    </row>
    <row r="30" spans="2:5" ht="12.5" x14ac:dyDescent="0.35">
      <c r="C30" s="209"/>
      <c r="D30" s="209"/>
      <c r="E30" s="147"/>
    </row>
    <row r="31" spans="2:5" s="6" customFormat="1" ht="15" customHeight="1" x14ac:dyDescent="0.35">
      <c r="B31" s="6" t="s">
        <v>52</v>
      </c>
      <c r="D31" s="71"/>
      <c r="E31" s="219"/>
    </row>
    <row r="33" spans="2:3" ht="15" customHeight="1" x14ac:dyDescent="0.35">
      <c r="B33" s="4" t="s">
        <v>50</v>
      </c>
    </row>
    <row r="34" spans="2:3" ht="15" customHeight="1" x14ac:dyDescent="0.35">
      <c r="B34" s="4" t="s">
        <v>51</v>
      </c>
    </row>
    <row r="42" spans="2:3" ht="15" customHeight="1" x14ac:dyDescent="0.35">
      <c r="C42" s="241"/>
    </row>
  </sheetData>
  <sortState xmlns:xlrd2="http://schemas.microsoft.com/office/spreadsheetml/2017/richdata2" ref="C10:E27">
    <sortCondition ref="C10:C27"/>
  </sortState>
  <hyperlinks>
    <hyperlink ref="E12" r:id="rId1" location="/details/wettelijke-rente/dataset/2ed0b77d-72c5-47e8-8a3d-0c213048e11d/resource/b363a333-1ce1-4ba0-83b9-80bdf6f78fa0" xr:uid="{8DE12281-F11E-44C7-B2E5-510FE82BE87F}"/>
    <hyperlink ref="E13" r:id="rId2" xr:uid="{5386D543-4E54-43F2-A70E-0875B93A89E3}"/>
    <hyperlink ref="E21" r:id="rId3" xr:uid="{11C7A965-A330-46D0-8CB5-E522CA864071}"/>
    <hyperlink ref="E17" r:id="rId4" display="https://www.acm.nl/nl/publicaties/berekening-x-factor-bij-gewijzigde-x-factorbesluiten-gas-2022-2026?_exception_statuscode=404&amp;arguments_sanitized=%2BLZFmU3mG3vbbQ%3D%3D" xr:uid="{521F465B-D527-4860-A6F2-98C0DC48C0C1}"/>
    <hyperlink ref="E15" r:id="rId5" display="https://www.acm.nl/nl/publicaties/berekening-x-factor-bij-gewijzigde-x-factorbesluiten-gas-2022-2026?_exception_statuscode=404&amp;arguments_sanitized=%2BLZFmU3mG3vbbQ%3D%3D" xr:uid="{726DB854-E5B4-40DB-9503-51D2918ECA91}"/>
    <hyperlink ref="E25" r:id="rId6" display="https://www.acm.nl/nl/publicaties/de-totale-inkomsten-voor-de-regionale-netbeheerders-gas-voor-2024" xr:uid="{E4732818-E492-4839-AD79-41CC06C2F8FE}"/>
    <hyperlink ref="E16" r:id="rId7" display="https://www.acm.nl/nl/publicaties/berekening-x-factor-bij-gewijzigde-x-factorbesluiten-gas-2022-2026?_exception_statuscode=404&amp;arguments_sanitized=%2BLZFmU3mG3vbbQ%3D%3D" xr:uid="{E3197EE2-154F-426A-AFC7-1A830EF97BDD}"/>
    <hyperlink ref="E22" r:id="rId8" location="/CBS/nl/dataset/70936ned/table?ts=1631782812900" xr:uid="{4DA98A92-52D8-4AC0-A572-C37268D7E6DF}"/>
    <hyperlink ref="E27" r:id="rId9" display="https://www.acm.nl/nl/publicaties/herstel-x-factorberekening-regionale-netbeheerders-gas-2021-2026" xr:uid="{51803543-4392-4FE9-950B-11F8735EB64D}"/>
    <hyperlink ref="E26" r:id="rId10" display="https://www.acm.nl/nl/publicaties/berekening-totale-inkomsten-2025-regionale-netbeheerders-gas" xr:uid="{F5CE416D-EF90-4B6D-80AE-578E5BD1EE20}"/>
    <hyperlink ref="E23" r:id="rId11" display="https://www.acm.nl/nl/publicaties/berekening-totale-inkomsten-2022-regionaal-netbeheer-gas" xr:uid="{08C5A224-B056-45DE-BF49-818FAAB3D0BB}"/>
    <hyperlink ref="E24" r:id="rId12" display="https://www.acm.nl/nl/publicaties/berekening-totale-inkomsten-2023-regionaal-netbeheer-gas" xr:uid="{7074E7D1-2F5C-4C82-9A04-D37F4BC62F58}"/>
  </hyperlinks>
  <pageMargins left="0.75" right="0.75" top="1" bottom="1" header="0.5" footer="0.5"/>
  <pageSetup paperSize="9" orientation="portrait" r:id="rId13"/>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D651F-B772-419A-8124-1F268F928D33}">
  <sheetPr>
    <tabColor rgb="FFFFFFCC"/>
  </sheetPr>
  <dimension ref="A2:U51"/>
  <sheetViews>
    <sheetView showGridLines="0" zoomScale="85" zoomScaleNormal="85" workbookViewId="0">
      <pane xSplit="6" ySplit="14" topLeftCell="G15" activePane="bottomRight" state="frozen"/>
      <selection pane="topRight" activeCell="G1" sqref="G1"/>
      <selection pane="bottomLeft" activeCell="A14" sqref="A14"/>
      <selection pane="bottomRight" activeCell="G15" sqref="G15"/>
    </sheetView>
  </sheetViews>
  <sheetFormatPr defaultColWidth="9.26953125" defaultRowHeight="12.5" x14ac:dyDescent="0.35"/>
  <cols>
    <col min="1" max="1" width="4.7265625" style="2" customWidth="1"/>
    <col min="2" max="2" width="79.7265625" style="2" customWidth="1"/>
    <col min="3" max="3" width="4.7265625" style="2" customWidth="1"/>
    <col min="4"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7" width="12.54296875" style="2" customWidth="1"/>
    <col min="18" max="19" width="2.7265625" style="2" customWidth="1"/>
    <col min="20" max="20" width="13.7265625" style="2" customWidth="1"/>
    <col min="21" max="21" width="2.7265625" style="2" customWidth="1"/>
    <col min="22" max="36" width="13.7265625" style="2" customWidth="1"/>
    <col min="37" max="16384" width="9.26953125" style="2"/>
  </cols>
  <sheetData>
    <row r="2" spans="2:21" s="18" customFormat="1" ht="18" x14ac:dyDescent="0.35">
      <c r="B2" s="18" t="s">
        <v>660</v>
      </c>
    </row>
    <row r="4" spans="2:21" ht="13" x14ac:dyDescent="0.35">
      <c r="B4" s="1" t="s">
        <v>58</v>
      </c>
      <c r="C4" s="1"/>
      <c r="D4" s="1"/>
    </row>
    <row r="5" spans="2:21" ht="13" x14ac:dyDescent="0.35">
      <c r="B5" s="2" t="s">
        <v>212</v>
      </c>
      <c r="C5" s="1"/>
      <c r="D5" s="1"/>
    </row>
    <row r="6" spans="2:21" ht="13" x14ac:dyDescent="0.35">
      <c r="B6" s="2" t="s">
        <v>205</v>
      </c>
      <c r="C6" s="1"/>
      <c r="D6" s="1"/>
    </row>
    <row r="7" spans="2:21" ht="13" x14ac:dyDescent="0.35">
      <c r="B7" s="2" t="s">
        <v>225</v>
      </c>
      <c r="C7" s="1"/>
      <c r="D7" s="1"/>
    </row>
    <row r="8" spans="2:21" ht="13" x14ac:dyDescent="0.35">
      <c r="C8" s="1"/>
      <c r="D8" s="1"/>
    </row>
    <row r="9" spans="2:21" ht="13" x14ac:dyDescent="0.35">
      <c r="B9" s="2" t="s">
        <v>880</v>
      </c>
      <c r="C9" s="1"/>
      <c r="D9" s="1"/>
    </row>
    <row r="10" spans="2:21" ht="13" x14ac:dyDescent="0.35">
      <c r="B10" s="2" t="s">
        <v>213</v>
      </c>
      <c r="C10" s="1"/>
      <c r="D10" s="1"/>
    </row>
    <row r="11" spans="2:21" ht="13" x14ac:dyDescent="0.35">
      <c r="B11" s="2" t="s">
        <v>659</v>
      </c>
      <c r="C11" s="1"/>
      <c r="D11" s="1"/>
    </row>
    <row r="13" spans="2:21" s="6" customFormat="1" ht="13" x14ac:dyDescent="0.35">
      <c r="B13" s="6" t="s">
        <v>45</v>
      </c>
      <c r="F13" s="6" t="s">
        <v>27</v>
      </c>
      <c r="H13" s="6" t="s">
        <v>28</v>
      </c>
      <c r="J13" s="6" t="s">
        <v>49</v>
      </c>
      <c r="L13" s="6" t="s">
        <v>88</v>
      </c>
      <c r="M13" s="6" t="s">
        <v>65</v>
      </c>
      <c r="N13" s="6" t="s">
        <v>66</v>
      </c>
      <c r="O13" s="6" t="s">
        <v>67</v>
      </c>
      <c r="P13" s="6" t="s">
        <v>68</v>
      </c>
      <c r="Q13" s="6" t="s">
        <v>69</v>
      </c>
      <c r="R13" s="58"/>
      <c r="S13" s="6" t="s">
        <v>46</v>
      </c>
      <c r="U13" s="6" t="s">
        <v>47</v>
      </c>
    </row>
    <row r="16" spans="2:21" s="6" customFormat="1" ht="13" x14ac:dyDescent="0.35">
      <c r="B16" s="6" t="s">
        <v>48</v>
      </c>
    </row>
    <row r="18" spans="2:17" ht="13" x14ac:dyDescent="0.35">
      <c r="B18" s="1" t="s">
        <v>214</v>
      </c>
    </row>
    <row r="19" spans="2:17" x14ac:dyDescent="0.35">
      <c r="B19" s="2" t="s">
        <v>158</v>
      </c>
      <c r="F19" s="2" t="s">
        <v>117</v>
      </c>
      <c r="L19" s="46">
        <f>'Input desinv. afn. benutting'!L17</f>
        <v>0</v>
      </c>
      <c r="M19" s="46">
        <f>'Input desinv. afn. benutting'!M17</f>
        <v>0</v>
      </c>
      <c r="N19" s="46">
        <f>'Input desinv. afn. benutting'!N17</f>
        <v>110200.15355360348</v>
      </c>
      <c r="O19" s="46">
        <f>'Input desinv. afn. benutting'!O17</f>
        <v>0</v>
      </c>
      <c r="P19" s="46">
        <f>'Input desinv. afn. benutting'!P17</f>
        <v>0</v>
      </c>
      <c r="Q19" s="46">
        <f>'Input desinv. afn. benutting'!Q17</f>
        <v>0</v>
      </c>
    </row>
    <row r="20" spans="2:17" x14ac:dyDescent="0.35">
      <c r="B20" s="2" t="s">
        <v>128</v>
      </c>
      <c r="F20" s="2" t="s">
        <v>117</v>
      </c>
      <c r="L20" s="46">
        <f>'Input desinv. afn. benutting'!L18</f>
        <v>176522.14037240954</v>
      </c>
      <c r="M20" s="46">
        <f>'Input desinv. afn. benutting'!M18</f>
        <v>2598665.4096508841</v>
      </c>
      <c r="N20" s="46">
        <f>'Input desinv. afn. benutting'!N18</f>
        <v>891245.2110358252</v>
      </c>
      <c r="O20" s="46">
        <f>'Input desinv. afn. benutting'!O18</f>
        <v>108444.9730443147</v>
      </c>
      <c r="P20" s="46">
        <f>'Input desinv. afn. benutting'!P18</f>
        <v>274899.25759357755</v>
      </c>
      <c r="Q20" s="46">
        <f>'Input desinv. afn. benutting'!Q18</f>
        <v>0</v>
      </c>
    </row>
    <row r="22" spans="2:17" ht="13" x14ac:dyDescent="0.35">
      <c r="B22" s="1" t="s">
        <v>215</v>
      </c>
    </row>
    <row r="23" spans="2:17" x14ac:dyDescent="0.35">
      <c r="B23" s="2" t="s">
        <v>158</v>
      </c>
      <c r="F23" s="2" t="s">
        <v>160</v>
      </c>
      <c r="L23" s="46">
        <f>'Input desinv. afn. benutting'!L23</f>
        <v>0</v>
      </c>
      <c r="M23" s="46">
        <f>'Input desinv. afn. benutting'!M23</f>
        <v>0</v>
      </c>
      <c r="N23" s="46">
        <f>'Input desinv. afn. benutting'!N23</f>
        <v>0</v>
      </c>
      <c r="O23" s="46">
        <f>'Input desinv. afn. benutting'!O23</f>
        <v>0</v>
      </c>
      <c r="P23" s="46">
        <f>'Input desinv. afn. benutting'!P23</f>
        <v>0</v>
      </c>
      <c r="Q23" s="46">
        <f>'Input desinv. afn. benutting'!Q23</f>
        <v>0</v>
      </c>
    </row>
    <row r="24" spans="2:17" x14ac:dyDescent="0.35">
      <c r="B24" s="2" t="s">
        <v>128</v>
      </c>
      <c r="F24" s="2" t="s">
        <v>160</v>
      </c>
      <c r="L24" s="46">
        <f>'Input desinv. afn. benutting'!L24</f>
        <v>99847</v>
      </c>
      <c r="M24" s="46">
        <f>'Input desinv. afn. benutting'!M24</f>
        <v>0</v>
      </c>
      <c r="N24" s="46">
        <f>'Input desinv. afn. benutting'!N24</f>
        <v>0</v>
      </c>
      <c r="O24" s="46">
        <f>'Input desinv. afn. benutting'!O24</f>
        <v>0</v>
      </c>
      <c r="P24" s="46">
        <f>'Input desinv. afn. benutting'!P24</f>
        <v>0</v>
      </c>
      <c r="Q24" s="46">
        <f>'Input desinv. afn. benutting'!Q24</f>
        <v>0</v>
      </c>
    </row>
    <row r="26" spans="2:17" ht="13" x14ac:dyDescent="0.35">
      <c r="B26" s="1" t="s">
        <v>180</v>
      </c>
    </row>
    <row r="27" spans="2:17" x14ac:dyDescent="0.35">
      <c r="B27" s="2" t="s">
        <v>226</v>
      </c>
      <c r="F27" s="2" t="s">
        <v>160</v>
      </c>
      <c r="L27" s="46">
        <f>'Input desinv. afn. benutting'!L27</f>
        <v>61677</v>
      </c>
      <c r="M27" s="46">
        <f>'Input desinv. afn. benutting'!M27</f>
        <v>0</v>
      </c>
      <c r="N27" s="46">
        <f>'Input desinv. afn. benutting'!N27</f>
        <v>2567143.36</v>
      </c>
      <c r="O27" s="46">
        <f>'Input desinv. afn. benutting'!O27</f>
        <v>149684.01</v>
      </c>
      <c r="P27" s="46">
        <f>'Input desinv. afn. benutting'!P27</f>
        <v>0</v>
      </c>
      <c r="Q27" s="46">
        <f>'Input desinv. afn. benutting'!Q27</f>
        <v>3351</v>
      </c>
    </row>
    <row r="29" spans="2:17" ht="13" x14ac:dyDescent="0.35">
      <c r="B29" s="1" t="s">
        <v>186</v>
      </c>
    </row>
    <row r="30" spans="2:17" x14ac:dyDescent="0.35">
      <c r="B30" s="2" t="s">
        <v>184</v>
      </c>
      <c r="F30" s="2" t="s">
        <v>185</v>
      </c>
      <c r="H30" s="111">
        <f>'Input desinv. afn. benutting'!H31</f>
        <v>1.149628433713165</v>
      </c>
    </row>
    <row r="31" spans="2:17" x14ac:dyDescent="0.35">
      <c r="B31" s="2" t="s">
        <v>656</v>
      </c>
      <c r="F31" s="2" t="s">
        <v>185</v>
      </c>
      <c r="H31" s="111">
        <f>'Input desinv. afn. benutting'!H32</f>
        <v>1.0709656914531458</v>
      </c>
    </row>
    <row r="33" spans="1:17" x14ac:dyDescent="0.25">
      <c r="A33" s="206"/>
      <c r="B33" s="39" t="s">
        <v>583</v>
      </c>
      <c r="C33" s="27"/>
      <c r="D33" s="27"/>
      <c r="E33" s="27"/>
      <c r="F33" s="47" t="s">
        <v>72</v>
      </c>
      <c r="H33" s="48">
        <f>Parameters!P74</f>
        <v>0.11818696111160243</v>
      </c>
    </row>
    <row r="35" spans="1:17" s="6" customFormat="1" ht="13" x14ac:dyDescent="0.35">
      <c r="B35" s="6" t="s">
        <v>187</v>
      </c>
    </row>
    <row r="37" spans="1:17" x14ac:dyDescent="0.35">
      <c r="A37" s="206"/>
      <c r="B37" s="2" t="s">
        <v>658</v>
      </c>
      <c r="F37" s="2" t="s">
        <v>185</v>
      </c>
      <c r="H37" s="139">
        <f>H30/H31</f>
        <v>1.0734502915338822</v>
      </c>
    </row>
    <row r="39" spans="1:17" ht="13" x14ac:dyDescent="0.35">
      <c r="B39" s="1" t="s">
        <v>216</v>
      </c>
    </row>
    <row r="40" spans="1:17" x14ac:dyDescent="0.35">
      <c r="B40" s="2" t="s">
        <v>158</v>
      </c>
      <c r="F40" s="2" t="s">
        <v>160</v>
      </c>
      <c r="J40" s="105">
        <f>SUM(L40:Q40)</f>
        <v>102659.76396180908</v>
      </c>
      <c r="L40" s="105">
        <f t="shared" ref="L40:Q41" si="0">L19/$H$37</f>
        <v>0</v>
      </c>
      <c r="M40" s="105">
        <f t="shared" si="0"/>
        <v>0</v>
      </c>
      <c r="N40" s="105">
        <f t="shared" si="0"/>
        <v>102659.76396180908</v>
      </c>
      <c r="O40" s="105">
        <f t="shared" si="0"/>
        <v>0</v>
      </c>
      <c r="P40" s="105">
        <f t="shared" si="0"/>
        <v>0</v>
      </c>
      <c r="Q40" s="105">
        <f t="shared" si="0"/>
        <v>0</v>
      </c>
    </row>
    <row r="41" spans="1:17" x14ac:dyDescent="0.35">
      <c r="B41" s="2" t="s">
        <v>128</v>
      </c>
      <c r="F41" s="2" t="s">
        <v>160</v>
      </c>
      <c r="J41" s="105">
        <f>SUM(L41:Q41)</f>
        <v>3772673.0558805615</v>
      </c>
      <c r="L41" s="105">
        <f t="shared" si="0"/>
        <v>164443.70248404541</v>
      </c>
      <c r="M41" s="105">
        <f t="shared" si="0"/>
        <v>2420853.0475478102</v>
      </c>
      <c r="N41" s="105">
        <f t="shared" si="0"/>
        <v>830262.20968490385</v>
      </c>
      <c r="O41" s="105">
        <f t="shared" si="0"/>
        <v>101024.6807882969</v>
      </c>
      <c r="P41" s="105">
        <f t="shared" si="0"/>
        <v>256089.41537550525</v>
      </c>
      <c r="Q41" s="105">
        <f t="shared" si="0"/>
        <v>0</v>
      </c>
    </row>
    <row r="43" spans="1:17" ht="13" x14ac:dyDescent="0.35">
      <c r="B43" s="1" t="s">
        <v>348</v>
      </c>
    </row>
    <row r="44" spans="1:17" x14ac:dyDescent="0.35">
      <c r="B44" s="2" t="s">
        <v>158</v>
      </c>
      <c r="F44" s="2" t="s">
        <v>160</v>
      </c>
      <c r="J44" s="105">
        <f>SUM(L44:Q44)</f>
        <v>2884515.1339618089</v>
      </c>
      <c r="L44" s="105">
        <f t="shared" ref="L44:Q44" si="1">L40-L23+L27</f>
        <v>61677</v>
      </c>
      <c r="M44" s="105">
        <f t="shared" si="1"/>
        <v>0</v>
      </c>
      <c r="N44" s="105">
        <f t="shared" si="1"/>
        <v>2669803.1239618091</v>
      </c>
      <c r="O44" s="105">
        <f t="shared" si="1"/>
        <v>149684.01</v>
      </c>
      <c r="P44" s="105">
        <f t="shared" si="1"/>
        <v>0</v>
      </c>
      <c r="Q44" s="105">
        <f t="shared" si="1"/>
        <v>3351</v>
      </c>
    </row>
    <row r="45" spans="1:17" x14ac:dyDescent="0.35">
      <c r="B45" s="2" t="s">
        <v>128</v>
      </c>
      <c r="F45" s="2" t="s">
        <v>160</v>
      </c>
      <c r="J45" s="105">
        <f>SUM(L45:Q45)</f>
        <v>3672826.0558805615</v>
      </c>
      <c r="L45" s="105">
        <f t="shared" ref="L45:Q45" si="2">L41-L24</f>
        <v>64596.702484045411</v>
      </c>
      <c r="M45" s="105">
        <f t="shared" si="2"/>
        <v>2420853.0475478102</v>
      </c>
      <c r="N45" s="105">
        <f t="shared" si="2"/>
        <v>830262.20968490385</v>
      </c>
      <c r="O45" s="105">
        <f t="shared" si="2"/>
        <v>101024.6807882969</v>
      </c>
      <c r="P45" s="105">
        <f t="shared" si="2"/>
        <v>256089.41537550525</v>
      </c>
      <c r="Q45" s="105">
        <f t="shared" si="2"/>
        <v>0</v>
      </c>
    </row>
    <row r="47" spans="1:17" s="6" customFormat="1" ht="12.75" customHeight="1" x14ac:dyDescent="0.35">
      <c r="B47" s="6" t="s">
        <v>200</v>
      </c>
    </row>
    <row r="49" spans="2:17" x14ac:dyDescent="0.35">
      <c r="B49" s="2" t="s">
        <v>661</v>
      </c>
      <c r="F49" s="2" t="s">
        <v>117</v>
      </c>
      <c r="J49" s="105">
        <f>SUM(L49:Q49)</f>
        <v>3225427.2119251816</v>
      </c>
      <c r="L49" s="37">
        <f t="shared" ref="L49:Q50" si="3">L44*(1+$H$33)</f>
        <v>68966.417200480297</v>
      </c>
      <c r="M49" s="37">
        <f t="shared" si="3"/>
        <v>0</v>
      </c>
      <c r="N49" s="37">
        <f t="shared" si="3"/>
        <v>2985339.041949118</v>
      </c>
      <c r="O49" s="37">
        <f t="shared" si="3"/>
        <v>167374.70826889871</v>
      </c>
      <c r="P49" s="37">
        <f t="shared" si="3"/>
        <v>0</v>
      </c>
      <c r="Q49" s="37">
        <f t="shared" si="3"/>
        <v>3747.0445066849798</v>
      </c>
    </row>
    <row r="50" spans="2:17" x14ac:dyDescent="0.35">
      <c r="B50" s="2" t="s">
        <v>662</v>
      </c>
      <c r="F50" s="2" t="s">
        <v>117</v>
      </c>
      <c r="J50" s="105">
        <f>SUM(L50:Q50)</f>
        <v>4106906.2061165972</v>
      </c>
      <c r="L50" s="37">
        <f t="shared" si="3"/>
        <v>72231.190448465044</v>
      </c>
      <c r="M50" s="37">
        <f t="shared" si="3"/>
        <v>2706966.3125352473</v>
      </c>
      <c r="N50" s="37">
        <f t="shared" si="3"/>
        <v>928388.37717336672</v>
      </c>
      <c r="O50" s="37">
        <f t="shared" si="3"/>
        <v>112964.4808079354</v>
      </c>
      <c r="P50" s="37">
        <f t="shared" si="3"/>
        <v>286355.84515158308</v>
      </c>
      <c r="Q50" s="37">
        <f t="shared" si="3"/>
        <v>0</v>
      </c>
    </row>
    <row r="51" spans="2:17" x14ac:dyDescent="0.35">
      <c r="J51" s="125"/>
      <c r="L51" s="125"/>
      <c r="M51" s="125"/>
      <c r="N51" s="125"/>
      <c r="O51" s="125"/>
      <c r="P51" s="125"/>
      <c r="Q51" s="125"/>
    </row>
  </sheetData>
  <phoneticPr fontId="66" type="noConversion"/>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763D8-18EA-40F2-B65C-7B16624519DD}">
  <sheetPr>
    <tabColor rgb="FFFFFFCC"/>
  </sheetPr>
  <dimension ref="A2:T65"/>
  <sheetViews>
    <sheetView showGridLines="0" zoomScale="85" zoomScaleNormal="85" workbookViewId="0">
      <pane xSplit="6" ySplit="13" topLeftCell="G14" activePane="bottomRight" state="frozen"/>
      <selection activeCell="P67" sqref="P67:T80"/>
      <selection pane="topRight" activeCell="P67" sqref="P67:T80"/>
      <selection pane="bottomLeft" activeCell="P67" sqref="P67:T80"/>
      <selection pane="bottomRight" activeCell="G14" sqref="G14"/>
    </sheetView>
  </sheetViews>
  <sheetFormatPr defaultColWidth="9.26953125" defaultRowHeight="12.5" x14ac:dyDescent="0.35"/>
  <cols>
    <col min="1" max="1" width="4.7265625" style="2" customWidth="1"/>
    <col min="2" max="2" width="82.7265625" style="2" customWidth="1"/>
    <col min="3" max="3" width="4.7265625" style="2" customWidth="1"/>
    <col min="4"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2" width="12.54296875" style="2" customWidth="1"/>
    <col min="13" max="14" width="13" style="2" bestFit="1" customWidth="1"/>
    <col min="15" max="15" width="12.54296875" style="2" customWidth="1"/>
    <col min="16" max="16" width="13" style="2" bestFit="1" customWidth="1"/>
    <col min="17" max="17" width="12.54296875" style="2" customWidth="1"/>
    <col min="18" max="19" width="2.7265625" style="2" customWidth="1"/>
    <col min="20" max="20" width="13.7265625" style="2" customWidth="1"/>
    <col min="21" max="21" width="2.7265625" style="2" customWidth="1"/>
    <col min="22" max="36" width="13.7265625" style="2" customWidth="1"/>
    <col min="37" max="16384" width="9.26953125" style="2"/>
  </cols>
  <sheetData>
    <row r="2" spans="1:20" s="18" customFormat="1" ht="18" x14ac:dyDescent="0.35">
      <c r="B2" s="18" t="s">
        <v>666</v>
      </c>
    </row>
    <row r="4" spans="1:20" ht="13" x14ac:dyDescent="0.35">
      <c r="B4" s="1" t="s">
        <v>58</v>
      </c>
    </row>
    <row r="5" spans="1:20" ht="12.75" customHeight="1" x14ac:dyDescent="0.35">
      <c r="B5" s="2" t="s">
        <v>664</v>
      </c>
      <c r="C5" s="1"/>
      <c r="D5" s="1"/>
      <c r="L5"/>
    </row>
    <row r="6" spans="1:20" ht="12.75" customHeight="1" x14ac:dyDescent="0.35">
      <c r="B6" s="2" t="s">
        <v>394</v>
      </c>
      <c r="H6" s="19"/>
    </row>
    <row r="7" spans="1:20" ht="12.75" customHeight="1" x14ac:dyDescent="0.35">
      <c r="B7" s="2" t="s">
        <v>392</v>
      </c>
      <c r="H7" s="19"/>
    </row>
    <row r="9" spans="1:20" ht="13" x14ac:dyDescent="0.35">
      <c r="B9" s="4" t="s">
        <v>162</v>
      </c>
    </row>
    <row r="10" spans="1:20" s="70" customFormat="1" ht="26.15" customHeight="1" x14ac:dyDescent="0.35">
      <c r="A10" s="2"/>
      <c r="B10" s="296" t="s">
        <v>665</v>
      </c>
      <c r="C10" s="296"/>
      <c r="D10" s="296"/>
      <c r="E10" s="296"/>
      <c r="F10" s="296"/>
      <c r="G10" s="296"/>
      <c r="H10" s="296"/>
      <c r="I10" s="296"/>
      <c r="J10" s="296"/>
      <c r="K10" s="296"/>
      <c r="L10" s="296"/>
      <c r="M10" s="296"/>
      <c r="N10" s="296"/>
      <c r="O10" s="296"/>
      <c r="P10" s="296"/>
      <c r="Q10" s="296"/>
    </row>
    <row r="12" spans="1:20" s="6" customFormat="1" ht="13" x14ac:dyDescent="0.35">
      <c r="B12" s="6" t="s">
        <v>45</v>
      </c>
      <c r="F12" s="6" t="s">
        <v>27</v>
      </c>
      <c r="H12" s="6" t="s">
        <v>28</v>
      </c>
      <c r="J12" s="6" t="s">
        <v>49</v>
      </c>
      <c r="L12" s="6" t="s">
        <v>88</v>
      </c>
      <c r="M12" s="6" t="s">
        <v>65</v>
      </c>
      <c r="N12" s="6" t="s">
        <v>66</v>
      </c>
      <c r="O12" s="6" t="s">
        <v>67</v>
      </c>
      <c r="P12" s="6" t="s">
        <v>68</v>
      </c>
      <c r="Q12" s="6" t="s">
        <v>69</v>
      </c>
      <c r="T12" s="6" t="s">
        <v>47</v>
      </c>
    </row>
    <row r="15" spans="1:20" s="6" customFormat="1" ht="13" x14ac:dyDescent="0.35">
      <c r="B15" s="6" t="s">
        <v>144</v>
      </c>
    </row>
    <row r="17" spans="2:17" ht="13" x14ac:dyDescent="0.25">
      <c r="B17" s="26" t="s">
        <v>148</v>
      </c>
      <c r="F17" s="39"/>
    </row>
    <row r="18" spans="2:17" x14ac:dyDescent="0.25">
      <c r="B18" s="2" t="s">
        <v>153</v>
      </c>
      <c r="F18" s="39" t="s">
        <v>70</v>
      </c>
      <c r="J18" s="38">
        <f>SUM(L18:Q18)</f>
        <v>22173.5</v>
      </c>
      <c r="L18" s="46">
        <f>'Input verwijderingskosten KV'!L13</f>
        <v>28</v>
      </c>
      <c r="M18" s="46">
        <f>'Input verwijderingskosten KV'!M13</f>
        <v>13479</v>
      </c>
      <c r="N18" s="46">
        <f>'Input verwijderingskosten KV'!N13</f>
        <v>128</v>
      </c>
      <c r="O18" s="46">
        <f>'Input verwijderingskosten KV'!O13</f>
        <v>404</v>
      </c>
      <c r="P18" s="46">
        <f>'Input verwijderingskosten KV'!P13</f>
        <v>8134.5</v>
      </c>
      <c r="Q18" s="46">
        <f>'Input verwijderingskosten KV'!Q13</f>
        <v>0</v>
      </c>
    </row>
    <row r="19" spans="2:17" x14ac:dyDescent="0.35">
      <c r="B19" s="2" t="s">
        <v>154</v>
      </c>
      <c r="F19" s="2" t="s">
        <v>160</v>
      </c>
      <c r="J19" s="38">
        <f>SUM(L19:Q19)</f>
        <v>31797590.051385835</v>
      </c>
      <c r="L19" s="46">
        <f>'Input verwijderingskosten KV'!L14</f>
        <v>43330</v>
      </c>
      <c r="M19" s="46">
        <f>'Input verwijderingskosten KV'!M14</f>
        <v>14563865.719999976</v>
      </c>
      <c r="N19" s="46">
        <f>'Input verwijderingskosten KV'!N14</f>
        <v>457329.77557511639</v>
      </c>
      <c r="O19" s="46">
        <f>'Input verwijderingskosten KV'!O14</f>
        <v>319501.24</v>
      </c>
      <c r="P19" s="46">
        <f>'Input verwijderingskosten KV'!P14</f>
        <v>16413563.31581074</v>
      </c>
      <c r="Q19" s="46">
        <f>'Input verwijderingskosten KV'!Q14</f>
        <v>0</v>
      </c>
    </row>
    <row r="20" spans="2:17" x14ac:dyDescent="0.25">
      <c r="F20" s="39"/>
    </row>
    <row r="21" spans="2:17" ht="13" x14ac:dyDescent="0.35">
      <c r="B21" s="26" t="s">
        <v>147</v>
      </c>
    </row>
    <row r="22" spans="2:17" x14ac:dyDescent="0.25">
      <c r="B22" s="2" t="s">
        <v>153</v>
      </c>
      <c r="F22" s="39" t="s">
        <v>70</v>
      </c>
      <c r="J22" s="38">
        <f>SUM(L22:Q22)</f>
        <v>9230.5</v>
      </c>
      <c r="L22" s="46">
        <f>'Input verwijderingskosten KV'!L17</f>
        <v>0</v>
      </c>
      <c r="M22" s="46">
        <f>'Input verwijderingskosten KV'!M17</f>
        <v>3307</v>
      </c>
      <c r="N22" s="46">
        <f>'Input verwijderingskosten KV'!N17</f>
        <v>167</v>
      </c>
      <c r="O22" s="46">
        <f>'Input verwijderingskosten KV'!O17</f>
        <v>18</v>
      </c>
      <c r="P22" s="46">
        <f>'Input verwijderingskosten KV'!P17</f>
        <v>5738.5</v>
      </c>
      <c r="Q22" s="46">
        <f>'Input verwijderingskosten KV'!Q17</f>
        <v>0</v>
      </c>
    </row>
    <row r="23" spans="2:17" x14ac:dyDescent="0.35">
      <c r="B23" s="2" t="s">
        <v>154</v>
      </c>
      <c r="F23" s="2" t="s">
        <v>160</v>
      </c>
      <c r="J23" s="38">
        <f>SUM(L23:Q23)</f>
        <v>4123954.9175296901</v>
      </c>
      <c r="L23" s="46">
        <f>'Input verwijderingskosten KV'!L18</f>
        <v>0</v>
      </c>
      <c r="M23" s="46">
        <f>'Input verwijderingskosten KV'!M18</f>
        <v>1153012.8399999999</v>
      </c>
      <c r="N23" s="46">
        <f>'Input verwijderingskosten KV'!N18</f>
        <v>64924.873181765623</v>
      </c>
      <c r="O23" s="46">
        <f>'Input verwijderingskosten KV'!O18</f>
        <v>2460.46</v>
      </c>
      <c r="P23" s="46">
        <f>'Input verwijderingskosten KV'!P18</f>
        <v>2903556.7443479244</v>
      </c>
      <c r="Q23" s="46">
        <f>'Input verwijderingskosten KV'!Q18</f>
        <v>0</v>
      </c>
    </row>
    <row r="24" spans="2:17" x14ac:dyDescent="0.25">
      <c r="F24" s="39"/>
    </row>
    <row r="25" spans="2:17" ht="13" x14ac:dyDescent="0.25">
      <c r="B25" s="1" t="s">
        <v>161</v>
      </c>
      <c r="F25" s="39"/>
    </row>
    <row r="26" spans="2:17" x14ac:dyDescent="0.25">
      <c r="B26" s="2" t="s">
        <v>510</v>
      </c>
      <c r="F26" s="145" t="s">
        <v>105</v>
      </c>
      <c r="J26" s="38">
        <f>SUM(L26:Q26)</f>
        <v>480517.05016735999</v>
      </c>
      <c r="L26" s="46">
        <f>'Input verwijderingskosten KV'!L22</f>
        <v>51201.018277919997</v>
      </c>
      <c r="M26" s="46">
        <f>'Input verwijderingskosten KV'!M22</f>
        <v>0</v>
      </c>
      <c r="N26" s="46">
        <f>'Input verwijderingskosten KV'!N22</f>
        <v>429316.03188944003</v>
      </c>
      <c r="O26" s="46">
        <f>'Input verwijderingskosten KV'!O22</f>
        <v>0</v>
      </c>
      <c r="P26" s="46">
        <f>'Input verwijderingskosten KV'!P22</f>
        <v>0</v>
      </c>
      <c r="Q26" s="46">
        <f>'Input verwijderingskosten KV'!Q22</f>
        <v>0</v>
      </c>
    </row>
    <row r="27" spans="2:17" x14ac:dyDescent="0.25">
      <c r="F27" s="145"/>
    </row>
    <row r="28" spans="2:17" x14ac:dyDescent="0.35">
      <c r="B28" s="2" t="s">
        <v>285</v>
      </c>
      <c r="F28" s="129" t="s">
        <v>70</v>
      </c>
      <c r="J28" s="38">
        <f>SUM(L28:Q28)</f>
        <v>829798182.34168494</v>
      </c>
      <c r="L28" s="46">
        <f>'Input verwijderingskosten KV'!L24</f>
        <v>16401680.494385676</v>
      </c>
      <c r="M28" s="46">
        <f>'Input verwijderingskosten KV'!M24</f>
        <v>266533758.56356135</v>
      </c>
      <c r="N28" s="46">
        <f>'Input verwijderingskosten KV'!N24</f>
        <v>285455588.10709691</v>
      </c>
      <c r="O28" s="46">
        <f>'Input verwijderingskosten KV'!O24</f>
        <v>12040239.024494292</v>
      </c>
      <c r="P28" s="46">
        <f>'Input verwijderingskosten KV'!P24</f>
        <v>235138144.63941851</v>
      </c>
      <c r="Q28" s="46">
        <f>'Input verwijderingskosten KV'!Q24</f>
        <v>14228771.512728186</v>
      </c>
    </row>
    <row r="30" spans="2:17" x14ac:dyDescent="0.35">
      <c r="B30" s="2" t="s">
        <v>156</v>
      </c>
      <c r="F30" s="2" t="s">
        <v>70</v>
      </c>
      <c r="J30" s="89"/>
      <c r="L30" s="103">
        <f>'Input x-factor, begininkomsten'!L19</f>
        <v>1.4000000000000001</v>
      </c>
      <c r="M30" s="103">
        <f>'Input x-factor, begininkomsten'!M19</f>
        <v>1.3900000000000001</v>
      </c>
      <c r="N30" s="103">
        <f>'Input x-factor, begininkomsten'!N19</f>
        <v>1.35</v>
      </c>
      <c r="O30" s="103">
        <f>'Input x-factor, begininkomsten'!O19</f>
        <v>1.4000000000000001</v>
      </c>
      <c r="P30" s="103">
        <f>'Input x-factor, begininkomsten'!P19</f>
        <v>1.3900000000000001</v>
      </c>
      <c r="Q30" s="103">
        <f>'Input x-factor, begininkomsten'!Q19</f>
        <v>1.54</v>
      </c>
    </row>
    <row r="32" spans="2:17" ht="13" x14ac:dyDescent="0.35">
      <c r="B32" s="1" t="s">
        <v>186</v>
      </c>
    </row>
    <row r="33" spans="1:17" x14ac:dyDescent="0.35">
      <c r="B33" s="2" t="s">
        <v>111</v>
      </c>
      <c r="F33" s="2" t="s">
        <v>72</v>
      </c>
      <c r="H33" s="102">
        <f>'Input parameters'!AD19</f>
        <v>2.4E-2</v>
      </c>
    </row>
    <row r="34" spans="1:17" ht="12" customHeight="1" x14ac:dyDescent="0.35">
      <c r="A34" s="206"/>
      <c r="B34" s="2" t="s">
        <v>138</v>
      </c>
      <c r="F34" s="2" t="s">
        <v>72</v>
      </c>
      <c r="H34" s="102">
        <f>'Input parameters'!AE19</f>
        <v>0.12</v>
      </c>
      <c r="J34" s="89"/>
      <c r="L34" s="97"/>
      <c r="M34" s="97"/>
      <c r="N34" s="97"/>
      <c r="O34" s="97"/>
      <c r="P34" s="97"/>
      <c r="Q34" s="97"/>
    </row>
    <row r="35" spans="1:17" ht="12" customHeight="1" x14ac:dyDescent="0.35">
      <c r="A35" s="206"/>
      <c r="B35" s="2" t="s">
        <v>176</v>
      </c>
      <c r="F35" s="2" t="s">
        <v>72</v>
      </c>
      <c r="H35" s="102">
        <f>'Input parameters'!AF19</f>
        <v>0.03</v>
      </c>
      <c r="J35" s="89"/>
      <c r="L35" s="97"/>
      <c r="M35" s="97"/>
      <c r="N35" s="97"/>
      <c r="O35" s="97"/>
      <c r="P35" s="97"/>
      <c r="Q35" s="97"/>
    </row>
    <row r="36" spans="1:17" ht="12" customHeight="1" x14ac:dyDescent="0.35">
      <c r="A36" s="206"/>
      <c r="J36" s="89"/>
      <c r="L36" s="97"/>
      <c r="M36" s="97"/>
      <c r="N36" s="97"/>
      <c r="O36" s="97"/>
      <c r="P36" s="97"/>
      <c r="Q36" s="97"/>
    </row>
    <row r="37" spans="1:17" ht="12" customHeight="1" x14ac:dyDescent="0.25">
      <c r="A37" s="206"/>
      <c r="B37" s="39" t="s">
        <v>583</v>
      </c>
      <c r="C37" s="27"/>
      <c r="D37" s="27"/>
      <c r="E37" s="27"/>
      <c r="F37" s="47" t="s">
        <v>72</v>
      </c>
      <c r="H37" s="48">
        <f>Parameters!P74</f>
        <v>0.11818696111160243</v>
      </c>
    </row>
    <row r="38" spans="1:17" x14ac:dyDescent="0.35">
      <c r="M38" s="90"/>
      <c r="N38" s="90"/>
      <c r="O38" s="90"/>
      <c r="P38" s="90"/>
      <c r="Q38" s="90"/>
    </row>
    <row r="39" spans="1:17" s="6" customFormat="1" ht="13" x14ac:dyDescent="0.35">
      <c r="B39" s="6" t="s">
        <v>103</v>
      </c>
    </row>
    <row r="41" spans="1:17" ht="13" x14ac:dyDescent="0.35">
      <c r="B41" s="1" t="s">
        <v>437</v>
      </c>
    </row>
    <row r="42" spans="1:17" x14ac:dyDescent="0.35">
      <c r="B42" s="2" t="s">
        <v>435</v>
      </c>
      <c r="F42" s="2" t="s">
        <v>160</v>
      </c>
      <c r="J42" s="38">
        <f>J19/J18</f>
        <v>1434.0356755309642</v>
      </c>
    </row>
    <row r="43" spans="1:17" x14ac:dyDescent="0.35">
      <c r="B43" s="2" t="s">
        <v>436</v>
      </c>
      <c r="F43" s="2" t="s">
        <v>160</v>
      </c>
      <c r="J43" s="38">
        <f>J23/J22</f>
        <v>446.77481366444829</v>
      </c>
    </row>
    <row r="45" spans="1:17" ht="13" x14ac:dyDescent="0.35">
      <c r="B45" s="1" t="s">
        <v>149</v>
      </c>
    </row>
    <row r="46" spans="1:17" x14ac:dyDescent="0.35">
      <c r="B46" s="2" t="s">
        <v>150</v>
      </c>
      <c r="F46" s="2" t="s">
        <v>160</v>
      </c>
      <c r="J46" s="38">
        <f>SUM(L46:Q46)</f>
        <v>35921544.968915522</v>
      </c>
      <c r="L46" s="38">
        <f t="shared" ref="L46:Q46" si="0">($J$42*L18)+($J$43*L22)</f>
        <v>40152.998914866999</v>
      </c>
      <c r="M46" s="38">
        <f t="shared" si="0"/>
        <v>20806851.179270197</v>
      </c>
      <c r="N46" s="38">
        <f t="shared" si="0"/>
        <v>258167.96034992629</v>
      </c>
      <c r="O46" s="38">
        <f t="shared" si="0"/>
        <v>587392.35956046963</v>
      </c>
      <c r="P46" s="38">
        <f t="shared" si="0"/>
        <v>14228980.470820064</v>
      </c>
      <c r="Q46" s="38">
        <f t="shared" si="0"/>
        <v>0</v>
      </c>
    </row>
    <row r="48" spans="1:17" s="6" customFormat="1" ht="12.75" customHeight="1" x14ac:dyDescent="0.35">
      <c r="B48" s="6" t="s">
        <v>508</v>
      </c>
    </row>
    <row r="50" spans="1:17" ht="13" x14ac:dyDescent="0.25">
      <c r="B50" s="1" t="s">
        <v>141</v>
      </c>
      <c r="F50" s="39"/>
    </row>
    <row r="51" spans="1:17" x14ac:dyDescent="0.25">
      <c r="B51" s="2" t="s">
        <v>509</v>
      </c>
      <c r="F51" s="39" t="s">
        <v>105</v>
      </c>
      <c r="J51" s="38">
        <f>SUM(L51:Q51)</f>
        <v>480517.05016735999</v>
      </c>
      <c r="L51" s="46">
        <f t="shared" ref="L51:Q51" si="1">L26</f>
        <v>51201.018277919997</v>
      </c>
      <c r="M51" s="46">
        <f t="shared" si="1"/>
        <v>0</v>
      </c>
      <c r="N51" s="46">
        <f t="shared" si="1"/>
        <v>429316.03188944003</v>
      </c>
      <c r="O51" s="46">
        <f t="shared" si="1"/>
        <v>0</v>
      </c>
      <c r="P51" s="46">
        <f t="shared" si="1"/>
        <v>0</v>
      </c>
      <c r="Q51" s="46">
        <f t="shared" si="1"/>
        <v>0</v>
      </c>
    </row>
    <row r="52" spans="1:17" x14ac:dyDescent="0.35">
      <c r="B52" s="2" t="s">
        <v>286</v>
      </c>
      <c r="F52" s="2" t="s">
        <v>105</v>
      </c>
      <c r="H52" s="146">
        <f>J51/J28</f>
        <v>5.7907700979935154E-4</v>
      </c>
    </row>
    <row r="54" spans="1:17" x14ac:dyDescent="0.35">
      <c r="B54" s="2" t="s">
        <v>287</v>
      </c>
      <c r="F54" s="2" t="s">
        <v>105</v>
      </c>
      <c r="J54" s="38">
        <f>SUM(L54:Q54)</f>
        <v>480517.05016735994</v>
      </c>
      <c r="L54" s="38">
        <f t="shared" ref="L54:Q54" si="2">$H$52*L28</f>
        <v>9497.8360963732066</v>
      </c>
      <c r="M54" s="38">
        <f t="shared" si="2"/>
        <v>154343.57191956943</v>
      </c>
      <c r="N54" s="38">
        <f t="shared" si="2"/>
        <v>165300.76839157302</v>
      </c>
      <c r="O54" s="38">
        <f t="shared" si="2"/>
        <v>6972.2256115736163</v>
      </c>
      <c r="P54" s="38">
        <f t="shared" si="2"/>
        <v>136163.09368756189</v>
      </c>
      <c r="Q54" s="38">
        <f t="shared" si="2"/>
        <v>8239.5544607088341</v>
      </c>
    </row>
    <row r="55" spans="1:17" x14ac:dyDescent="0.35">
      <c r="A55" s="206"/>
      <c r="B55" s="2" t="s">
        <v>667</v>
      </c>
      <c r="F55" s="2" t="s">
        <v>160</v>
      </c>
      <c r="J55" s="38">
        <f>SUM(L55:Q55)</f>
        <v>545682.06002945465</v>
      </c>
      <c r="L55" s="38">
        <f>L54*(1-L30/100+$H$33)*(1-L30/100+$H$34)*(1-L30/100+$H$35)</f>
        <v>10779.407234451688</v>
      </c>
      <c r="M55" s="38">
        <f t="shared" ref="M55:Q55" si="3">M54*(1-M30/100+$H$33)*(1-M30/100+$H$34)*(1-M30/100+$H$35)</f>
        <v>175220.03451830495</v>
      </c>
      <c r="N55" s="38">
        <f t="shared" si="3"/>
        <v>187875.431674622</v>
      </c>
      <c r="O55" s="38">
        <f t="shared" si="3"/>
        <v>7913.0086511310537</v>
      </c>
      <c r="P55" s="38">
        <f t="shared" si="3"/>
        <v>154580.47056528393</v>
      </c>
      <c r="Q55" s="38">
        <f t="shared" si="3"/>
        <v>9313.7073856611169</v>
      </c>
    </row>
    <row r="57" spans="1:17" x14ac:dyDescent="0.35">
      <c r="B57" s="2" t="s">
        <v>288</v>
      </c>
      <c r="F57" s="2" t="s">
        <v>160</v>
      </c>
      <c r="J57" s="38">
        <f>SUM(L57:Q57)</f>
        <v>35375862.908886068</v>
      </c>
      <c r="L57" s="38">
        <f t="shared" ref="L57:Q57" si="4">L46-L55</f>
        <v>29373.591680415309</v>
      </c>
      <c r="M57" s="38">
        <f t="shared" si="4"/>
        <v>20631631.144751891</v>
      </c>
      <c r="N57" s="38">
        <f t="shared" si="4"/>
        <v>70292.528675304289</v>
      </c>
      <c r="O57" s="38">
        <f t="shared" si="4"/>
        <v>579479.35090933857</v>
      </c>
      <c r="P57" s="38">
        <f t="shared" si="4"/>
        <v>14074400.00025478</v>
      </c>
      <c r="Q57" s="38">
        <f t="shared" si="4"/>
        <v>-9313.7073856611169</v>
      </c>
    </row>
    <row r="59" spans="1:17" s="6" customFormat="1" ht="12.75" customHeight="1" x14ac:dyDescent="0.35">
      <c r="B59" s="6" t="s">
        <v>200</v>
      </c>
    </row>
    <row r="61" spans="1:17" x14ac:dyDescent="0.35">
      <c r="B61" s="2" t="s">
        <v>668</v>
      </c>
      <c r="F61" s="2" t="s">
        <v>117</v>
      </c>
      <c r="J61" s="38">
        <f>SUM(L61:Q61)</f>
        <v>39556828.642787963</v>
      </c>
      <c r="L61" s="37">
        <f>L57*(1+$H$37)</f>
        <v>32845.167218056646</v>
      </c>
      <c r="M61" s="37">
        <f t="shared" ref="M61:Q61" si="5">M57*(1+$H$37)</f>
        <v>23070020.932525609</v>
      </c>
      <c r="N61" s="37">
        <f t="shared" si="5"/>
        <v>78600.189028288674</v>
      </c>
      <c r="O61" s="37">
        <f t="shared" si="5"/>
        <v>647966.25442023715</v>
      </c>
      <c r="P61" s="37">
        <f t="shared" si="5"/>
        <v>15737810.565754028</v>
      </c>
      <c r="Q61" s="37">
        <f t="shared" si="5"/>
        <v>-10414.466158255091</v>
      </c>
    </row>
    <row r="63" spans="1:17" x14ac:dyDescent="0.35">
      <c r="L63" s="83"/>
      <c r="M63" s="83"/>
      <c r="N63" s="83"/>
      <c r="O63" s="83"/>
      <c r="P63" s="83"/>
      <c r="Q63" s="83"/>
    </row>
    <row r="65" spans="12:17" x14ac:dyDescent="0.35">
      <c r="L65" s="83"/>
      <c r="M65" s="83"/>
      <c r="N65" s="83"/>
      <c r="O65" s="83"/>
      <c r="P65" s="83"/>
      <c r="Q65" s="83"/>
    </row>
  </sheetData>
  <mergeCells count="1">
    <mergeCell ref="B10:Q10"/>
  </mergeCells>
  <phoneticPr fontId="66" type="noConversion"/>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EA464-35A2-472C-A7E3-E32A06BC783C}">
  <sheetPr>
    <tabColor rgb="FFFFFFCC"/>
  </sheetPr>
  <dimension ref="A2:T60"/>
  <sheetViews>
    <sheetView showGridLines="0" zoomScale="85" zoomScaleNormal="85" workbookViewId="0">
      <pane xSplit="6" ySplit="10" topLeftCell="G11" activePane="bottomRight" state="frozen"/>
      <selection activeCell="P67" sqref="P67:T80"/>
      <selection pane="topRight" activeCell="P67" sqref="P67:T80"/>
      <selection pane="bottomLeft" activeCell="P67" sqref="P67:T80"/>
      <selection pane="bottomRight" activeCell="G11" sqref="G11"/>
    </sheetView>
  </sheetViews>
  <sheetFormatPr defaultColWidth="9.26953125" defaultRowHeight="12.5" x14ac:dyDescent="0.35"/>
  <cols>
    <col min="1" max="1" width="4.7265625" style="2" customWidth="1"/>
    <col min="2" max="2" width="68.7265625" style="2" customWidth="1"/>
    <col min="3" max="3" width="4.7265625" style="2" customWidth="1"/>
    <col min="4"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7" width="12.54296875" style="2" customWidth="1"/>
    <col min="18" max="19" width="2.7265625" style="2" customWidth="1"/>
    <col min="20" max="20" width="13.7265625" style="2" customWidth="1"/>
    <col min="21" max="21" width="2.7265625" style="2" customWidth="1"/>
    <col min="22" max="36" width="13.7265625" style="2" customWidth="1"/>
    <col min="37" max="16384" width="9.26953125" style="2"/>
  </cols>
  <sheetData>
    <row r="2" spans="2:20" s="18" customFormat="1" ht="18" x14ac:dyDescent="0.35">
      <c r="B2" s="18" t="s">
        <v>669</v>
      </c>
    </row>
    <row r="4" spans="2:20" ht="13" x14ac:dyDescent="0.35">
      <c r="B4" s="1" t="s">
        <v>58</v>
      </c>
    </row>
    <row r="5" spans="2:20" ht="12.75" customHeight="1" x14ac:dyDescent="0.35">
      <c r="B5" s="69" t="s">
        <v>207</v>
      </c>
      <c r="C5" s="1"/>
      <c r="D5" s="1"/>
      <c r="L5"/>
    </row>
    <row r="6" spans="2:20" ht="12.75" customHeight="1" x14ac:dyDescent="0.35">
      <c r="B6" s="2" t="s">
        <v>208</v>
      </c>
      <c r="H6" s="19"/>
    </row>
    <row r="7" spans="2:20" x14ac:dyDescent="0.35">
      <c r="B7" s="2" t="s">
        <v>209</v>
      </c>
      <c r="H7" s="19"/>
    </row>
    <row r="9" spans="2:20" s="6" customFormat="1" ht="13" x14ac:dyDescent="0.35">
      <c r="B9" s="6" t="s">
        <v>45</v>
      </c>
      <c r="F9" s="6" t="s">
        <v>27</v>
      </c>
      <c r="H9" s="6" t="s">
        <v>28</v>
      </c>
      <c r="J9" s="6" t="s">
        <v>49</v>
      </c>
      <c r="L9" s="6" t="s">
        <v>88</v>
      </c>
      <c r="M9" s="6" t="s">
        <v>65</v>
      </c>
      <c r="N9" s="6" t="s">
        <v>66</v>
      </c>
      <c r="O9" s="6" t="s">
        <v>67</v>
      </c>
      <c r="P9" s="6" t="s">
        <v>68</v>
      </c>
      <c r="Q9" s="6" t="s">
        <v>69</v>
      </c>
      <c r="T9" s="6" t="s">
        <v>47</v>
      </c>
    </row>
    <row r="12" spans="2:20" s="6" customFormat="1" ht="13" x14ac:dyDescent="0.35">
      <c r="B12" s="6" t="s">
        <v>144</v>
      </c>
    </row>
    <row r="14" spans="2:20" ht="12.75" customHeight="1" x14ac:dyDescent="0.35">
      <c r="B14" s="45" t="s">
        <v>164</v>
      </c>
    </row>
    <row r="15" spans="2:20" ht="12.75" customHeight="1" x14ac:dyDescent="0.25">
      <c r="B15" s="87" t="s">
        <v>166</v>
      </c>
      <c r="F15" s="88" t="s">
        <v>70</v>
      </c>
      <c r="J15" s="38">
        <f>SUM(L15:Q15)</f>
        <v>58</v>
      </c>
      <c r="L15" s="46">
        <f>'Input verwijderingskosten GV'!L13</f>
        <v>0</v>
      </c>
      <c r="M15" s="46">
        <f>'Input verwijderingskosten GV'!M13</f>
        <v>0</v>
      </c>
      <c r="N15" s="46">
        <f>'Input verwijderingskosten GV'!N13</f>
        <v>45</v>
      </c>
      <c r="O15" s="46">
        <f>'Input verwijderingskosten GV'!O13</f>
        <v>0</v>
      </c>
      <c r="P15" s="46">
        <f>'Input verwijderingskosten GV'!P13</f>
        <v>13</v>
      </c>
      <c r="Q15" s="46">
        <f>'Input verwijderingskosten GV'!Q13</f>
        <v>0</v>
      </c>
    </row>
    <row r="16" spans="2:20" ht="12.75" customHeight="1" x14ac:dyDescent="0.25">
      <c r="B16" s="87" t="s">
        <v>167</v>
      </c>
      <c r="F16" s="236" t="s">
        <v>160</v>
      </c>
      <c r="J16" s="38">
        <f t="shared" ref="J16:J25" si="0">SUM(L16:Q16)</f>
        <v>548542.86821974663</v>
      </c>
      <c r="L16" s="46">
        <f>'Input verwijderingskosten GV'!L14</f>
        <v>0</v>
      </c>
      <c r="M16" s="46">
        <f>'Input verwijderingskosten GV'!M14</f>
        <v>0</v>
      </c>
      <c r="N16" s="46">
        <f>'Input verwijderingskosten GV'!N14</f>
        <v>425011.45153503399</v>
      </c>
      <c r="O16" s="46">
        <f>'Input verwijderingskosten GV'!O14</f>
        <v>0</v>
      </c>
      <c r="P16" s="46">
        <f>'Input verwijderingskosten GV'!P14</f>
        <v>123531.41668471268</v>
      </c>
      <c r="Q16" s="46">
        <f>'Input verwijderingskosten GV'!Q14</f>
        <v>0</v>
      </c>
    </row>
    <row r="17" spans="1:17" ht="12.75" customHeight="1" x14ac:dyDescent="0.25">
      <c r="B17" s="87"/>
      <c r="F17" s="108"/>
      <c r="J17" s="83"/>
    </row>
    <row r="18" spans="1:17" ht="12.75" customHeight="1" x14ac:dyDescent="0.25">
      <c r="B18" s="87" t="s">
        <v>168</v>
      </c>
      <c r="F18" s="88" t="s">
        <v>70</v>
      </c>
      <c r="J18" s="38">
        <f t="shared" si="0"/>
        <v>679</v>
      </c>
      <c r="L18" s="46">
        <f>'Input verwijderingskosten GV'!L16</f>
        <v>0</v>
      </c>
      <c r="M18" s="46">
        <f>'Input verwijderingskosten GV'!M16</f>
        <v>0</v>
      </c>
      <c r="N18" s="46">
        <f>'Input verwijderingskosten GV'!N16</f>
        <v>612</v>
      </c>
      <c r="O18" s="46">
        <f>'Input verwijderingskosten GV'!O16</f>
        <v>0</v>
      </c>
      <c r="P18" s="46">
        <f>'Input verwijderingskosten GV'!P16</f>
        <v>67</v>
      </c>
      <c r="Q18" s="46">
        <f>'Input verwijderingskosten GV'!Q16</f>
        <v>0</v>
      </c>
    </row>
    <row r="19" spans="1:17" x14ac:dyDescent="0.25">
      <c r="B19" s="87" t="s">
        <v>204</v>
      </c>
      <c r="C19" s="78"/>
      <c r="D19" s="78"/>
      <c r="E19" s="78"/>
      <c r="F19" s="236" t="s">
        <v>160</v>
      </c>
      <c r="J19" s="38">
        <f t="shared" si="0"/>
        <v>47140.208464966112</v>
      </c>
      <c r="L19" s="46">
        <f>'Input verwijderingskosten GV'!L17</f>
        <v>0</v>
      </c>
      <c r="M19" s="46">
        <f>'Input verwijderingskosten GV'!M17</f>
        <v>0</v>
      </c>
      <c r="N19" s="46">
        <f>'Input verwijderingskosten GV'!N17</f>
        <v>42676.978464966109</v>
      </c>
      <c r="O19" s="46">
        <f>'Input verwijderingskosten GV'!O17</f>
        <v>0</v>
      </c>
      <c r="P19" s="46">
        <f>'Input verwijderingskosten GV'!P17</f>
        <v>4463.2299999999996</v>
      </c>
      <c r="Q19" s="46">
        <f>'Input verwijderingskosten GV'!Q17</f>
        <v>0</v>
      </c>
    </row>
    <row r="20" spans="1:17" ht="13" x14ac:dyDescent="0.35">
      <c r="B20" s="45"/>
      <c r="C20" s="78"/>
      <c r="D20" s="78"/>
      <c r="E20" s="78"/>
      <c r="F20" s="78"/>
      <c r="J20" s="83"/>
    </row>
    <row r="21" spans="1:17" ht="13" x14ac:dyDescent="0.35">
      <c r="B21" s="45" t="s">
        <v>165</v>
      </c>
      <c r="J21" s="83"/>
    </row>
    <row r="22" spans="1:17" x14ac:dyDescent="0.25">
      <c r="B22" s="87" t="s">
        <v>166</v>
      </c>
      <c r="F22" s="88" t="s">
        <v>70</v>
      </c>
      <c r="J22" s="38">
        <f t="shared" si="0"/>
        <v>71</v>
      </c>
      <c r="L22" s="46">
        <f>'Input verwijderingskosten GV'!L20</f>
        <v>0</v>
      </c>
      <c r="M22" s="46">
        <f>'Input verwijderingskosten GV'!M20</f>
        <v>0</v>
      </c>
      <c r="N22" s="46">
        <f>'Input verwijderingskosten GV'!N20</f>
        <v>31</v>
      </c>
      <c r="O22" s="46">
        <f>'Input verwijderingskosten GV'!O20</f>
        <v>0</v>
      </c>
      <c r="P22" s="46">
        <f>'Input verwijderingskosten GV'!P20</f>
        <v>36</v>
      </c>
      <c r="Q22" s="46">
        <f>'Input verwijderingskosten GV'!Q20</f>
        <v>4</v>
      </c>
    </row>
    <row r="23" spans="1:17" x14ac:dyDescent="0.25">
      <c r="B23" s="87" t="s">
        <v>167</v>
      </c>
      <c r="F23" s="236" t="s">
        <v>160</v>
      </c>
      <c r="J23" s="38">
        <f t="shared" si="0"/>
        <v>1049258.7017885256</v>
      </c>
      <c r="L23" s="46">
        <f>'Input verwijderingskosten GV'!L21</f>
        <v>0</v>
      </c>
      <c r="M23" s="46">
        <f>'Input verwijderingskosten GV'!M21</f>
        <v>0</v>
      </c>
      <c r="N23" s="46">
        <f>'Input verwijderingskosten GV'!N21</f>
        <v>440240.06847323838</v>
      </c>
      <c r="O23" s="46">
        <f>'Input verwijderingskosten GV'!O21</f>
        <v>0</v>
      </c>
      <c r="P23" s="46">
        <f>'Input verwijderingskosten GV'!P21</f>
        <v>588184.55331528722</v>
      </c>
      <c r="Q23" s="46">
        <f>'Input verwijderingskosten GV'!Q21</f>
        <v>20834.080000000002</v>
      </c>
    </row>
    <row r="24" spans="1:17" x14ac:dyDescent="0.25">
      <c r="B24" s="87"/>
      <c r="F24" s="108"/>
      <c r="J24" s="83"/>
    </row>
    <row r="25" spans="1:17" x14ac:dyDescent="0.25">
      <c r="B25" s="87" t="s">
        <v>168</v>
      </c>
      <c r="F25" s="88" t="s">
        <v>70</v>
      </c>
      <c r="J25" s="38">
        <f t="shared" si="0"/>
        <v>380</v>
      </c>
      <c r="L25" s="46">
        <f>'Input verwijderingskosten GV'!L23</f>
        <v>0</v>
      </c>
      <c r="M25" s="46">
        <f>'Input verwijderingskosten GV'!M23</f>
        <v>0</v>
      </c>
      <c r="N25" s="46">
        <f>'Input verwijderingskosten GV'!N23</f>
        <v>350</v>
      </c>
      <c r="O25" s="46">
        <f>'Input verwijderingskosten GV'!O23</f>
        <v>0</v>
      </c>
      <c r="P25" s="46">
        <f>'Input verwijderingskosten GV'!P23</f>
        <v>30</v>
      </c>
      <c r="Q25" s="46">
        <f>'Input verwijderingskosten GV'!Q23</f>
        <v>0</v>
      </c>
    </row>
    <row r="26" spans="1:17" x14ac:dyDescent="0.25">
      <c r="B26" s="87" t="s">
        <v>204</v>
      </c>
      <c r="C26" s="78"/>
      <c r="D26" s="78"/>
      <c r="E26" s="78"/>
      <c r="F26" s="236" t="s">
        <v>160</v>
      </c>
      <c r="J26" s="38">
        <f>SUM(L26:Q26)</f>
        <v>50432.911526761643</v>
      </c>
      <c r="L26" s="46">
        <f>'Input verwijderingskosten GV'!L24</f>
        <v>0</v>
      </c>
      <c r="M26" s="46">
        <f>'Input verwijderingskosten GV'!M24</f>
        <v>0</v>
      </c>
      <c r="N26" s="46">
        <f>'Input verwijderingskosten GV'!N24</f>
        <v>50391.761526761642</v>
      </c>
      <c r="O26" s="46">
        <f>'Input verwijderingskosten GV'!O24</f>
        <v>0</v>
      </c>
      <c r="P26" s="46">
        <f>'Input verwijderingskosten GV'!P24</f>
        <v>41.150000000000006</v>
      </c>
      <c r="Q26" s="46">
        <f>'Input verwijderingskosten GV'!Q24</f>
        <v>0</v>
      </c>
    </row>
    <row r="28" spans="1:17" x14ac:dyDescent="0.25">
      <c r="A28" s="206"/>
      <c r="B28" s="39" t="s">
        <v>583</v>
      </c>
      <c r="C28" s="27"/>
      <c r="D28" s="27"/>
      <c r="E28" s="27"/>
      <c r="F28" s="47" t="s">
        <v>72</v>
      </c>
      <c r="H28" s="48">
        <f>Parameters!P74</f>
        <v>0.11818696111160243</v>
      </c>
    </row>
    <row r="30" spans="1:17" s="6" customFormat="1" ht="13" x14ac:dyDescent="0.35">
      <c r="B30" s="6" t="s">
        <v>103</v>
      </c>
    </row>
    <row r="32" spans="1:17" ht="13" x14ac:dyDescent="0.35">
      <c r="B32" s="1" t="s">
        <v>169</v>
      </c>
    </row>
    <row r="33" spans="2:10" x14ac:dyDescent="0.25">
      <c r="B33" s="87" t="s">
        <v>145</v>
      </c>
      <c r="F33" s="88" t="s">
        <v>70</v>
      </c>
      <c r="J33" s="109">
        <f>J15</f>
        <v>58</v>
      </c>
    </row>
    <row r="34" spans="2:10" x14ac:dyDescent="0.25">
      <c r="B34" s="87" t="s">
        <v>172</v>
      </c>
      <c r="F34" s="236" t="s">
        <v>160</v>
      </c>
      <c r="J34" s="109">
        <f>J16</f>
        <v>548542.86821974663</v>
      </c>
    </row>
    <row r="35" spans="2:10" x14ac:dyDescent="0.25">
      <c r="B35" s="2" t="s">
        <v>210</v>
      </c>
      <c r="F35" s="236" t="s">
        <v>160</v>
      </c>
      <c r="J35" s="38">
        <f>J34/J33</f>
        <v>9457.6356589611496</v>
      </c>
    </row>
    <row r="37" spans="2:10" x14ac:dyDescent="0.25">
      <c r="B37" s="87" t="s">
        <v>171</v>
      </c>
      <c r="F37" s="88" t="s">
        <v>70</v>
      </c>
      <c r="J37" s="109">
        <f>J18</f>
        <v>679</v>
      </c>
    </row>
    <row r="38" spans="2:10" x14ac:dyDescent="0.25">
      <c r="B38" s="2" t="s">
        <v>146</v>
      </c>
      <c r="F38" s="236" t="s">
        <v>160</v>
      </c>
      <c r="J38" s="109">
        <f>J19</f>
        <v>47140.208464966112</v>
      </c>
    </row>
    <row r="39" spans="2:10" x14ac:dyDescent="0.25">
      <c r="B39" s="2" t="s">
        <v>173</v>
      </c>
      <c r="F39" s="236" t="s">
        <v>160</v>
      </c>
      <c r="J39" s="38">
        <f>J38/J37</f>
        <v>69.425932938094419</v>
      </c>
    </row>
    <row r="41" spans="2:10" ht="13" x14ac:dyDescent="0.35">
      <c r="B41" s="1" t="s">
        <v>174</v>
      </c>
    </row>
    <row r="42" spans="2:10" x14ac:dyDescent="0.25">
      <c r="B42" s="87" t="s">
        <v>145</v>
      </c>
      <c r="F42" s="88" t="s">
        <v>70</v>
      </c>
      <c r="J42" s="109">
        <f>J22</f>
        <v>71</v>
      </c>
    </row>
    <row r="43" spans="2:10" x14ac:dyDescent="0.25">
      <c r="B43" s="87" t="s">
        <v>172</v>
      </c>
      <c r="F43" s="236" t="s">
        <v>160</v>
      </c>
      <c r="J43" s="109">
        <f>J23</f>
        <v>1049258.7017885256</v>
      </c>
    </row>
    <row r="44" spans="2:10" x14ac:dyDescent="0.25">
      <c r="B44" s="2" t="s">
        <v>170</v>
      </c>
      <c r="F44" s="236" t="s">
        <v>160</v>
      </c>
      <c r="J44" s="38">
        <f>J43/J42</f>
        <v>14778.291574486275</v>
      </c>
    </row>
    <row r="46" spans="2:10" x14ac:dyDescent="0.25">
      <c r="B46" s="87" t="s">
        <v>171</v>
      </c>
      <c r="F46" s="88" t="s">
        <v>70</v>
      </c>
      <c r="J46" s="109">
        <f>J25</f>
        <v>380</v>
      </c>
    </row>
    <row r="47" spans="2:10" x14ac:dyDescent="0.25">
      <c r="B47" s="2" t="s">
        <v>146</v>
      </c>
      <c r="F47" s="236" t="s">
        <v>160</v>
      </c>
      <c r="J47" s="109">
        <f>J26</f>
        <v>50432.911526761643</v>
      </c>
    </row>
    <row r="48" spans="2:10" x14ac:dyDescent="0.25">
      <c r="B48" s="2" t="s">
        <v>173</v>
      </c>
      <c r="F48" s="236" t="s">
        <v>160</v>
      </c>
      <c r="J48" s="38">
        <f>J47/J46</f>
        <v>132.71818822832012</v>
      </c>
    </row>
    <row r="50" spans="2:17" ht="13" x14ac:dyDescent="0.35">
      <c r="B50" s="1" t="s">
        <v>149</v>
      </c>
    </row>
    <row r="51" spans="2:17" x14ac:dyDescent="0.25">
      <c r="B51" s="2" t="s">
        <v>211</v>
      </c>
      <c r="F51" s="236" t="s">
        <v>160</v>
      </c>
      <c r="H51" s="83"/>
      <c r="J51" s="38">
        <f>SUM(L51:Q51)</f>
        <v>1695374.69</v>
      </c>
      <c r="L51" s="38">
        <f t="shared" ref="L51:Q51" si="1" xml:space="preserve"> L15*$J$35 + L18*$J$39 + L22*$J$44 + L25*$J$48</f>
        <v>0</v>
      </c>
      <c r="M51" s="38">
        <f t="shared" si="1"/>
        <v>0</v>
      </c>
      <c r="N51" s="38">
        <f t="shared" si="1"/>
        <v>972660.68030035205</v>
      </c>
      <c r="O51" s="38">
        <f t="shared" si="1"/>
        <v>0</v>
      </c>
      <c r="P51" s="38">
        <f t="shared" si="1"/>
        <v>663600.84340170282</v>
      </c>
      <c r="Q51" s="38">
        <f t="shared" si="1"/>
        <v>59113.166297945099</v>
      </c>
    </row>
    <row r="53" spans="2:17" s="6" customFormat="1" ht="12.75" customHeight="1" x14ac:dyDescent="0.35">
      <c r="B53" s="6" t="s">
        <v>71</v>
      </c>
    </row>
    <row r="55" spans="2:17" x14ac:dyDescent="0.35">
      <c r="B55" s="2" t="s">
        <v>670</v>
      </c>
      <c r="F55" s="2" t="s">
        <v>117</v>
      </c>
      <c r="J55" s="38">
        <f>SUM(L55:Q55)</f>
        <v>1895745.8725566249</v>
      </c>
      <c r="L55" s="37">
        <f t="shared" ref="L55:Q55" si="2">L51*(1+$H$28)</f>
        <v>0</v>
      </c>
      <c r="M55" s="37">
        <f t="shared" si="2"/>
        <v>0</v>
      </c>
      <c r="N55" s="37">
        <f t="shared" si="2"/>
        <v>1087616.4902977946</v>
      </c>
      <c r="O55" s="37">
        <f t="shared" si="2"/>
        <v>0</v>
      </c>
      <c r="P55" s="37">
        <f t="shared" si="2"/>
        <v>742029.81047444639</v>
      </c>
      <c r="Q55" s="37">
        <f t="shared" si="2"/>
        <v>66099.571784384025</v>
      </c>
    </row>
    <row r="58" spans="2:17" x14ac:dyDescent="0.35">
      <c r="L58" s="83"/>
      <c r="M58" s="83"/>
      <c r="N58" s="83"/>
      <c r="O58" s="83"/>
      <c r="P58" s="83"/>
      <c r="Q58" s="83"/>
    </row>
    <row r="60" spans="2:17" x14ac:dyDescent="0.35">
      <c r="L60" s="83"/>
      <c r="M60" s="83"/>
      <c r="N60" s="83"/>
      <c r="O60" s="83"/>
      <c r="P60" s="83"/>
      <c r="Q60" s="83"/>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EE232-5139-40B4-8F56-6A1DBBB5D0CF}">
  <sheetPr>
    <tabColor rgb="FFFFFFCC"/>
  </sheetPr>
  <dimension ref="A1:T36"/>
  <sheetViews>
    <sheetView showGridLines="0" zoomScale="85" zoomScaleNormal="85" workbookViewId="0">
      <pane xSplit="6" ySplit="16" topLeftCell="G17" activePane="bottomRight" state="frozen"/>
      <selection pane="topRight" activeCell="G1" sqref="G1"/>
      <selection pane="bottomLeft" activeCell="A11" sqref="A11"/>
      <selection pane="bottomRight" activeCell="G17" sqref="G17"/>
    </sheetView>
  </sheetViews>
  <sheetFormatPr defaultColWidth="8.7265625" defaultRowHeight="12" customHeight="1" x14ac:dyDescent="0.35"/>
  <cols>
    <col min="1" max="1" width="4.7265625" style="112" customWidth="1"/>
    <col min="2" max="2" width="45.453125" style="112" customWidth="1"/>
    <col min="3" max="3" width="4.7265625" style="112" customWidth="1"/>
    <col min="4" max="5" width="4.54296875" style="112" customWidth="1"/>
    <col min="6" max="6" width="13.7265625" style="112" customWidth="1"/>
    <col min="7" max="7" width="2.7265625" style="112" customWidth="1"/>
    <col min="8" max="8" width="13.7265625" style="112" customWidth="1"/>
    <col min="9" max="9" width="2.7265625" style="112" customWidth="1"/>
    <col min="10" max="10" width="13.7265625" style="112" customWidth="1"/>
    <col min="11" max="11" width="2.7265625" style="112" customWidth="1"/>
    <col min="12" max="17" width="12.54296875" style="112" customWidth="1"/>
    <col min="18" max="19" width="2.7265625" style="112" customWidth="1"/>
    <col min="20" max="20" width="13.7265625" style="112" customWidth="1"/>
    <col min="21" max="21" width="2.7265625" style="112" customWidth="1"/>
    <col min="22" max="36" width="13.7265625" style="112" customWidth="1"/>
    <col min="37" max="16384" width="8.7265625" style="112"/>
  </cols>
  <sheetData>
    <row r="1" spans="2:20" s="2" customFormat="1" ht="12.75" customHeight="1" x14ac:dyDescent="0.35"/>
    <row r="2" spans="2:20" s="18" customFormat="1" ht="18" x14ac:dyDescent="0.35">
      <c r="B2" s="18" t="s">
        <v>700</v>
      </c>
    </row>
    <row r="3" spans="2:20" s="2" customFormat="1" ht="12.75" customHeight="1" x14ac:dyDescent="0.35"/>
    <row r="4" spans="2:20" s="2" customFormat="1" ht="12.75" customHeight="1" x14ac:dyDescent="0.35">
      <c r="B4" s="1" t="s">
        <v>29</v>
      </c>
    </row>
    <row r="5" spans="2:20" s="2" customFormat="1" ht="12.75" customHeight="1" x14ac:dyDescent="0.35">
      <c r="B5" s="69" t="s">
        <v>806</v>
      </c>
    </row>
    <row r="6" spans="2:20" s="271" customFormat="1" ht="12.75" customHeight="1" x14ac:dyDescent="0.35">
      <c r="B6" s="270"/>
    </row>
    <row r="7" spans="2:20" s="2" customFormat="1" ht="12.75" customHeight="1" x14ac:dyDescent="0.35">
      <c r="B7" s="69" t="s">
        <v>801</v>
      </c>
      <c r="C7" s="1"/>
      <c r="D7" s="1"/>
      <c r="L7"/>
    </row>
    <row r="8" spans="2:20" s="2" customFormat="1" ht="12.75" customHeight="1" x14ac:dyDescent="0.35">
      <c r="B8" s="2" t="s">
        <v>701</v>
      </c>
      <c r="H8" s="19"/>
    </row>
    <row r="9" spans="2:20" s="2" customFormat="1" ht="12.75" customHeight="1" x14ac:dyDescent="0.35">
      <c r="B9" s="2" t="s">
        <v>702</v>
      </c>
      <c r="H9" s="19"/>
    </row>
    <row r="10" spans="2:20" ht="14.5" x14ac:dyDescent="0.35"/>
    <row r="11" spans="2:20" s="2" customFormat="1" ht="12.5" x14ac:dyDescent="0.35">
      <c r="B11" s="69" t="s">
        <v>881</v>
      </c>
      <c r="H11" s="19"/>
    </row>
    <row r="12" spans="2:20" s="2" customFormat="1" ht="12.5" x14ac:dyDescent="0.35">
      <c r="B12" s="2" t="s">
        <v>894</v>
      </c>
      <c r="H12" s="19"/>
    </row>
    <row r="13" spans="2:20" s="2" customFormat="1" ht="12.5" x14ac:dyDescent="0.35">
      <c r="B13" s="292" t="s">
        <v>702</v>
      </c>
    </row>
    <row r="14" spans="2:20" s="2" customFormat="1" ht="12.75" customHeight="1" x14ac:dyDescent="0.35"/>
    <row r="15" spans="2:20" s="6" customFormat="1" ht="12.75" customHeight="1" x14ac:dyDescent="0.35">
      <c r="B15" s="6" t="s">
        <v>45</v>
      </c>
      <c r="F15" s="6" t="s">
        <v>27</v>
      </c>
      <c r="H15" s="6" t="s">
        <v>28</v>
      </c>
      <c r="J15" s="6" t="s">
        <v>49</v>
      </c>
      <c r="L15" s="6" t="s">
        <v>88</v>
      </c>
      <c r="M15" s="6" t="s">
        <v>65</v>
      </c>
      <c r="N15" s="6" t="s">
        <v>66</v>
      </c>
      <c r="O15" s="6" t="s">
        <v>67</v>
      </c>
      <c r="P15" s="6" t="s">
        <v>68</v>
      </c>
      <c r="Q15" s="6" t="s">
        <v>69</v>
      </c>
      <c r="T15" s="6" t="s">
        <v>47</v>
      </c>
    </row>
    <row r="16" spans="2:20" s="2" customFormat="1" ht="12.75" customHeight="1" x14ac:dyDescent="0.35"/>
    <row r="17" spans="2:20" s="2" customFormat="1" ht="12.75" customHeight="1" x14ac:dyDescent="0.35"/>
    <row r="18" spans="2:20" s="6" customFormat="1" ht="12.75" customHeight="1" x14ac:dyDescent="0.35">
      <c r="B18" s="6" t="s">
        <v>144</v>
      </c>
    </row>
    <row r="19" spans="2:20" s="2" customFormat="1" ht="12.75" customHeight="1" x14ac:dyDescent="0.35"/>
    <row r="20" spans="2:20" s="2" customFormat="1" ht="12.75" customHeight="1" x14ac:dyDescent="0.25">
      <c r="B20" s="26" t="s">
        <v>808</v>
      </c>
      <c r="F20" s="39"/>
    </row>
    <row r="21" spans="2:20" s="2" customFormat="1" ht="12.75" customHeight="1" x14ac:dyDescent="0.25">
      <c r="B21" s="252" t="s">
        <v>703</v>
      </c>
      <c r="F21" s="39" t="s">
        <v>160</v>
      </c>
      <c r="J21" s="38">
        <f>SUM(L21:Q21)</f>
        <v>0</v>
      </c>
      <c r="L21" s="149"/>
      <c r="M21" s="149"/>
      <c r="N21" s="149"/>
      <c r="O21" s="149"/>
      <c r="P21" s="149"/>
      <c r="Q21" s="149"/>
    </row>
    <row r="22" spans="2:20" s="2" customFormat="1" ht="12.75" customHeight="1" x14ac:dyDescent="0.25">
      <c r="B22" s="252" t="s">
        <v>704</v>
      </c>
      <c r="F22" s="39" t="s">
        <v>160</v>
      </c>
      <c r="J22" s="38">
        <f>SUM(L22:Q22)</f>
        <v>260990.32</v>
      </c>
      <c r="L22" s="46">
        <f>'Input faillissement leverancier'!L18</f>
        <v>8372.0300000000007</v>
      </c>
      <c r="M22" s="46">
        <f>'Input faillissement leverancier'!M18</f>
        <v>121963</v>
      </c>
      <c r="N22" s="149"/>
      <c r="O22" s="46">
        <f>'Input faillissement leverancier'!O18</f>
        <v>4923</v>
      </c>
      <c r="P22" s="46">
        <f>'Input faillissement leverancier'!P18</f>
        <v>122734</v>
      </c>
      <c r="Q22" s="46">
        <f>'Input faillissement leverancier'!Q18</f>
        <v>2998.29</v>
      </c>
    </row>
    <row r="23" spans="2:20" s="2" customFormat="1" ht="12.75" customHeight="1" x14ac:dyDescent="0.25">
      <c r="B23" s="252"/>
      <c r="F23" s="39"/>
    </row>
    <row r="24" spans="2:20" s="2" customFormat="1" ht="12.75" customHeight="1" x14ac:dyDescent="0.25">
      <c r="B24" s="272" t="s">
        <v>809</v>
      </c>
      <c r="F24" s="39"/>
    </row>
    <row r="25" spans="2:20" s="2" customFormat="1" ht="12.75" customHeight="1" x14ac:dyDescent="0.25">
      <c r="B25" s="252" t="s">
        <v>804</v>
      </c>
      <c r="F25" s="39" t="s">
        <v>160</v>
      </c>
      <c r="J25" s="38">
        <f>SUM(L25:Q25)</f>
        <v>240896.38754573415</v>
      </c>
      <c r="L25" s="46">
        <f>'Input faillissement leverancier'!L22</f>
        <v>28977</v>
      </c>
      <c r="M25" s="46">
        <f>'Input faillissement leverancier'!M22</f>
        <v>77261.144149384752</v>
      </c>
      <c r="N25" s="46">
        <f>'Input faillissement leverancier'!N22</f>
        <v>87840.15</v>
      </c>
      <c r="O25" s="46">
        <f>'Input faillissement leverancier'!O22</f>
        <v>9546</v>
      </c>
      <c r="P25" s="46">
        <f>'Input faillissement leverancier'!P22</f>
        <v>35429.589264117996</v>
      </c>
      <c r="Q25" s="46">
        <f>'Input faillissement leverancier'!Q22</f>
        <v>1842.5041322314048</v>
      </c>
    </row>
    <row r="26" spans="2:20" s="2" customFormat="1" ht="12.75" customHeight="1" x14ac:dyDescent="0.25">
      <c r="B26" s="252"/>
      <c r="F26" s="39"/>
    </row>
    <row r="27" spans="2:20" s="2" customFormat="1" ht="12.75" customHeight="1" x14ac:dyDescent="0.25">
      <c r="B27" s="272" t="s">
        <v>186</v>
      </c>
      <c r="F27" s="39"/>
    </row>
    <row r="28" spans="2:20" s="2" customFormat="1" ht="12.5" x14ac:dyDescent="0.35">
      <c r="B28" s="265" t="s">
        <v>812</v>
      </c>
      <c r="C28" s="265"/>
      <c r="D28" s="265"/>
      <c r="E28" s="265"/>
      <c r="F28" s="265"/>
      <c r="G28" s="265"/>
      <c r="H28" s="253">
        <f>'Input parameters'!H38</f>
        <v>0.21</v>
      </c>
      <c r="J28" s="19"/>
      <c r="T28" s="19"/>
    </row>
    <row r="29" spans="2:20" s="2" customFormat="1" ht="12.75" customHeight="1" x14ac:dyDescent="0.25">
      <c r="B29" s="39" t="s">
        <v>583</v>
      </c>
      <c r="C29" s="247"/>
      <c r="D29" s="247"/>
      <c r="E29" s="247"/>
      <c r="F29" s="254" t="s">
        <v>72</v>
      </c>
      <c r="H29" s="253">
        <f>Parameters!P74</f>
        <v>0.11818696111160243</v>
      </c>
      <c r="T29" s="19"/>
    </row>
    <row r="30" spans="2:20" s="2" customFormat="1" ht="12.75" customHeight="1" x14ac:dyDescent="0.25">
      <c r="F30" s="39"/>
      <c r="T30" s="19"/>
    </row>
    <row r="31" spans="2:20" s="6" customFormat="1" ht="12.75" customHeight="1" x14ac:dyDescent="0.35">
      <c r="B31" s="6" t="s">
        <v>71</v>
      </c>
    </row>
    <row r="32" spans="2:20" s="2" customFormat="1" ht="12" customHeight="1" x14ac:dyDescent="0.35"/>
    <row r="33" spans="1:17" s="2" customFormat="1" ht="12" customHeight="1" x14ac:dyDescent="0.35">
      <c r="B33" s="2" t="s">
        <v>807</v>
      </c>
      <c r="F33" s="2" t="s">
        <v>117</v>
      </c>
      <c r="J33" s="38">
        <f>SUM(L33:Q33)</f>
        <v>353121.52708841703</v>
      </c>
      <c r="L33" s="37">
        <f t="shared" ref="L33:Q33" si="0">SUM(L21:L22)*(1+$H$28)*(1+$H$29)</f>
        <v>11327.408688682555</v>
      </c>
      <c r="M33" s="37">
        <f t="shared" si="0"/>
        <v>165016.69796904575</v>
      </c>
      <c r="N33" s="37">
        <f t="shared" si="0"/>
        <v>0</v>
      </c>
      <c r="O33" s="37">
        <f t="shared" si="0"/>
        <v>6660.8496355584266</v>
      </c>
      <c r="P33" s="37">
        <f t="shared" si="0"/>
        <v>166059.86576693639</v>
      </c>
      <c r="Q33" s="37">
        <f t="shared" si="0"/>
        <v>4056.7050281938805</v>
      </c>
    </row>
    <row r="34" spans="1:17" s="2" customFormat="1" ht="12" customHeight="1" x14ac:dyDescent="0.35">
      <c r="A34" s="112"/>
      <c r="B34" s="2" t="s">
        <v>810</v>
      </c>
      <c r="F34" s="2" t="s">
        <v>117</v>
      </c>
      <c r="J34" s="38">
        <f>SUM(L34:Q34)</f>
        <v>325934.31143435813</v>
      </c>
      <c r="L34" s="37">
        <f>L25*(1+$H$28)*(1+$H$29)</f>
        <v>39206.061322278394</v>
      </c>
      <c r="M34" s="37">
        <f t="shared" ref="M34:Q34" si="1">M25*(1+$H$28)*(1+$H$29)</f>
        <v>104534.80882597125</v>
      </c>
      <c r="N34" s="37">
        <f t="shared" si="1"/>
        <v>118848.26957442565</v>
      </c>
      <c r="O34" s="37">
        <f t="shared" si="1"/>
        <v>12915.797404233341</v>
      </c>
      <c r="P34" s="37">
        <f t="shared" si="1"/>
        <v>47936.454750738383</v>
      </c>
      <c r="Q34" s="37">
        <f t="shared" si="1"/>
        <v>2492.9195567110396</v>
      </c>
    </row>
    <row r="36" spans="1:17" ht="12" customHeight="1" x14ac:dyDescent="0.35">
      <c r="B36" s="269" t="s">
        <v>811</v>
      </c>
      <c r="F36" s="2" t="s">
        <v>117</v>
      </c>
      <c r="J36" s="38">
        <f>SUM(L36:Q36)</f>
        <v>27187.215654058935</v>
      </c>
      <c r="K36" s="2"/>
      <c r="L36" s="37">
        <f>L33-L34</f>
        <v>-27878.652633595841</v>
      </c>
      <c r="M36" s="37">
        <f t="shared" ref="M36:Q36" si="2">M33-M34</f>
        <v>60481.889143074499</v>
      </c>
      <c r="N36" s="37">
        <f t="shared" si="2"/>
        <v>-118848.26957442565</v>
      </c>
      <c r="O36" s="37">
        <f t="shared" si="2"/>
        <v>-6254.9477686749142</v>
      </c>
      <c r="P36" s="37">
        <f t="shared" si="2"/>
        <v>118123.41101619801</v>
      </c>
      <c r="Q36" s="37">
        <f t="shared" si="2"/>
        <v>1563.7854714828409</v>
      </c>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CC"/>
  </sheetPr>
  <dimension ref="A2:W76"/>
  <sheetViews>
    <sheetView showGridLines="0" zoomScale="85" zoomScaleNormal="85" workbookViewId="0">
      <pane xSplit="6" ySplit="16" topLeftCell="G17" activePane="bottomRight" state="frozen"/>
      <selection activeCell="Q27" sqref="Q27"/>
      <selection pane="topRight" activeCell="Q27" sqref="Q27"/>
      <selection pane="bottomLeft" activeCell="Q27" sqref="Q27"/>
      <selection pane="bottomRight" activeCell="G17" sqref="G17"/>
    </sheetView>
  </sheetViews>
  <sheetFormatPr defaultColWidth="9.26953125" defaultRowHeight="12.75" customHeight="1" x14ac:dyDescent="0.35"/>
  <cols>
    <col min="1" max="1" width="4" style="2" customWidth="1"/>
    <col min="2" max="2" width="72.453125" style="2" customWidth="1"/>
    <col min="3" max="5" width="4.54296875" style="2" customWidth="1"/>
    <col min="6" max="6" width="13.7265625" style="2" customWidth="1"/>
    <col min="7" max="7" width="2.7265625" style="2" customWidth="1"/>
    <col min="8" max="8" width="13.7265625" style="2" customWidth="1"/>
    <col min="9" max="9" width="2.7265625" style="2" customWidth="1"/>
    <col min="10" max="10" width="14.7265625" style="2" bestFit="1" customWidth="1"/>
    <col min="11" max="11" width="2.7265625" style="2" customWidth="1"/>
    <col min="12" max="12" width="12.54296875" style="30" customWidth="1"/>
    <col min="13" max="14" width="15" style="30" bestFit="1" customWidth="1"/>
    <col min="15" max="15" width="12.54296875" style="30" customWidth="1"/>
    <col min="16" max="16" width="15" style="30" bestFit="1" customWidth="1"/>
    <col min="17" max="17" width="12.54296875" style="30" customWidth="1"/>
    <col min="18" max="19" width="2.7265625" style="2" customWidth="1"/>
    <col min="20" max="34" width="13.7265625" style="2" customWidth="1"/>
    <col min="35" max="16384" width="9.26953125" style="2"/>
  </cols>
  <sheetData>
    <row r="2" spans="2:20" s="18" customFormat="1" ht="18" x14ac:dyDescent="0.35">
      <c r="B2" s="18" t="s">
        <v>89</v>
      </c>
      <c r="L2" s="29"/>
      <c r="M2" s="29"/>
      <c r="N2" s="29"/>
      <c r="O2" s="29"/>
      <c r="P2" s="29"/>
      <c r="Q2" s="29"/>
    </row>
    <row r="4" spans="2:20" ht="12.75" customHeight="1" x14ac:dyDescent="0.35">
      <c r="B4" s="1" t="s">
        <v>58</v>
      </c>
      <c r="C4" s="1"/>
      <c r="D4" s="1"/>
      <c r="J4"/>
    </row>
    <row r="5" spans="2:20" s="27" customFormat="1" ht="12.75" customHeight="1" x14ac:dyDescent="0.25">
      <c r="B5" s="27" t="s">
        <v>90</v>
      </c>
    </row>
    <row r="6" spans="2:20" s="27" customFormat="1" ht="12.75" customHeight="1" x14ac:dyDescent="0.25">
      <c r="B6" s="76" t="s">
        <v>113</v>
      </c>
    </row>
    <row r="7" spans="2:20" s="27" customFormat="1" ht="12.75" customHeight="1" x14ac:dyDescent="0.25">
      <c r="B7" s="236" t="s">
        <v>671</v>
      </c>
    </row>
    <row r="8" spans="2:20" s="27" customFormat="1" ht="12.75" customHeight="1" x14ac:dyDescent="0.25">
      <c r="B8" s="27" t="s">
        <v>91</v>
      </c>
    </row>
    <row r="9" spans="2:20" s="27" customFormat="1" ht="12.75" customHeight="1" x14ac:dyDescent="0.25">
      <c r="B9" s="215" t="s">
        <v>505</v>
      </c>
    </row>
    <row r="10" spans="2:20" s="27" customFormat="1" ht="12.75" customHeight="1" x14ac:dyDescent="0.25">
      <c r="B10" s="237" t="s">
        <v>672</v>
      </c>
    </row>
    <row r="11" spans="2:20" s="27" customFormat="1" ht="12.75" customHeight="1" x14ac:dyDescent="0.25">
      <c r="B11" s="73" t="s">
        <v>673</v>
      </c>
    </row>
    <row r="12" spans="2:20" s="27" customFormat="1" ht="12.75" customHeight="1" x14ac:dyDescent="0.25">
      <c r="B12" s="237" t="s">
        <v>674</v>
      </c>
    </row>
    <row r="13" spans="2:20" s="27" customFormat="1" ht="12.75" customHeight="1" x14ac:dyDescent="0.25">
      <c r="B13" s="128" t="s">
        <v>222</v>
      </c>
    </row>
    <row r="15" spans="2:20" s="6" customFormat="1" ht="12.75" customHeight="1" x14ac:dyDescent="0.35">
      <c r="B15" s="6" t="s">
        <v>45</v>
      </c>
      <c r="F15" s="6" t="s">
        <v>27</v>
      </c>
      <c r="H15" s="6" t="s">
        <v>28</v>
      </c>
      <c r="J15" s="6" t="s">
        <v>49</v>
      </c>
      <c r="L15" s="31" t="s">
        <v>88</v>
      </c>
      <c r="M15" s="31" t="s">
        <v>65</v>
      </c>
      <c r="N15" s="31" t="s">
        <v>66</v>
      </c>
      <c r="O15" s="31" t="s">
        <v>67</v>
      </c>
      <c r="P15" s="31" t="s">
        <v>68</v>
      </c>
      <c r="Q15" s="31" t="s">
        <v>69</v>
      </c>
      <c r="T15" s="6" t="s">
        <v>47</v>
      </c>
    </row>
    <row r="18" spans="2:20" s="6" customFormat="1" ht="13" x14ac:dyDescent="0.35">
      <c r="B18" s="6" t="s">
        <v>102</v>
      </c>
    </row>
    <row r="20" spans="2:20" ht="12.75" customHeight="1" x14ac:dyDescent="0.35">
      <c r="B20" s="2" t="s">
        <v>114</v>
      </c>
      <c r="F20" s="2" t="s">
        <v>96</v>
      </c>
      <c r="J20" s="105">
        <f>SUM(L20:Q20)</f>
        <v>23099824.644724157</v>
      </c>
      <c r="L20" s="46">
        <f>'Input richtbedragen'!L19</f>
        <v>411570.22000000003</v>
      </c>
      <c r="M20" s="46">
        <f>'Input richtbedragen'!M19</f>
        <v>6661906.4299997473</v>
      </c>
      <c r="N20" s="46">
        <f>'Input richtbedragen'!N19</f>
        <v>9287762.9469170291</v>
      </c>
      <c r="O20" s="46">
        <f>'Input richtbedragen'!O19</f>
        <v>194478.21000000002</v>
      </c>
      <c r="P20" s="46">
        <f>'Input richtbedragen'!P19</f>
        <v>5870595.3378073797</v>
      </c>
      <c r="Q20" s="46">
        <f>'Input richtbedragen'!Q19</f>
        <v>673511.5</v>
      </c>
      <c r="T20" s="83"/>
    </row>
    <row r="21" spans="2:20" ht="12.75" customHeight="1" x14ac:dyDescent="0.35">
      <c r="T21" s="83"/>
    </row>
    <row r="22" spans="2:20" ht="12.75" customHeight="1" x14ac:dyDescent="0.35">
      <c r="B22" s="2" t="s">
        <v>133</v>
      </c>
      <c r="F22" s="2" t="s">
        <v>72</v>
      </c>
      <c r="H22" s="55">
        <f>'Input richtbedragen'!H23</f>
        <v>2.5444272186812E-3</v>
      </c>
    </row>
    <row r="23" spans="2:20" ht="12.75" customHeight="1" x14ac:dyDescent="0.35">
      <c r="B23" s="2" t="s">
        <v>134</v>
      </c>
      <c r="F23" s="2" t="s">
        <v>72</v>
      </c>
      <c r="H23" s="55">
        <f>'Input richtbedragen'!H24</f>
        <v>-3.1175556579387642E-2</v>
      </c>
    </row>
    <row r="24" spans="2:20" ht="12.75" customHeight="1" x14ac:dyDescent="0.35">
      <c r="H24" s="81"/>
    </row>
    <row r="25" spans="2:20" ht="12.75" customHeight="1" x14ac:dyDescent="0.35">
      <c r="B25" s="2" t="s">
        <v>115</v>
      </c>
      <c r="F25" s="2" t="s">
        <v>72</v>
      </c>
      <c r="H25" s="48">
        <f>'Input richtbedragen'!H26</f>
        <v>1.7999999999999999E-2</v>
      </c>
    </row>
    <row r="27" spans="2:20" ht="12.75" customHeight="1" x14ac:dyDescent="0.35">
      <c r="B27" s="2" t="s">
        <v>127</v>
      </c>
      <c r="F27" s="2" t="s">
        <v>105</v>
      </c>
      <c r="J27" s="105">
        <f>SUM(L27:Q27)</f>
        <v>888260407.80167758</v>
      </c>
      <c r="L27" s="46">
        <f>'Input richtbedragen'!L31</f>
        <v>17509659.581804149</v>
      </c>
      <c r="M27" s="46">
        <f>'Input richtbedragen'!M31</f>
        <v>285208457.58122259</v>
      </c>
      <c r="N27" s="46">
        <f>'Input richtbedragen'!N31</f>
        <v>305251081.66104859</v>
      </c>
      <c r="O27" s="46">
        <f>'Input richtbedragen'!O31</f>
        <v>12863116.073261615</v>
      </c>
      <c r="P27" s="46">
        <f>'Input richtbedragen'!P31</f>
        <v>251539922.51591069</v>
      </c>
      <c r="Q27" s="46">
        <f>'Input richtbedragen'!Q31</f>
        <v>15888170.388429981</v>
      </c>
    </row>
    <row r="28" spans="2:20" ht="12.75" customHeight="1" x14ac:dyDescent="0.35">
      <c r="B28" s="2" t="s">
        <v>118</v>
      </c>
      <c r="F28" s="2" t="s">
        <v>117</v>
      </c>
      <c r="J28" s="105">
        <f>SUM(L28:Q28)</f>
        <v>859426929.27288222</v>
      </c>
      <c r="L28" s="46">
        <f>'Input richtbedragen'!L32</f>
        <v>16935960.356919076</v>
      </c>
      <c r="M28" s="46">
        <f>'Input richtbedragen'!M32</f>
        <v>275938826.4471187</v>
      </c>
      <c r="N28" s="46">
        <f>'Input richtbedragen'!N32</f>
        <v>295307092.08325708</v>
      </c>
      <c r="O28" s="46">
        <f>'Input richtbedragen'!O32</f>
        <v>12442728.574689055</v>
      </c>
      <c r="P28" s="46">
        <f>'Input richtbedragen'!P32</f>
        <v>243356366.79163417</v>
      </c>
      <c r="Q28" s="46">
        <f>'Input richtbedragen'!Q32</f>
        <v>15445955.019264191</v>
      </c>
    </row>
    <row r="30" spans="2:20" ht="12.75" customHeight="1" x14ac:dyDescent="0.35">
      <c r="B30" s="2" t="s">
        <v>125</v>
      </c>
      <c r="F30" s="2" t="s">
        <v>105</v>
      </c>
      <c r="J30" s="105">
        <f>SUM(L30:Q30)</f>
        <v>284524900.33896959</v>
      </c>
      <c r="L30" s="46">
        <f>'Input richtbedragen'!L28</f>
        <v>5508016.3787032366</v>
      </c>
      <c r="M30" s="46">
        <f>'Input richtbedragen'!M28</f>
        <v>90159029.908431798</v>
      </c>
      <c r="N30" s="46">
        <f>'Input richtbedragen'!N28</f>
        <v>101769336.04517412</v>
      </c>
      <c r="O30" s="46">
        <f>'Input richtbedragen'!O28</f>
        <v>4000202.1494243168</v>
      </c>
      <c r="P30" s="46">
        <f>'Input richtbedragen'!P28</f>
        <v>79420032.434590772</v>
      </c>
      <c r="Q30" s="46">
        <f>'Input richtbedragen'!Q28</f>
        <v>3668283.4226453337</v>
      </c>
    </row>
    <row r="31" spans="2:20" ht="12.75" customHeight="1" x14ac:dyDescent="0.35">
      <c r="B31" s="2" t="s">
        <v>116</v>
      </c>
      <c r="F31" s="2" t="s">
        <v>117</v>
      </c>
      <c r="J31" s="105">
        <f>SUM(L31:Q31)</f>
        <v>338005598.12439919</v>
      </c>
      <c r="L31" s="46">
        <f>'Input richtbedragen'!L29</f>
        <v>6543330.1912928689</v>
      </c>
      <c r="M31" s="46">
        <f>'Input richtbedragen'!M29</f>
        <v>107105764.0094399</v>
      </c>
      <c r="N31" s="46">
        <f>'Input richtbedragen'!N29</f>
        <v>120898400.31466901</v>
      </c>
      <c r="O31" s="46">
        <f>'Input richtbedragen'!O29</f>
        <v>4752099.7934586955</v>
      </c>
      <c r="P31" s="46">
        <f>'Input richtbedragen'!P29</f>
        <v>94348211.823049098</v>
      </c>
      <c r="Q31" s="46">
        <f>'Input richtbedragen'!Q29</f>
        <v>4357791.992489568</v>
      </c>
    </row>
    <row r="33" spans="2:17" ht="12.75" customHeight="1" x14ac:dyDescent="0.35">
      <c r="B33" s="2" t="s">
        <v>126</v>
      </c>
      <c r="F33" s="2" t="s">
        <v>105</v>
      </c>
      <c r="H33" s="46">
        <f>'Input richtbedragen'!H21</f>
        <v>24119144.337028138</v>
      </c>
    </row>
    <row r="35" spans="2:17" s="6" customFormat="1" ht="13" x14ac:dyDescent="0.35">
      <c r="B35" s="6" t="s">
        <v>103</v>
      </c>
    </row>
    <row r="37" spans="2:17" ht="12.75" customHeight="1" x14ac:dyDescent="0.25">
      <c r="B37" s="27" t="s">
        <v>119</v>
      </c>
      <c r="F37" s="27" t="s">
        <v>117</v>
      </c>
      <c r="H37" s="38">
        <f>H33*(1-H23)^5*(1+H25)^5</f>
        <v>30744245.211121149</v>
      </c>
    </row>
    <row r="39" spans="2:17" ht="12.75" customHeight="1" x14ac:dyDescent="0.35">
      <c r="B39" s="2" t="s">
        <v>118</v>
      </c>
      <c r="F39" s="2" t="s">
        <v>117</v>
      </c>
      <c r="J39" s="105">
        <f>SUM(L39:Q39)</f>
        <v>859426929.27288222</v>
      </c>
      <c r="L39" s="46">
        <f t="shared" ref="L39:Q39" si="0">L28</f>
        <v>16935960.356919076</v>
      </c>
      <c r="M39" s="46">
        <f t="shared" si="0"/>
        <v>275938826.4471187</v>
      </c>
      <c r="N39" s="46">
        <f t="shared" si="0"/>
        <v>295307092.08325708</v>
      </c>
      <c r="O39" s="46">
        <f t="shared" si="0"/>
        <v>12442728.574689055</v>
      </c>
      <c r="P39" s="46">
        <f t="shared" si="0"/>
        <v>243356366.79163417</v>
      </c>
      <c r="Q39" s="46">
        <f t="shared" si="0"/>
        <v>15445955.019264191</v>
      </c>
    </row>
    <row r="40" spans="2:17" ht="12.75" customHeight="1" x14ac:dyDescent="0.35">
      <c r="B40" s="2" t="s">
        <v>121</v>
      </c>
      <c r="F40" s="2" t="s">
        <v>117</v>
      </c>
      <c r="J40" s="105">
        <f>SUM(L40:Q40)</f>
        <v>30744245.211121149</v>
      </c>
      <c r="L40" s="105">
        <f t="shared" ref="L40:Q40" si="1">$H$37*(L20/$J$20)</f>
        <v>547771.0744512094</v>
      </c>
      <c r="M40" s="105">
        <f t="shared" si="1"/>
        <v>8866529.8549889792</v>
      </c>
      <c r="N40" s="105">
        <f t="shared" si="1"/>
        <v>12361360.568509724</v>
      </c>
      <c r="O40" s="105">
        <f t="shared" si="1"/>
        <v>258836.84696392261</v>
      </c>
      <c r="P40" s="105">
        <f t="shared" si="1"/>
        <v>7813350.3338968726</v>
      </c>
      <c r="Q40" s="105">
        <f t="shared" si="1"/>
        <v>896396.53231044195</v>
      </c>
    </row>
    <row r="41" spans="2:17" ht="12.75" customHeight="1" x14ac:dyDescent="0.35">
      <c r="B41" s="2" t="s">
        <v>120</v>
      </c>
      <c r="F41" s="2" t="s">
        <v>117</v>
      </c>
      <c r="J41" s="105">
        <f>SUM(L41:Q41)</f>
        <v>307261352.91327804</v>
      </c>
      <c r="L41" s="38">
        <f t="shared" ref="L41:Q41" si="2">L31-L40</f>
        <v>5995559.1168416599</v>
      </c>
      <c r="M41" s="38">
        <f t="shared" si="2"/>
        <v>98239234.154450923</v>
      </c>
      <c r="N41" s="38">
        <f t="shared" si="2"/>
        <v>108537039.74615929</v>
      </c>
      <c r="O41" s="38">
        <f t="shared" si="2"/>
        <v>4493262.946494773</v>
      </c>
      <c r="P41" s="38">
        <f t="shared" si="2"/>
        <v>86534861.489152223</v>
      </c>
      <c r="Q41" s="38">
        <f t="shared" si="2"/>
        <v>3461395.4601791259</v>
      </c>
    </row>
    <row r="42" spans="2:17" ht="12.75" customHeight="1" x14ac:dyDescent="0.35">
      <c r="B42" s="2" t="s">
        <v>223</v>
      </c>
      <c r="F42" s="2" t="s">
        <v>117</v>
      </c>
      <c r="J42" s="105">
        <f>SUM(L42:Q42)</f>
        <v>1197432527.3972814</v>
      </c>
      <c r="L42" s="38">
        <f t="shared" ref="L42:Q42" si="3">SUM(L39:L41)</f>
        <v>23479290.548211943</v>
      </c>
      <c r="M42" s="38">
        <f t="shared" si="3"/>
        <v>383044590.45655859</v>
      </c>
      <c r="N42" s="38">
        <f t="shared" si="3"/>
        <v>416205492.39792609</v>
      </c>
      <c r="O42" s="38">
        <f t="shared" si="3"/>
        <v>17194828.368147753</v>
      </c>
      <c r="P42" s="38">
        <f t="shared" si="3"/>
        <v>337704578.61468327</v>
      </c>
      <c r="Q42" s="38">
        <f t="shared" si="3"/>
        <v>19803747.01175376</v>
      </c>
    </row>
    <row r="44" spans="2:17" s="6" customFormat="1" ht="13" x14ac:dyDescent="0.35">
      <c r="B44" s="6" t="s">
        <v>104</v>
      </c>
    </row>
    <row r="46" spans="2:17" ht="12.75" customHeight="1" x14ac:dyDescent="0.35">
      <c r="B46" s="2" t="s">
        <v>122</v>
      </c>
      <c r="F46" s="2" t="s">
        <v>72</v>
      </c>
      <c r="L46" s="49">
        <f>L39/L$42</f>
        <v>0.72131482517084944</v>
      </c>
      <c r="M46" s="49">
        <f t="shared" ref="M46:Q46" si="4">M39/M$42</f>
        <v>0.72038303978714757</v>
      </c>
      <c r="N46" s="49">
        <f t="shared" si="4"/>
        <v>0.7095223332634919</v>
      </c>
      <c r="O46" s="49">
        <f t="shared" si="4"/>
        <v>0.72363203099708517</v>
      </c>
      <c r="P46" s="49">
        <f t="shared" si="4"/>
        <v>0.72061909195877605</v>
      </c>
      <c r="Q46" s="49">
        <f t="shared" si="4"/>
        <v>0.7799511380395252</v>
      </c>
    </row>
    <row r="47" spans="2:17" ht="12.75" customHeight="1" x14ac:dyDescent="0.35">
      <c r="B47" s="2" t="s">
        <v>123</v>
      </c>
      <c r="F47" s="2" t="s">
        <v>72</v>
      </c>
      <c r="L47" s="49">
        <f t="shared" ref="L47:Q47" si="5">L41/L$42</f>
        <v>0.25535520779601451</v>
      </c>
      <c r="M47" s="49">
        <f t="shared" si="5"/>
        <v>0.25646944664420818</v>
      </c>
      <c r="N47" s="49">
        <f t="shared" si="5"/>
        <v>0.26077752871744686</v>
      </c>
      <c r="O47" s="49">
        <f t="shared" si="5"/>
        <v>0.26131478897563387</v>
      </c>
      <c r="P47" s="49">
        <f t="shared" si="5"/>
        <v>0.25624426486644536</v>
      </c>
      <c r="Q47" s="49">
        <f t="shared" si="5"/>
        <v>0.17478487571694115</v>
      </c>
    </row>
    <row r="48" spans="2:17" ht="12.75" customHeight="1" x14ac:dyDescent="0.35">
      <c r="B48" s="2" t="s">
        <v>124</v>
      </c>
      <c r="F48" s="2" t="s">
        <v>72</v>
      </c>
      <c r="L48" s="49">
        <f t="shared" ref="L48:Q48" si="6">L40/L$42</f>
        <v>2.3329967033136129E-2</v>
      </c>
      <c r="M48" s="49">
        <f t="shared" si="6"/>
        <v>2.3147513568644276E-2</v>
      </c>
      <c r="N48" s="49">
        <f t="shared" si="6"/>
        <v>2.9700138019061181E-2</v>
      </c>
      <c r="O48" s="49">
        <f t="shared" si="6"/>
        <v>1.5053180027280772E-2</v>
      </c>
      <c r="P48" s="49">
        <f t="shared" si="6"/>
        <v>2.3136643174778534E-2</v>
      </c>
      <c r="Q48" s="49">
        <f t="shared" si="6"/>
        <v>4.5263986243533602E-2</v>
      </c>
    </row>
    <row r="50" spans="2:23" s="6" customFormat="1" ht="13" x14ac:dyDescent="0.35">
      <c r="B50" s="6" t="s">
        <v>89</v>
      </c>
    </row>
    <row r="52" spans="2:23" ht="12.75" customHeight="1" x14ac:dyDescent="0.35">
      <c r="B52" s="2" t="s">
        <v>562</v>
      </c>
      <c r="F52" s="2" t="s">
        <v>117</v>
      </c>
      <c r="J52" s="105">
        <f>SUM(L52:Q52)</f>
        <v>1380767089.992466</v>
      </c>
      <c r="L52" s="46">
        <f>'TI-berekening 2026'!L26</f>
        <v>27072011.842031885</v>
      </c>
      <c r="M52" s="46">
        <f>'TI-berekening 2026'!M26</f>
        <v>441698616.7879833</v>
      </c>
      <c r="N52" s="46">
        <f>'TI-berekening 2026'!N26</f>
        <v>479873406.28643519</v>
      </c>
      <c r="O52" s="46">
        <f>'TI-berekening 2026'!O26</f>
        <v>19833624.880452197</v>
      </c>
      <c r="P52" s="46">
        <f>'TI-berekening 2026'!P26</f>
        <v>389443836.20299244</v>
      </c>
      <c r="Q52" s="46">
        <f>'TI-berekening 2026'!Q26</f>
        <v>22845593.992570829</v>
      </c>
      <c r="T52" s="2" t="s">
        <v>444</v>
      </c>
    </row>
    <row r="53" spans="2:23" ht="12.75" customHeight="1" x14ac:dyDescent="0.25">
      <c r="F53" s="27"/>
    </row>
    <row r="54" spans="2:23" ht="12.75" customHeight="1" x14ac:dyDescent="0.35">
      <c r="B54" s="2" t="s">
        <v>386</v>
      </c>
      <c r="F54" s="2" t="s">
        <v>117</v>
      </c>
      <c r="J54" s="105">
        <f t="shared" ref="J54:J63" si="7">SUM(L54:Q54)</f>
        <v>59012.221583518796</v>
      </c>
      <c r="L54" s="149"/>
      <c r="M54" s="149"/>
      <c r="N54" s="149"/>
      <c r="O54" s="149"/>
      <c r="P54" s="46">
        <f>'TI-berekening 2026'!P28</f>
        <v>59012.221583518796</v>
      </c>
      <c r="Q54" s="149"/>
      <c r="T54" s="2" t="s">
        <v>318</v>
      </c>
    </row>
    <row r="55" spans="2:23" ht="12.75" customHeight="1" x14ac:dyDescent="0.35">
      <c r="B55" s="2" t="s">
        <v>387</v>
      </c>
      <c r="F55" s="2" t="s">
        <v>117</v>
      </c>
      <c r="J55" s="105">
        <f t="shared" si="7"/>
        <v>2672.8223444142614</v>
      </c>
      <c r="L55" s="149"/>
      <c r="M55" s="149"/>
      <c r="N55" s="149"/>
      <c r="O55" s="149"/>
      <c r="P55" s="46">
        <f>'TI-berekening 2026'!P29</f>
        <v>2672.8223444142614</v>
      </c>
      <c r="Q55" s="149"/>
      <c r="T55" s="2" t="s">
        <v>445</v>
      </c>
    </row>
    <row r="56" spans="2:23" ht="12.75" customHeight="1" x14ac:dyDescent="0.35">
      <c r="B56" s="2" t="s">
        <v>679</v>
      </c>
      <c r="F56" s="2" t="s">
        <v>117</v>
      </c>
      <c r="J56" s="105">
        <f t="shared" si="7"/>
        <v>-1863101.8124328423</v>
      </c>
      <c r="L56" s="149"/>
      <c r="M56" s="149"/>
      <c r="N56" s="46">
        <f>'TI-berekening 2026'!N35</f>
        <v>32017.606350989066</v>
      </c>
      <c r="O56" s="149"/>
      <c r="P56" s="46">
        <f>'TI-berekening 2026'!P35</f>
        <v>-1915254.6113925681</v>
      </c>
      <c r="Q56" s="46">
        <f>'TI-berekening 2026'!Q35</f>
        <v>20135.192608736626</v>
      </c>
      <c r="T56" s="2" t="s">
        <v>318</v>
      </c>
    </row>
    <row r="57" spans="2:23" ht="12.75" customHeight="1" x14ac:dyDescent="0.35">
      <c r="B57" s="2" t="s">
        <v>791</v>
      </c>
      <c r="F57" s="2" t="s">
        <v>117</v>
      </c>
      <c r="J57" s="105">
        <f t="shared" ref="J57" si="8">SUM(L57:Q57)</f>
        <v>131733925.24773559</v>
      </c>
      <c r="L57" s="46">
        <f>'TI-berekening 2026'!L36</f>
        <v>2189534.8511975915</v>
      </c>
      <c r="M57" s="46">
        <f>'TI-berekening 2026'!M36</f>
        <v>44575486.949870467</v>
      </c>
      <c r="N57" s="46">
        <f>'TI-berekening 2026'!N36</f>
        <v>43065471.579121195</v>
      </c>
      <c r="O57" s="46">
        <f>'TI-berekening 2026'!O36</f>
        <v>1813284.7862778818</v>
      </c>
      <c r="P57" s="46">
        <f>'TI-berekening 2026'!P36</f>
        <v>39143082.09380196</v>
      </c>
      <c r="Q57" s="46">
        <f>'TI-berekening 2026'!Q36</f>
        <v>947064.98746650165</v>
      </c>
      <c r="T57" s="2" t="s">
        <v>318</v>
      </c>
    </row>
    <row r="58" spans="2:23" ht="12.75" customHeight="1" x14ac:dyDescent="0.35">
      <c r="B58" s="2" t="s">
        <v>680</v>
      </c>
      <c r="F58" s="2" t="s">
        <v>117</v>
      </c>
      <c r="J58" s="105">
        <f t="shared" si="7"/>
        <v>7253641.181851618</v>
      </c>
      <c r="L58" s="46">
        <f>'TI-berekening 2026'!L37</f>
        <v>-497176.94371535029</v>
      </c>
      <c r="M58" s="46">
        <f>'TI-berekening 2026'!M37</f>
        <v>408510.48217972787</v>
      </c>
      <c r="N58" s="46">
        <f>'TI-berekening 2026'!N37</f>
        <v>21201.432598162508</v>
      </c>
      <c r="O58" s="46">
        <f>'TI-berekening 2026'!O37</f>
        <v>-99763.086110187971</v>
      </c>
      <c r="P58" s="46">
        <f>'TI-berekening 2026'!P37</f>
        <v>6707212.2069058046</v>
      </c>
      <c r="Q58" s="46">
        <f>'TI-berekening 2026'!Q37</f>
        <v>713657.0899934615</v>
      </c>
      <c r="T58" s="2" t="s">
        <v>318</v>
      </c>
    </row>
    <row r="59" spans="2:23" ht="12.75" customHeight="1" x14ac:dyDescent="0.35">
      <c r="B59" s="2" t="s">
        <v>638</v>
      </c>
      <c r="F59" s="2" t="s">
        <v>117</v>
      </c>
      <c r="J59" s="105">
        <f t="shared" si="7"/>
        <v>110926480.15908653</v>
      </c>
      <c r="L59" s="46">
        <f>'TI-berekening 2026'!L38</f>
        <v>2192558.0516480152</v>
      </c>
      <c r="M59" s="46">
        <f>'TI-berekening 2026'!M38</f>
        <v>35629930.638789274</v>
      </c>
      <c r="N59" s="46">
        <f>'TI-berekening 2026'!N38</f>
        <v>38159379.357887983</v>
      </c>
      <c r="O59" s="46">
        <f>'TI-berekening 2026'!O38</f>
        <v>1609525.5011191079</v>
      </c>
      <c r="P59" s="46">
        <f>'TI-berekening 2026'!P38</f>
        <v>31433000.566936277</v>
      </c>
      <c r="Q59" s="46">
        <f>'TI-berekening 2026'!Q38</f>
        <v>1902086.0427058691</v>
      </c>
      <c r="T59" s="2" t="s">
        <v>318</v>
      </c>
    </row>
    <row r="60" spans="2:23" ht="12.75" customHeight="1" x14ac:dyDescent="0.35">
      <c r="B60" s="2" t="s">
        <v>637</v>
      </c>
      <c r="F60" s="2" t="s">
        <v>117</v>
      </c>
      <c r="J60" s="105">
        <f t="shared" si="7"/>
        <v>29974316.055341516</v>
      </c>
      <c r="L60" s="46">
        <f>'TI-berekening 2026'!L39</f>
        <v>580262.12671213399</v>
      </c>
      <c r="M60" s="46">
        <f>'TI-berekening 2026'!M39</f>
        <v>9498132.6924242675</v>
      </c>
      <c r="N60" s="46">
        <f>'TI-berekening 2026'!N39</f>
        <v>10721262.848088607</v>
      </c>
      <c r="O60" s="46">
        <f>'TI-berekening 2026'!O39</f>
        <v>421415.92306773068</v>
      </c>
      <c r="P60" s="46">
        <f>'TI-berekening 2026'!P39</f>
        <v>8366793.733988869</v>
      </c>
      <c r="Q60" s="46">
        <f>'TI-berekening 2026'!Q39</f>
        <v>386448.73105990648</v>
      </c>
      <c r="T60" s="2" t="s">
        <v>446</v>
      </c>
      <c r="W60" s="83"/>
    </row>
    <row r="61" spans="2:23" ht="12.75" customHeight="1" x14ac:dyDescent="0.35">
      <c r="B61" s="2" t="s">
        <v>649</v>
      </c>
      <c r="F61" s="2" t="s">
        <v>117</v>
      </c>
      <c r="J61" s="105">
        <f t="shared" si="7"/>
        <v>769807.10463835881</v>
      </c>
      <c r="L61" s="46">
        <f>'TI-berekening 2026'!L40</f>
        <v>96757.358927556183</v>
      </c>
      <c r="M61" s="46">
        <f>'TI-berekening 2026'!M40</f>
        <v>341029.76975853555</v>
      </c>
      <c r="N61" s="46">
        <f>'TI-berekening 2026'!N40</f>
        <v>255013.67084083232</v>
      </c>
      <c r="O61" s="46">
        <f>'TI-berekening 2026'!O40</f>
        <v>34298.559005630566</v>
      </c>
      <c r="P61" s="46">
        <f>'TI-berekening 2026'!P40</f>
        <v>36953.204424234376</v>
      </c>
      <c r="Q61" s="46">
        <f>'TI-berekening 2026'!Q40</f>
        <v>5754.5416815699364</v>
      </c>
      <c r="T61" s="2" t="s">
        <v>318</v>
      </c>
    </row>
    <row r="62" spans="2:23" ht="12.75" customHeight="1" x14ac:dyDescent="0.35">
      <c r="B62" s="2" t="s">
        <v>661</v>
      </c>
      <c r="F62" s="2" t="s">
        <v>117</v>
      </c>
      <c r="J62" s="105">
        <f t="shared" si="7"/>
        <v>3225427.2119251816</v>
      </c>
      <c r="L62" s="46">
        <f>'TI-berekening 2026'!L41</f>
        <v>68966.417200480297</v>
      </c>
      <c r="M62" s="149"/>
      <c r="N62" s="46">
        <f>'TI-berekening 2026'!N41</f>
        <v>2985339.041949118</v>
      </c>
      <c r="O62" s="46">
        <f>'TI-berekening 2026'!O41</f>
        <v>167374.70826889871</v>
      </c>
      <c r="P62" s="149"/>
      <c r="Q62" s="46">
        <f>'TI-berekening 2026'!Q41</f>
        <v>3747.0445066849798</v>
      </c>
      <c r="T62" s="2" t="s">
        <v>318</v>
      </c>
    </row>
    <row r="63" spans="2:23" ht="12.75" customHeight="1" x14ac:dyDescent="0.35">
      <c r="B63" s="2" t="s">
        <v>662</v>
      </c>
      <c r="F63" s="2" t="s">
        <v>117</v>
      </c>
      <c r="J63" s="105">
        <f t="shared" si="7"/>
        <v>4106906.2061165972</v>
      </c>
      <c r="L63" s="46">
        <f>'TI-berekening 2026'!L42</f>
        <v>72231.190448465044</v>
      </c>
      <c r="M63" s="46">
        <f>'TI-berekening 2026'!M42</f>
        <v>2706966.3125352473</v>
      </c>
      <c r="N63" s="46">
        <f>'TI-berekening 2026'!N42</f>
        <v>928388.37717336672</v>
      </c>
      <c r="O63" s="46">
        <f>'TI-berekening 2026'!O42</f>
        <v>112964.4808079354</v>
      </c>
      <c r="P63" s="46">
        <f>'TI-berekening 2026'!P42</f>
        <v>286355.84515158308</v>
      </c>
      <c r="Q63" s="149"/>
      <c r="T63" s="2" t="s">
        <v>446</v>
      </c>
    </row>
    <row r="64" spans="2:23" ht="12.75" customHeight="1" x14ac:dyDescent="0.35">
      <c r="B64" s="2" t="s">
        <v>666</v>
      </c>
      <c r="F64" s="2" t="s">
        <v>117</v>
      </c>
      <c r="J64" s="105">
        <f>SUM(L64:Q64)</f>
        <v>39556828.642787963</v>
      </c>
      <c r="L64" s="46">
        <f>'TI-berekening 2026'!L43</f>
        <v>32845.167218056646</v>
      </c>
      <c r="M64" s="46">
        <f>'TI-berekening 2026'!M43</f>
        <v>23070020.932525609</v>
      </c>
      <c r="N64" s="46">
        <f>'TI-berekening 2026'!N43</f>
        <v>78600.189028288674</v>
      </c>
      <c r="O64" s="46">
        <f>'TI-berekening 2026'!O43</f>
        <v>647966.25442023715</v>
      </c>
      <c r="P64" s="46">
        <f>'TI-berekening 2026'!P43</f>
        <v>15737810.565754028</v>
      </c>
      <c r="Q64" s="46">
        <f>'TI-berekening 2026'!Q43</f>
        <v>-10414.466158255091</v>
      </c>
      <c r="T64" s="2" t="s">
        <v>318</v>
      </c>
    </row>
    <row r="65" spans="1:21" ht="12.75" customHeight="1" x14ac:dyDescent="0.35">
      <c r="B65" s="2" t="s">
        <v>669</v>
      </c>
      <c r="F65" s="2" t="s">
        <v>117</v>
      </c>
      <c r="J65" s="105">
        <f>SUM(L65:Q65)</f>
        <v>1895745.8725566249</v>
      </c>
      <c r="L65" s="149"/>
      <c r="M65" s="149"/>
      <c r="N65" s="46">
        <f>'TI-berekening 2026'!N44</f>
        <v>1087616.4902977946</v>
      </c>
      <c r="O65" s="149"/>
      <c r="P65" s="46">
        <f>'TI-berekening 2026'!P44</f>
        <v>742029.81047444639</v>
      </c>
      <c r="Q65" s="46">
        <f>'TI-berekening 2026'!Q44</f>
        <v>66099.571784384025</v>
      </c>
      <c r="T65" s="2" t="s">
        <v>318</v>
      </c>
    </row>
    <row r="66" spans="1:21" ht="12.75" customHeight="1" x14ac:dyDescent="0.35">
      <c r="B66" s="2" t="s">
        <v>891</v>
      </c>
      <c r="F66" s="2" t="s">
        <v>117</v>
      </c>
      <c r="J66" s="105">
        <f t="shared" ref="J66" si="9">SUM(L66:Q66)</f>
        <v>27187.215654058935</v>
      </c>
      <c r="L66" s="46">
        <f>'TI-berekening 2026'!L45</f>
        <v>-27878.652633595841</v>
      </c>
      <c r="M66" s="46">
        <f>'TI-berekening 2026'!M45</f>
        <v>60481.889143074499</v>
      </c>
      <c r="N66" s="46">
        <f>'TI-berekening 2026'!N45</f>
        <v>-118848.26957442565</v>
      </c>
      <c r="O66" s="46">
        <f>'TI-berekening 2026'!O45</f>
        <v>-6254.9477686749142</v>
      </c>
      <c r="P66" s="46">
        <f>'TI-berekening 2026'!P45</f>
        <v>118123.41101619801</v>
      </c>
      <c r="Q66" s="46">
        <f>'TI-berekening 2026'!Q45</f>
        <v>1563.7854714828409</v>
      </c>
      <c r="T66" s="2" t="s">
        <v>706</v>
      </c>
    </row>
    <row r="68" spans="1:21" ht="12.75" customHeight="1" x14ac:dyDescent="0.35">
      <c r="B68" s="2" t="s">
        <v>675</v>
      </c>
      <c r="F68" s="2" t="s">
        <v>117</v>
      </c>
      <c r="J68" s="105">
        <f>SUM(L68:Q68)</f>
        <v>1708435938.1216552</v>
      </c>
      <c r="L68" s="38">
        <f>SUM(L52,L54:L66)</f>
        <v>31780111.409035239</v>
      </c>
      <c r="M68" s="38">
        <f t="shared" ref="M68:P68" si="10">SUM(M52,M54:M66)</f>
        <v>557989176.45520949</v>
      </c>
      <c r="N68" s="38">
        <f t="shared" si="10"/>
        <v>577088848.61019719</v>
      </c>
      <c r="O68" s="38">
        <f t="shared" si="10"/>
        <v>24534437.059540752</v>
      </c>
      <c r="P68" s="38">
        <f t="shared" si="10"/>
        <v>490161628.07398134</v>
      </c>
      <c r="Q68" s="38">
        <f>SUM(Q52,Q54:Q66)</f>
        <v>26881736.513691168</v>
      </c>
      <c r="T68" s="83"/>
    </row>
    <row r="70" spans="1:21" ht="12.75" customHeight="1" x14ac:dyDescent="0.35">
      <c r="A70" s="206"/>
      <c r="B70" s="2" t="s">
        <v>676</v>
      </c>
      <c r="F70" s="2" t="s">
        <v>117</v>
      </c>
      <c r="J70" s="105">
        <f>SUM(L70:Q70)</f>
        <v>1284590583.7466648</v>
      </c>
      <c r="L70" s="37">
        <f>L$46 * L$52 + L$54 + L$56 + L$57 + L$58 + L$59 + L$61 + L$62 + L$64 + L$65 + L$46 / (L$46 + L$47)*L66</f>
        <v>23590338.750236291</v>
      </c>
      <c r="M70" s="37">
        <f t="shared" ref="M70:Q70" si="11">M$46 * M$52 + M$54 + M$56 + M$57 + M$58 + M$59 + M$61 + M$62 + M$64 + M$65 + M$46 / (M$46 + M$47)*M66</f>
        <v>422261773.5702759</v>
      </c>
      <c r="N70" s="37">
        <f t="shared" si="11"/>
        <v>426078631.62676746</v>
      </c>
      <c r="O70" s="37">
        <f t="shared" si="11"/>
        <v>18520337.520461425</v>
      </c>
      <c r="P70" s="37">
        <f t="shared" si="11"/>
        <v>372671647.73959219</v>
      </c>
      <c r="Q70" s="37">
        <f t="shared" si="11"/>
        <v>21467854.539331503</v>
      </c>
    </row>
    <row r="71" spans="1:21" ht="12.75" customHeight="1" x14ac:dyDescent="0.35">
      <c r="A71" s="206"/>
      <c r="B71" s="2" t="s">
        <v>677</v>
      </c>
      <c r="F71" s="2" t="s">
        <v>117</v>
      </c>
      <c r="J71" s="105">
        <f>SUM(L71:Q71)</f>
        <v>388393947.90745062</v>
      </c>
      <c r="L71" s="37">
        <f xml:space="preserve"> L$47 * L$52 + L$47 / (L$47 + L$48) * L$55 + L$60 + L$63 + L$47 / (L$47 + L$46)* L66</f>
        <v>7558183.5150036728</v>
      </c>
      <c r="M71" s="37">
        <f t="shared" ref="M71:Q71" si="12" xml:space="preserve"> M$47 * M$52 + M$47 / (M$47 + M$48) * M$55 + M$60 + M$63 + M$47 / (M$47 + M$46)* M66</f>
        <v>125503178.15958238</v>
      </c>
      <c r="N71" s="37">
        <f t="shared" si="12"/>
        <v>136757910.58504552</v>
      </c>
      <c r="O71" s="37">
        <f t="shared" si="12"/>
        <v>5715540.413160325</v>
      </c>
      <c r="P71" s="37">
        <f t="shared" si="12"/>
        <v>108479335.91250417</v>
      </c>
      <c r="Q71" s="37">
        <f t="shared" si="12"/>
        <v>4379799.3221545834</v>
      </c>
    </row>
    <row r="72" spans="1:21" ht="12.75" customHeight="1" x14ac:dyDescent="0.35">
      <c r="A72" s="206"/>
      <c r="B72" s="2" t="s">
        <v>678</v>
      </c>
      <c r="F72" s="2" t="s">
        <v>117</v>
      </c>
      <c r="J72" s="105">
        <f>SUM(L72:Q72)</f>
        <v>35451406.467539661</v>
      </c>
      <c r="L72" s="37">
        <f xml:space="preserve"> L$48 * L$52 + L$48 / (L$47 + L$48) * L$55</f>
        <v>631589.14379527478</v>
      </c>
      <c r="M72" s="37">
        <f t="shared" ref="M72:Q72" si="13" xml:space="preserve"> M$48 * M$52 + M$48 / (M$47 + M$48) * M$55</f>
        <v>10224224.725351252</v>
      </c>
      <c r="N72" s="37">
        <f t="shared" si="13"/>
        <v>14252306.398384146</v>
      </c>
      <c r="O72" s="37">
        <f t="shared" si="13"/>
        <v>298559.12591900199</v>
      </c>
      <c r="P72" s="37">
        <f t="shared" si="13"/>
        <v>9010644.4218849074</v>
      </c>
      <c r="Q72" s="37">
        <f t="shared" si="13"/>
        <v>1034082.6522050799</v>
      </c>
      <c r="U72" s="83"/>
    </row>
    <row r="73" spans="1:21" ht="12.75" customHeight="1" x14ac:dyDescent="0.25">
      <c r="A73" s="206"/>
      <c r="F73" s="27"/>
      <c r="J73" s="121"/>
      <c r="L73" s="2"/>
      <c r="M73" s="2"/>
      <c r="N73" s="2"/>
      <c r="O73" s="2"/>
      <c r="P73" s="2"/>
      <c r="Q73" s="2"/>
      <c r="U73" s="83"/>
    </row>
    <row r="74" spans="1:21" ht="12.75" customHeight="1" x14ac:dyDescent="0.35">
      <c r="J74" s="121"/>
      <c r="K74" s="121"/>
      <c r="L74" s="121"/>
      <c r="M74" s="121"/>
      <c r="N74" s="121"/>
      <c r="O74" s="121"/>
      <c r="P74" s="121"/>
      <c r="Q74" s="121"/>
    </row>
    <row r="75" spans="1:21" ht="12.75" customHeight="1" x14ac:dyDescent="0.35">
      <c r="J75" s="121"/>
      <c r="L75" s="2"/>
      <c r="M75" s="2"/>
      <c r="N75" s="2"/>
      <c r="O75" s="2"/>
      <c r="P75" s="2"/>
      <c r="Q75" s="2"/>
    </row>
    <row r="76" spans="1:21" ht="12.75" customHeight="1" x14ac:dyDescent="0.35">
      <c r="J76" s="121"/>
      <c r="L76" s="106"/>
    </row>
  </sheetData>
  <phoneticPr fontId="6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2:U61"/>
  <sheetViews>
    <sheetView showGridLines="0" zoomScale="85" zoomScaleNormal="85" workbookViewId="0">
      <pane xSplit="6" ySplit="9" topLeftCell="G10" activePane="bottomRight" state="frozen"/>
      <selection activeCell="Q27" sqref="Q27"/>
      <selection pane="topRight" activeCell="Q27" sqref="Q27"/>
      <selection pane="bottomLeft" activeCell="Q27" sqref="Q27"/>
      <selection pane="bottomRight" activeCell="G10" sqref="G10"/>
    </sheetView>
  </sheetViews>
  <sheetFormatPr defaultColWidth="9.26953125" defaultRowHeight="12.5" x14ac:dyDescent="0.35"/>
  <cols>
    <col min="1" max="1" width="4" style="2" customWidth="1"/>
    <col min="2" max="2" width="70.26953125" style="2" customWidth="1"/>
    <col min="3" max="5" width="4.54296875" style="2" customWidth="1"/>
    <col min="6" max="6" width="13.7265625" style="2" customWidth="1"/>
    <col min="7" max="7" width="2.7265625" style="2" customWidth="1"/>
    <col min="8" max="8" width="13.7265625" style="2" customWidth="1"/>
    <col min="9" max="9" width="2.7265625" style="2" customWidth="1"/>
    <col min="10" max="10" width="14.7265625" style="2" bestFit="1" customWidth="1"/>
    <col min="11" max="11" width="2.7265625" style="2" customWidth="1"/>
    <col min="12" max="12" width="15.26953125" style="2" bestFit="1" customWidth="1"/>
    <col min="13" max="14" width="15.7265625" style="2" bestFit="1" customWidth="1"/>
    <col min="15" max="15" width="14.7265625" style="2" bestFit="1" customWidth="1"/>
    <col min="16" max="16" width="15.7265625" style="2" bestFit="1" customWidth="1"/>
    <col min="17" max="17" width="14.7265625" style="2" bestFit="1" customWidth="1"/>
    <col min="18" max="19" width="2.7265625" style="2" customWidth="1"/>
    <col min="20" max="34" width="13.7265625" style="2" customWidth="1"/>
    <col min="35" max="16384" width="9.26953125" style="2"/>
  </cols>
  <sheetData>
    <row r="2" spans="1:21" s="18" customFormat="1" ht="18" x14ac:dyDescent="0.35">
      <c r="B2" s="18" t="s">
        <v>564</v>
      </c>
    </row>
    <row r="4" spans="1:21" ht="13" x14ac:dyDescent="0.35">
      <c r="B4" s="1" t="s">
        <v>59</v>
      </c>
      <c r="C4" s="1"/>
      <c r="D4" s="1"/>
    </row>
    <row r="5" spans="1:21" x14ac:dyDescent="0.25">
      <c r="B5" s="243" t="s">
        <v>694</v>
      </c>
      <c r="C5" s="3"/>
      <c r="D5" s="3"/>
      <c r="H5" s="19"/>
    </row>
    <row r="6" spans="1:21" x14ac:dyDescent="0.25">
      <c r="B6" s="216" t="s">
        <v>506</v>
      </c>
      <c r="C6" s="3"/>
      <c r="D6" s="3"/>
      <c r="H6" s="19"/>
    </row>
    <row r="8" spans="1:21" s="6" customFormat="1" ht="13" x14ac:dyDescent="0.35">
      <c r="B8" s="6" t="s">
        <v>45</v>
      </c>
      <c r="F8" s="6" t="s">
        <v>27</v>
      </c>
      <c r="H8" s="6" t="s">
        <v>28</v>
      </c>
      <c r="J8" s="6" t="s">
        <v>49</v>
      </c>
      <c r="L8" s="6" t="s">
        <v>88</v>
      </c>
      <c r="M8" s="6" t="s">
        <v>65</v>
      </c>
      <c r="N8" s="6" t="s">
        <v>66</v>
      </c>
      <c r="O8" s="6" t="s">
        <v>67</v>
      </c>
      <c r="P8" s="6" t="s">
        <v>68</v>
      </c>
      <c r="Q8" s="6" t="s">
        <v>69</v>
      </c>
      <c r="T8" s="6" t="s">
        <v>47</v>
      </c>
    </row>
    <row r="11" spans="1:21" s="6" customFormat="1" ht="13" x14ac:dyDescent="0.35">
      <c r="B11" s="6" t="s">
        <v>84</v>
      </c>
    </row>
    <row r="12" spans="1:21" x14ac:dyDescent="0.35">
      <c r="A12" s="206"/>
    </row>
    <row r="13" spans="1:21" x14ac:dyDescent="0.25">
      <c r="A13" s="206"/>
      <c r="B13" s="2" t="s">
        <v>108</v>
      </c>
      <c r="F13" s="86" t="s">
        <v>105</v>
      </c>
      <c r="J13" s="38">
        <f>SUM(L13:Q13)</f>
        <v>1172785308.1406469</v>
      </c>
      <c r="L13" s="46">
        <f>'Input x-factor, begininkomsten'!L16</f>
        <v>23017675.960507385</v>
      </c>
      <c r="M13" s="46">
        <f>'Input x-factor, begininkomsten'!M16</f>
        <v>375367487.48965442</v>
      </c>
      <c r="N13" s="46">
        <f>'Input x-factor, begininkomsten'!N16</f>
        <v>407020417.70622271</v>
      </c>
      <c r="O13" s="46">
        <f>'Input x-factor, begininkomsten'!O16</f>
        <v>16863318.222685933</v>
      </c>
      <c r="P13" s="46">
        <f>'Input x-factor, begininkomsten'!P16</f>
        <v>330959954.95050144</v>
      </c>
      <c r="Q13" s="46">
        <f>'Input x-factor, begininkomsten'!Q16</f>
        <v>19556453.811075315</v>
      </c>
      <c r="T13" s="19"/>
    </row>
    <row r="14" spans="1:21" x14ac:dyDescent="0.25">
      <c r="A14" s="206"/>
      <c r="B14" s="2" t="s">
        <v>109</v>
      </c>
      <c r="F14" s="27" t="s">
        <v>70</v>
      </c>
      <c r="L14" s="35">
        <f>'Input x-factor, begininkomsten'!L19</f>
        <v>1.4000000000000001</v>
      </c>
      <c r="M14" s="35">
        <f>'Input x-factor, begininkomsten'!M19</f>
        <v>1.3900000000000001</v>
      </c>
      <c r="N14" s="35">
        <f>'Input x-factor, begininkomsten'!N19</f>
        <v>1.35</v>
      </c>
      <c r="O14" s="35">
        <f>'Input x-factor, begininkomsten'!O19</f>
        <v>1.4000000000000001</v>
      </c>
      <c r="P14" s="35">
        <f>'Input x-factor, begininkomsten'!P19</f>
        <v>1.3900000000000001</v>
      </c>
      <c r="Q14" s="35">
        <f>'Input x-factor, begininkomsten'!Q19</f>
        <v>1.54</v>
      </c>
    </row>
    <row r="15" spans="1:21" x14ac:dyDescent="0.25">
      <c r="A15" s="206"/>
      <c r="F15" s="27"/>
    </row>
    <row r="16" spans="1:21" x14ac:dyDescent="0.25">
      <c r="A16" s="206"/>
      <c r="B16" s="2" t="s">
        <v>111</v>
      </c>
      <c r="F16" s="27" t="s">
        <v>72</v>
      </c>
      <c r="H16" s="48">
        <f>'Input parameters'!AD19</f>
        <v>2.4E-2</v>
      </c>
      <c r="U16" s="19"/>
    </row>
    <row r="17" spans="1:17" x14ac:dyDescent="0.25">
      <c r="A17" s="206"/>
      <c r="B17" s="2" t="s">
        <v>138</v>
      </c>
      <c r="F17" s="91" t="s">
        <v>72</v>
      </c>
      <c r="H17" s="48">
        <f>'Input parameters'!AE19</f>
        <v>0.12</v>
      </c>
    </row>
    <row r="18" spans="1:17" x14ac:dyDescent="0.25">
      <c r="A18" s="206"/>
      <c r="B18" s="2" t="s">
        <v>176</v>
      </c>
      <c r="F18" s="91" t="s">
        <v>72</v>
      </c>
      <c r="H18" s="48">
        <f>'Input parameters'!AF19</f>
        <v>0.03</v>
      </c>
    </row>
    <row r="19" spans="1:17" x14ac:dyDescent="0.25">
      <c r="A19" s="206"/>
      <c r="B19" s="2" t="s">
        <v>442</v>
      </c>
      <c r="F19" s="91" t="s">
        <v>72</v>
      </c>
      <c r="H19" s="48">
        <f>'Input parameters'!AG19</f>
        <v>3.5999999999999997E-2</v>
      </c>
    </row>
    <row r="20" spans="1:17" x14ac:dyDescent="0.25">
      <c r="A20" s="206"/>
      <c r="B20" s="2" t="s">
        <v>561</v>
      </c>
      <c r="F20" s="91" t="s">
        <v>72</v>
      </c>
      <c r="H20" s="48">
        <f>'Input parameters'!AH19</f>
        <v>2.8000000000000001E-2</v>
      </c>
    </row>
    <row r="21" spans="1:17" x14ac:dyDescent="0.25">
      <c r="A21" s="206"/>
      <c r="F21" s="27"/>
    </row>
    <row r="22" spans="1:17" x14ac:dyDescent="0.25">
      <c r="A22" s="206"/>
      <c r="B22" s="2" t="s">
        <v>129</v>
      </c>
      <c r="F22" s="2" t="s">
        <v>110</v>
      </c>
      <c r="J22" s="38">
        <f>SUM(L22:Q22)</f>
        <v>1184759925.1398156</v>
      </c>
      <c r="L22" s="51">
        <f t="shared" ref="L22:Q22" si="0">(L13)*(1-L14/100+$H16)</f>
        <v>23247852.720112458</v>
      </c>
      <c r="M22" s="51">
        <f t="shared" si="0"/>
        <v>379158699.11329991</v>
      </c>
      <c r="N22" s="51">
        <f t="shared" si="0"/>
        <v>411294132.09213805</v>
      </c>
      <c r="O22" s="51">
        <f t="shared" si="0"/>
        <v>17031951.404912792</v>
      </c>
      <c r="P22" s="51">
        <f t="shared" si="0"/>
        <v>334302650.49550152</v>
      </c>
      <c r="Q22" s="51">
        <f t="shared" si="0"/>
        <v>19724639.313850563</v>
      </c>
    </row>
    <row r="23" spans="1:17" x14ac:dyDescent="0.25">
      <c r="A23" s="206"/>
      <c r="B23" s="2" t="s">
        <v>137</v>
      </c>
      <c r="F23" s="2" t="s">
        <v>136</v>
      </c>
      <c r="J23" s="38">
        <f>SUM(L23:Q23)</f>
        <v>1310593855.9106033</v>
      </c>
      <c r="L23" s="51">
        <f t="shared" ref="L23:Q26" si="1">(L22)*(1-L$14/100+$H17)</f>
        <v>25712125.108444374</v>
      </c>
      <c r="M23" s="51">
        <f t="shared" si="1"/>
        <v>419387437.08922106</v>
      </c>
      <c r="N23" s="51">
        <f t="shared" si="1"/>
        <v>455096957.15995079</v>
      </c>
      <c r="O23" s="51">
        <f t="shared" si="1"/>
        <v>18837338.253833547</v>
      </c>
      <c r="P23" s="51">
        <f t="shared" si="1"/>
        <v>369772161.71307427</v>
      </c>
      <c r="Q23" s="51">
        <f t="shared" si="1"/>
        <v>21787836.586079333</v>
      </c>
    </row>
    <row r="24" spans="1:17" x14ac:dyDescent="0.25">
      <c r="A24" s="206"/>
      <c r="B24" s="2" t="s">
        <v>177</v>
      </c>
      <c r="F24" s="2" t="s">
        <v>160</v>
      </c>
      <c r="J24" s="38">
        <f>SUM(L24:Q24)</f>
        <v>1331839319.0724127</v>
      </c>
      <c r="L24" s="51">
        <f t="shared" si="1"/>
        <v>26123519.110179484</v>
      </c>
      <c r="M24" s="51">
        <f t="shared" si="1"/>
        <v>426139574.82635754</v>
      </c>
      <c r="N24" s="51">
        <f t="shared" si="1"/>
        <v>462606056.95308995</v>
      </c>
      <c r="O24" s="51">
        <f t="shared" si="1"/>
        <v>19138735.665894885</v>
      </c>
      <c r="P24" s="51">
        <f t="shared" si="1"/>
        <v>375725493.51665479</v>
      </c>
      <c r="Q24" s="51">
        <f t="shared" si="1"/>
        <v>22105939.00023609</v>
      </c>
    </row>
    <row r="25" spans="1:17" x14ac:dyDescent="0.25">
      <c r="A25" s="206"/>
      <c r="B25" s="2" t="s">
        <v>443</v>
      </c>
      <c r="F25" s="2" t="s">
        <v>434</v>
      </c>
      <c r="J25" s="38">
        <f>SUM(L25:Q25)</f>
        <v>1361420325.3127162</v>
      </c>
      <c r="L25" s="51">
        <f t="shared" si="1"/>
        <v>26698236.530603435</v>
      </c>
      <c r="M25" s="51">
        <f t="shared" si="1"/>
        <v>435557259.43002003</v>
      </c>
      <c r="N25" s="51">
        <f t="shared" si="1"/>
        <v>473014693.23453444</v>
      </c>
      <c r="O25" s="51">
        <f t="shared" si="1"/>
        <v>19559787.850544572</v>
      </c>
      <c r="P25" s="51">
        <f t="shared" si="1"/>
        <v>384029026.92337286</v>
      </c>
      <c r="Q25" s="51">
        <f t="shared" si="1"/>
        <v>22561321.343640953</v>
      </c>
    </row>
    <row r="26" spans="1:17" x14ac:dyDescent="0.25">
      <c r="A26" s="206"/>
      <c r="B26" s="2" t="s">
        <v>562</v>
      </c>
      <c r="F26" s="2" t="s">
        <v>117</v>
      </c>
      <c r="J26" s="38">
        <f>SUM(L26:Q26)</f>
        <v>1380767089.992466</v>
      </c>
      <c r="L26" s="51">
        <f>(L25)*(1-L$14/100+$H20)</f>
        <v>27072011.842031885</v>
      </c>
      <c r="M26" s="51">
        <f t="shared" si="1"/>
        <v>441698616.7879833</v>
      </c>
      <c r="N26" s="51">
        <f t="shared" si="1"/>
        <v>479873406.28643519</v>
      </c>
      <c r="O26" s="51">
        <f t="shared" si="1"/>
        <v>19833624.880452197</v>
      </c>
      <c r="P26" s="51">
        <f t="shared" si="1"/>
        <v>389443836.20299244</v>
      </c>
      <c r="Q26" s="51">
        <f t="shared" si="1"/>
        <v>22845593.992570829</v>
      </c>
    </row>
    <row r="27" spans="1:17" x14ac:dyDescent="0.35">
      <c r="A27" s="206"/>
    </row>
    <row r="28" spans="1:17" x14ac:dyDescent="0.35">
      <c r="A28" s="206"/>
      <c r="B28" s="2" t="s">
        <v>386</v>
      </c>
      <c r="F28" s="2" t="s">
        <v>117</v>
      </c>
      <c r="J28" s="38">
        <f>SUM(L28:Q28)</f>
        <v>59012.221583518796</v>
      </c>
      <c r="L28" s="149"/>
      <c r="M28" s="149"/>
      <c r="N28" s="149"/>
      <c r="O28" s="149"/>
      <c r="P28" s="46">
        <f>'Overname private netten'!P204</f>
        <v>59012.221583518796</v>
      </c>
      <c r="Q28" s="149"/>
    </row>
    <row r="29" spans="1:17" x14ac:dyDescent="0.35">
      <c r="A29" s="206"/>
      <c r="B29" s="2" t="s">
        <v>387</v>
      </c>
      <c r="F29" s="2" t="s">
        <v>117</v>
      </c>
      <c r="J29" s="38">
        <f>SUM(L29:Q29)</f>
        <v>2672.8223444142614</v>
      </c>
      <c r="L29" s="149"/>
      <c r="M29" s="149"/>
      <c r="N29" s="149"/>
      <c r="O29" s="149"/>
      <c r="P29" s="46">
        <f>'Overname private netten'!P205</f>
        <v>2672.8223444142614</v>
      </c>
      <c r="Q29" s="149"/>
    </row>
    <row r="30" spans="1:17" x14ac:dyDescent="0.35">
      <c r="A30" s="206"/>
    </row>
    <row r="31" spans="1:17" x14ac:dyDescent="0.35">
      <c r="A31" s="206"/>
      <c r="B31" s="2" t="s">
        <v>563</v>
      </c>
      <c r="F31" s="2" t="s">
        <v>117</v>
      </c>
      <c r="J31" s="38">
        <f>SUM(L31:Q31)</f>
        <v>1380828775.0363939</v>
      </c>
      <c r="L31" s="38">
        <f t="shared" ref="L31:Q31" si="2">L26+L28+L29</f>
        <v>27072011.842031885</v>
      </c>
      <c r="M31" s="38">
        <f t="shared" si="2"/>
        <v>441698616.7879833</v>
      </c>
      <c r="N31" s="38">
        <f t="shared" si="2"/>
        <v>479873406.28643519</v>
      </c>
      <c r="O31" s="38">
        <f t="shared" si="2"/>
        <v>19833624.880452197</v>
      </c>
      <c r="P31" s="38">
        <f t="shared" si="2"/>
        <v>389505521.24692041</v>
      </c>
      <c r="Q31" s="38">
        <f t="shared" si="2"/>
        <v>22845593.992570829</v>
      </c>
    </row>
    <row r="33" spans="2:21" s="6" customFormat="1" ht="13" x14ac:dyDescent="0.35">
      <c r="B33" s="6" t="s">
        <v>565</v>
      </c>
    </row>
    <row r="35" spans="2:21" x14ac:dyDescent="0.35">
      <c r="B35" s="2" t="s">
        <v>679</v>
      </c>
      <c r="F35" s="2" t="s">
        <v>117</v>
      </c>
      <c r="J35" s="38">
        <f t="shared" ref="J35:J45" si="3">SUM(L35:Q35)</f>
        <v>-1863101.8124328423</v>
      </c>
      <c r="L35" s="149"/>
      <c r="M35" s="46">
        <f>'Lokale heffingen 2024'!M21</f>
        <v>0</v>
      </c>
      <c r="N35" s="46">
        <f>'Lokale heffingen 2024'!N21</f>
        <v>32017.606350989066</v>
      </c>
      <c r="O35" s="149"/>
      <c r="P35" s="46">
        <f>'Lokale heffingen 2024'!P21</f>
        <v>-1915254.6113925681</v>
      </c>
      <c r="Q35" s="46">
        <f>'Lokale heffingen 2024'!Q21</f>
        <v>20135.192608736626</v>
      </c>
    </row>
    <row r="36" spans="2:21" x14ac:dyDescent="0.35">
      <c r="B36" s="2" t="s">
        <v>791</v>
      </c>
      <c r="F36" s="2" t="s">
        <v>117</v>
      </c>
      <c r="J36" s="38">
        <f t="shared" si="3"/>
        <v>131733925.24773559</v>
      </c>
      <c r="L36" s="46">
        <f>'Daling volumes gas'!L106</f>
        <v>2189534.8511975915</v>
      </c>
      <c r="M36" s="46">
        <f>'Daling volumes gas'!M106</f>
        <v>44575486.949870467</v>
      </c>
      <c r="N36" s="46">
        <f>'Daling volumes gas'!N106</f>
        <v>43065471.579121195</v>
      </c>
      <c r="O36" s="46">
        <f>'Daling volumes gas'!O106</f>
        <v>1813284.7862778818</v>
      </c>
      <c r="P36" s="46">
        <f>'Daling volumes gas'!P106</f>
        <v>39143082.09380196</v>
      </c>
      <c r="Q36" s="46">
        <f>'Daling volumes gas'!Q106</f>
        <v>947064.98746650165</v>
      </c>
    </row>
    <row r="37" spans="2:21" x14ac:dyDescent="0.25">
      <c r="B37" s="2" t="s">
        <v>680</v>
      </c>
      <c r="F37" s="2" t="s">
        <v>117</v>
      </c>
      <c r="J37" s="38">
        <f t="shared" si="3"/>
        <v>7253641.181851618</v>
      </c>
      <c r="L37" s="52">
        <f>'Netverliezen 2024'!L114</f>
        <v>-497176.94371535029</v>
      </c>
      <c r="M37" s="52">
        <f>'Netverliezen 2024'!M114</f>
        <v>408510.48217972787</v>
      </c>
      <c r="N37" s="52">
        <f>'Netverliezen 2024'!N114</f>
        <v>21201.432598162508</v>
      </c>
      <c r="O37" s="52">
        <f>'Netverliezen 2024'!O114</f>
        <v>-99763.086110187971</v>
      </c>
      <c r="P37" s="52">
        <f>'Netverliezen 2024'!P114</f>
        <v>6707212.2069058046</v>
      </c>
      <c r="Q37" s="52">
        <f>'Netverliezen 2024'!Q114</f>
        <v>713657.0899934615</v>
      </c>
    </row>
    <row r="38" spans="2:21" x14ac:dyDescent="0.25">
      <c r="B38" s="2" t="s">
        <v>638</v>
      </c>
      <c r="F38" s="2" t="s">
        <v>117</v>
      </c>
      <c r="J38" s="105">
        <f t="shared" si="3"/>
        <v>110926480.15908653</v>
      </c>
      <c r="L38" s="52">
        <f>'Rente 2024'!L126</f>
        <v>2192558.0516480152</v>
      </c>
      <c r="M38" s="52">
        <f>'Rente 2024'!M126</f>
        <v>35629930.638789274</v>
      </c>
      <c r="N38" s="52">
        <f>'Rente 2024'!N126</f>
        <v>38159379.357887983</v>
      </c>
      <c r="O38" s="52">
        <f>'Rente 2024'!O126</f>
        <v>1609525.5011191079</v>
      </c>
      <c r="P38" s="52">
        <f>'Rente 2024'!P126</f>
        <v>31433000.566936277</v>
      </c>
      <c r="Q38" s="52">
        <f>'Rente 2024'!Q126</f>
        <v>1902086.0427058691</v>
      </c>
      <c r="U38" s="19"/>
    </row>
    <row r="39" spans="2:21" x14ac:dyDescent="0.25">
      <c r="B39" s="2" t="s">
        <v>637</v>
      </c>
      <c r="F39" s="2" t="s">
        <v>117</v>
      </c>
      <c r="J39" s="105">
        <f t="shared" si="3"/>
        <v>29974316.055341516</v>
      </c>
      <c r="L39" s="52">
        <f>'Rente 2024'!L125</f>
        <v>580262.12671213399</v>
      </c>
      <c r="M39" s="52">
        <f>'Rente 2024'!M125</f>
        <v>9498132.6924242675</v>
      </c>
      <c r="N39" s="52">
        <f>'Rente 2024'!N125</f>
        <v>10721262.848088607</v>
      </c>
      <c r="O39" s="52">
        <f>'Rente 2024'!O125</f>
        <v>421415.92306773068</v>
      </c>
      <c r="P39" s="52">
        <f>'Rente 2024'!P125</f>
        <v>8366793.733988869</v>
      </c>
      <c r="Q39" s="52">
        <f>'Rente 2024'!Q125</f>
        <v>386448.73105990648</v>
      </c>
    </row>
    <row r="40" spans="2:21" x14ac:dyDescent="0.25">
      <c r="B40" s="2" t="s">
        <v>649</v>
      </c>
      <c r="F40" s="2" t="s">
        <v>117</v>
      </c>
      <c r="J40" s="38">
        <f t="shared" si="3"/>
        <v>769807.10463835881</v>
      </c>
      <c r="L40" s="52">
        <f>'Invoeding 2024'!L49</f>
        <v>96757.358927556183</v>
      </c>
      <c r="M40" s="52">
        <f>'Invoeding 2024'!M49</f>
        <v>341029.76975853555</v>
      </c>
      <c r="N40" s="52">
        <f>'Invoeding 2024'!N49</f>
        <v>255013.67084083232</v>
      </c>
      <c r="O40" s="52">
        <f>'Invoeding 2024'!O49</f>
        <v>34298.559005630566</v>
      </c>
      <c r="P40" s="52">
        <f>'Invoeding 2024'!P49</f>
        <v>36953.204424234376</v>
      </c>
      <c r="Q40" s="52">
        <f>'Invoeding 2024'!Q49</f>
        <v>5754.5416815699364</v>
      </c>
    </row>
    <row r="41" spans="2:21" x14ac:dyDescent="0.25">
      <c r="B41" s="2" t="s">
        <v>661</v>
      </c>
      <c r="F41" s="2" t="s">
        <v>117</v>
      </c>
      <c r="J41" s="105">
        <f t="shared" si="3"/>
        <v>3225427.2119251816</v>
      </c>
      <c r="L41" s="52">
        <f>'Desinv. afn. benuttingsgraad'!L49</f>
        <v>68966.417200480297</v>
      </c>
      <c r="M41" s="149"/>
      <c r="N41" s="52">
        <f>'Desinv. afn. benuttingsgraad'!N49</f>
        <v>2985339.041949118</v>
      </c>
      <c r="O41" s="52">
        <f>'Desinv. afn. benuttingsgraad'!O49</f>
        <v>167374.70826889871</v>
      </c>
      <c r="P41" s="149"/>
      <c r="Q41" s="52">
        <f>'Desinv. afn. benuttingsgraad'!Q49</f>
        <v>3747.0445066849798</v>
      </c>
    </row>
    <row r="42" spans="2:21" x14ac:dyDescent="0.25">
      <c r="B42" s="2" t="s">
        <v>662</v>
      </c>
      <c r="F42" s="2" t="s">
        <v>117</v>
      </c>
      <c r="J42" s="105">
        <f t="shared" si="3"/>
        <v>4106906.2061165972</v>
      </c>
      <c r="L42" s="52">
        <f>'Desinv. afn. benuttingsgraad'!L50</f>
        <v>72231.190448465044</v>
      </c>
      <c r="M42" s="52">
        <f>'Desinv. afn. benuttingsgraad'!M50</f>
        <v>2706966.3125352473</v>
      </c>
      <c r="N42" s="52">
        <f>'Desinv. afn. benuttingsgraad'!N50</f>
        <v>928388.37717336672</v>
      </c>
      <c r="O42" s="52">
        <f>'Desinv. afn. benuttingsgraad'!O50</f>
        <v>112964.4808079354</v>
      </c>
      <c r="P42" s="52">
        <f>'Desinv. afn. benuttingsgraad'!P50</f>
        <v>286355.84515158308</v>
      </c>
      <c r="Q42" s="149"/>
    </row>
    <row r="43" spans="2:21" x14ac:dyDescent="0.25">
      <c r="B43" s="2" t="s">
        <v>666</v>
      </c>
      <c r="F43" s="2" t="s">
        <v>117</v>
      </c>
      <c r="J43" s="38">
        <f t="shared" si="3"/>
        <v>39556828.642787963</v>
      </c>
      <c r="L43" s="52">
        <f>'Verwijderingskosten KV'!L61</f>
        <v>32845.167218056646</v>
      </c>
      <c r="M43" s="52">
        <f>'Verwijderingskosten KV'!M61</f>
        <v>23070020.932525609</v>
      </c>
      <c r="N43" s="52">
        <f>'Verwijderingskosten KV'!N61</f>
        <v>78600.189028288674</v>
      </c>
      <c r="O43" s="52">
        <f>'Verwijderingskosten KV'!O61</f>
        <v>647966.25442023715</v>
      </c>
      <c r="P43" s="52">
        <f>'Verwijderingskosten KV'!P61</f>
        <v>15737810.565754028</v>
      </c>
      <c r="Q43" s="52">
        <f>'Verwijderingskosten KV'!Q61</f>
        <v>-10414.466158255091</v>
      </c>
    </row>
    <row r="44" spans="2:21" x14ac:dyDescent="0.25">
      <c r="B44" s="2" t="s">
        <v>669</v>
      </c>
      <c r="F44" s="2" t="s">
        <v>117</v>
      </c>
      <c r="J44" s="38">
        <f t="shared" si="3"/>
        <v>1895745.8725566249</v>
      </c>
      <c r="L44" s="149"/>
      <c r="M44" s="149"/>
      <c r="N44" s="52">
        <f>'Verwijderingskosten GV'!N55</f>
        <v>1087616.4902977946</v>
      </c>
      <c r="O44" s="149"/>
      <c r="P44" s="52">
        <f>'Verwijderingskosten GV'!P55</f>
        <v>742029.81047444639</v>
      </c>
      <c r="Q44" s="52">
        <f>'Verwijderingskosten GV'!Q55</f>
        <v>66099.571784384025</v>
      </c>
    </row>
    <row r="45" spans="2:21" x14ac:dyDescent="0.35">
      <c r="B45" s="2" t="s">
        <v>891</v>
      </c>
      <c r="F45" s="2" t="s">
        <v>117</v>
      </c>
      <c r="J45" s="105">
        <f t="shared" si="3"/>
        <v>27187.215654058935</v>
      </c>
      <c r="L45" s="256">
        <f>'Faillissementen leveranciers'!L36</f>
        <v>-27878.652633595841</v>
      </c>
      <c r="M45" s="256">
        <f>'Faillissementen leveranciers'!M36</f>
        <v>60481.889143074499</v>
      </c>
      <c r="N45" s="256">
        <f>'Faillissementen leveranciers'!N36</f>
        <v>-118848.26957442565</v>
      </c>
      <c r="O45" s="256">
        <f>'Faillissementen leveranciers'!O36</f>
        <v>-6254.9477686749142</v>
      </c>
      <c r="P45" s="256">
        <f>'Faillissementen leveranciers'!P36</f>
        <v>118123.41101619801</v>
      </c>
      <c r="Q45" s="256">
        <f>'Faillissementen leveranciers'!Q36</f>
        <v>1563.7854714828409</v>
      </c>
    </row>
    <row r="47" spans="2:21" ht="13" x14ac:dyDescent="0.25">
      <c r="B47" s="1" t="s">
        <v>566</v>
      </c>
      <c r="F47" s="2" t="s">
        <v>117</v>
      </c>
      <c r="J47" s="38">
        <f>SUM(L47:Q47)</f>
        <v>327607163.08526123</v>
      </c>
      <c r="L47" s="53">
        <f>SUM(L35:L45)</f>
        <v>4708099.5670033526</v>
      </c>
      <c r="M47" s="53">
        <f t="shared" ref="M47:Q47" si="4">SUM(M35:M45)</f>
        <v>116290559.6672262</v>
      </c>
      <c r="N47" s="53">
        <f t="shared" si="4"/>
        <v>97215442.323761925</v>
      </c>
      <c r="O47" s="53">
        <f t="shared" si="4"/>
        <v>4700812.179088559</v>
      </c>
      <c r="P47" s="53">
        <f t="shared" si="4"/>
        <v>100656106.82706083</v>
      </c>
      <c r="Q47" s="53">
        <f t="shared" si="4"/>
        <v>4036142.521120342</v>
      </c>
    </row>
    <row r="49" spans="2:17" s="6" customFormat="1" ht="13" x14ac:dyDescent="0.35">
      <c r="B49" s="6" t="s">
        <v>155</v>
      </c>
    </row>
    <row r="51" spans="2:17" x14ac:dyDescent="0.25">
      <c r="B51" s="2" t="s">
        <v>567</v>
      </c>
      <c r="F51" s="2" t="s">
        <v>117</v>
      </c>
      <c r="J51" s="38">
        <f>SUM(L51:Q51)</f>
        <v>1708435938.121655</v>
      </c>
      <c r="L51" s="54">
        <f>L31+L47</f>
        <v>31780111.409035236</v>
      </c>
      <c r="M51" s="54">
        <f t="shared" ref="M51:P51" si="5">M31+M47</f>
        <v>557989176.45520949</v>
      </c>
      <c r="N51" s="54">
        <f>N31+N47</f>
        <v>577088848.61019707</v>
      </c>
      <c r="O51" s="54">
        <f t="shared" si="5"/>
        <v>24534437.059540756</v>
      </c>
      <c r="P51" s="54">
        <f t="shared" si="5"/>
        <v>490161628.07398123</v>
      </c>
      <c r="Q51" s="54">
        <f>Q31+Q47</f>
        <v>26881736.513691172</v>
      </c>
    </row>
    <row r="53" spans="2:17" x14ac:dyDescent="0.35">
      <c r="L53" s="30"/>
      <c r="M53" s="30"/>
      <c r="N53" s="30"/>
      <c r="O53" s="30"/>
      <c r="P53" s="30"/>
      <c r="Q53" s="30"/>
    </row>
    <row r="54" spans="2:17" x14ac:dyDescent="0.35">
      <c r="M54" s="30"/>
      <c r="N54" s="30"/>
      <c r="O54" s="30"/>
      <c r="P54" s="30"/>
      <c r="Q54" s="30"/>
    </row>
    <row r="56" spans="2:17" x14ac:dyDescent="0.35">
      <c r="L56" s="59"/>
      <c r="M56" s="59"/>
      <c r="N56" s="59"/>
      <c r="O56" s="59"/>
      <c r="P56" s="59"/>
      <c r="Q56" s="59"/>
    </row>
    <row r="57" spans="2:17" x14ac:dyDescent="0.35">
      <c r="L57" s="72"/>
      <c r="M57" s="72"/>
      <c r="N57" s="72"/>
      <c r="O57" s="72"/>
      <c r="P57" s="72"/>
      <c r="Q57" s="72"/>
    </row>
    <row r="58" spans="2:17" x14ac:dyDescent="0.35">
      <c r="L58" s="72"/>
      <c r="M58" s="72"/>
      <c r="N58" s="72"/>
      <c r="O58" s="72"/>
      <c r="P58" s="72"/>
      <c r="Q58" s="72"/>
    </row>
    <row r="59" spans="2:17" x14ac:dyDescent="0.35">
      <c r="L59" s="72"/>
      <c r="M59" s="72"/>
      <c r="N59" s="72"/>
      <c r="O59" s="72"/>
      <c r="P59" s="72"/>
      <c r="Q59" s="72"/>
    </row>
    <row r="60" spans="2:17" x14ac:dyDescent="0.35">
      <c r="L60" s="72"/>
      <c r="M60" s="72"/>
      <c r="N60" s="72"/>
      <c r="O60" s="72"/>
      <c r="P60" s="72"/>
      <c r="Q60" s="72"/>
    </row>
    <row r="61" spans="2:17" x14ac:dyDescent="0.35">
      <c r="L61" s="72"/>
      <c r="M61" s="72"/>
      <c r="N61" s="72"/>
      <c r="O61" s="72"/>
      <c r="P61" s="72"/>
      <c r="Q61" s="72"/>
    </row>
  </sheetData>
  <phoneticPr fontId="6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
  <sheetViews>
    <sheetView showGridLines="0" zoomScale="85" zoomScaleNormal="85" workbookViewId="0"/>
  </sheetViews>
  <sheetFormatPr defaultColWidth="9.26953125" defaultRowHeight="12.5" x14ac:dyDescent="0.35"/>
  <cols>
    <col min="1" max="16384" width="9.26953125" style="23"/>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1FFE1"/>
  </sheetPr>
  <dimension ref="A2:AL38"/>
  <sheetViews>
    <sheetView showGridLines="0" zoomScale="85" zoomScaleNormal="85" workbookViewId="0">
      <pane xSplit="6" ySplit="12" topLeftCell="G13" activePane="bottomRight" state="frozen"/>
      <selection activeCell="Q27" sqref="Q27"/>
      <selection pane="topRight" activeCell="Q27" sqref="Q27"/>
      <selection pane="bottomLeft" activeCell="Q27" sqref="Q27"/>
      <selection pane="bottomRight" activeCell="G13" sqref="G13"/>
    </sheetView>
  </sheetViews>
  <sheetFormatPr defaultColWidth="9.26953125" defaultRowHeight="12.5" x14ac:dyDescent="0.35"/>
  <cols>
    <col min="1" max="1" width="4" style="2" customWidth="1"/>
    <col min="2" max="2" width="41.453125" style="2" customWidth="1"/>
    <col min="3"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25" width="17" style="2" hidden="1" customWidth="1"/>
    <col min="26" max="30" width="12.54296875" style="2" customWidth="1"/>
    <col min="31" max="31" width="13.7265625" style="2" customWidth="1"/>
    <col min="32" max="34" width="12.54296875" style="2" customWidth="1"/>
    <col min="35" max="35" width="2.7265625" style="2" customWidth="1"/>
    <col min="36" max="36" width="24.7265625" style="2" customWidth="1"/>
    <col min="37" max="37" width="2.7265625" style="2" customWidth="1"/>
    <col min="38" max="38" width="13.7265625" style="2" customWidth="1"/>
    <col min="39" max="39" width="2.7265625" style="2" customWidth="1"/>
    <col min="40" max="54" width="13.7265625" style="2" customWidth="1"/>
    <col min="55" max="16384" width="9.26953125" style="2"/>
  </cols>
  <sheetData>
    <row r="2" spans="2:38" s="18" customFormat="1" ht="18" x14ac:dyDescent="0.35">
      <c r="B2" s="18" t="s">
        <v>362</v>
      </c>
    </row>
    <row r="4" spans="2:38" ht="13" x14ac:dyDescent="0.35">
      <c r="B4" s="26" t="s">
        <v>29</v>
      </c>
      <c r="C4" s="1"/>
      <c r="D4" s="1"/>
    </row>
    <row r="5" spans="2:38" x14ac:dyDescent="0.35">
      <c r="B5" s="2" t="s">
        <v>364</v>
      </c>
      <c r="H5" s="19"/>
    </row>
    <row r="6" spans="2:38" x14ac:dyDescent="0.35">
      <c r="B6" s="2" t="s">
        <v>363</v>
      </c>
      <c r="H6" s="19"/>
    </row>
    <row r="7" spans="2:38" x14ac:dyDescent="0.35">
      <c r="H7" s="19"/>
    </row>
    <row r="8" spans="2:38" x14ac:dyDescent="0.35">
      <c r="B8" s="2" t="s">
        <v>40</v>
      </c>
      <c r="H8" s="19"/>
    </row>
    <row r="9" spans="2:38" ht="13" x14ac:dyDescent="0.35">
      <c r="B9" s="4" t="s">
        <v>507</v>
      </c>
      <c r="H9" s="19"/>
    </row>
    <row r="11" spans="2:38" s="6" customFormat="1" ht="13" x14ac:dyDescent="0.35">
      <c r="B11" s="6" t="s">
        <v>45</v>
      </c>
      <c r="F11" s="6" t="s">
        <v>27</v>
      </c>
      <c r="H11" s="6" t="s">
        <v>28</v>
      </c>
      <c r="J11" s="6" t="s">
        <v>49</v>
      </c>
      <c r="L11" s="6">
        <v>2004</v>
      </c>
      <c r="M11" s="6">
        <v>2005</v>
      </c>
      <c r="N11" s="6">
        <v>2006</v>
      </c>
      <c r="O11" s="6">
        <v>2007</v>
      </c>
      <c r="P11" s="6">
        <v>2008</v>
      </c>
      <c r="Q11" s="6">
        <v>2009</v>
      </c>
      <c r="R11" s="6">
        <v>2010</v>
      </c>
      <c r="S11" s="6">
        <v>2011</v>
      </c>
      <c r="T11" s="6">
        <v>2012</v>
      </c>
      <c r="U11" s="6">
        <v>2013</v>
      </c>
      <c r="V11" s="6">
        <v>2014</v>
      </c>
      <c r="W11" s="6">
        <v>2015</v>
      </c>
      <c r="X11" s="6">
        <v>2016</v>
      </c>
      <c r="Y11" s="6">
        <v>2017</v>
      </c>
      <c r="Z11" s="6">
        <v>2018</v>
      </c>
      <c r="AA11" s="6" t="s">
        <v>254</v>
      </c>
      <c r="AB11" s="6" t="s">
        <v>255</v>
      </c>
      <c r="AC11" s="6" t="s">
        <v>256</v>
      </c>
      <c r="AD11" s="6" t="s">
        <v>107</v>
      </c>
      <c r="AE11" s="6" t="s">
        <v>135</v>
      </c>
      <c r="AF11" s="6" t="s">
        <v>157</v>
      </c>
      <c r="AG11" s="6" t="s">
        <v>419</v>
      </c>
      <c r="AH11" s="6" t="s">
        <v>559</v>
      </c>
      <c r="AJ11" s="6" t="s">
        <v>46</v>
      </c>
      <c r="AL11" s="6" t="s">
        <v>47</v>
      </c>
    </row>
    <row r="14" spans="2:38" s="6" customFormat="1" ht="13" x14ac:dyDescent="0.35">
      <c r="B14" s="6" t="s">
        <v>93</v>
      </c>
    </row>
    <row r="16" spans="2:38" ht="13" x14ac:dyDescent="0.35">
      <c r="B16" s="26" t="s">
        <v>94</v>
      </c>
    </row>
    <row r="17" spans="1:38" x14ac:dyDescent="0.35">
      <c r="B17" s="2" t="s">
        <v>486</v>
      </c>
    </row>
    <row r="18" spans="1:38" x14ac:dyDescent="0.25">
      <c r="A18" s="206"/>
      <c r="B18" s="39"/>
    </row>
    <row r="19" spans="1:38" ht="12" customHeight="1" x14ac:dyDescent="0.35">
      <c r="A19" s="206"/>
      <c r="B19" s="2" t="s">
        <v>95</v>
      </c>
      <c r="F19" s="2" t="s">
        <v>72</v>
      </c>
      <c r="L19" s="133">
        <v>2.1000000000000001E-2</v>
      </c>
      <c r="M19" s="133">
        <v>1.0999999999999999E-2</v>
      </c>
      <c r="N19" s="133">
        <v>1.7999999999999999E-2</v>
      </c>
      <c r="O19" s="133">
        <v>1.4E-2</v>
      </c>
      <c r="P19" s="133">
        <v>1.0999999999999999E-2</v>
      </c>
      <c r="Q19" s="133">
        <v>3.2000000000000001E-2</v>
      </c>
      <c r="R19" s="133">
        <v>3.0000000000000001E-3</v>
      </c>
      <c r="S19" s="133">
        <v>1.4999999999999999E-2</v>
      </c>
      <c r="T19" s="133">
        <v>2.5999999999999999E-2</v>
      </c>
      <c r="U19" s="133">
        <v>2.3E-2</v>
      </c>
      <c r="V19" s="133">
        <v>2.8000000000000001E-2</v>
      </c>
      <c r="W19" s="133">
        <v>0.01</v>
      </c>
      <c r="X19" s="133">
        <v>8.0000000000000002E-3</v>
      </c>
      <c r="Y19" s="133">
        <v>2E-3</v>
      </c>
      <c r="Z19" s="133">
        <v>1.4E-2</v>
      </c>
      <c r="AA19" s="66">
        <v>2.1000000000000001E-2</v>
      </c>
      <c r="AB19" s="66">
        <v>2.8000000000000001E-2</v>
      </c>
      <c r="AC19" s="66">
        <v>7.0000000000000001E-3</v>
      </c>
      <c r="AD19" s="66">
        <v>2.4E-2</v>
      </c>
      <c r="AE19" s="66">
        <v>0.12</v>
      </c>
      <c r="AF19" s="66">
        <v>0.03</v>
      </c>
      <c r="AG19" s="230">
        <v>3.5999999999999997E-2</v>
      </c>
      <c r="AH19" s="230">
        <v>2.8000000000000001E-2</v>
      </c>
      <c r="AJ19" s="2" t="s">
        <v>131</v>
      </c>
      <c r="AL19" s="209"/>
    </row>
    <row r="20" spans="1:38" x14ac:dyDescent="0.35">
      <c r="A20" s="206"/>
    </row>
    <row r="21" spans="1:38" s="6" customFormat="1" ht="13" x14ac:dyDescent="0.35">
      <c r="B21" s="6" t="s">
        <v>73</v>
      </c>
    </row>
    <row r="23" spans="1:38" ht="13" x14ac:dyDescent="0.35">
      <c r="B23" s="1" t="s">
        <v>74</v>
      </c>
    </row>
    <row r="24" spans="1:38" x14ac:dyDescent="0.35">
      <c r="B24" s="2" t="s">
        <v>365</v>
      </c>
    </row>
    <row r="25" spans="1:38" x14ac:dyDescent="0.35">
      <c r="B25" s="2" t="s">
        <v>366</v>
      </c>
    </row>
    <row r="26" spans="1:38" x14ac:dyDescent="0.35">
      <c r="B26" s="2" t="s">
        <v>487</v>
      </c>
    </row>
    <row r="27" spans="1:38" x14ac:dyDescent="0.35">
      <c r="A27" s="206"/>
    </row>
    <row r="28" spans="1:38" ht="13" x14ac:dyDescent="0.35">
      <c r="A28" s="206"/>
      <c r="B28" s="1" t="s">
        <v>367</v>
      </c>
    </row>
    <row r="29" spans="1:38" ht="12" customHeight="1" x14ac:dyDescent="0.35">
      <c r="A29" s="206"/>
      <c r="B29" s="2" t="s">
        <v>76</v>
      </c>
      <c r="F29" s="2" t="s">
        <v>72</v>
      </c>
      <c r="AE29" s="66">
        <v>0.04</v>
      </c>
      <c r="AF29" s="66">
        <v>7.0000000000000007E-2</v>
      </c>
      <c r="AG29" s="66">
        <v>0.06</v>
      </c>
      <c r="AJ29" s="2" t="s">
        <v>132</v>
      </c>
    </row>
    <row r="30" spans="1:38" x14ac:dyDescent="0.35">
      <c r="A30" s="206"/>
      <c r="B30" s="2" t="s">
        <v>77</v>
      </c>
      <c r="F30" s="2" t="s">
        <v>72</v>
      </c>
      <c r="AE30" s="66">
        <v>0.04</v>
      </c>
      <c r="AF30" s="66">
        <v>7.0000000000000007E-2</v>
      </c>
      <c r="AG30" s="66">
        <v>0.06</v>
      </c>
    </row>
    <row r="31" spans="1:38" x14ac:dyDescent="0.35">
      <c r="A31" s="206"/>
      <c r="B31" s="2" t="s">
        <v>78</v>
      </c>
      <c r="F31" s="2" t="s">
        <v>72</v>
      </c>
      <c r="AD31" s="66">
        <v>0.02</v>
      </c>
      <c r="AE31" s="66">
        <v>0.06</v>
      </c>
      <c r="AF31" s="66">
        <v>7.0000000000000007E-2</v>
      </c>
      <c r="AG31" s="230">
        <v>0.06</v>
      </c>
    </row>
    <row r="32" spans="1:38" x14ac:dyDescent="0.35">
      <c r="A32" s="206"/>
      <c r="B32" s="2" t="s">
        <v>79</v>
      </c>
      <c r="F32" s="2" t="s">
        <v>72</v>
      </c>
      <c r="AD32" s="66">
        <v>0.02</v>
      </c>
      <c r="AE32" s="66">
        <v>0.06</v>
      </c>
      <c r="AF32" s="66">
        <v>7.0000000000000007E-2</v>
      </c>
      <c r="AG32" s="230">
        <v>0.06</v>
      </c>
    </row>
    <row r="33" spans="1:38" x14ac:dyDescent="0.35">
      <c r="A33" s="206"/>
    </row>
    <row r="34" spans="1:38" ht="13" x14ac:dyDescent="0.35">
      <c r="A34" s="206"/>
      <c r="B34" s="1" t="s">
        <v>368</v>
      </c>
    </row>
    <row r="35" spans="1:38" x14ac:dyDescent="0.35">
      <c r="A35" s="206"/>
      <c r="B35" s="2" t="s">
        <v>560</v>
      </c>
      <c r="F35" s="2" t="s">
        <v>72</v>
      </c>
      <c r="H35" s="230">
        <v>2.1499999999999998E-2</v>
      </c>
      <c r="AJ35" s="2" t="s">
        <v>369</v>
      </c>
      <c r="AL35" s="209"/>
    </row>
    <row r="36" spans="1:38" x14ac:dyDescent="0.35">
      <c r="A36" s="206"/>
    </row>
    <row r="37" spans="1:38" ht="13" x14ac:dyDescent="0.35">
      <c r="A37" s="206"/>
      <c r="B37" s="1" t="s">
        <v>895</v>
      </c>
    </row>
    <row r="38" spans="1:38" x14ac:dyDescent="0.35">
      <c r="A38" s="206"/>
      <c r="B38" s="2" t="s">
        <v>895</v>
      </c>
      <c r="H38" s="187">
        <v>0.21</v>
      </c>
    </row>
  </sheetData>
  <phoneticPr fontId="6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1FFE1"/>
  </sheetPr>
  <dimension ref="A2:Z25"/>
  <sheetViews>
    <sheetView showGridLines="0" zoomScale="85" zoomScaleNormal="85" workbookViewId="0">
      <pane xSplit="6" ySplit="8" topLeftCell="G9" activePane="bottomRight" state="frozen"/>
      <selection activeCell="Q27" sqref="Q27"/>
      <selection pane="topRight" activeCell="Q27" sqref="Q27"/>
      <selection pane="bottomLeft" activeCell="Q27" sqref="Q27"/>
      <selection pane="bottomRight" activeCell="G9" sqref="G9"/>
    </sheetView>
  </sheetViews>
  <sheetFormatPr defaultColWidth="9.26953125" defaultRowHeight="12.5" x14ac:dyDescent="0.35"/>
  <cols>
    <col min="1" max="1" width="4" style="2" customWidth="1"/>
    <col min="2" max="2" width="41.453125" style="2" customWidth="1"/>
    <col min="3" max="5" width="4.54296875" style="2" customWidth="1"/>
    <col min="6" max="6" width="13.7265625" style="2" customWidth="1"/>
    <col min="7" max="7" width="2.7265625" style="2" customWidth="1"/>
    <col min="8" max="8" width="13.7265625" style="2" customWidth="1"/>
    <col min="9" max="9" width="2.7265625" style="2" customWidth="1"/>
    <col min="10" max="10" width="13.7265625" style="2" customWidth="1"/>
    <col min="11" max="11" width="2.7265625" style="2" customWidth="1"/>
    <col min="12" max="13" width="13.26953125" style="2" customWidth="1"/>
    <col min="14" max="14" width="14.26953125" style="2" bestFit="1" customWidth="1"/>
    <col min="15" max="17" width="13.26953125" style="2" customWidth="1"/>
    <col min="18" max="19" width="2.7265625" style="2" customWidth="1"/>
    <col min="20" max="20" width="24.7265625" style="2" customWidth="1"/>
    <col min="21" max="21" width="2.7265625" style="2" customWidth="1"/>
    <col min="22" max="22" width="13.7265625" style="2" customWidth="1"/>
    <col min="23" max="23" width="2.7265625" style="2" customWidth="1"/>
    <col min="24" max="38" width="13.7265625" style="2" customWidth="1"/>
    <col min="39" max="16384" width="9.26953125" style="2"/>
  </cols>
  <sheetData>
    <row r="2" spans="1:26" s="18" customFormat="1" ht="18" x14ac:dyDescent="0.35">
      <c r="B2" s="18" t="s">
        <v>87</v>
      </c>
    </row>
    <row r="4" spans="1:26" ht="13" x14ac:dyDescent="0.35">
      <c r="B4" s="1" t="s">
        <v>29</v>
      </c>
      <c r="C4" s="1"/>
      <c r="D4" s="1"/>
    </row>
    <row r="5" spans="1:26" x14ac:dyDescent="0.35">
      <c r="B5" s="2" t="s">
        <v>203</v>
      </c>
      <c r="H5" s="19"/>
    </row>
    <row r="7" spans="1:26" s="6" customFormat="1" ht="13" x14ac:dyDescent="0.35">
      <c r="B7" s="6" t="s">
        <v>45</v>
      </c>
      <c r="F7" s="6" t="s">
        <v>27</v>
      </c>
      <c r="H7" s="6" t="s">
        <v>28</v>
      </c>
      <c r="J7" s="6" t="s">
        <v>49</v>
      </c>
      <c r="L7" s="6" t="s">
        <v>88</v>
      </c>
      <c r="M7" s="6" t="s">
        <v>65</v>
      </c>
      <c r="N7" s="6" t="s">
        <v>66</v>
      </c>
      <c r="O7" s="6" t="s">
        <v>67</v>
      </c>
      <c r="P7" s="6" t="s">
        <v>68</v>
      </c>
      <c r="Q7" s="6" t="s">
        <v>69</v>
      </c>
      <c r="T7" s="6" t="s">
        <v>46</v>
      </c>
      <c r="V7" s="6" t="s">
        <v>47</v>
      </c>
    </row>
    <row r="10" spans="1:26" s="6" customFormat="1" ht="13" x14ac:dyDescent="0.35">
      <c r="B10" s="6" t="s">
        <v>112</v>
      </c>
    </row>
    <row r="11" spans="1:26" x14ac:dyDescent="0.35">
      <c r="M11" s="83"/>
      <c r="N11" s="83"/>
      <c r="O11" s="83"/>
      <c r="P11" s="83"/>
      <c r="Q11" s="83"/>
    </row>
    <row r="12" spans="1:26" ht="13" x14ac:dyDescent="0.35">
      <c r="B12" s="1" t="s">
        <v>86</v>
      </c>
    </row>
    <row r="13" spans="1:26" x14ac:dyDescent="0.25">
      <c r="B13" s="2" t="s">
        <v>158</v>
      </c>
      <c r="F13" s="75" t="s">
        <v>105</v>
      </c>
      <c r="L13" s="65">
        <v>17509659.581804149</v>
      </c>
      <c r="M13" s="65">
        <v>285208457.58122259</v>
      </c>
      <c r="N13" s="65">
        <v>305251081.66104859</v>
      </c>
      <c r="O13" s="65">
        <v>12863116.073261615</v>
      </c>
      <c r="P13" s="65">
        <v>251539922.51591069</v>
      </c>
      <c r="Q13" s="65">
        <v>15888170.388429981</v>
      </c>
      <c r="T13" s="2" t="s">
        <v>295</v>
      </c>
      <c r="Z13" s="19"/>
    </row>
    <row r="14" spans="1:26" x14ac:dyDescent="0.25">
      <c r="B14" s="2" t="s">
        <v>128</v>
      </c>
      <c r="F14" s="75" t="s">
        <v>105</v>
      </c>
      <c r="L14" s="65">
        <v>5508016.3787032366</v>
      </c>
      <c r="M14" s="65">
        <v>90159029.908431798</v>
      </c>
      <c r="N14" s="65">
        <v>101769336.04517412</v>
      </c>
      <c r="O14" s="65">
        <v>4000202.1494243168</v>
      </c>
      <c r="P14" s="65">
        <v>79420032.434590772</v>
      </c>
      <c r="Q14" s="65">
        <v>3668283.4226453337</v>
      </c>
      <c r="T14" s="2" t="s">
        <v>296</v>
      </c>
    </row>
    <row r="15" spans="1:26" s="78" customFormat="1" x14ac:dyDescent="0.25">
      <c r="A15" s="2"/>
      <c r="F15" s="79"/>
      <c r="J15" s="2"/>
      <c r="L15" s="80"/>
      <c r="M15" s="80"/>
      <c r="N15" s="80"/>
      <c r="O15" s="80"/>
      <c r="P15" s="80"/>
      <c r="Q15" s="80"/>
      <c r="T15" s="2"/>
    </row>
    <row r="16" spans="1:26" s="78" customFormat="1" x14ac:dyDescent="0.25">
      <c r="A16" s="2"/>
      <c r="B16" s="78" t="s">
        <v>108</v>
      </c>
      <c r="F16" s="75" t="s">
        <v>105</v>
      </c>
      <c r="J16" s="2"/>
      <c r="L16" s="38">
        <f t="shared" ref="L16:Q16" si="0">L13+L14</f>
        <v>23017675.960507385</v>
      </c>
      <c r="M16" s="38">
        <f t="shared" si="0"/>
        <v>375367487.48965442</v>
      </c>
      <c r="N16" s="38">
        <f t="shared" si="0"/>
        <v>407020417.70622271</v>
      </c>
      <c r="O16" s="38">
        <f t="shared" si="0"/>
        <v>16863318.222685933</v>
      </c>
      <c r="P16" s="38">
        <f t="shared" si="0"/>
        <v>330959954.95050144</v>
      </c>
      <c r="Q16" s="38">
        <f t="shared" si="0"/>
        <v>19556453.811075315</v>
      </c>
      <c r="T16" s="2"/>
    </row>
    <row r="18" spans="2:20" ht="13" x14ac:dyDescent="0.35">
      <c r="B18" s="1" t="s">
        <v>85</v>
      </c>
    </row>
    <row r="19" spans="2:20" x14ac:dyDescent="0.25">
      <c r="B19" s="2" t="s">
        <v>109</v>
      </c>
      <c r="F19" s="75" t="s">
        <v>70</v>
      </c>
      <c r="L19" s="61">
        <v>1.4000000000000001</v>
      </c>
      <c r="M19" s="61">
        <v>1.3900000000000001</v>
      </c>
      <c r="N19" s="61">
        <v>1.35</v>
      </c>
      <c r="O19" s="61">
        <v>1.4000000000000001</v>
      </c>
      <c r="P19" s="61">
        <v>1.3900000000000001</v>
      </c>
      <c r="Q19" s="61">
        <v>1.54</v>
      </c>
      <c r="T19" s="2" t="s">
        <v>297</v>
      </c>
    </row>
    <row r="23" spans="2:20" x14ac:dyDescent="0.35">
      <c r="L23" s="83"/>
      <c r="M23" s="83"/>
      <c r="N23" s="83"/>
      <c r="O23" s="83"/>
      <c r="P23" s="83"/>
      <c r="Q23" s="83"/>
    </row>
    <row r="25" spans="2:20" x14ac:dyDescent="0.35">
      <c r="L25" s="83"/>
      <c r="M25" s="83"/>
      <c r="N25" s="83"/>
      <c r="O25" s="83"/>
      <c r="P25" s="83"/>
      <c r="Q25" s="83"/>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3D908-47F5-44D2-9064-782F31607046}">
  <sheetPr>
    <tabColor rgb="FFE1FFE1"/>
  </sheetPr>
  <dimension ref="A1:Z101"/>
  <sheetViews>
    <sheetView showGridLines="0" zoomScale="85" zoomScaleNormal="85" workbookViewId="0">
      <pane xSplit="6" ySplit="12" topLeftCell="G13" activePane="bottomRight" state="frozen"/>
      <selection activeCell="D53" sqref="D53"/>
      <selection pane="topRight" activeCell="D53" sqref="D53"/>
      <selection pane="bottomLeft" activeCell="D53" sqref="D53"/>
      <selection pane="bottomRight" activeCell="G13" sqref="G13"/>
    </sheetView>
  </sheetViews>
  <sheetFormatPr defaultColWidth="9.26953125" defaultRowHeight="12.5" x14ac:dyDescent="0.35"/>
  <cols>
    <col min="1" max="1" width="4.7265625" style="185" customWidth="1"/>
    <col min="2" max="2" width="58.26953125" style="185" customWidth="1"/>
    <col min="3" max="3" width="1.7265625" style="185" customWidth="1"/>
    <col min="4" max="4" width="2.54296875" style="185" customWidth="1"/>
    <col min="5" max="5" width="2.453125" style="185" customWidth="1"/>
    <col min="6" max="6" width="13" style="185" customWidth="1"/>
    <col min="7" max="7" width="3.54296875" style="185" customWidth="1"/>
    <col min="8" max="8" width="11.453125" style="185" customWidth="1"/>
    <col min="9" max="9" width="2.453125" style="185" customWidth="1"/>
    <col min="10" max="10" width="14" style="185" bestFit="1" customWidth="1"/>
    <col min="11" max="11" width="2.54296875" style="185" customWidth="1"/>
    <col min="12" max="17" width="14" style="185" customWidth="1"/>
    <col min="18" max="18" width="2.81640625" style="185" customWidth="1"/>
    <col min="19" max="19" width="25.26953125" style="185" customWidth="1"/>
    <col min="20" max="20" width="25.7265625" style="185" customWidth="1"/>
    <col min="21" max="16384" width="9.26953125" style="185"/>
  </cols>
  <sheetData>
    <row r="1" spans="2:21" s="2" customFormat="1" x14ac:dyDescent="0.35"/>
    <row r="2" spans="2:21" s="181" customFormat="1" ht="18" x14ac:dyDescent="0.35">
      <c r="B2" s="181" t="s">
        <v>376</v>
      </c>
    </row>
    <row r="3" spans="2:21" s="2" customFormat="1" ht="12" customHeight="1" x14ac:dyDescent="0.35"/>
    <row r="4" spans="2:21" s="2" customFormat="1" ht="12" customHeight="1" x14ac:dyDescent="0.35">
      <c r="B4" s="1" t="s">
        <v>29</v>
      </c>
      <c r="C4" s="1"/>
      <c r="D4" s="1"/>
    </row>
    <row r="5" spans="2:21" s="2" customFormat="1" ht="12" customHeight="1" x14ac:dyDescent="0.35">
      <c r="B5" s="2" t="s">
        <v>377</v>
      </c>
      <c r="C5" s="1"/>
      <c r="D5" s="1"/>
    </row>
    <row r="6" spans="2:21" s="2" customFormat="1" ht="12" customHeight="1" x14ac:dyDescent="0.35">
      <c r="B6" s="2" t="s">
        <v>378</v>
      </c>
      <c r="H6" s="19"/>
    </row>
    <row r="7" spans="2:21" s="2" customFormat="1" ht="12" customHeight="1" x14ac:dyDescent="0.35">
      <c r="B7" s="2" t="s">
        <v>534</v>
      </c>
      <c r="H7" s="19"/>
    </row>
    <row r="8" spans="2:21" s="2" customFormat="1" ht="12" customHeight="1" x14ac:dyDescent="0.35">
      <c r="H8" s="19"/>
    </row>
    <row r="9" spans="2:21" s="2" customFormat="1" ht="12" customHeight="1" x14ac:dyDescent="0.35">
      <c r="B9" s="2" t="s">
        <v>857</v>
      </c>
      <c r="H9" s="19"/>
    </row>
    <row r="10" spans="2:21" s="2" customFormat="1" ht="12" customHeight="1" x14ac:dyDescent="0.35"/>
    <row r="11" spans="2:21" s="140" customFormat="1" ht="12" customHeight="1" x14ac:dyDescent="0.35">
      <c r="B11" s="140" t="s">
        <v>45</v>
      </c>
      <c r="F11" s="140" t="s">
        <v>27</v>
      </c>
      <c r="H11" s="140" t="s">
        <v>28</v>
      </c>
      <c r="J11" s="140" t="s">
        <v>49</v>
      </c>
      <c r="L11" s="140" t="s">
        <v>88</v>
      </c>
      <c r="M11" s="140" t="s">
        <v>65</v>
      </c>
      <c r="N11" s="140" t="s">
        <v>66</v>
      </c>
      <c r="O11" s="140" t="s">
        <v>67</v>
      </c>
      <c r="P11" s="140" t="s">
        <v>68</v>
      </c>
      <c r="Q11" s="140" t="s">
        <v>69</v>
      </c>
      <c r="S11" s="140" t="s">
        <v>46</v>
      </c>
      <c r="U11" s="140" t="s">
        <v>47</v>
      </c>
    </row>
    <row r="12" spans="2:21" s="2" customFormat="1" ht="12" customHeight="1" x14ac:dyDescent="0.35"/>
    <row r="13" spans="2:21" s="2" customFormat="1" ht="12" customHeight="1" x14ac:dyDescent="0.35"/>
    <row r="14" spans="2:21" s="140" customFormat="1" ht="12" customHeight="1" x14ac:dyDescent="0.35">
      <c r="B14" s="140" t="s">
        <v>816</v>
      </c>
    </row>
    <row r="15" spans="2:21" s="2" customFormat="1" ht="12" customHeight="1" x14ac:dyDescent="0.35">
      <c r="B15" s="170"/>
      <c r="C15" s="170"/>
      <c r="D15" s="170"/>
      <c r="E15" s="170"/>
      <c r="F15" s="170"/>
      <c r="G15" s="170"/>
      <c r="H15" s="170"/>
      <c r="I15" s="170"/>
      <c r="J15" s="170"/>
      <c r="K15" s="170"/>
      <c r="L15" s="170"/>
      <c r="M15" s="170"/>
      <c r="N15" s="170"/>
      <c r="O15" s="170"/>
      <c r="P15" s="99"/>
      <c r="Q15" s="170"/>
      <c r="R15" s="170"/>
      <c r="S15" s="170"/>
      <c r="T15" s="170"/>
      <c r="U15" s="170"/>
    </row>
    <row r="16" spans="2:21" s="2" customFormat="1" ht="12" customHeight="1" x14ac:dyDescent="0.35">
      <c r="B16" s="175" t="s">
        <v>535</v>
      </c>
      <c r="C16" s="170"/>
      <c r="D16" s="170"/>
      <c r="E16" s="170"/>
      <c r="F16" s="170"/>
      <c r="G16" s="170"/>
      <c r="H16" s="170"/>
      <c r="I16" s="170"/>
      <c r="J16" s="170"/>
      <c r="K16" s="170"/>
      <c r="L16" s="99"/>
      <c r="M16" s="99"/>
      <c r="N16" s="99"/>
      <c r="O16" s="170"/>
      <c r="P16" s="99"/>
      <c r="Q16" s="170"/>
      <c r="R16" s="170"/>
      <c r="S16" s="170"/>
      <c r="T16" s="170"/>
      <c r="U16" s="170"/>
    </row>
    <row r="17" spans="1:21" s="2" customFormat="1" ht="12" customHeight="1" x14ac:dyDescent="0.35">
      <c r="B17" s="170" t="s">
        <v>537</v>
      </c>
      <c r="C17" s="170"/>
      <c r="D17" s="170"/>
      <c r="E17" s="170"/>
      <c r="F17" s="170" t="s">
        <v>110</v>
      </c>
      <c r="G17" s="170"/>
      <c r="H17" s="170"/>
      <c r="I17" s="170"/>
      <c r="J17" s="170"/>
      <c r="K17" s="170"/>
      <c r="L17" s="99"/>
      <c r="M17" s="99"/>
      <c r="N17" s="99"/>
      <c r="P17" s="96">
        <v>47737.720171059314</v>
      </c>
      <c r="Q17" s="170"/>
      <c r="R17" s="170"/>
      <c r="S17" s="170" t="s">
        <v>864</v>
      </c>
      <c r="T17" s="170"/>
      <c r="U17" s="227"/>
    </row>
    <row r="18" spans="1:21" s="112" customFormat="1" ht="12" customHeight="1" x14ac:dyDescent="0.35">
      <c r="A18" s="244"/>
    </row>
    <row r="19" spans="1:21" s="2" customFormat="1" ht="12" customHeight="1" x14ac:dyDescent="0.35">
      <c r="A19" s="206"/>
      <c r="B19" s="173" t="s">
        <v>538</v>
      </c>
      <c r="C19" s="170"/>
      <c r="D19" s="170"/>
      <c r="E19" s="170"/>
      <c r="F19" s="170"/>
      <c r="G19" s="170"/>
      <c r="H19" s="170"/>
      <c r="I19" s="170"/>
      <c r="J19" s="170"/>
      <c r="K19" s="170"/>
      <c r="L19" s="99"/>
      <c r="M19" s="99"/>
      <c r="N19" s="99"/>
      <c r="P19" s="183"/>
      <c r="Q19" s="170"/>
      <c r="R19" s="170"/>
      <c r="S19" s="170"/>
      <c r="T19" s="170"/>
      <c r="U19" s="170"/>
    </row>
    <row r="20" spans="1:21" s="2" customFormat="1" ht="12" customHeight="1" x14ac:dyDescent="0.35">
      <c r="A20" s="206"/>
      <c r="B20" s="2" t="s">
        <v>539</v>
      </c>
      <c r="C20" s="170"/>
      <c r="D20" s="170"/>
      <c r="E20" s="170"/>
      <c r="F20" s="170" t="s">
        <v>110</v>
      </c>
      <c r="G20" s="170"/>
      <c r="H20" s="170"/>
      <c r="I20" s="170"/>
      <c r="J20" s="170"/>
      <c r="K20" s="170"/>
      <c r="L20" s="99"/>
      <c r="M20" s="99"/>
      <c r="N20" s="99"/>
      <c r="P20" s="182"/>
      <c r="Q20" s="170"/>
      <c r="R20" s="170"/>
      <c r="S20" s="170" t="s">
        <v>863</v>
      </c>
      <c r="T20" s="170"/>
      <c r="U20" s="170"/>
    </row>
    <row r="21" spans="1:21" s="2" customFormat="1" ht="12" customHeight="1" x14ac:dyDescent="0.35">
      <c r="A21" s="206"/>
      <c r="B21" s="2" t="s">
        <v>540</v>
      </c>
      <c r="C21" s="170"/>
      <c r="D21" s="170"/>
      <c r="E21" s="170"/>
      <c r="F21" s="170" t="s">
        <v>136</v>
      </c>
      <c r="G21" s="170"/>
      <c r="H21" s="170"/>
      <c r="I21" s="170"/>
      <c r="J21" s="170"/>
      <c r="K21" s="170"/>
      <c r="L21" s="99"/>
      <c r="M21" s="99"/>
      <c r="N21" s="99"/>
      <c r="P21" s="182"/>
      <c r="Q21" s="170"/>
      <c r="R21" s="170"/>
      <c r="S21" s="170" t="s">
        <v>864</v>
      </c>
      <c r="T21" s="170"/>
      <c r="U21" s="170"/>
    </row>
    <row r="22" spans="1:21" s="2" customFormat="1" ht="12" customHeight="1" x14ac:dyDescent="0.35">
      <c r="A22" s="206"/>
      <c r="B22" s="2" t="s">
        <v>568</v>
      </c>
      <c r="C22" s="170"/>
      <c r="D22" s="170"/>
      <c r="E22" s="170"/>
      <c r="F22" s="170" t="s">
        <v>160</v>
      </c>
      <c r="G22" s="170"/>
      <c r="H22" s="170"/>
      <c r="I22" s="170"/>
      <c r="J22" s="170"/>
      <c r="K22" s="170"/>
      <c r="L22" s="99"/>
      <c r="M22" s="99"/>
      <c r="N22" s="99"/>
      <c r="P22" s="182"/>
      <c r="Q22" s="170"/>
      <c r="R22" s="170"/>
      <c r="S22" s="273" t="s">
        <v>815</v>
      </c>
      <c r="T22" s="170"/>
      <c r="U22" s="170"/>
    </row>
    <row r="23" spans="1:21" s="2" customFormat="1" ht="12" customHeight="1" x14ac:dyDescent="0.35">
      <c r="A23" s="206"/>
      <c r="B23" s="170"/>
      <c r="C23" s="170"/>
      <c r="D23" s="170"/>
      <c r="E23" s="170"/>
      <c r="F23" s="170"/>
      <c r="G23" s="170"/>
      <c r="H23" s="170"/>
      <c r="I23" s="170"/>
      <c r="J23" s="170"/>
      <c r="K23" s="170"/>
      <c r="L23" s="99"/>
      <c r="M23" s="99"/>
      <c r="N23" s="99"/>
      <c r="P23" s="183"/>
      <c r="Q23" s="170"/>
      <c r="R23" s="170"/>
      <c r="S23" s="170"/>
      <c r="T23" s="170"/>
      <c r="U23" s="170"/>
    </row>
    <row r="24" spans="1:21" s="2" customFormat="1" ht="12" customHeight="1" x14ac:dyDescent="0.35">
      <c r="A24" s="206"/>
      <c r="B24" s="173" t="s">
        <v>541</v>
      </c>
      <c r="C24" s="170"/>
      <c r="D24" s="170"/>
      <c r="E24" s="170"/>
      <c r="F24" s="170"/>
      <c r="G24" s="170"/>
      <c r="H24" s="170"/>
      <c r="I24" s="170"/>
      <c r="J24" s="170"/>
      <c r="K24" s="170"/>
      <c r="L24" s="99"/>
      <c r="M24" s="99"/>
      <c r="N24" s="99"/>
      <c r="P24" s="183"/>
      <c r="Q24" s="170"/>
      <c r="R24" s="170"/>
      <c r="S24" s="170"/>
      <c r="T24" s="170"/>
      <c r="U24" s="170"/>
    </row>
    <row r="25" spans="1:21" s="2" customFormat="1" ht="12" customHeight="1" x14ac:dyDescent="0.35">
      <c r="A25" s="206"/>
      <c r="B25" s="170" t="s">
        <v>542</v>
      </c>
      <c r="C25" s="170"/>
      <c r="D25" s="170"/>
      <c r="E25" s="170"/>
      <c r="F25" s="170" t="s">
        <v>379</v>
      </c>
      <c r="G25" s="170"/>
      <c r="H25" s="170"/>
      <c r="I25" s="170"/>
      <c r="J25" s="170"/>
      <c r="K25" s="170"/>
      <c r="L25" s="99"/>
      <c r="M25" s="99"/>
      <c r="N25" s="99"/>
      <c r="P25" s="96">
        <v>5</v>
      </c>
      <c r="Q25" s="170"/>
      <c r="R25" s="170"/>
      <c r="S25" s="170" t="s">
        <v>863</v>
      </c>
      <c r="T25" s="170"/>
      <c r="U25" s="170"/>
    </row>
    <row r="26" spans="1:21" s="78" customFormat="1" ht="12" customHeight="1" x14ac:dyDescent="0.35">
      <c r="A26" s="206"/>
      <c r="B26" s="170" t="s">
        <v>543</v>
      </c>
      <c r="C26" s="170"/>
      <c r="D26" s="170"/>
      <c r="E26" s="170"/>
      <c r="F26" s="170" t="s">
        <v>379</v>
      </c>
      <c r="G26" s="170"/>
      <c r="H26" s="170"/>
      <c r="I26" s="170"/>
      <c r="J26" s="170"/>
      <c r="K26" s="170"/>
      <c r="L26" s="99"/>
      <c r="M26" s="99"/>
      <c r="N26" s="99"/>
      <c r="P26" s="182"/>
      <c r="Q26" s="170"/>
      <c r="R26" s="170"/>
      <c r="S26" s="170" t="s">
        <v>864</v>
      </c>
      <c r="T26" s="170"/>
      <c r="U26" s="170"/>
    </row>
    <row r="27" spans="1:21" s="78" customFormat="1" ht="12" customHeight="1" x14ac:dyDescent="0.35">
      <c r="A27" s="206"/>
      <c r="B27" s="170" t="s">
        <v>544</v>
      </c>
      <c r="C27" s="170"/>
      <c r="D27" s="170"/>
      <c r="E27" s="170"/>
      <c r="F27" s="170" t="s">
        <v>379</v>
      </c>
      <c r="G27" s="170"/>
      <c r="H27" s="170"/>
      <c r="I27" s="170"/>
      <c r="J27" s="170"/>
      <c r="K27" s="170"/>
      <c r="L27" s="99"/>
      <c r="M27" s="99"/>
      <c r="N27" s="99"/>
      <c r="P27" s="182"/>
      <c r="Q27" s="170"/>
      <c r="R27" s="170"/>
      <c r="S27" s="170" t="s">
        <v>864</v>
      </c>
      <c r="T27" s="170"/>
      <c r="U27" s="170"/>
    </row>
    <row r="28" spans="1:21" s="78" customFormat="1" ht="12" customHeight="1" x14ac:dyDescent="0.35">
      <c r="A28" s="206"/>
      <c r="B28" s="170" t="s">
        <v>569</v>
      </c>
      <c r="C28" s="170"/>
      <c r="D28" s="170"/>
      <c r="E28" s="170"/>
      <c r="F28" s="170" t="s">
        <v>379</v>
      </c>
      <c r="G28" s="170"/>
      <c r="H28" s="170"/>
      <c r="I28" s="170"/>
      <c r="J28" s="170"/>
      <c r="K28" s="170"/>
      <c r="L28" s="99"/>
      <c r="M28" s="99"/>
      <c r="N28" s="99"/>
      <c r="P28" s="182"/>
      <c r="Q28" s="170"/>
      <c r="R28" s="170"/>
      <c r="S28" s="273" t="s">
        <v>815</v>
      </c>
      <c r="T28" s="170"/>
      <c r="U28" s="170"/>
    </row>
    <row r="29" spans="1:21" s="78" customFormat="1" ht="12" customHeight="1" x14ac:dyDescent="0.35">
      <c r="A29" s="206"/>
      <c r="B29" s="170"/>
      <c r="C29" s="170"/>
      <c r="D29" s="170"/>
      <c r="E29" s="170"/>
      <c r="F29" s="170"/>
      <c r="G29" s="170"/>
      <c r="H29" s="170"/>
      <c r="I29" s="170"/>
      <c r="J29" s="170"/>
      <c r="K29" s="170"/>
      <c r="L29" s="99"/>
      <c r="M29" s="99"/>
      <c r="N29" s="99"/>
      <c r="P29" s="184"/>
      <c r="Q29" s="170"/>
      <c r="R29" s="170"/>
      <c r="S29" s="170"/>
      <c r="T29" s="170"/>
      <c r="U29" s="170"/>
    </row>
    <row r="30" spans="1:21" s="78" customFormat="1" ht="12" customHeight="1" x14ac:dyDescent="0.35">
      <c r="A30" s="206"/>
      <c r="B30" s="175" t="s">
        <v>380</v>
      </c>
      <c r="C30" s="170"/>
      <c r="D30" s="170"/>
      <c r="E30" s="170"/>
      <c r="F30" s="170"/>
      <c r="G30" s="170"/>
      <c r="H30" s="170"/>
      <c r="I30" s="170"/>
      <c r="J30" s="170"/>
      <c r="K30" s="170"/>
      <c r="L30" s="99"/>
      <c r="M30" s="99"/>
      <c r="N30" s="99"/>
      <c r="P30" s="184"/>
      <c r="Q30" s="170"/>
      <c r="R30" s="170"/>
      <c r="S30" s="170"/>
      <c r="T30" s="170"/>
      <c r="U30" s="170"/>
    </row>
    <row r="31" spans="1:21" s="78" customFormat="1" ht="12" customHeight="1" x14ac:dyDescent="0.35">
      <c r="A31" s="206"/>
      <c r="B31" s="170" t="s">
        <v>570</v>
      </c>
      <c r="C31" s="170"/>
      <c r="D31" s="170"/>
      <c r="E31" s="170"/>
      <c r="F31" s="170" t="s">
        <v>160</v>
      </c>
      <c r="G31" s="170"/>
      <c r="H31" s="170"/>
      <c r="I31" s="170"/>
      <c r="J31" s="170"/>
      <c r="K31" s="170"/>
      <c r="L31" s="99"/>
      <c r="M31" s="99"/>
      <c r="N31" s="99"/>
      <c r="P31" s="182"/>
      <c r="Q31" s="170"/>
      <c r="R31" s="170"/>
      <c r="S31" s="273" t="s">
        <v>815</v>
      </c>
      <c r="T31" s="170"/>
      <c r="U31" s="170"/>
    </row>
    <row r="32" spans="1:21" s="112" customFormat="1" ht="12" customHeight="1" x14ac:dyDescent="0.35">
      <c r="A32" s="244"/>
      <c r="B32" s="170"/>
      <c r="C32" s="170"/>
      <c r="D32" s="170"/>
      <c r="E32" s="170"/>
      <c r="F32" s="170"/>
      <c r="G32" s="170"/>
      <c r="H32" s="170"/>
      <c r="I32" s="170"/>
      <c r="J32" s="170"/>
      <c r="K32" s="170"/>
      <c r="L32" s="99"/>
      <c r="M32" s="99"/>
      <c r="N32" s="99"/>
      <c r="P32" s="186"/>
      <c r="Q32" s="170"/>
      <c r="R32" s="170"/>
      <c r="S32" s="170"/>
      <c r="T32" s="170"/>
      <c r="U32" s="170"/>
    </row>
    <row r="33" spans="1:21" s="112" customFormat="1" ht="12" customHeight="1" x14ac:dyDescent="0.35">
      <c r="A33" s="244"/>
      <c r="B33" s="175" t="s">
        <v>381</v>
      </c>
      <c r="C33" s="170"/>
      <c r="D33" s="170"/>
      <c r="E33" s="170"/>
      <c r="F33" s="170"/>
      <c r="G33" s="170"/>
      <c r="H33" s="170"/>
      <c r="I33" s="170"/>
      <c r="J33" s="170"/>
      <c r="K33" s="170"/>
      <c r="L33" s="99"/>
      <c r="M33" s="99"/>
      <c r="N33" s="99"/>
      <c r="P33" s="183"/>
      <c r="Q33" s="170"/>
      <c r="R33" s="170"/>
      <c r="S33" s="170"/>
      <c r="T33" s="170"/>
      <c r="U33" s="170"/>
    </row>
    <row r="34" spans="1:21" s="112" customFormat="1" ht="12" customHeight="1" x14ac:dyDescent="0.35">
      <c r="A34" s="206"/>
      <c r="B34" s="170" t="s">
        <v>571</v>
      </c>
      <c r="C34" s="170"/>
      <c r="D34" s="170"/>
      <c r="E34" s="170"/>
      <c r="F34" s="170" t="s">
        <v>160</v>
      </c>
      <c r="G34" s="170"/>
      <c r="H34" s="170"/>
      <c r="I34" s="170"/>
      <c r="J34" s="170"/>
      <c r="K34" s="170"/>
      <c r="L34" s="99"/>
      <c r="M34" s="99"/>
      <c r="N34" s="99"/>
      <c r="P34" s="275">
        <v>33440.15</v>
      </c>
      <c r="Q34" s="170"/>
      <c r="R34" s="170"/>
      <c r="S34" s="273" t="s">
        <v>815</v>
      </c>
      <c r="T34" s="170"/>
      <c r="U34" s="170"/>
    </row>
    <row r="35" spans="1:21" ht="12" customHeight="1" x14ac:dyDescent="0.35">
      <c r="B35" s="170"/>
      <c r="C35" s="170"/>
      <c r="D35" s="170"/>
      <c r="E35" s="170"/>
      <c r="F35" s="170"/>
      <c r="G35" s="170"/>
      <c r="H35" s="170"/>
      <c r="I35" s="170"/>
      <c r="J35" s="170"/>
      <c r="K35" s="170"/>
      <c r="L35" s="99"/>
      <c r="M35" s="99"/>
      <c r="N35" s="99"/>
      <c r="P35" s="183"/>
      <c r="Q35" s="170"/>
      <c r="R35" s="170"/>
      <c r="S35" s="170"/>
      <c r="T35" s="170"/>
      <c r="U35" s="170"/>
    </row>
    <row r="36" spans="1:21" s="140" customFormat="1" ht="12" customHeight="1" x14ac:dyDescent="0.35">
      <c r="B36" s="140" t="s">
        <v>817</v>
      </c>
    </row>
    <row r="37" spans="1:21" s="2" customFormat="1" ht="12" customHeight="1" x14ac:dyDescent="0.35">
      <c r="B37" s="170"/>
      <c r="C37" s="170"/>
      <c r="D37" s="170"/>
      <c r="E37" s="170"/>
      <c r="F37" s="170"/>
      <c r="G37" s="170"/>
      <c r="H37" s="170"/>
      <c r="I37" s="170"/>
      <c r="J37" s="170"/>
      <c r="K37" s="170"/>
      <c r="L37" s="170"/>
      <c r="M37" s="170"/>
      <c r="N37" s="170"/>
      <c r="O37" s="170"/>
      <c r="P37" s="99"/>
      <c r="Q37" s="170"/>
      <c r="R37" s="170"/>
      <c r="S37" s="170"/>
      <c r="T37" s="170"/>
      <c r="U37" s="170"/>
    </row>
    <row r="38" spans="1:21" s="2" customFormat="1" ht="12" customHeight="1" x14ac:dyDescent="0.35">
      <c r="B38" s="175" t="s">
        <v>813</v>
      </c>
      <c r="C38" s="170"/>
      <c r="D38" s="170"/>
      <c r="E38" s="170"/>
      <c r="F38" s="170"/>
      <c r="G38" s="170"/>
      <c r="H38" s="170"/>
      <c r="I38" s="170"/>
      <c r="J38" s="170"/>
      <c r="K38" s="170"/>
      <c r="L38" s="99"/>
      <c r="M38" s="99"/>
      <c r="N38" s="99"/>
      <c r="O38" s="170"/>
      <c r="P38" s="99"/>
      <c r="Q38" s="170"/>
      <c r="R38" s="170"/>
      <c r="S38" s="170"/>
      <c r="T38" s="170"/>
      <c r="U38" s="170"/>
    </row>
    <row r="39" spans="1:21" s="2" customFormat="1" ht="12" customHeight="1" x14ac:dyDescent="0.35">
      <c r="B39" s="170" t="s">
        <v>537</v>
      </c>
      <c r="C39" s="170"/>
      <c r="D39" s="170"/>
      <c r="E39" s="170"/>
      <c r="F39" s="170" t="s">
        <v>110</v>
      </c>
      <c r="G39" s="170"/>
      <c r="H39" s="170"/>
      <c r="I39" s="170"/>
      <c r="J39" s="170"/>
      <c r="K39" s="170"/>
      <c r="L39" s="99"/>
      <c r="M39" s="99"/>
      <c r="N39" s="99"/>
      <c r="P39" s="96">
        <v>20633.500401015703</v>
      </c>
      <c r="Q39" s="170"/>
      <c r="R39" s="170"/>
      <c r="S39" s="170" t="s">
        <v>864</v>
      </c>
      <c r="T39" s="170"/>
      <c r="U39" s="227"/>
    </row>
    <row r="40" spans="1:21" s="112" customFormat="1" ht="12" customHeight="1" x14ac:dyDescent="0.35">
      <c r="A40" s="244"/>
    </row>
    <row r="41" spans="1:21" s="2" customFormat="1" ht="12" customHeight="1" x14ac:dyDescent="0.35">
      <c r="A41" s="206"/>
      <c r="B41" s="173" t="s">
        <v>538</v>
      </c>
      <c r="C41" s="170"/>
      <c r="D41" s="170"/>
      <c r="E41" s="170"/>
      <c r="F41" s="170"/>
      <c r="G41" s="170"/>
      <c r="H41" s="170"/>
      <c r="I41" s="170"/>
      <c r="J41" s="170"/>
      <c r="K41" s="170"/>
      <c r="L41" s="99"/>
      <c r="M41" s="99"/>
      <c r="N41" s="99"/>
      <c r="P41" s="183"/>
      <c r="Q41" s="170"/>
      <c r="R41" s="170"/>
      <c r="S41" s="170"/>
      <c r="T41" s="170"/>
      <c r="U41" s="170"/>
    </row>
    <row r="42" spans="1:21" s="2" customFormat="1" ht="12" customHeight="1" x14ac:dyDescent="0.35">
      <c r="A42" s="206"/>
      <c r="B42" s="2" t="s">
        <v>539</v>
      </c>
      <c r="C42" s="170"/>
      <c r="D42" s="170"/>
      <c r="E42" s="170"/>
      <c r="F42" s="170" t="s">
        <v>110</v>
      </c>
      <c r="G42" s="170"/>
      <c r="H42" s="170"/>
      <c r="I42" s="170"/>
      <c r="J42" s="170"/>
      <c r="K42" s="170"/>
      <c r="L42" s="99"/>
      <c r="M42" s="99"/>
      <c r="N42" s="99"/>
      <c r="P42" s="182"/>
      <c r="Q42" s="170"/>
      <c r="R42" s="170"/>
      <c r="S42" s="170" t="s">
        <v>863</v>
      </c>
      <c r="T42" s="170"/>
      <c r="U42" s="170"/>
    </row>
    <row r="43" spans="1:21" s="2" customFormat="1" ht="12" customHeight="1" x14ac:dyDescent="0.35">
      <c r="A43" s="206"/>
      <c r="B43" s="2" t="s">
        <v>540</v>
      </c>
      <c r="C43" s="170"/>
      <c r="D43" s="170"/>
      <c r="E43" s="170"/>
      <c r="F43" s="170" t="s">
        <v>136</v>
      </c>
      <c r="G43" s="170"/>
      <c r="H43" s="170"/>
      <c r="I43" s="170"/>
      <c r="J43" s="170"/>
      <c r="K43" s="170"/>
      <c r="L43" s="99"/>
      <c r="M43" s="99"/>
      <c r="N43" s="99"/>
      <c r="P43" s="182"/>
      <c r="Q43" s="170"/>
      <c r="R43" s="170"/>
      <c r="S43" s="170" t="s">
        <v>864</v>
      </c>
      <c r="T43" s="170"/>
      <c r="U43" s="170"/>
    </row>
    <row r="44" spans="1:21" s="2" customFormat="1" ht="12" customHeight="1" x14ac:dyDescent="0.35">
      <c r="A44" s="206"/>
      <c r="B44" s="2" t="s">
        <v>568</v>
      </c>
      <c r="C44" s="170"/>
      <c r="D44" s="170"/>
      <c r="E44" s="170"/>
      <c r="F44" s="170" t="s">
        <v>160</v>
      </c>
      <c r="G44" s="170"/>
      <c r="H44" s="170"/>
      <c r="I44" s="170"/>
      <c r="J44" s="170"/>
      <c r="K44" s="170"/>
      <c r="L44" s="99"/>
      <c r="M44" s="99"/>
      <c r="N44" s="99"/>
      <c r="P44" s="182"/>
      <c r="Q44" s="170"/>
      <c r="R44" s="170"/>
      <c r="S44" s="273" t="s">
        <v>815</v>
      </c>
      <c r="T44" s="170"/>
      <c r="U44" s="170"/>
    </row>
    <row r="45" spans="1:21" s="2" customFormat="1" ht="12" customHeight="1" x14ac:dyDescent="0.35">
      <c r="A45" s="206"/>
      <c r="B45" s="170"/>
      <c r="C45" s="170"/>
      <c r="D45" s="170"/>
      <c r="E45" s="170"/>
      <c r="F45" s="170"/>
      <c r="G45" s="170"/>
      <c r="H45" s="170"/>
      <c r="I45" s="170"/>
      <c r="J45" s="170"/>
      <c r="K45" s="170"/>
      <c r="L45" s="99"/>
      <c r="M45" s="99"/>
      <c r="N45" s="99"/>
      <c r="P45" s="183"/>
      <c r="Q45" s="170"/>
      <c r="R45" s="170"/>
      <c r="S45" s="170"/>
      <c r="T45" s="170"/>
      <c r="U45" s="170"/>
    </row>
    <row r="46" spans="1:21" s="2" customFormat="1" ht="12" customHeight="1" x14ac:dyDescent="0.35">
      <c r="A46" s="206"/>
      <c r="B46" s="173" t="s">
        <v>541</v>
      </c>
      <c r="C46" s="170"/>
      <c r="D46" s="170"/>
      <c r="E46" s="170"/>
      <c r="F46" s="170"/>
      <c r="G46" s="170"/>
      <c r="H46" s="170"/>
      <c r="I46" s="170"/>
      <c r="J46" s="170"/>
      <c r="K46" s="170"/>
      <c r="L46" s="99"/>
      <c r="M46" s="99"/>
      <c r="N46" s="99"/>
      <c r="P46" s="183"/>
      <c r="Q46" s="170"/>
      <c r="R46" s="170"/>
      <c r="S46" s="170"/>
      <c r="T46" s="170"/>
      <c r="U46" s="170"/>
    </row>
    <row r="47" spans="1:21" s="78" customFormat="1" ht="12" customHeight="1" x14ac:dyDescent="0.35">
      <c r="A47" s="206"/>
      <c r="B47" s="170" t="s">
        <v>542</v>
      </c>
      <c r="C47" s="170"/>
      <c r="D47" s="170"/>
      <c r="E47" s="170"/>
      <c r="F47" s="170" t="s">
        <v>379</v>
      </c>
      <c r="G47" s="170"/>
      <c r="H47" s="170"/>
      <c r="I47" s="170"/>
      <c r="J47" s="170"/>
      <c r="K47" s="170"/>
      <c r="L47" s="99"/>
      <c r="M47" s="99"/>
      <c r="N47" s="99"/>
      <c r="O47" s="2"/>
      <c r="P47" s="96">
        <v>5</v>
      </c>
      <c r="Q47" s="170"/>
      <c r="R47" s="170"/>
      <c r="S47" s="170" t="s">
        <v>863</v>
      </c>
      <c r="T47" s="170"/>
      <c r="U47" s="170"/>
    </row>
    <row r="48" spans="1:21" s="78" customFormat="1" ht="12" customHeight="1" x14ac:dyDescent="0.35">
      <c r="A48" s="206"/>
      <c r="B48" s="170" t="s">
        <v>543</v>
      </c>
      <c r="C48" s="170"/>
      <c r="D48" s="170"/>
      <c r="E48" s="170"/>
      <c r="F48" s="170" t="s">
        <v>379</v>
      </c>
      <c r="G48" s="170"/>
      <c r="H48" s="170"/>
      <c r="I48" s="170"/>
      <c r="J48" s="170"/>
      <c r="K48" s="170"/>
      <c r="L48" s="99"/>
      <c r="M48" s="99"/>
      <c r="N48" s="99"/>
      <c r="P48" s="182"/>
      <c r="Q48" s="170"/>
      <c r="R48" s="170"/>
      <c r="S48" s="170" t="s">
        <v>864</v>
      </c>
      <c r="T48" s="170"/>
      <c r="U48" s="170"/>
    </row>
    <row r="49" spans="1:24" s="78" customFormat="1" ht="12" customHeight="1" x14ac:dyDescent="0.35">
      <c r="A49" s="206"/>
      <c r="B49" s="170" t="s">
        <v>544</v>
      </c>
      <c r="C49" s="170"/>
      <c r="D49" s="170"/>
      <c r="E49" s="170"/>
      <c r="F49" s="170" t="s">
        <v>379</v>
      </c>
      <c r="G49" s="170"/>
      <c r="H49" s="170"/>
      <c r="I49" s="170"/>
      <c r="J49" s="170"/>
      <c r="K49" s="170"/>
      <c r="L49" s="99"/>
      <c r="M49" s="99"/>
      <c r="N49" s="99"/>
      <c r="P49" s="182"/>
      <c r="Q49" s="170"/>
      <c r="R49" s="170"/>
      <c r="S49" s="170" t="s">
        <v>864</v>
      </c>
      <c r="T49" s="170"/>
      <c r="U49" s="170"/>
    </row>
    <row r="50" spans="1:24" s="78" customFormat="1" ht="12" customHeight="1" x14ac:dyDescent="0.35">
      <c r="A50" s="206"/>
      <c r="B50" s="170" t="s">
        <v>569</v>
      </c>
      <c r="C50" s="170"/>
      <c r="D50" s="170"/>
      <c r="E50" s="170"/>
      <c r="F50" s="170" t="s">
        <v>379</v>
      </c>
      <c r="G50" s="170"/>
      <c r="H50" s="170"/>
      <c r="I50" s="170"/>
      <c r="J50" s="170"/>
      <c r="K50" s="170"/>
      <c r="L50" s="99"/>
      <c r="M50" s="99"/>
      <c r="N50" s="99"/>
      <c r="P50" s="182"/>
      <c r="Q50" s="170"/>
      <c r="R50" s="170"/>
      <c r="S50" s="273" t="s">
        <v>815</v>
      </c>
      <c r="T50" s="170"/>
      <c r="U50" s="170"/>
    </row>
    <row r="51" spans="1:24" s="78" customFormat="1" ht="12" customHeight="1" x14ac:dyDescent="0.35">
      <c r="A51" s="206"/>
      <c r="B51" s="170"/>
      <c r="C51" s="170"/>
      <c r="D51" s="170"/>
      <c r="E51" s="170"/>
      <c r="F51" s="170"/>
      <c r="G51" s="170"/>
      <c r="H51" s="170"/>
      <c r="I51" s="170"/>
      <c r="J51" s="170"/>
      <c r="K51" s="170"/>
      <c r="L51" s="99"/>
      <c r="M51" s="99"/>
      <c r="N51" s="99"/>
      <c r="P51" s="184"/>
      <c r="Q51" s="170"/>
      <c r="R51" s="170"/>
      <c r="S51" s="170"/>
      <c r="T51" s="170"/>
      <c r="U51" s="170"/>
    </row>
    <row r="52" spans="1:24" s="78" customFormat="1" ht="12" customHeight="1" x14ac:dyDescent="0.35">
      <c r="A52" s="206"/>
      <c r="B52" s="175" t="s">
        <v>380</v>
      </c>
      <c r="C52" s="170"/>
      <c r="D52" s="170"/>
      <c r="E52" s="170"/>
      <c r="F52" s="170"/>
      <c r="G52" s="170"/>
      <c r="H52" s="170"/>
      <c r="I52" s="170"/>
      <c r="J52" s="170"/>
      <c r="K52" s="170"/>
      <c r="L52" s="99"/>
      <c r="M52" s="99"/>
      <c r="N52" s="99"/>
      <c r="P52" s="184"/>
      <c r="Q52" s="170"/>
      <c r="R52" s="170"/>
      <c r="S52" s="170"/>
      <c r="T52" s="170"/>
      <c r="U52" s="170"/>
    </row>
    <row r="53" spans="1:24" s="78" customFormat="1" ht="12" customHeight="1" x14ac:dyDescent="0.35">
      <c r="A53" s="206"/>
      <c r="B53" s="170" t="s">
        <v>570</v>
      </c>
      <c r="C53" s="170"/>
      <c r="D53" s="170"/>
      <c r="E53" s="170"/>
      <c r="F53" s="170" t="s">
        <v>160</v>
      </c>
      <c r="G53" s="170"/>
      <c r="H53" s="170"/>
      <c r="I53" s="170"/>
      <c r="J53" s="170"/>
      <c r="K53" s="170"/>
      <c r="L53" s="99"/>
      <c r="M53" s="99"/>
      <c r="N53" s="99"/>
      <c r="P53" s="182"/>
      <c r="Q53" s="170"/>
      <c r="R53" s="170"/>
      <c r="S53" s="273" t="s">
        <v>815</v>
      </c>
      <c r="T53" s="170"/>
      <c r="U53" s="170"/>
      <c r="X53" s="238"/>
    </row>
    <row r="54" spans="1:24" s="112" customFormat="1" ht="12" customHeight="1" x14ac:dyDescent="0.35">
      <c r="A54" s="244"/>
      <c r="B54" s="170"/>
      <c r="C54" s="170"/>
      <c r="D54" s="170"/>
      <c r="E54" s="170"/>
      <c r="F54" s="170"/>
      <c r="G54" s="170"/>
      <c r="H54" s="170"/>
      <c r="I54" s="170"/>
      <c r="J54" s="170"/>
      <c r="K54" s="170"/>
      <c r="L54" s="99"/>
      <c r="M54" s="99"/>
      <c r="N54" s="99"/>
      <c r="P54" s="186"/>
      <c r="Q54" s="170"/>
      <c r="R54" s="170"/>
      <c r="S54" s="170"/>
      <c r="T54" s="170"/>
      <c r="U54" s="170"/>
    </row>
    <row r="55" spans="1:24" s="112" customFormat="1" ht="12" customHeight="1" x14ac:dyDescent="0.35">
      <c r="A55" s="244"/>
      <c r="B55" s="175" t="s">
        <v>381</v>
      </c>
      <c r="C55" s="170"/>
      <c r="D55" s="170"/>
      <c r="E55" s="170"/>
      <c r="F55" s="170"/>
      <c r="G55" s="170"/>
      <c r="H55" s="170"/>
      <c r="I55" s="170"/>
      <c r="J55" s="170"/>
      <c r="K55" s="170"/>
      <c r="L55" s="99"/>
      <c r="M55" s="99"/>
      <c r="N55" s="99"/>
      <c r="P55" s="183"/>
      <c r="Q55" s="170"/>
      <c r="R55" s="170"/>
      <c r="S55" s="170"/>
      <c r="T55" s="170"/>
      <c r="U55" s="170"/>
    </row>
    <row r="56" spans="1:24" s="112" customFormat="1" ht="12" customHeight="1" x14ac:dyDescent="0.35">
      <c r="A56" s="244"/>
      <c r="B56" s="170" t="s">
        <v>571</v>
      </c>
      <c r="C56" s="170"/>
      <c r="D56" s="170"/>
      <c r="E56" s="170"/>
      <c r="F56" s="170" t="s">
        <v>160</v>
      </c>
      <c r="G56" s="170"/>
      <c r="H56" s="170"/>
      <c r="I56" s="170"/>
      <c r="J56" s="170"/>
      <c r="K56" s="170"/>
      <c r="L56" s="99"/>
      <c r="M56" s="99"/>
      <c r="N56" s="99"/>
      <c r="P56" s="275">
        <v>7767.0599999999995</v>
      </c>
      <c r="Q56" s="170"/>
      <c r="R56" s="170"/>
      <c r="S56" s="273" t="s">
        <v>815</v>
      </c>
      <c r="T56" s="170"/>
      <c r="U56" s="170"/>
      <c r="X56" s="238"/>
    </row>
    <row r="57" spans="1:24" ht="12" customHeight="1" x14ac:dyDescent="0.35">
      <c r="A57" s="245"/>
      <c r="B57" s="170"/>
      <c r="C57" s="170"/>
      <c r="D57" s="170"/>
      <c r="E57" s="170"/>
      <c r="F57" s="170"/>
      <c r="G57" s="170"/>
      <c r="H57" s="170"/>
      <c r="I57" s="170"/>
      <c r="J57" s="170"/>
      <c r="K57" s="170"/>
      <c r="L57" s="99"/>
      <c r="M57" s="99"/>
      <c r="N57" s="99"/>
      <c r="P57" s="183"/>
      <c r="Q57" s="170"/>
      <c r="R57" s="170"/>
      <c r="S57" s="170"/>
      <c r="T57" s="170"/>
      <c r="U57" s="170"/>
    </row>
    <row r="58" spans="1:24" s="140" customFormat="1" ht="12" customHeight="1" x14ac:dyDescent="0.35">
      <c r="B58" s="140" t="s">
        <v>818</v>
      </c>
    </row>
    <row r="59" spans="1:24" s="2" customFormat="1" ht="12" customHeight="1" x14ac:dyDescent="0.35">
      <c r="B59" s="170"/>
      <c r="C59" s="170"/>
      <c r="D59" s="170"/>
      <c r="E59" s="170"/>
      <c r="F59" s="170"/>
      <c r="G59" s="170"/>
      <c r="H59" s="170"/>
      <c r="I59" s="170"/>
      <c r="J59" s="170"/>
      <c r="K59" s="170"/>
      <c r="L59" s="170"/>
      <c r="M59" s="170"/>
      <c r="N59" s="170"/>
      <c r="O59" s="170"/>
      <c r="P59" s="99"/>
      <c r="Q59" s="170"/>
      <c r="R59" s="170"/>
      <c r="S59" s="170"/>
      <c r="T59" s="170"/>
      <c r="U59" s="170"/>
    </row>
    <row r="60" spans="1:24" s="2" customFormat="1" ht="12" customHeight="1" x14ac:dyDescent="0.35">
      <c r="B60" s="175" t="s">
        <v>814</v>
      </c>
      <c r="C60" s="170"/>
      <c r="D60" s="170"/>
      <c r="E60" s="170"/>
      <c r="F60" s="170"/>
      <c r="G60" s="170"/>
      <c r="H60" s="170"/>
      <c r="I60" s="170"/>
      <c r="J60" s="170"/>
      <c r="K60" s="170"/>
      <c r="L60" s="99"/>
      <c r="M60" s="99"/>
      <c r="N60" s="99"/>
      <c r="O60" s="170"/>
      <c r="P60" s="99"/>
      <c r="Q60" s="170"/>
      <c r="R60" s="273"/>
      <c r="S60" s="273"/>
      <c r="T60" s="273"/>
      <c r="U60" s="170"/>
    </row>
    <row r="61" spans="1:24" s="2" customFormat="1" ht="12" customHeight="1" x14ac:dyDescent="0.35">
      <c r="B61" s="170" t="s">
        <v>536</v>
      </c>
      <c r="C61" s="170"/>
      <c r="D61" s="170"/>
      <c r="E61" s="170"/>
      <c r="F61" s="170" t="s">
        <v>136</v>
      </c>
      <c r="G61" s="170"/>
      <c r="H61" s="170"/>
      <c r="I61" s="170"/>
      <c r="J61" s="170"/>
      <c r="K61" s="170"/>
      <c r="L61" s="99"/>
      <c r="M61" s="99"/>
      <c r="N61" s="99"/>
      <c r="P61" s="96">
        <v>73147</v>
      </c>
      <c r="Q61" s="170"/>
      <c r="R61" s="273"/>
      <c r="S61" s="273" t="s">
        <v>815</v>
      </c>
      <c r="T61" s="273"/>
      <c r="U61" s="227"/>
      <c r="V61" s="19"/>
    </row>
    <row r="62" spans="1:24" s="112" customFormat="1" ht="12" customHeight="1" x14ac:dyDescent="0.35">
      <c r="A62" s="244"/>
      <c r="R62" s="274"/>
      <c r="S62" s="274"/>
      <c r="T62" s="274"/>
    </row>
    <row r="63" spans="1:24" s="2" customFormat="1" ht="12" customHeight="1" x14ac:dyDescent="0.35">
      <c r="A63" s="206"/>
      <c r="B63" s="173" t="s">
        <v>538</v>
      </c>
      <c r="C63" s="170"/>
      <c r="D63" s="170"/>
      <c r="E63" s="170"/>
      <c r="F63" s="170"/>
      <c r="G63" s="170"/>
      <c r="H63" s="170"/>
      <c r="I63" s="170"/>
      <c r="J63" s="170"/>
      <c r="K63" s="170"/>
      <c r="L63" s="99"/>
      <c r="M63" s="99"/>
      <c r="N63" s="99"/>
      <c r="P63" s="183"/>
      <c r="Q63" s="170"/>
      <c r="R63" s="273"/>
      <c r="S63" s="273"/>
      <c r="T63" s="273"/>
      <c r="U63" s="170"/>
    </row>
    <row r="64" spans="1:24" s="2" customFormat="1" ht="12" customHeight="1" x14ac:dyDescent="0.35">
      <c r="A64" s="206"/>
      <c r="B64" s="2" t="s">
        <v>568</v>
      </c>
      <c r="C64" s="170"/>
      <c r="D64" s="170"/>
      <c r="E64" s="170"/>
      <c r="F64" s="170" t="s">
        <v>160</v>
      </c>
      <c r="G64" s="170"/>
      <c r="H64" s="170"/>
      <c r="I64" s="170"/>
      <c r="J64" s="170"/>
      <c r="K64" s="170"/>
      <c r="L64" s="99"/>
      <c r="M64" s="99"/>
      <c r="N64" s="99"/>
      <c r="P64" s="182"/>
      <c r="Q64" s="170"/>
      <c r="R64" s="273"/>
      <c r="S64" s="273" t="s">
        <v>815</v>
      </c>
      <c r="T64" s="273"/>
      <c r="U64" s="170"/>
    </row>
    <row r="65" spans="1:22" s="2" customFormat="1" ht="12" customHeight="1" x14ac:dyDescent="0.35">
      <c r="A65" s="206"/>
      <c r="B65" s="170"/>
      <c r="C65" s="170"/>
      <c r="D65" s="170"/>
      <c r="E65" s="170"/>
      <c r="F65" s="170"/>
      <c r="G65" s="170"/>
      <c r="H65" s="170"/>
      <c r="I65" s="170"/>
      <c r="J65" s="170"/>
      <c r="K65" s="170"/>
      <c r="L65" s="99"/>
      <c r="M65" s="99"/>
      <c r="N65" s="99"/>
      <c r="P65" s="183"/>
      <c r="Q65" s="170"/>
      <c r="R65" s="273"/>
      <c r="S65" s="273"/>
      <c r="T65" s="273"/>
      <c r="U65" s="170"/>
    </row>
    <row r="66" spans="1:22" s="2" customFormat="1" ht="12" customHeight="1" x14ac:dyDescent="0.35">
      <c r="A66" s="206"/>
      <c r="B66" s="173" t="s">
        <v>541</v>
      </c>
      <c r="C66" s="170"/>
      <c r="D66" s="170"/>
      <c r="E66" s="170"/>
      <c r="F66" s="170"/>
      <c r="G66" s="170"/>
      <c r="H66" s="170"/>
      <c r="I66" s="170"/>
      <c r="J66" s="170"/>
      <c r="K66" s="170"/>
      <c r="L66" s="99"/>
      <c r="M66" s="99"/>
      <c r="N66" s="99"/>
      <c r="P66" s="183"/>
      <c r="Q66" s="170"/>
      <c r="R66" s="273"/>
      <c r="S66" s="273"/>
      <c r="T66" s="273"/>
      <c r="U66" s="170"/>
    </row>
    <row r="67" spans="1:22" s="2" customFormat="1" ht="12" customHeight="1" x14ac:dyDescent="0.35">
      <c r="A67" s="206"/>
      <c r="B67" s="170" t="s">
        <v>542</v>
      </c>
      <c r="C67" s="170"/>
      <c r="D67" s="170"/>
      <c r="E67" s="170"/>
      <c r="F67" s="170" t="s">
        <v>379</v>
      </c>
      <c r="G67" s="170"/>
      <c r="H67" s="170"/>
      <c r="I67" s="170"/>
      <c r="J67" s="170"/>
      <c r="K67" s="170"/>
      <c r="L67" s="99"/>
      <c r="M67" s="99"/>
      <c r="N67" s="99"/>
      <c r="P67" s="96">
        <v>28</v>
      </c>
      <c r="Q67" s="170"/>
      <c r="R67" s="273"/>
      <c r="S67" s="273" t="s">
        <v>815</v>
      </c>
      <c r="T67" s="273"/>
      <c r="U67" s="170"/>
    </row>
    <row r="68" spans="1:22" s="78" customFormat="1" ht="12" customHeight="1" x14ac:dyDescent="0.35">
      <c r="A68" s="206"/>
      <c r="B68" s="170" t="s">
        <v>569</v>
      </c>
      <c r="C68" s="170"/>
      <c r="D68" s="170"/>
      <c r="E68" s="170"/>
      <c r="F68" s="170" t="s">
        <v>379</v>
      </c>
      <c r="G68" s="170"/>
      <c r="H68" s="170"/>
      <c r="I68" s="170"/>
      <c r="J68" s="170"/>
      <c r="K68" s="170"/>
      <c r="L68" s="99"/>
      <c r="M68" s="99"/>
      <c r="N68" s="99"/>
      <c r="P68" s="182"/>
      <c r="Q68" s="170"/>
      <c r="R68" s="273"/>
      <c r="S68" s="273" t="s">
        <v>815</v>
      </c>
      <c r="T68" s="273"/>
      <c r="U68" s="170"/>
    </row>
    <row r="69" spans="1:22" s="78" customFormat="1" ht="12" customHeight="1" x14ac:dyDescent="0.35">
      <c r="A69" s="206"/>
      <c r="B69" s="170"/>
      <c r="C69" s="170"/>
      <c r="D69" s="170"/>
      <c r="E69" s="170"/>
      <c r="F69" s="170"/>
      <c r="G69" s="170"/>
      <c r="H69" s="170"/>
      <c r="I69" s="170"/>
      <c r="J69" s="170"/>
      <c r="K69" s="170"/>
      <c r="L69" s="99"/>
      <c r="M69" s="99"/>
      <c r="N69" s="99"/>
      <c r="P69" s="184"/>
      <c r="Q69" s="170"/>
      <c r="R69" s="273"/>
      <c r="S69" s="273"/>
      <c r="T69" s="273"/>
      <c r="U69" s="170"/>
    </row>
    <row r="70" spans="1:22" s="78" customFormat="1" ht="12" customHeight="1" x14ac:dyDescent="0.35">
      <c r="A70" s="206"/>
      <c r="B70" s="175" t="s">
        <v>380</v>
      </c>
      <c r="C70" s="170"/>
      <c r="D70" s="170"/>
      <c r="E70" s="170"/>
      <c r="F70" s="170"/>
      <c r="G70" s="170"/>
      <c r="H70" s="170"/>
      <c r="I70" s="170"/>
      <c r="J70" s="170"/>
      <c r="K70" s="170"/>
      <c r="L70" s="99"/>
      <c r="M70" s="99"/>
      <c r="N70" s="99"/>
      <c r="P70" s="184"/>
      <c r="Q70" s="170"/>
      <c r="R70" s="273"/>
      <c r="S70" s="273"/>
      <c r="T70" s="273"/>
      <c r="U70" s="170"/>
    </row>
    <row r="71" spans="1:22" s="78" customFormat="1" ht="12" customHeight="1" x14ac:dyDescent="0.35">
      <c r="A71" s="206"/>
      <c r="B71" s="170" t="s">
        <v>570</v>
      </c>
      <c r="C71" s="170"/>
      <c r="D71" s="170"/>
      <c r="E71" s="170"/>
      <c r="F71" s="170" t="s">
        <v>160</v>
      </c>
      <c r="G71" s="170"/>
      <c r="H71" s="170"/>
      <c r="I71" s="170"/>
      <c r="J71" s="170"/>
      <c r="K71" s="170"/>
      <c r="L71" s="99"/>
      <c r="M71" s="99"/>
      <c r="N71" s="99"/>
      <c r="P71" s="182"/>
      <c r="Q71" s="170"/>
      <c r="R71" s="273"/>
      <c r="S71" s="273" t="s">
        <v>815</v>
      </c>
      <c r="T71" s="273"/>
      <c r="U71" s="170"/>
      <c r="V71" s="238"/>
    </row>
    <row r="72" spans="1:22" s="112" customFormat="1" ht="12" customHeight="1" x14ac:dyDescent="0.35">
      <c r="A72" s="244"/>
      <c r="B72" s="170"/>
      <c r="C72" s="170"/>
      <c r="D72" s="170"/>
      <c r="E72" s="170"/>
      <c r="F72" s="170"/>
      <c r="G72" s="170"/>
      <c r="H72" s="170"/>
      <c r="I72" s="170"/>
      <c r="J72" s="170"/>
      <c r="K72" s="170"/>
      <c r="L72" s="99"/>
      <c r="M72" s="99"/>
      <c r="N72" s="99"/>
      <c r="P72" s="186"/>
      <c r="Q72" s="170"/>
      <c r="R72" s="273"/>
      <c r="S72" s="273"/>
      <c r="T72" s="273"/>
      <c r="U72" s="170"/>
    </row>
    <row r="73" spans="1:22" s="112" customFormat="1" ht="12" customHeight="1" x14ac:dyDescent="0.35">
      <c r="A73" s="244"/>
      <c r="B73" s="175" t="s">
        <v>381</v>
      </c>
      <c r="C73" s="170"/>
      <c r="D73" s="170"/>
      <c r="E73" s="170"/>
      <c r="F73" s="170"/>
      <c r="G73" s="170"/>
      <c r="H73" s="170"/>
      <c r="I73" s="170"/>
      <c r="J73" s="170"/>
      <c r="K73" s="170"/>
      <c r="L73" s="99"/>
      <c r="M73" s="99"/>
      <c r="N73" s="99"/>
      <c r="P73" s="183"/>
      <c r="Q73" s="170"/>
      <c r="R73" s="273"/>
      <c r="S73" s="273"/>
      <c r="T73" s="273"/>
      <c r="U73" s="170"/>
    </row>
    <row r="74" spans="1:22" s="112" customFormat="1" ht="12" customHeight="1" x14ac:dyDescent="0.35">
      <c r="A74" s="206"/>
      <c r="B74" s="170" t="s">
        <v>571</v>
      </c>
      <c r="C74" s="170"/>
      <c r="D74" s="170"/>
      <c r="E74" s="170"/>
      <c r="F74" s="170" t="s">
        <v>160</v>
      </c>
      <c r="G74" s="170"/>
      <c r="H74" s="170"/>
      <c r="I74" s="170"/>
      <c r="J74" s="170"/>
      <c r="K74" s="170"/>
      <c r="L74" s="99"/>
      <c r="M74" s="99"/>
      <c r="N74" s="99"/>
      <c r="P74" s="275">
        <v>4357.9932222222224</v>
      </c>
      <c r="Q74" s="170"/>
      <c r="R74" s="273"/>
      <c r="S74" s="273" t="s">
        <v>815</v>
      </c>
      <c r="T74" s="273"/>
      <c r="U74" s="170"/>
    </row>
    <row r="75" spans="1:22" ht="12" customHeight="1" x14ac:dyDescent="0.35">
      <c r="B75" s="170"/>
      <c r="C75" s="170"/>
      <c r="D75" s="170"/>
      <c r="E75" s="170"/>
      <c r="F75" s="170"/>
      <c r="G75" s="170"/>
      <c r="H75" s="170"/>
      <c r="I75" s="170"/>
      <c r="J75" s="170"/>
      <c r="K75" s="170"/>
      <c r="L75" s="99"/>
      <c r="M75" s="99"/>
      <c r="N75" s="99"/>
      <c r="P75" s="183"/>
      <c r="Q75" s="170"/>
      <c r="R75" s="273"/>
      <c r="S75" s="273"/>
      <c r="T75" s="273"/>
      <c r="U75" s="170"/>
    </row>
    <row r="76" spans="1:22" s="140" customFormat="1" ht="12" customHeight="1" x14ac:dyDescent="0.35">
      <c r="B76" s="140" t="s">
        <v>819</v>
      </c>
    </row>
    <row r="77" spans="1:22" s="2" customFormat="1" ht="12" customHeight="1" x14ac:dyDescent="0.35">
      <c r="B77" s="170"/>
      <c r="C77" s="170"/>
      <c r="D77" s="170"/>
      <c r="E77" s="170"/>
      <c r="F77" s="170"/>
      <c r="G77" s="170"/>
      <c r="H77" s="170"/>
      <c r="I77" s="170"/>
      <c r="J77" s="170"/>
      <c r="K77" s="170"/>
      <c r="L77" s="170"/>
      <c r="M77" s="170"/>
      <c r="N77" s="170"/>
      <c r="O77" s="170"/>
      <c r="P77" s="99"/>
      <c r="Q77" s="170"/>
      <c r="R77" s="170"/>
      <c r="S77" s="170"/>
      <c r="T77" s="170"/>
      <c r="U77" s="170"/>
    </row>
    <row r="78" spans="1:22" s="2" customFormat="1" ht="12" customHeight="1" x14ac:dyDescent="0.35">
      <c r="B78" s="175" t="s">
        <v>814</v>
      </c>
      <c r="C78" s="170"/>
      <c r="D78" s="170"/>
      <c r="E78" s="170"/>
      <c r="F78" s="170"/>
      <c r="G78" s="170"/>
      <c r="H78" s="170"/>
      <c r="I78" s="170"/>
      <c r="J78" s="170"/>
      <c r="K78" s="170"/>
      <c r="L78" s="99"/>
      <c r="M78" s="99"/>
      <c r="N78" s="99"/>
      <c r="O78" s="170"/>
      <c r="P78" s="99"/>
      <c r="Q78" s="170"/>
      <c r="R78" s="170"/>
      <c r="S78" s="170"/>
      <c r="T78" s="170"/>
      <c r="U78" s="170"/>
    </row>
    <row r="79" spans="1:22" s="2" customFormat="1" ht="12" customHeight="1" x14ac:dyDescent="0.35">
      <c r="B79" s="170" t="s">
        <v>536</v>
      </c>
      <c r="C79" s="170"/>
      <c r="D79" s="170"/>
      <c r="E79" s="170"/>
      <c r="F79" s="170" t="s">
        <v>136</v>
      </c>
      <c r="G79" s="170"/>
      <c r="H79" s="170"/>
      <c r="I79" s="170"/>
      <c r="J79" s="170"/>
      <c r="K79" s="170"/>
      <c r="L79" s="99"/>
      <c r="M79" s="99"/>
      <c r="N79" s="99"/>
      <c r="P79" s="96">
        <v>31513</v>
      </c>
      <c r="Q79" s="170"/>
      <c r="R79" s="170"/>
      <c r="S79" s="170" t="s">
        <v>815</v>
      </c>
      <c r="T79" s="170"/>
      <c r="U79" s="227"/>
    </row>
    <row r="80" spans="1:22" s="112" customFormat="1" ht="12" customHeight="1" x14ac:dyDescent="0.35">
      <c r="A80" s="244"/>
    </row>
    <row r="81" spans="1:24" s="2" customFormat="1" ht="12" customHeight="1" x14ac:dyDescent="0.35">
      <c r="A81" s="206"/>
      <c r="B81" s="173" t="s">
        <v>538</v>
      </c>
      <c r="C81" s="170"/>
      <c r="D81" s="170"/>
      <c r="E81" s="170"/>
      <c r="F81" s="170"/>
      <c r="G81" s="170"/>
      <c r="H81" s="170"/>
      <c r="I81" s="170"/>
      <c r="J81" s="170"/>
      <c r="K81" s="170"/>
      <c r="L81" s="99"/>
      <c r="M81" s="99"/>
      <c r="N81" s="99"/>
      <c r="P81" s="183"/>
      <c r="Q81" s="170"/>
      <c r="R81" s="170"/>
      <c r="S81" s="170"/>
      <c r="T81" s="170"/>
      <c r="U81" s="170"/>
    </row>
    <row r="82" spans="1:24" s="2" customFormat="1" ht="12" customHeight="1" x14ac:dyDescent="0.35">
      <c r="A82" s="206"/>
      <c r="B82" s="2" t="s">
        <v>568</v>
      </c>
      <c r="C82" s="170"/>
      <c r="D82" s="170"/>
      <c r="E82" s="170"/>
      <c r="F82" s="170" t="s">
        <v>160</v>
      </c>
      <c r="G82" s="170"/>
      <c r="H82" s="170"/>
      <c r="I82" s="170"/>
      <c r="J82" s="170"/>
      <c r="K82" s="170"/>
      <c r="L82" s="99"/>
      <c r="M82" s="99"/>
      <c r="N82" s="99"/>
      <c r="P82" s="182"/>
      <c r="Q82" s="170"/>
      <c r="R82" s="170"/>
      <c r="S82" s="170" t="s">
        <v>815</v>
      </c>
      <c r="T82" s="170"/>
      <c r="U82" s="170"/>
    </row>
    <row r="83" spans="1:24" s="2" customFormat="1" ht="12" customHeight="1" x14ac:dyDescent="0.35">
      <c r="A83" s="206"/>
      <c r="B83" s="170"/>
      <c r="C83" s="170"/>
      <c r="D83" s="170"/>
      <c r="E83" s="170"/>
      <c r="F83" s="170"/>
      <c r="G83" s="170"/>
      <c r="H83" s="170"/>
      <c r="I83" s="170"/>
      <c r="J83" s="170"/>
      <c r="K83" s="170"/>
      <c r="L83" s="99"/>
      <c r="M83" s="99"/>
      <c r="N83" s="99"/>
      <c r="P83" s="183"/>
      <c r="Q83" s="170"/>
      <c r="R83" s="170"/>
      <c r="S83" s="170"/>
      <c r="T83" s="170"/>
      <c r="U83" s="170"/>
    </row>
    <row r="84" spans="1:24" s="2" customFormat="1" ht="12" customHeight="1" x14ac:dyDescent="0.35">
      <c r="A84" s="206"/>
      <c r="B84" s="173" t="s">
        <v>541</v>
      </c>
      <c r="C84" s="170"/>
      <c r="D84" s="170"/>
      <c r="E84" s="170"/>
      <c r="F84" s="170"/>
      <c r="G84" s="170"/>
      <c r="H84" s="170"/>
      <c r="I84" s="170"/>
      <c r="J84" s="170"/>
      <c r="K84" s="170"/>
      <c r="L84" s="99"/>
      <c r="M84" s="99"/>
      <c r="N84" s="99"/>
      <c r="P84" s="183"/>
      <c r="Q84" s="170"/>
      <c r="R84" s="170"/>
      <c r="S84" s="170"/>
      <c r="T84" s="170"/>
      <c r="U84" s="170"/>
    </row>
    <row r="85" spans="1:24" s="78" customFormat="1" ht="12" customHeight="1" x14ac:dyDescent="0.35">
      <c r="A85" s="206"/>
      <c r="B85" s="170" t="s">
        <v>542</v>
      </c>
      <c r="C85" s="170"/>
      <c r="D85" s="170"/>
      <c r="E85" s="170"/>
      <c r="F85" s="170" t="s">
        <v>379</v>
      </c>
      <c r="G85" s="170"/>
      <c r="H85" s="170"/>
      <c r="I85" s="170"/>
      <c r="J85" s="170"/>
      <c r="K85" s="170"/>
      <c r="L85" s="99"/>
      <c r="M85" s="99"/>
      <c r="N85" s="99"/>
      <c r="O85" s="2"/>
      <c r="P85" s="96">
        <v>28</v>
      </c>
      <c r="Q85" s="170"/>
      <c r="R85" s="170"/>
      <c r="S85" s="170" t="s">
        <v>815</v>
      </c>
      <c r="T85" s="170"/>
      <c r="U85" s="170"/>
    </row>
    <row r="86" spans="1:24" s="78" customFormat="1" ht="12" customHeight="1" x14ac:dyDescent="0.35">
      <c r="A86" s="206"/>
      <c r="B86" s="170" t="s">
        <v>569</v>
      </c>
      <c r="C86" s="170"/>
      <c r="D86" s="170"/>
      <c r="E86" s="170"/>
      <c r="F86" s="170" t="s">
        <v>379</v>
      </c>
      <c r="G86" s="170"/>
      <c r="H86" s="170"/>
      <c r="I86" s="170"/>
      <c r="J86" s="170"/>
      <c r="K86" s="170"/>
      <c r="L86" s="99"/>
      <c r="M86" s="99"/>
      <c r="N86" s="99"/>
      <c r="P86" s="182"/>
      <c r="Q86" s="170"/>
      <c r="R86" s="170"/>
      <c r="S86" s="170" t="s">
        <v>815</v>
      </c>
      <c r="T86" s="170"/>
      <c r="U86" s="170"/>
    </row>
    <row r="87" spans="1:24" s="78" customFormat="1" ht="12" customHeight="1" x14ac:dyDescent="0.35">
      <c r="A87" s="206"/>
      <c r="B87" s="170"/>
      <c r="C87" s="170"/>
      <c r="D87" s="170"/>
      <c r="E87" s="170"/>
      <c r="F87" s="170"/>
      <c r="G87" s="170"/>
      <c r="H87" s="170"/>
      <c r="I87" s="170"/>
      <c r="J87" s="170"/>
      <c r="K87" s="170"/>
      <c r="L87" s="99"/>
      <c r="M87" s="99"/>
      <c r="N87" s="99"/>
      <c r="P87" s="184"/>
      <c r="Q87" s="170"/>
      <c r="R87" s="170"/>
      <c r="S87" s="170"/>
      <c r="T87" s="170"/>
      <c r="U87" s="170"/>
    </row>
    <row r="88" spans="1:24" s="78" customFormat="1" ht="12" customHeight="1" x14ac:dyDescent="0.35">
      <c r="A88" s="206"/>
      <c r="B88" s="175" t="s">
        <v>380</v>
      </c>
      <c r="C88" s="170"/>
      <c r="D88" s="170"/>
      <c r="E88" s="170"/>
      <c r="F88" s="170"/>
      <c r="G88" s="170"/>
      <c r="H88" s="170"/>
      <c r="I88" s="170"/>
      <c r="J88" s="170"/>
      <c r="K88" s="170"/>
      <c r="L88" s="99"/>
      <c r="M88" s="99"/>
      <c r="N88" s="99"/>
      <c r="P88" s="184"/>
      <c r="Q88" s="170"/>
      <c r="R88" s="170"/>
      <c r="S88" s="170"/>
      <c r="T88" s="170"/>
      <c r="U88" s="170"/>
    </row>
    <row r="89" spans="1:24" s="78" customFormat="1" ht="12" customHeight="1" x14ac:dyDescent="0.35">
      <c r="A89" s="206"/>
      <c r="B89" s="170" t="s">
        <v>570</v>
      </c>
      <c r="C89" s="170"/>
      <c r="D89" s="170"/>
      <c r="E89" s="170"/>
      <c r="F89" s="170" t="s">
        <v>160</v>
      </c>
      <c r="G89" s="170"/>
      <c r="H89" s="170"/>
      <c r="I89" s="170"/>
      <c r="J89" s="170"/>
      <c r="K89" s="170"/>
      <c r="L89" s="99"/>
      <c r="M89" s="99"/>
      <c r="N89" s="99"/>
      <c r="P89" s="182"/>
      <c r="Q89" s="170"/>
      <c r="R89" s="170"/>
      <c r="S89" s="170" t="s">
        <v>815</v>
      </c>
      <c r="T89" s="170"/>
      <c r="U89" s="170"/>
      <c r="V89" s="238"/>
      <c r="X89" s="238"/>
    </row>
    <row r="90" spans="1:24" s="112" customFormat="1" ht="12" customHeight="1" x14ac:dyDescent="0.35">
      <c r="A90" s="244"/>
      <c r="B90" s="170"/>
      <c r="C90" s="170"/>
      <c r="D90" s="170"/>
      <c r="E90" s="170"/>
      <c r="F90" s="170"/>
      <c r="G90" s="170"/>
      <c r="H90" s="170"/>
      <c r="I90" s="170"/>
      <c r="J90" s="170"/>
      <c r="K90" s="170"/>
      <c r="L90" s="99"/>
      <c r="M90" s="99"/>
      <c r="N90" s="99"/>
      <c r="P90" s="186"/>
      <c r="Q90" s="170"/>
      <c r="R90" s="170"/>
      <c r="S90" s="170"/>
      <c r="T90" s="170"/>
      <c r="U90" s="170"/>
    </row>
    <row r="91" spans="1:24" s="112" customFormat="1" ht="12" customHeight="1" x14ac:dyDescent="0.35">
      <c r="A91" s="244"/>
      <c r="B91" s="175" t="s">
        <v>381</v>
      </c>
      <c r="C91" s="170"/>
      <c r="D91" s="170"/>
      <c r="E91" s="170"/>
      <c r="F91" s="170"/>
      <c r="G91" s="170"/>
      <c r="H91" s="170"/>
      <c r="I91" s="170"/>
      <c r="J91" s="170"/>
      <c r="K91" s="170"/>
      <c r="L91" s="99"/>
      <c r="M91" s="99"/>
      <c r="N91" s="99"/>
      <c r="P91" s="183"/>
      <c r="Q91" s="170"/>
      <c r="R91" s="170"/>
      <c r="S91" s="170"/>
      <c r="T91" s="170"/>
      <c r="U91" s="170"/>
    </row>
    <row r="92" spans="1:24" s="112" customFormat="1" ht="12" customHeight="1" x14ac:dyDescent="0.35">
      <c r="A92" s="244"/>
      <c r="B92" s="170" t="s">
        <v>571</v>
      </c>
      <c r="C92" s="170"/>
      <c r="D92" s="170"/>
      <c r="E92" s="170"/>
      <c r="F92" s="170" t="s">
        <v>160</v>
      </c>
      <c r="G92" s="170"/>
      <c r="H92" s="170"/>
      <c r="I92" s="170"/>
      <c r="J92" s="170"/>
      <c r="K92" s="170"/>
      <c r="L92" s="99"/>
      <c r="M92" s="99"/>
      <c r="N92" s="99"/>
      <c r="P92" s="275">
        <v>896.57999999999993</v>
      </c>
      <c r="Q92" s="170"/>
      <c r="R92" s="170"/>
      <c r="S92" s="170" t="s">
        <v>815</v>
      </c>
      <c r="T92" s="170"/>
      <c r="U92" s="170"/>
      <c r="X92" s="238"/>
    </row>
    <row r="93" spans="1:24" ht="12" customHeight="1" x14ac:dyDescent="0.35">
      <c r="A93" s="245"/>
      <c r="B93" s="170"/>
      <c r="C93" s="170"/>
      <c r="D93" s="170"/>
      <c r="E93" s="170"/>
      <c r="F93" s="170"/>
      <c r="G93" s="170"/>
      <c r="H93" s="170"/>
      <c r="I93" s="170"/>
      <c r="J93" s="170"/>
      <c r="K93" s="170"/>
      <c r="L93" s="99"/>
      <c r="M93" s="99"/>
      <c r="N93" s="99"/>
      <c r="P93" s="183"/>
      <c r="Q93" s="170"/>
      <c r="R93" s="170"/>
      <c r="S93" s="170"/>
      <c r="T93" s="170"/>
      <c r="U93" s="170"/>
    </row>
    <row r="94" spans="1:24" s="140" customFormat="1" ht="12" customHeight="1" x14ac:dyDescent="0.35">
      <c r="B94" s="140" t="s">
        <v>186</v>
      </c>
    </row>
    <row r="95" spans="1:24" s="2" customFormat="1" ht="12" customHeight="1" x14ac:dyDescent="0.35">
      <c r="B95" s="170"/>
      <c r="C95" s="170"/>
      <c r="D95" s="170"/>
      <c r="E95" s="170"/>
      <c r="F95" s="170"/>
      <c r="G95" s="170"/>
      <c r="H95" s="170"/>
      <c r="I95" s="170"/>
      <c r="J95" s="170"/>
      <c r="K95" s="170"/>
      <c r="L95" s="170"/>
      <c r="M95" s="170"/>
      <c r="N95" s="170"/>
      <c r="O95" s="170"/>
      <c r="P95" s="99"/>
      <c r="Q95" s="170"/>
      <c r="R95" s="170"/>
      <c r="S95" s="170"/>
      <c r="T95" s="170"/>
      <c r="U95" s="170"/>
    </row>
    <row r="96" spans="1:24" s="2" customFormat="1" ht="12" customHeight="1" x14ac:dyDescent="0.35">
      <c r="B96" s="173" t="s">
        <v>545</v>
      </c>
      <c r="C96" s="170"/>
      <c r="D96" s="170"/>
      <c r="E96" s="170"/>
      <c r="F96" s="170"/>
      <c r="G96" s="170"/>
      <c r="H96" s="170"/>
      <c r="I96" s="170"/>
      <c r="J96" s="170"/>
      <c r="K96" s="170"/>
      <c r="L96" s="170"/>
      <c r="M96" s="170"/>
      <c r="N96" s="170"/>
      <c r="O96" s="170"/>
      <c r="P96" s="99"/>
      <c r="Q96" s="170"/>
      <c r="R96" s="170"/>
      <c r="S96" s="170"/>
      <c r="T96" s="170"/>
      <c r="U96" s="170"/>
    </row>
    <row r="97" spans="1:26" ht="12" customHeight="1" x14ac:dyDescent="0.35">
      <c r="A97" s="245"/>
      <c r="B97" s="170" t="s">
        <v>546</v>
      </c>
      <c r="F97" s="170" t="s">
        <v>72</v>
      </c>
      <c r="H97" s="187">
        <v>0.06</v>
      </c>
      <c r="S97" s="170" t="s">
        <v>574</v>
      </c>
    </row>
    <row r="98" spans="1:26" ht="12" customHeight="1" x14ac:dyDescent="0.35">
      <c r="A98" s="245"/>
      <c r="B98" s="170" t="s">
        <v>572</v>
      </c>
      <c r="F98" s="170" t="s">
        <v>72</v>
      </c>
      <c r="H98" s="187">
        <v>5.8000000000000003E-2</v>
      </c>
      <c r="S98" s="170" t="s">
        <v>573</v>
      </c>
      <c r="Z98" s="239"/>
    </row>
    <row r="99" spans="1:26" x14ac:dyDescent="0.35">
      <c r="A99" s="245"/>
    </row>
    <row r="100" spans="1:26" x14ac:dyDescent="0.35">
      <c r="A100" s="245"/>
    </row>
    <row r="101" spans="1:26" x14ac:dyDescent="0.35">
      <c r="A101" s="245"/>
    </row>
  </sheetData>
  <phoneticPr fontId="66"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A1:W179"/>
  <sheetViews>
    <sheetView showGridLines="0" zoomScale="85" zoomScaleNormal="85" workbookViewId="0">
      <pane xSplit="6" ySplit="12" topLeftCell="G13" activePane="bottomRight" state="frozen"/>
      <selection pane="topRight" activeCell="G1" sqref="G1"/>
      <selection pane="bottomLeft" activeCell="A13" sqref="A13"/>
      <selection pane="bottomRight" activeCell="G13" sqref="G13"/>
    </sheetView>
  </sheetViews>
  <sheetFormatPr defaultColWidth="9.26953125" defaultRowHeight="12.5" x14ac:dyDescent="0.35"/>
  <cols>
    <col min="1" max="1" width="4" style="2" customWidth="1"/>
    <col min="2" max="2" width="63" style="2" customWidth="1"/>
    <col min="3" max="5" width="4.54296875" style="2" customWidth="1"/>
    <col min="6" max="6" width="13.26953125" style="2" bestFit="1" customWidth="1"/>
    <col min="7" max="7" width="2.7265625" style="2" customWidth="1"/>
    <col min="8" max="8" width="13.7265625" style="2" customWidth="1"/>
    <col min="9" max="9" width="2.7265625" style="2" customWidth="1"/>
    <col min="10" max="10" width="13.7265625" style="2" customWidth="1"/>
    <col min="11" max="11" width="2.7265625" style="2" customWidth="1"/>
    <col min="12" max="17" width="13.26953125" style="2" customWidth="1"/>
    <col min="18" max="19" width="2.7265625" style="2" customWidth="1"/>
    <col min="20" max="20" width="17.26953125" style="2" customWidth="1"/>
    <col min="21" max="21" width="2.7265625" style="2" customWidth="1"/>
    <col min="22" max="22" width="13.7265625" style="2" customWidth="1"/>
    <col min="23" max="23" width="2.7265625" style="2" customWidth="1"/>
    <col min="24" max="38" width="13.7265625" style="2" customWidth="1"/>
    <col min="39" max="16384" width="9.26953125" style="2"/>
  </cols>
  <sheetData>
    <row r="1" spans="1:23" ht="13" x14ac:dyDescent="0.35">
      <c r="A1" s="1"/>
    </row>
    <row r="2" spans="1:23" s="18" customFormat="1" ht="18" x14ac:dyDescent="0.35">
      <c r="B2" s="18" t="s">
        <v>586</v>
      </c>
    </row>
    <row r="4" spans="1:23" ht="13" x14ac:dyDescent="0.35">
      <c r="B4" s="1" t="s">
        <v>29</v>
      </c>
      <c r="C4" s="1"/>
      <c r="D4" s="1"/>
    </row>
    <row r="5" spans="1:23" x14ac:dyDescent="0.25">
      <c r="B5" s="39" t="s">
        <v>588</v>
      </c>
      <c r="L5" s="30"/>
      <c r="M5" s="30"/>
      <c r="N5" s="30"/>
      <c r="O5" s="30"/>
      <c r="P5" s="30"/>
      <c r="Q5" s="30"/>
    </row>
    <row r="6" spans="1:23" x14ac:dyDescent="0.25">
      <c r="B6" s="39"/>
      <c r="L6" s="30"/>
      <c r="M6" s="30"/>
      <c r="N6" s="30"/>
      <c r="O6" s="30"/>
      <c r="P6" s="30"/>
      <c r="Q6" s="30"/>
    </row>
    <row r="7" spans="1:23" x14ac:dyDescent="0.25">
      <c r="B7" s="39" t="s">
        <v>347</v>
      </c>
      <c r="L7" s="30"/>
      <c r="M7" s="30"/>
      <c r="N7" s="30"/>
      <c r="O7" s="30"/>
      <c r="P7" s="30"/>
      <c r="Q7" s="30"/>
    </row>
    <row r="8" spans="1:23" x14ac:dyDescent="0.25">
      <c r="B8" s="39" t="s">
        <v>344</v>
      </c>
      <c r="L8" s="30"/>
      <c r="M8" s="30"/>
      <c r="N8" s="30"/>
      <c r="O8" s="30"/>
      <c r="P8" s="30"/>
      <c r="Q8" s="30"/>
    </row>
    <row r="9" spans="1:23" x14ac:dyDescent="0.25">
      <c r="B9" s="39" t="s">
        <v>289</v>
      </c>
      <c r="L9" s="30"/>
      <c r="M9" s="30"/>
      <c r="N9" s="30"/>
      <c r="O9" s="30"/>
      <c r="P9" s="30"/>
      <c r="Q9" s="30"/>
    </row>
    <row r="11" spans="1:23" s="6" customFormat="1" ht="13" x14ac:dyDescent="0.35">
      <c r="B11" s="6" t="s">
        <v>45</v>
      </c>
      <c r="F11" s="6" t="s">
        <v>27</v>
      </c>
      <c r="H11" s="6" t="s">
        <v>28</v>
      </c>
      <c r="J11" s="6" t="s">
        <v>49</v>
      </c>
      <c r="L11" s="6" t="s">
        <v>88</v>
      </c>
      <c r="M11" s="6" t="s">
        <v>65</v>
      </c>
      <c r="N11" s="6" t="s">
        <v>66</v>
      </c>
      <c r="O11" s="6" t="s">
        <v>67</v>
      </c>
      <c r="P11" s="6" t="s">
        <v>68</v>
      </c>
      <c r="Q11" s="6" t="s">
        <v>69</v>
      </c>
      <c r="T11" s="6" t="s">
        <v>46</v>
      </c>
      <c r="V11" s="6" t="s">
        <v>47</v>
      </c>
    </row>
    <row r="14" spans="1:23" s="6" customFormat="1" ht="13" x14ac:dyDescent="0.35">
      <c r="B14" s="6" t="s">
        <v>586</v>
      </c>
    </row>
    <row r="15" spans="1:23" x14ac:dyDescent="0.25">
      <c r="A15" s="120"/>
      <c r="B15" s="120"/>
      <c r="C15" s="120"/>
      <c r="D15" s="120"/>
    </row>
    <row r="16" spans="1:23" x14ac:dyDescent="0.25">
      <c r="A16" s="120"/>
      <c r="B16" s="74" t="s">
        <v>201</v>
      </c>
      <c r="C16" s="120"/>
      <c r="D16" s="120"/>
      <c r="F16" s="74" t="s">
        <v>160</v>
      </c>
      <c r="L16" s="65">
        <v>0</v>
      </c>
      <c r="M16" s="65">
        <v>0</v>
      </c>
      <c r="N16" s="65">
        <v>28633.5</v>
      </c>
      <c r="O16" s="65">
        <v>0</v>
      </c>
      <c r="P16" s="96">
        <v>-1712821.4493653115</v>
      </c>
      <c r="Q16" s="65">
        <v>18007</v>
      </c>
      <c r="T16" s="2" t="s">
        <v>587</v>
      </c>
      <c r="W16" s="19"/>
    </row>
    <row r="17" spans="1:6" x14ac:dyDescent="0.25">
      <c r="A17" s="120"/>
      <c r="B17" s="120"/>
      <c r="C17" s="120"/>
      <c r="D17" s="120"/>
    </row>
    <row r="19" spans="1:6" x14ac:dyDescent="0.25">
      <c r="B19" s="27"/>
      <c r="F19" s="39"/>
    </row>
    <row r="20" spans="1:6" x14ac:dyDescent="0.25">
      <c r="B20" s="27"/>
      <c r="F20" s="39"/>
    </row>
    <row r="21" spans="1:6" x14ac:dyDescent="0.25">
      <c r="B21" s="27"/>
      <c r="F21" s="39"/>
    </row>
    <row r="22" spans="1:6" x14ac:dyDescent="0.25">
      <c r="B22" s="27"/>
      <c r="F22" s="39"/>
    </row>
    <row r="23" spans="1:6" x14ac:dyDescent="0.25">
      <c r="B23" s="27"/>
      <c r="F23" s="39"/>
    </row>
    <row r="24" spans="1:6" x14ac:dyDescent="0.25">
      <c r="B24" s="27"/>
      <c r="F24" s="39"/>
    </row>
    <row r="25" spans="1:6" x14ac:dyDescent="0.25">
      <c r="B25" s="27"/>
      <c r="F25" s="39"/>
    </row>
    <row r="26" spans="1:6" x14ac:dyDescent="0.25">
      <c r="B26" s="27"/>
      <c r="F26" s="39"/>
    </row>
    <row r="27" spans="1:6" x14ac:dyDescent="0.25">
      <c r="B27" s="27"/>
      <c r="F27" s="39"/>
    </row>
    <row r="28" spans="1:6" x14ac:dyDescent="0.25">
      <c r="B28" s="27"/>
      <c r="F28" s="39"/>
    </row>
    <row r="29" spans="1:6" x14ac:dyDescent="0.25">
      <c r="B29" s="27"/>
      <c r="F29" s="39"/>
    </row>
    <row r="30" spans="1:6" x14ac:dyDescent="0.25">
      <c r="B30" s="27"/>
      <c r="F30" s="39"/>
    </row>
    <row r="31" spans="1:6" x14ac:dyDescent="0.25">
      <c r="B31" s="27"/>
      <c r="F31" s="39"/>
    </row>
    <row r="32" spans="1:6" x14ac:dyDescent="0.25">
      <c r="B32" s="27"/>
      <c r="F32" s="39"/>
    </row>
    <row r="33" spans="2:6" x14ac:dyDescent="0.25">
      <c r="B33" s="27"/>
      <c r="F33" s="39"/>
    </row>
    <row r="34" spans="2:6" x14ac:dyDescent="0.25">
      <c r="B34" s="27"/>
      <c r="F34" s="39"/>
    </row>
    <row r="35" spans="2:6" x14ac:dyDescent="0.25">
      <c r="B35" s="27"/>
      <c r="F35" s="39"/>
    </row>
    <row r="36" spans="2:6" x14ac:dyDescent="0.25">
      <c r="B36" s="27"/>
      <c r="F36" s="39"/>
    </row>
    <row r="37" spans="2:6" x14ac:dyDescent="0.25">
      <c r="B37" s="27"/>
      <c r="F37" s="39"/>
    </row>
    <row r="38" spans="2:6" x14ac:dyDescent="0.25">
      <c r="B38" s="27"/>
      <c r="F38" s="39"/>
    </row>
    <row r="39" spans="2:6" x14ac:dyDescent="0.25">
      <c r="B39" s="27"/>
      <c r="F39" s="39"/>
    </row>
    <row r="40" spans="2:6" x14ac:dyDescent="0.25">
      <c r="B40" s="27"/>
      <c r="F40" s="39"/>
    </row>
    <row r="41" spans="2:6" x14ac:dyDescent="0.25">
      <c r="B41" s="27"/>
      <c r="F41" s="39"/>
    </row>
    <row r="42" spans="2:6" x14ac:dyDescent="0.25">
      <c r="B42" s="27"/>
      <c r="F42" s="39"/>
    </row>
    <row r="43" spans="2:6" x14ac:dyDescent="0.25">
      <c r="B43" s="27"/>
      <c r="F43" s="39"/>
    </row>
    <row r="44" spans="2:6" x14ac:dyDescent="0.25">
      <c r="B44" s="27"/>
      <c r="F44" s="39"/>
    </row>
    <row r="45" spans="2:6" x14ac:dyDescent="0.25">
      <c r="B45" s="27"/>
      <c r="F45" s="39"/>
    </row>
    <row r="46" spans="2:6" x14ac:dyDescent="0.25">
      <c r="B46" s="27"/>
      <c r="F46" s="39"/>
    </row>
    <row r="47" spans="2:6" x14ac:dyDescent="0.25">
      <c r="B47" s="27"/>
      <c r="F47" s="39"/>
    </row>
    <row r="48" spans="2:6" x14ac:dyDescent="0.25">
      <c r="B48" s="27"/>
      <c r="F48" s="39"/>
    </row>
    <row r="49" spans="2:20" x14ac:dyDescent="0.25">
      <c r="B49" s="27"/>
      <c r="F49" s="39"/>
    </row>
    <row r="50" spans="2:20" x14ac:dyDescent="0.25">
      <c r="B50" s="27"/>
      <c r="F50" s="39"/>
    </row>
    <row r="51" spans="2:20" x14ac:dyDescent="0.25">
      <c r="B51" s="27"/>
      <c r="F51" s="39"/>
    </row>
    <row r="52" spans="2:20" x14ac:dyDescent="0.25">
      <c r="B52" s="27"/>
      <c r="F52" s="39"/>
    </row>
    <row r="53" spans="2:20" x14ac:dyDescent="0.25">
      <c r="B53" s="39"/>
      <c r="F53" s="39"/>
    </row>
    <row r="54" spans="2:20" ht="14.5" x14ac:dyDescent="0.35">
      <c r="B54" s="39"/>
      <c r="F54" s="39"/>
      <c r="J54" s="27"/>
      <c r="L54" s="28"/>
      <c r="M54" s="28"/>
      <c r="N54" s="28"/>
      <c r="O54" s="28"/>
      <c r="P54" s="28"/>
      <c r="Q54" s="28"/>
      <c r="T54"/>
    </row>
    <row r="55" spans="2:20" ht="14.5" x14ac:dyDescent="0.35">
      <c r="B55" s="39"/>
      <c r="F55" s="39"/>
      <c r="J55" s="27"/>
      <c r="L55" s="28"/>
      <c r="M55" s="28"/>
      <c r="N55" s="28"/>
      <c r="O55" s="28"/>
      <c r="P55" s="28"/>
      <c r="Q55" s="28"/>
      <c r="T55"/>
    </row>
    <row r="56" spans="2:20" ht="14.5" x14ac:dyDescent="0.35">
      <c r="F56" s="27"/>
      <c r="J56" s="27"/>
      <c r="L56" s="28"/>
      <c r="M56" s="28"/>
      <c r="N56" s="28"/>
      <c r="O56" s="28"/>
      <c r="P56" s="28"/>
      <c r="Q56" s="28"/>
      <c r="T56"/>
    </row>
    <row r="57" spans="2:20" ht="14.5" x14ac:dyDescent="0.35">
      <c r="F57" s="27"/>
      <c r="J57" s="27"/>
      <c r="L57" s="28"/>
      <c r="M57" s="28"/>
      <c r="N57" s="28"/>
      <c r="O57" s="28"/>
      <c r="P57" s="28"/>
      <c r="Q57" s="28"/>
      <c r="T57"/>
    </row>
    <row r="58" spans="2:20" ht="14.5" x14ac:dyDescent="0.35">
      <c r="F58" s="27"/>
      <c r="J58" s="27"/>
      <c r="L58" s="28"/>
      <c r="M58" s="28"/>
      <c r="N58" s="28"/>
      <c r="O58" s="28"/>
      <c r="P58" s="28"/>
      <c r="Q58" s="28"/>
      <c r="T58"/>
    </row>
    <row r="59" spans="2:20" ht="14.5" x14ac:dyDescent="0.35">
      <c r="F59" s="27"/>
      <c r="J59" s="27"/>
      <c r="L59" s="28"/>
      <c r="M59" s="28"/>
      <c r="N59" s="28"/>
      <c r="O59" s="28"/>
      <c r="P59" s="28"/>
      <c r="Q59" s="28"/>
      <c r="T59"/>
    </row>
    <row r="60" spans="2:20" x14ac:dyDescent="0.25">
      <c r="F60" s="27"/>
      <c r="J60" s="27"/>
      <c r="L60" s="28"/>
      <c r="M60" s="28"/>
      <c r="N60" s="28"/>
      <c r="O60" s="28"/>
      <c r="P60" s="28"/>
      <c r="Q60" s="28"/>
    </row>
    <row r="61" spans="2:20" ht="13" x14ac:dyDescent="0.25">
      <c r="B61" s="1"/>
      <c r="F61" s="27"/>
      <c r="J61" s="27"/>
      <c r="L61" s="28"/>
      <c r="M61" s="28"/>
      <c r="N61" s="28"/>
      <c r="O61" s="28"/>
      <c r="P61" s="28"/>
      <c r="Q61" s="28"/>
    </row>
    <row r="62" spans="2:20" ht="14.5" x14ac:dyDescent="0.35">
      <c r="F62" s="27"/>
      <c r="J62" s="27"/>
      <c r="L62" s="28"/>
      <c r="M62" s="28"/>
      <c r="N62" s="28"/>
      <c r="O62" s="28"/>
      <c r="P62" s="28"/>
      <c r="Q62" s="28"/>
      <c r="T62"/>
    </row>
    <row r="63" spans="2:20" ht="14.5" x14ac:dyDescent="0.35">
      <c r="F63" s="27"/>
      <c r="J63" s="27"/>
      <c r="L63" s="28"/>
      <c r="M63" s="28"/>
      <c r="N63" s="28"/>
      <c r="O63" s="28"/>
      <c r="P63" s="28"/>
      <c r="Q63" s="28"/>
      <c r="T63"/>
    </row>
    <row r="64" spans="2:20" ht="14.5" x14ac:dyDescent="0.35">
      <c r="F64" s="27"/>
      <c r="J64" s="27"/>
      <c r="L64" s="28"/>
      <c r="M64" s="28"/>
      <c r="N64" s="28"/>
      <c r="O64" s="28"/>
      <c r="P64" s="28"/>
      <c r="Q64" s="28"/>
      <c r="T64"/>
    </row>
    <row r="65" spans="2:20" ht="14.5" x14ac:dyDescent="0.35">
      <c r="F65" s="27"/>
      <c r="J65" s="27"/>
      <c r="L65" s="28"/>
      <c r="M65" s="28"/>
      <c r="N65" s="28"/>
      <c r="O65" s="28"/>
      <c r="P65" s="28"/>
      <c r="Q65" s="28"/>
      <c r="T65"/>
    </row>
    <row r="66" spans="2:20" ht="14.5" x14ac:dyDescent="0.35">
      <c r="F66" s="27"/>
      <c r="J66" s="27"/>
      <c r="L66" s="28"/>
      <c r="M66" s="28"/>
      <c r="N66" s="28"/>
      <c r="O66" s="28"/>
      <c r="P66" s="28"/>
      <c r="Q66" s="28"/>
      <c r="T66"/>
    </row>
    <row r="67" spans="2:20" ht="14.5" x14ac:dyDescent="0.35">
      <c r="F67" s="27"/>
      <c r="J67" s="27"/>
      <c r="L67" s="28"/>
      <c r="M67" s="28"/>
      <c r="N67" s="28"/>
      <c r="O67" s="28"/>
      <c r="P67" s="28"/>
      <c r="Q67" s="28"/>
      <c r="T67"/>
    </row>
    <row r="68" spans="2:20" x14ac:dyDescent="0.25">
      <c r="F68" s="27"/>
      <c r="J68" s="27"/>
      <c r="L68" s="28"/>
      <c r="M68" s="28"/>
      <c r="N68" s="28"/>
      <c r="O68" s="28"/>
      <c r="P68" s="28"/>
      <c r="Q68" s="28"/>
    </row>
    <row r="69" spans="2:20" ht="13" x14ac:dyDescent="0.25">
      <c r="B69" s="1"/>
      <c r="F69" s="27"/>
      <c r="J69" s="27"/>
      <c r="L69" s="28"/>
      <c r="M69" s="28"/>
      <c r="N69" s="28"/>
      <c r="O69" s="28"/>
      <c r="P69" s="28"/>
      <c r="Q69" s="28"/>
    </row>
    <row r="70" spans="2:20" x14ac:dyDescent="0.25">
      <c r="F70" s="27"/>
      <c r="J70" s="27"/>
      <c r="L70" s="28"/>
      <c r="M70" s="28"/>
      <c r="N70" s="28"/>
      <c r="O70" s="28"/>
      <c r="P70" s="28"/>
      <c r="Q70" s="28"/>
    </row>
    <row r="71" spans="2:20" ht="14.5" x14ac:dyDescent="0.35">
      <c r="B71" s="1"/>
      <c r="F71" s="27"/>
      <c r="J71"/>
      <c r="L71"/>
      <c r="M71"/>
      <c r="N71"/>
      <c r="O71"/>
      <c r="P71"/>
      <c r="Q71"/>
    </row>
    <row r="72" spans="2:20" ht="14.5" x14ac:dyDescent="0.35">
      <c r="F72" s="27"/>
      <c r="J72" s="27"/>
      <c r="L72" s="28"/>
      <c r="M72" s="28"/>
      <c r="N72" s="28"/>
      <c r="O72" s="28"/>
      <c r="P72" s="28"/>
      <c r="Q72" s="28"/>
      <c r="T72"/>
    </row>
    <row r="73" spans="2:20" ht="14.5" x14ac:dyDescent="0.35">
      <c r="F73" s="27"/>
      <c r="J73" s="27"/>
      <c r="L73" s="28"/>
      <c r="M73" s="28"/>
      <c r="N73" s="28"/>
      <c r="O73" s="28"/>
      <c r="P73" s="28"/>
      <c r="Q73" s="28"/>
      <c r="T73"/>
    </row>
    <row r="74" spans="2:20" ht="14.5" x14ac:dyDescent="0.35">
      <c r="F74" s="27"/>
      <c r="J74" s="27"/>
      <c r="L74" s="28"/>
      <c r="M74" s="28"/>
      <c r="N74" s="28"/>
      <c r="O74" s="28"/>
      <c r="P74" s="28"/>
      <c r="Q74" s="28"/>
      <c r="T74"/>
    </row>
    <row r="75" spans="2:20" ht="14.5" x14ac:dyDescent="0.35">
      <c r="F75" s="27"/>
      <c r="J75" s="27"/>
      <c r="L75" s="28"/>
      <c r="M75" s="28"/>
      <c r="N75" s="28"/>
      <c r="O75" s="28"/>
      <c r="P75" s="28"/>
      <c r="Q75" s="28"/>
      <c r="T75"/>
    </row>
    <row r="76" spans="2:20" x14ac:dyDescent="0.25">
      <c r="F76" s="27"/>
      <c r="J76" s="27"/>
      <c r="L76" s="28"/>
      <c r="M76" s="28"/>
      <c r="N76" s="28"/>
      <c r="O76" s="28"/>
      <c r="P76" s="28"/>
      <c r="Q76" s="28"/>
    </row>
    <row r="77" spans="2:20" ht="13" x14ac:dyDescent="0.25">
      <c r="B77" s="1"/>
      <c r="F77" s="27"/>
      <c r="J77" s="27"/>
      <c r="L77" s="28"/>
      <c r="M77" s="28"/>
      <c r="N77" s="28"/>
      <c r="O77" s="28"/>
      <c r="P77" s="28"/>
      <c r="Q77" s="28"/>
    </row>
    <row r="78" spans="2:20" x14ac:dyDescent="0.25">
      <c r="F78" s="27"/>
      <c r="J78" s="27"/>
      <c r="L78" s="28"/>
      <c r="M78" s="28"/>
      <c r="N78" s="28"/>
      <c r="O78" s="28"/>
      <c r="P78" s="28"/>
      <c r="Q78" s="28"/>
    </row>
    <row r="79" spans="2:20" ht="13" x14ac:dyDescent="0.25">
      <c r="B79" s="1"/>
      <c r="F79" s="27"/>
      <c r="J79" s="27"/>
      <c r="L79" s="28"/>
      <c r="M79" s="28"/>
      <c r="N79" s="28"/>
      <c r="O79" s="28"/>
      <c r="P79" s="28"/>
      <c r="Q79" s="28"/>
    </row>
    <row r="80" spans="2:20" ht="14.5" x14ac:dyDescent="0.35">
      <c r="F80" s="27"/>
      <c r="J80" s="27"/>
      <c r="L80" s="28"/>
      <c r="M80" s="28"/>
      <c r="N80" s="28"/>
      <c r="O80" s="28"/>
      <c r="P80" s="28"/>
      <c r="Q80" s="28"/>
      <c r="T80"/>
    </row>
    <row r="81" spans="2:20" ht="14.5" x14ac:dyDescent="0.35">
      <c r="F81" s="27"/>
      <c r="J81" s="27"/>
      <c r="L81" s="28"/>
      <c r="M81" s="28"/>
      <c r="N81" s="28"/>
      <c r="O81" s="28"/>
      <c r="P81" s="28"/>
      <c r="Q81" s="28"/>
      <c r="T81"/>
    </row>
    <row r="82" spans="2:20" ht="14.5" x14ac:dyDescent="0.35">
      <c r="F82" s="27"/>
      <c r="J82" s="27"/>
      <c r="L82" s="28"/>
      <c r="M82" s="28"/>
      <c r="N82" s="28"/>
      <c r="O82" s="28"/>
      <c r="P82" s="28"/>
      <c r="Q82" s="28"/>
      <c r="T82"/>
    </row>
    <row r="83" spans="2:20" ht="14.5" x14ac:dyDescent="0.35">
      <c r="F83" s="27"/>
      <c r="J83" s="27"/>
      <c r="L83" s="28"/>
      <c r="M83" s="28"/>
      <c r="N83" s="28"/>
      <c r="O83" s="28"/>
      <c r="P83" s="28"/>
      <c r="Q83" s="28"/>
      <c r="T83"/>
    </row>
    <row r="84" spans="2:20" x14ac:dyDescent="0.35">
      <c r="J84" s="36"/>
    </row>
    <row r="85" spans="2:20" s="40" customFormat="1" ht="13" x14ac:dyDescent="0.35"/>
    <row r="87" spans="2:20" ht="13" x14ac:dyDescent="0.35">
      <c r="B87" s="1"/>
    </row>
    <row r="89" spans="2:20" ht="13" x14ac:dyDescent="0.35">
      <c r="B89" s="1"/>
      <c r="J89" s="36"/>
    </row>
    <row r="90" spans="2:20" ht="14.5" x14ac:dyDescent="0.35">
      <c r="F90" s="27"/>
      <c r="J90" s="27"/>
      <c r="L90" s="28"/>
      <c r="M90" s="28"/>
      <c r="N90" s="28"/>
      <c r="O90" s="28"/>
      <c r="P90" s="28"/>
      <c r="Q90" s="28"/>
      <c r="T90"/>
    </row>
    <row r="91" spans="2:20" ht="14.5" x14ac:dyDescent="0.35">
      <c r="F91" s="27"/>
      <c r="J91" s="27"/>
      <c r="L91" s="28"/>
      <c r="M91" s="28"/>
      <c r="N91" s="28"/>
      <c r="O91" s="28"/>
      <c r="P91" s="28"/>
      <c r="Q91" s="28"/>
      <c r="T91"/>
    </row>
    <row r="92" spans="2:20" ht="14.5" x14ac:dyDescent="0.35">
      <c r="F92" s="27"/>
      <c r="J92" s="27"/>
      <c r="L92" s="28"/>
      <c r="M92" s="28"/>
      <c r="N92" s="28"/>
      <c r="O92" s="28"/>
      <c r="P92" s="28"/>
      <c r="Q92" s="28"/>
      <c r="T92"/>
    </row>
    <row r="93" spans="2:20" ht="14.5" x14ac:dyDescent="0.35">
      <c r="F93" s="27"/>
      <c r="J93" s="27"/>
      <c r="L93" s="28"/>
      <c r="M93" s="28"/>
      <c r="N93" s="28"/>
      <c r="O93" s="28"/>
      <c r="P93" s="28"/>
      <c r="Q93" s="28"/>
      <c r="T93"/>
    </row>
    <row r="94" spans="2:20" ht="14.5" x14ac:dyDescent="0.35">
      <c r="F94" s="27"/>
      <c r="J94" s="27"/>
      <c r="L94" s="28"/>
      <c r="M94" s="28"/>
      <c r="N94" s="28"/>
      <c r="O94" s="28"/>
      <c r="P94" s="28"/>
      <c r="Q94" s="28"/>
      <c r="T94"/>
    </row>
    <row r="95" spans="2:20" ht="14.5" x14ac:dyDescent="0.35">
      <c r="F95" s="27"/>
      <c r="J95" s="27"/>
      <c r="L95" s="28"/>
      <c r="M95" s="28"/>
      <c r="N95" s="28"/>
      <c r="O95" s="28"/>
      <c r="P95" s="28"/>
      <c r="Q95" s="28"/>
      <c r="T95"/>
    </row>
    <row r="96" spans="2:20" x14ac:dyDescent="0.25">
      <c r="F96" s="27"/>
      <c r="J96" s="27"/>
      <c r="L96" s="28"/>
      <c r="M96" s="28"/>
      <c r="N96" s="28"/>
      <c r="O96" s="28"/>
      <c r="P96" s="28"/>
      <c r="Q96" s="28"/>
    </row>
    <row r="97" spans="2:20" ht="13" x14ac:dyDescent="0.25">
      <c r="B97" s="1"/>
      <c r="F97" s="27"/>
      <c r="J97" s="27"/>
      <c r="L97" s="28"/>
      <c r="M97" s="28"/>
      <c r="N97" s="28"/>
      <c r="O97" s="28"/>
      <c r="P97" s="28"/>
      <c r="Q97" s="28"/>
    </row>
    <row r="98" spans="2:20" ht="14.5" x14ac:dyDescent="0.35">
      <c r="F98" s="27"/>
      <c r="J98" s="27"/>
      <c r="L98" s="28"/>
      <c r="M98" s="28"/>
      <c r="N98" s="28"/>
      <c r="O98" s="28"/>
      <c r="P98" s="28"/>
      <c r="Q98" s="28"/>
      <c r="T98"/>
    </row>
    <row r="99" spans="2:20" ht="14.5" x14ac:dyDescent="0.35">
      <c r="F99" s="27"/>
      <c r="J99" s="27"/>
      <c r="L99" s="28"/>
      <c r="M99" s="28"/>
      <c r="N99" s="28"/>
      <c r="O99" s="28"/>
      <c r="P99" s="28"/>
      <c r="Q99" s="28"/>
      <c r="T99"/>
    </row>
    <row r="100" spans="2:20" ht="14.5" x14ac:dyDescent="0.35">
      <c r="F100" s="27"/>
      <c r="J100" s="27"/>
      <c r="L100" s="28"/>
      <c r="M100" s="28"/>
      <c r="N100" s="28"/>
      <c r="O100" s="28"/>
      <c r="P100" s="28"/>
      <c r="Q100" s="28"/>
      <c r="T100"/>
    </row>
    <row r="101" spans="2:20" ht="14.5" x14ac:dyDescent="0.35">
      <c r="F101" s="27"/>
      <c r="J101" s="27"/>
      <c r="L101" s="28"/>
      <c r="M101" s="28"/>
      <c r="N101" s="28"/>
      <c r="O101" s="28"/>
      <c r="P101" s="28"/>
      <c r="Q101" s="28"/>
      <c r="T101"/>
    </row>
    <row r="102" spans="2:20" ht="14.5" x14ac:dyDescent="0.35">
      <c r="F102" s="27"/>
      <c r="J102" s="27"/>
      <c r="L102" s="28"/>
      <c r="M102" s="28"/>
      <c r="N102" s="28"/>
      <c r="O102" s="28"/>
      <c r="P102" s="28"/>
      <c r="Q102" s="28"/>
      <c r="T102"/>
    </row>
    <row r="103" spans="2:20" ht="14.5" x14ac:dyDescent="0.35">
      <c r="F103" s="27"/>
      <c r="J103" s="27"/>
      <c r="L103" s="28"/>
      <c r="M103" s="28"/>
      <c r="N103" s="28"/>
      <c r="O103" s="28"/>
      <c r="P103" s="28"/>
      <c r="Q103" s="28"/>
      <c r="T103"/>
    </row>
    <row r="104" spans="2:20" x14ac:dyDescent="0.25">
      <c r="F104" s="27"/>
      <c r="J104" s="27"/>
      <c r="L104" s="28"/>
      <c r="M104" s="28"/>
      <c r="N104" s="28"/>
      <c r="O104" s="28"/>
      <c r="P104" s="28"/>
      <c r="Q104" s="28"/>
    </row>
    <row r="105" spans="2:20" ht="13" x14ac:dyDescent="0.25">
      <c r="B105" s="1"/>
      <c r="F105" s="27"/>
      <c r="J105" s="27"/>
      <c r="L105" s="28"/>
      <c r="M105" s="28"/>
      <c r="N105" s="28"/>
      <c r="O105" s="28"/>
      <c r="P105" s="28"/>
      <c r="Q105" s="28"/>
    </row>
    <row r="106" spans="2:20" x14ac:dyDescent="0.25">
      <c r="F106" s="27"/>
      <c r="J106" s="27"/>
      <c r="L106" s="28"/>
      <c r="M106" s="28"/>
      <c r="N106" s="28"/>
      <c r="O106" s="28"/>
      <c r="P106" s="28"/>
      <c r="Q106" s="28"/>
    </row>
    <row r="107" spans="2:20" ht="14.5" x14ac:dyDescent="0.35">
      <c r="B107" s="1"/>
      <c r="F107" s="27"/>
      <c r="J107"/>
      <c r="L107"/>
      <c r="M107"/>
      <c r="N107"/>
      <c r="O107"/>
      <c r="P107"/>
      <c r="Q107"/>
    </row>
    <row r="108" spans="2:20" ht="14.5" x14ac:dyDescent="0.35">
      <c r="F108" s="27"/>
      <c r="J108" s="27"/>
      <c r="L108" s="28"/>
      <c r="M108" s="28"/>
      <c r="N108" s="28"/>
      <c r="O108" s="28"/>
      <c r="P108" s="28"/>
      <c r="Q108" s="28"/>
      <c r="T108"/>
    </row>
    <row r="109" spans="2:20" ht="14.5" x14ac:dyDescent="0.35">
      <c r="F109" s="27"/>
      <c r="J109" s="27"/>
      <c r="L109" s="28"/>
      <c r="M109" s="28"/>
      <c r="N109" s="28"/>
      <c r="O109" s="28"/>
      <c r="P109" s="28"/>
      <c r="Q109" s="28"/>
      <c r="T109"/>
    </row>
    <row r="110" spans="2:20" ht="14.5" x14ac:dyDescent="0.35">
      <c r="F110" s="27"/>
      <c r="J110" s="27"/>
      <c r="L110" s="28"/>
      <c r="M110" s="28"/>
      <c r="N110" s="28"/>
      <c r="O110" s="28"/>
      <c r="P110" s="28"/>
      <c r="Q110" s="28"/>
      <c r="T110"/>
    </row>
    <row r="111" spans="2:20" ht="14.5" x14ac:dyDescent="0.35">
      <c r="F111" s="27"/>
      <c r="J111" s="27"/>
      <c r="L111" s="28"/>
      <c r="M111" s="28"/>
      <c r="N111" s="28"/>
      <c r="O111" s="28"/>
      <c r="P111" s="28"/>
      <c r="Q111" s="28"/>
      <c r="T111"/>
    </row>
    <row r="112" spans="2:20" x14ac:dyDescent="0.25">
      <c r="F112" s="27"/>
      <c r="J112" s="27"/>
      <c r="L112" s="28"/>
      <c r="M112" s="28"/>
      <c r="N112" s="28"/>
      <c r="O112" s="28"/>
      <c r="P112" s="28"/>
      <c r="Q112" s="28"/>
    </row>
    <row r="113" spans="1:20" ht="13" x14ac:dyDescent="0.25">
      <c r="B113" s="1"/>
      <c r="F113" s="27"/>
      <c r="J113" s="27"/>
      <c r="L113" s="28"/>
      <c r="M113" s="28"/>
      <c r="N113" s="28"/>
      <c r="O113" s="28"/>
      <c r="P113" s="28"/>
      <c r="Q113" s="28"/>
    </row>
    <row r="114" spans="1:20" x14ac:dyDescent="0.25">
      <c r="F114" s="27"/>
      <c r="J114" s="27"/>
      <c r="L114" s="28"/>
      <c r="M114" s="28"/>
      <c r="N114" s="28"/>
      <c r="O114" s="28"/>
      <c r="P114" s="28"/>
      <c r="Q114" s="28"/>
    </row>
    <row r="115" spans="1:20" ht="13" x14ac:dyDescent="0.25">
      <c r="B115" s="1"/>
      <c r="F115" s="27"/>
      <c r="J115" s="27"/>
      <c r="L115" s="28"/>
      <c r="M115" s="28"/>
      <c r="N115" s="28"/>
      <c r="O115" s="28"/>
      <c r="P115" s="28"/>
      <c r="Q115" s="28"/>
    </row>
    <row r="116" spans="1:20" ht="14.5" x14ac:dyDescent="0.35">
      <c r="F116" s="27"/>
      <c r="J116" s="27"/>
      <c r="L116" s="28"/>
      <c r="M116" s="28"/>
      <c r="N116" s="28"/>
      <c r="O116" s="28"/>
      <c r="P116" s="28"/>
      <c r="Q116" s="28"/>
      <c r="T116"/>
    </row>
    <row r="117" spans="1:20" ht="14.5" x14ac:dyDescent="0.35">
      <c r="F117" s="27"/>
      <c r="J117" s="27"/>
      <c r="L117" s="28"/>
      <c r="M117" s="28"/>
      <c r="N117" s="28"/>
      <c r="O117" s="28"/>
      <c r="P117" s="28"/>
      <c r="Q117" s="28"/>
      <c r="T117"/>
    </row>
    <row r="118" spans="1:20" ht="14.5" x14ac:dyDescent="0.35">
      <c r="F118" s="27"/>
      <c r="J118" s="27"/>
      <c r="L118" s="28"/>
      <c r="M118" s="28"/>
      <c r="N118" s="28"/>
      <c r="O118" s="28"/>
      <c r="P118" s="28"/>
      <c r="Q118" s="28"/>
      <c r="T118"/>
    </row>
    <row r="119" spans="1:20" ht="14.5" x14ac:dyDescent="0.35">
      <c r="F119" s="27"/>
      <c r="J119" s="27"/>
      <c r="L119" s="28"/>
      <c r="M119" s="28"/>
      <c r="N119" s="28"/>
      <c r="O119" s="28"/>
      <c r="P119" s="28"/>
      <c r="Q119" s="28"/>
      <c r="T119"/>
    </row>
    <row r="121" spans="1:20" s="40" customFormat="1" ht="13" x14ac:dyDescent="0.35">
      <c r="L121" s="41"/>
      <c r="M121" s="41"/>
      <c r="N121" s="41"/>
      <c r="O121" s="41"/>
      <c r="P121" s="41"/>
      <c r="Q121" s="41"/>
    </row>
    <row r="122" spans="1:20" customFormat="1" ht="14.5" x14ac:dyDescent="0.35">
      <c r="A122" s="27"/>
      <c r="B122" s="27"/>
      <c r="C122" s="27"/>
      <c r="D122" s="27"/>
      <c r="E122" s="27"/>
      <c r="F122" s="32"/>
      <c r="G122" s="27"/>
      <c r="H122" s="28"/>
      <c r="I122" s="28"/>
      <c r="J122" s="28"/>
      <c r="K122" s="28"/>
      <c r="L122" s="28"/>
      <c r="M122" s="28"/>
      <c r="N122" s="28"/>
    </row>
    <row r="123" spans="1:20" customFormat="1" ht="14.5" x14ac:dyDescent="0.35">
      <c r="B123" s="42"/>
      <c r="C123" s="27"/>
      <c r="D123" s="27"/>
      <c r="E123" s="27"/>
      <c r="F123" s="32"/>
      <c r="G123" s="27"/>
      <c r="H123" s="28"/>
      <c r="I123" s="28"/>
      <c r="J123" s="28"/>
      <c r="K123" s="28"/>
      <c r="L123" s="28"/>
      <c r="M123" s="28"/>
      <c r="N123" s="28"/>
    </row>
    <row r="124" spans="1:20" customFormat="1" ht="14.5" x14ac:dyDescent="0.35">
      <c r="B124" s="27"/>
      <c r="C124" s="27"/>
      <c r="D124" s="27"/>
      <c r="E124" s="27"/>
      <c r="F124" s="32"/>
      <c r="G124" s="27"/>
      <c r="H124" s="28"/>
      <c r="I124" s="28"/>
      <c r="J124" s="28"/>
      <c r="K124" s="28"/>
      <c r="L124" s="28"/>
      <c r="M124" s="28"/>
      <c r="N124" s="28"/>
    </row>
    <row r="125" spans="1:20" customFormat="1" ht="14.5" x14ac:dyDescent="0.35">
      <c r="B125" s="42"/>
      <c r="C125" s="27"/>
      <c r="D125" s="27"/>
      <c r="E125" s="27"/>
      <c r="F125" s="32"/>
      <c r="G125" s="27"/>
      <c r="H125" s="28"/>
      <c r="I125" s="28"/>
      <c r="J125" s="28"/>
      <c r="K125" s="28"/>
      <c r="L125" s="28"/>
      <c r="M125" s="28"/>
      <c r="N125" s="28"/>
    </row>
    <row r="126" spans="1:20" customFormat="1" ht="14.5" x14ac:dyDescent="0.35">
      <c r="B126" s="27"/>
      <c r="C126" s="2"/>
      <c r="D126" s="2"/>
      <c r="E126" s="27"/>
      <c r="F126" s="27"/>
      <c r="G126" s="2"/>
      <c r="H126" s="2"/>
      <c r="I126" s="2"/>
      <c r="J126" s="27"/>
      <c r="K126" s="27"/>
      <c r="L126" s="28"/>
      <c r="M126" s="28"/>
      <c r="N126" s="28"/>
      <c r="O126" s="28"/>
      <c r="P126" s="28"/>
      <c r="Q126" s="28"/>
    </row>
    <row r="127" spans="1:20" customFormat="1" ht="14.5" x14ac:dyDescent="0.35">
      <c r="B127" s="27"/>
      <c r="C127" s="2"/>
      <c r="D127" s="2"/>
      <c r="E127" s="27"/>
      <c r="F127" s="27"/>
      <c r="G127" s="2"/>
      <c r="H127" s="2"/>
      <c r="I127" s="2"/>
      <c r="J127" s="27"/>
      <c r="K127" s="27"/>
      <c r="L127" s="28"/>
      <c r="M127" s="28"/>
      <c r="N127" s="28"/>
      <c r="O127" s="28"/>
      <c r="P127" s="28"/>
      <c r="Q127" s="28"/>
    </row>
    <row r="128" spans="1:20" customFormat="1" ht="14.5" x14ac:dyDescent="0.35">
      <c r="B128" s="27"/>
      <c r="C128" s="2"/>
      <c r="D128" s="2"/>
      <c r="E128" s="27"/>
      <c r="F128" s="27"/>
      <c r="G128" s="2"/>
      <c r="H128" s="2"/>
      <c r="I128" s="2"/>
      <c r="J128" s="27"/>
      <c r="K128" s="27"/>
      <c r="L128" s="28"/>
      <c r="M128" s="28"/>
      <c r="N128" s="28"/>
      <c r="O128" s="28"/>
      <c r="P128" s="28"/>
      <c r="Q128" s="28"/>
    </row>
    <row r="129" spans="2:17" customFormat="1" ht="14.5" x14ac:dyDescent="0.35">
      <c r="B129" s="27"/>
      <c r="C129" s="2"/>
      <c r="D129" s="2"/>
      <c r="E129" s="27"/>
      <c r="F129" s="27"/>
      <c r="G129" s="2"/>
      <c r="H129" s="2"/>
      <c r="I129" s="2"/>
      <c r="J129" s="27"/>
      <c r="K129" s="27"/>
      <c r="L129" s="28"/>
      <c r="M129" s="28"/>
      <c r="N129" s="28"/>
      <c r="O129" s="28"/>
      <c r="P129" s="28"/>
      <c r="Q129" s="28"/>
    </row>
    <row r="130" spans="2:17" customFormat="1" ht="14.5" x14ac:dyDescent="0.35">
      <c r="B130" s="27"/>
      <c r="C130" s="2"/>
      <c r="D130" s="2"/>
      <c r="E130" s="27"/>
      <c r="F130" s="27"/>
      <c r="G130" s="2"/>
      <c r="H130" s="2"/>
      <c r="I130" s="2"/>
      <c r="J130" s="27"/>
      <c r="K130" s="27"/>
      <c r="L130" s="28"/>
      <c r="M130" s="28"/>
      <c r="N130" s="28"/>
      <c r="O130" s="28"/>
      <c r="P130" s="28"/>
      <c r="Q130" s="28"/>
    </row>
    <row r="131" spans="2:17" customFormat="1" ht="14.5" x14ac:dyDescent="0.35">
      <c r="B131" s="27"/>
      <c r="C131" s="2"/>
      <c r="D131" s="2"/>
      <c r="E131" s="27"/>
      <c r="F131" s="27"/>
      <c r="G131" s="2"/>
      <c r="H131" s="2"/>
      <c r="I131" s="2"/>
      <c r="J131" s="27"/>
      <c r="K131" s="27"/>
      <c r="L131" s="28"/>
      <c r="M131" s="28"/>
      <c r="N131" s="28"/>
      <c r="O131" s="28"/>
      <c r="P131" s="28"/>
      <c r="Q131" s="28"/>
    </row>
    <row r="132" spans="2:17" customFormat="1" ht="14.5" x14ac:dyDescent="0.35">
      <c r="B132" s="27"/>
      <c r="C132" s="2"/>
      <c r="D132" s="2"/>
      <c r="E132" s="27"/>
      <c r="F132" s="27"/>
      <c r="G132" s="2"/>
      <c r="H132" s="2"/>
      <c r="I132" s="2"/>
      <c r="J132" s="27"/>
      <c r="K132" s="27"/>
      <c r="L132" s="28"/>
      <c r="M132" s="28"/>
      <c r="N132" s="28"/>
      <c r="O132" s="28"/>
      <c r="P132" s="28"/>
      <c r="Q132" s="28"/>
    </row>
    <row r="133" spans="2:17" customFormat="1" ht="14.5" x14ac:dyDescent="0.35">
      <c r="B133" s="42"/>
      <c r="C133" s="2"/>
      <c r="D133" s="2"/>
      <c r="E133" s="27"/>
      <c r="F133" s="27"/>
      <c r="G133" s="2"/>
      <c r="H133" s="2"/>
      <c r="I133" s="2"/>
      <c r="J133" s="27"/>
      <c r="K133" s="27"/>
      <c r="L133" s="28"/>
      <c r="M133" s="28"/>
      <c r="N133" s="28"/>
      <c r="O133" s="28"/>
      <c r="P133" s="28"/>
      <c r="Q133" s="28"/>
    </row>
    <row r="134" spans="2:17" customFormat="1" ht="14.5" x14ac:dyDescent="0.35">
      <c r="B134" s="27"/>
      <c r="C134" s="2"/>
      <c r="D134" s="2"/>
      <c r="E134" s="27"/>
      <c r="F134" s="27"/>
      <c r="G134" s="2"/>
      <c r="H134" s="2"/>
      <c r="I134" s="2"/>
      <c r="J134" s="27"/>
      <c r="K134" s="27"/>
      <c r="L134" s="28"/>
      <c r="M134" s="28"/>
      <c r="N134" s="28"/>
      <c r="O134" s="28"/>
      <c r="P134" s="28"/>
      <c r="Q134" s="28"/>
    </row>
    <row r="135" spans="2:17" customFormat="1" ht="14.5" x14ac:dyDescent="0.35">
      <c r="B135" s="27"/>
      <c r="C135" s="2"/>
      <c r="D135" s="2"/>
      <c r="E135" s="27"/>
      <c r="F135" s="27"/>
      <c r="G135" s="2"/>
      <c r="H135" s="2"/>
      <c r="I135" s="2"/>
      <c r="J135" s="27"/>
      <c r="K135" s="27"/>
      <c r="L135" s="28"/>
      <c r="M135" s="28"/>
      <c r="N135" s="28"/>
      <c r="O135" s="28"/>
      <c r="P135" s="28"/>
      <c r="Q135" s="28"/>
    </row>
    <row r="136" spans="2:17" customFormat="1" ht="14.5" x14ac:dyDescent="0.35">
      <c r="B136" s="27"/>
      <c r="C136" s="2"/>
      <c r="D136" s="2"/>
      <c r="E136" s="27"/>
      <c r="F136" s="27"/>
      <c r="G136" s="2"/>
      <c r="H136" s="2"/>
      <c r="I136" s="2"/>
      <c r="J136" s="27"/>
      <c r="K136" s="27"/>
      <c r="L136" s="28"/>
      <c r="M136" s="28"/>
      <c r="N136" s="28"/>
      <c r="O136" s="28"/>
      <c r="P136" s="28"/>
      <c r="Q136" s="28"/>
    </row>
    <row r="137" spans="2:17" customFormat="1" ht="14.5" x14ac:dyDescent="0.35">
      <c r="B137" s="27"/>
      <c r="C137" s="2"/>
      <c r="D137" s="2"/>
      <c r="E137" s="27"/>
      <c r="F137" s="27"/>
      <c r="G137" s="2"/>
      <c r="H137" s="2"/>
      <c r="I137" s="2"/>
      <c r="J137" s="27"/>
      <c r="K137" s="27"/>
      <c r="L137" s="28"/>
      <c r="M137" s="28"/>
      <c r="N137" s="28"/>
      <c r="O137" s="28"/>
      <c r="P137" s="28"/>
      <c r="Q137" s="28"/>
    </row>
    <row r="138" spans="2:17" customFormat="1" ht="14.5" x14ac:dyDescent="0.35">
      <c r="B138" s="27"/>
      <c r="C138" s="2"/>
      <c r="D138" s="2"/>
      <c r="E138" s="27"/>
      <c r="F138" s="27"/>
      <c r="G138" s="2"/>
      <c r="H138" s="2"/>
      <c r="I138" s="2"/>
      <c r="J138" s="27"/>
      <c r="K138" s="27"/>
      <c r="L138" s="28"/>
      <c r="M138" s="28"/>
      <c r="N138" s="28"/>
      <c r="O138" s="28"/>
      <c r="P138" s="28"/>
      <c r="Q138" s="28"/>
    </row>
    <row r="139" spans="2:17" customFormat="1" ht="14.5" x14ac:dyDescent="0.35">
      <c r="B139" s="27"/>
      <c r="C139" s="2"/>
      <c r="D139" s="2"/>
      <c r="E139" s="27"/>
      <c r="F139" s="27"/>
      <c r="G139" s="2"/>
      <c r="H139" s="2"/>
      <c r="I139" s="2"/>
      <c r="J139" s="27"/>
      <c r="K139" s="27"/>
      <c r="L139" s="28"/>
      <c r="M139" s="28"/>
      <c r="N139" s="28"/>
      <c r="O139" s="28"/>
      <c r="P139" s="28"/>
      <c r="Q139" s="28"/>
    </row>
    <row r="140" spans="2:17" customFormat="1" ht="14.5" x14ac:dyDescent="0.35">
      <c r="B140" s="42"/>
      <c r="C140" s="2"/>
      <c r="D140" s="2"/>
      <c r="E140" s="27"/>
      <c r="F140" s="27"/>
      <c r="G140" s="2"/>
      <c r="H140" s="2"/>
      <c r="I140" s="2"/>
      <c r="J140" s="27"/>
      <c r="K140" s="27"/>
      <c r="L140" s="28"/>
      <c r="M140" s="28"/>
      <c r="N140" s="28"/>
      <c r="O140" s="28"/>
      <c r="P140" s="28"/>
      <c r="Q140" s="28"/>
    </row>
    <row r="141" spans="2:17" customFormat="1" ht="14.5" x14ac:dyDescent="0.35">
      <c r="B141" s="27"/>
      <c r="C141" s="2"/>
      <c r="D141" s="2"/>
      <c r="E141" s="27"/>
      <c r="F141" s="27"/>
      <c r="G141" s="2"/>
      <c r="H141" s="2"/>
      <c r="I141" s="2"/>
      <c r="J141" s="27"/>
      <c r="K141" s="27"/>
      <c r="L141" s="28"/>
      <c r="M141" s="28"/>
      <c r="N141" s="28"/>
      <c r="O141" s="28"/>
      <c r="P141" s="28"/>
      <c r="Q141" s="28"/>
    </row>
    <row r="142" spans="2:17" customFormat="1" ht="14.5" x14ac:dyDescent="0.35">
      <c r="B142" s="42"/>
      <c r="C142" s="2"/>
      <c r="D142" s="2"/>
      <c r="E142" s="27"/>
      <c r="F142" s="27"/>
      <c r="G142" s="2"/>
      <c r="H142" s="2"/>
      <c r="I142" s="2"/>
      <c r="K142" s="27"/>
      <c r="L142" s="28"/>
      <c r="M142" s="28"/>
      <c r="N142" s="28"/>
      <c r="O142" s="28"/>
      <c r="P142" s="28"/>
      <c r="Q142" s="28"/>
    </row>
    <row r="143" spans="2:17" customFormat="1" ht="14.5" x14ac:dyDescent="0.35">
      <c r="B143" s="27"/>
      <c r="C143" s="2"/>
      <c r="D143" s="2"/>
      <c r="E143" s="27"/>
      <c r="F143" s="27"/>
      <c r="G143" s="2"/>
      <c r="H143" s="2"/>
      <c r="I143" s="2"/>
      <c r="J143" s="27"/>
      <c r="K143" s="27"/>
      <c r="L143" s="28"/>
      <c r="M143" s="28"/>
      <c r="N143" s="28"/>
      <c r="O143" s="28"/>
      <c r="P143" s="28"/>
      <c r="Q143" s="28"/>
    </row>
    <row r="144" spans="2:17" customFormat="1" ht="14.5" x14ac:dyDescent="0.35">
      <c r="B144" s="27"/>
      <c r="C144" s="2"/>
      <c r="D144" s="2"/>
      <c r="E144" s="27"/>
      <c r="F144" s="27"/>
      <c r="G144" s="2"/>
      <c r="H144" s="2"/>
      <c r="I144" s="2"/>
      <c r="J144" s="27"/>
      <c r="K144" s="27"/>
      <c r="L144" s="28"/>
      <c r="M144" s="28"/>
      <c r="N144" s="28"/>
      <c r="O144" s="28"/>
      <c r="P144" s="28"/>
      <c r="Q144" s="28"/>
    </row>
    <row r="145" spans="1:17" customFormat="1" ht="14.5" x14ac:dyDescent="0.35">
      <c r="C145" s="2"/>
      <c r="D145" s="2"/>
      <c r="E145" s="27"/>
      <c r="F145" s="27"/>
      <c r="G145" s="2"/>
      <c r="H145" s="2"/>
      <c r="I145" s="2"/>
      <c r="J145" s="27"/>
      <c r="K145" s="27"/>
      <c r="L145" s="28"/>
      <c r="M145" s="28"/>
      <c r="N145" s="28"/>
      <c r="O145" s="28"/>
      <c r="P145" s="28"/>
      <c r="Q145" s="28"/>
    </row>
    <row r="146" spans="1:17" customFormat="1" ht="14.5" x14ac:dyDescent="0.35">
      <c r="B146" s="27"/>
      <c r="C146" s="2"/>
      <c r="D146" s="2"/>
      <c r="E146" s="27"/>
      <c r="F146" s="27"/>
      <c r="G146" s="2"/>
      <c r="H146" s="2"/>
      <c r="I146" s="2"/>
      <c r="J146" s="27"/>
      <c r="K146" s="27"/>
      <c r="L146" s="28"/>
      <c r="M146" s="28"/>
      <c r="N146" s="28"/>
      <c r="O146" s="28"/>
      <c r="P146" s="28"/>
      <c r="Q146" s="28"/>
    </row>
    <row r="147" spans="1:17" customFormat="1" ht="14.5" x14ac:dyDescent="0.35">
      <c r="B147" s="27"/>
      <c r="C147" s="2"/>
      <c r="D147" s="2"/>
      <c r="E147" s="27"/>
      <c r="F147" s="27"/>
      <c r="G147" s="2"/>
      <c r="H147" s="2"/>
      <c r="I147" s="2"/>
      <c r="J147" s="27"/>
      <c r="K147" s="27"/>
      <c r="L147" s="28"/>
      <c r="M147" s="28"/>
      <c r="N147" s="28"/>
      <c r="O147" s="28"/>
      <c r="P147" s="28"/>
      <c r="Q147" s="28"/>
    </row>
    <row r="148" spans="1:17" customFormat="1" ht="14.5" x14ac:dyDescent="0.35">
      <c r="B148" s="42"/>
      <c r="C148" s="2"/>
      <c r="D148" s="2"/>
      <c r="E148" s="27"/>
      <c r="F148" s="27"/>
      <c r="G148" s="2"/>
      <c r="H148" s="2"/>
      <c r="I148" s="2"/>
      <c r="J148" s="27"/>
      <c r="K148" s="27"/>
      <c r="L148" s="28"/>
      <c r="M148" s="28"/>
      <c r="N148" s="28"/>
      <c r="O148" s="28"/>
      <c r="P148" s="28"/>
      <c r="Q148" s="28"/>
    </row>
    <row r="149" spans="1:17" customFormat="1" ht="14.5" x14ac:dyDescent="0.35">
      <c r="B149" s="27"/>
      <c r="C149" s="2"/>
      <c r="D149" s="2"/>
      <c r="E149" s="27"/>
      <c r="F149" s="27"/>
      <c r="G149" s="2"/>
      <c r="H149" s="2"/>
      <c r="I149" s="2"/>
      <c r="J149" s="27"/>
      <c r="K149" s="27"/>
      <c r="L149" s="28"/>
      <c r="M149" s="28"/>
      <c r="N149" s="28"/>
      <c r="O149" s="28"/>
      <c r="P149" s="28"/>
      <c r="Q149" s="28"/>
    </row>
    <row r="150" spans="1:17" customFormat="1" ht="14.5" x14ac:dyDescent="0.35">
      <c r="B150" s="42"/>
      <c r="C150" s="2"/>
      <c r="D150" s="2"/>
      <c r="E150" s="27"/>
      <c r="F150" s="27"/>
      <c r="G150" s="2"/>
      <c r="H150" s="2"/>
      <c r="I150" s="2"/>
      <c r="J150" s="27"/>
      <c r="K150" s="27"/>
      <c r="L150" s="28"/>
      <c r="M150" s="28"/>
      <c r="N150" s="28"/>
      <c r="O150" s="28"/>
      <c r="P150" s="28"/>
      <c r="Q150" s="28"/>
    </row>
    <row r="151" spans="1:17" customFormat="1" ht="14.5" x14ac:dyDescent="0.35">
      <c r="B151" s="27"/>
      <c r="C151" s="2"/>
      <c r="D151" s="2"/>
      <c r="E151" s="27"/>
      <c r="F151" s="27"/>
      <c r="G151" s="2"/>
      <c r="H151" s="2"/>
      <c r="I151" s="2"/>
      <c r="J151" s="27"/>
      <c r="K151" s="27"/>
      <c r="L151" s="28"/>
      <c r="M151" s="28"/>
      <c r="N151" s="28"/>
      <c r="O151" s="28"/>
      <c r="P151" s="28"/>
      <c r="Q151" s="28"/>
    </row>
    <row r="152" spans="1:17" customFormat="1" ht="14.5" x14ac:dyDescent="0.35">
      <c r="B152" s="27"/>
      <c r="C152" s="2"/>
      <c r="D152" s="2"/>
      <c r="E152" s="27"/>
      <c r="F152" s="27"/>
      <c r="G152" s="2"/>
      <c r="H152" s="2"/>
      <c r="I152" s="2"/>
      <c r="J152" s="27"/>
      <c r="K152" s="27"/>
      <c r="L152" s="28"/>
      <c r="M152" s="28"/>
      <c r="N152" s="28"/>
      <c r="O152" s="28"/>
      <c r="P152" s="28"/>
      <c r="Q152" s="28"/>
    </row>
    <row r="153" spans="1:17" customFormat="1" ht="14.5" x14ac:dyDescent="0.35">
      <c r="B153" s="27"/>
      <c r="C153" s="2"/>
      <c r="D153" s="2"/>
      <c r="E153" s="27"/>
      <c r="F153" s="27"/>
      <c r="G153" s="2"/>
      <c r="H153" s="2"/>
      <c r="I153" s="2"/>
      <c r="J153" s="27"/>
      <c r="K153" s="27"/>
      <c r="L153" s="28"/>
      <c r="M153" s="28"/>
      <c r="N153" s="28"/>
      <c r="O153" s="28"/>
      <c r="P153" s="28"/>
      <c r="Q153" s="28"/>
    </row>
    <row r="154" spans="1:17" customFormat="1" ht="14.5" x14ac:dyDescent="0.35">
      <c r="B154" s="27"/>
      <c r="C154" s="2"/>
      <c r="D154" s="2"/>
      <c r="E154" s="27"/>
      <c r="F154" s="27"/>
      <c r="G154" s="2"/>
      <c r="H154" s="2"/>
      <c r="I154" s="2"/>
      <c r="J154" s="27"/>
      <c r="K154" s="27"/>
      <c r="L154" s="28"/>
      <c r="M154" s="28"/>
      <c r="N154" s="28"/>
      <c r="O154" s="28"/>
      <c r="P154" s="28"/>
      <c r="Q154" s="28"/>
    </row>
    <row r="155" spans="1:17" customFormat="1" ht="14.5" x14ac:dyDescent="0.35">
      <c r="C155" s="2"/>
      <c r="D155" s="2"/>
    </row>
    <row r="156" spans="1:17" s="40" customFormat="1" ht="13" x14ac:dyDescent="0.35"/>
    <row r="157" spans="1:17" customFormat="1" ht="14.5" x14ac:dyDescent="0.35">
      <c r="A157" s="27"/>
      <c r="B157" s="27"/>
      <c r="C157" s="27"/>
      <c r="D157" s="27"/>
      <c r="E157" s="27"/>
      <c r="F157" s="32"/>
      <c r="G157" s="27"/>
      <c r="H157" s="28"/>
      <c r="I157" s="28"/>
      <c r="J157" s="28"/>
      <c r="K157" s="28"/>
      <c r="L157" s="28"/>
      <c r="M157" s="28"/>
      <c r="N157" s="28"/>
    </row>
    <row r="158" spans="1:17" customFormat="1" ht="14.5" x14ac:dyDescent="0.35">
      <c r="B158" s="42"/>
      <c r="C158" s="27"/>
      <c r="D158" s="27"/>
      <c r="E158" s="27"/>
      <c r="F158" s="32"/>
      <c r="G158" s="27"/>
      <c r="H158" s="28"/>
      <c r="I158" s="28"/>
      <c r="J158" s="28"/>
      <c r="K158" s="28"/>
      <c r="L158" s="28"/>
      <c r="M158" s="28"/>
      <c r="N158" s="28"/>
    </row>
    <row r="159" spans="1:17" customFormat="1" ht="14.5" x14ac:dyDescent="0.35">
      <c r="B159" s="27"/>
      <c r="C159" s="27"/>
      <c r="D159" s="27"/>
      <c r="E159" s="27"/>
      <c r="F159" s="32"/>
      <c r="G159" s="27"/>
      <c r="H159" s="28"/>
      <c r="I159" s="28"/>
      <c r="J159" s="28"/>
      <c r="K159" s="28"/>
      <c r="L159" s="28"/>
      <c r="M159" s="28"/>
      <c r="N159" s="28"/>
    </row>
    <row r="160" spans="1:17" customFormat="1" ht="14.5" x14ac:dyDescent="0.35">
      <c r="B160" s="42"/>
      <c r="C160" s="27"/>
      <c r="D160" s="27"/>
      <c r="E160" s="27"/>
      <c r="F160" s="32"/>
      <c r="G160" s="27"/>
      <c r="H160" s="28"/>
      <c r="I160" s="28"/>
      <c r="J160" s="28"/>
      <c r="K160" s="28"/>
      <c r="L160" s="28"/>
      <c r="M160" s="28"/>
      <c r="N160" s="28"/>
    </row>
    <row r="161" spans="2:17" customFormat="1" ht="14.5" x14ac:dyDescent="0.35">
      <c r="B161" s="27"/>
      <c r="C161" s="27"/>
      <c r="D161" s="2"/>
      <c r="E161" s="27"/>
      <c r="F161" s="27"/>
      <c r="G161" s="27"/>
      <c r="H161" s="2"/>
      <c r="I161" s="2"/>
      <c r="J161" s="2"/>
      <c r="K161" s="2"/>
      <c r="L161" s="34"/>
      <c r="M161" s="34"/>
      <c r="N161" s="34"/>
      <c r="O161" s="34"/>
      <c r="P161" s="34"/>
      <c r="Q161" s="34"/>
    </row>
    <row r="162" spans="2:17" customFormat="1" ht="14.5" x14ac:dyDescent="0.35">
      <c r="B162" s="27"/>
      <c r="C162" s="27"/>
      <c r="D162" s="2"/>
      <c r="E162" s="27"/>
      <c r="F162" s="27"/>
      <c r="G162" s="27"/>
      <c r="H162" s="2"/>
      <c r="I162" s="2"/>
      <c r="J162" s="2"/>
      <c r="K162" s="2"/>
      <c r="L162" s="34"/>
      <c r="M162" s="34"/>
      <c r="N162" s="34"/>
      <c r="O162" s="34"/>
      <c r="P162" s="34"/>
      <c r="Q162" s="34"/>
    </row>
    <row r="163" spans="2:17" customFormat="1" ht="14.5" x14ac:dyDescent="0.35">
      <c r="B163" s="27"/>
      <c r="C163" s="27"/>
      <c r="D163" s="2"/>
      <c r="E163" s="27"/>
      <c r="F163" s="27"/>
      <c r="G163" s="27"/>
      <c r="H163" s="2"/>
      <c r="I163" s="2"/>
      <c r="J163" s="2"/>
      <c r="K163" s="2"/>
      <c r="L163" s="34"/>
      <c r="M163" s="34"/>
      <c r="N163" s="34"/>
      <c r="O163" s="34"/>
      <c r="P163" s="34"/>
      <c r="Q163" s="34"/>
    </row>
    <row r="164" spans="2:17" customFormat="1" ht="14.5" x14ac:dyDescent="0.35">
      <c r="B164" s="42"/>
      <c r="C164" s="27"/>
      <c r="D164" s="2"/>
      <c r="E164" s="27"/>
      <c r="F164" s="27"/>
      <c r="G164" s="27"/>
      <c r="H164" s="2"/>
      <c r="I164" s="2"/>
      <c r="J164" s="2"/>
      <c r="K164" s="2"/>
      <c r="L164" s="34"/>
      <c r="M164" s="34"/>
      <c r="N164" s="34"/>
      <c r="O164" s="34"/>
      <c r="P164" s="34"/>
      <c r="Q164" s="34"/>
    </row>
    <row r="165" spans="2:17" customFormat="1" ht="14.5" x14ac:dyDescent="0.35">
      <c r="B165" s="27"/>
      <c r="C165" s="27"/>
      <c r="D165" s="2"/>
      <c r="E165" s="27"/>
      <c r="F165" s="27"/>
      <c r="G165" s="27"/>
      <c r="H165" s="2"/>
      <c r="I165" s="2"/>
      <c r="J165" s="2"/>
      <c r="K165" s="2"/>
      <c r="L165" s="34"/>
      <c r="M165" s="34"/>
      <c r="N165" s="34"/>
      <c r="O165" s="34"/>
      <c r="P165" s="34"/>
      <c r="Q165" s="34"/>
    </row>
    <row r="166" spans="2:17" customFormat="1" ht="14.5" x14ac:dyDescent="0.35">
      <c r="B166" s="27"/>
      <c r="C166" s="27"/>
      <c r="D166" s="2"/>
      <c r="E166" s="27"/>
      <c r="F166" s="27"/>
      <c r="G166" s="27"/>
      <c r="H166" s="2"/>
      <c r="I166" s="2"/>
      <c r="J166" s="2"/>
      <c r="K166" s="2"/>
      <c r="L166" s="34"/>
      <c r="M166" s="34"/>
      <c r="N166" s="34"/>
      <c r="O166" s="34"/>
      <c r="P166" s="34"/>
      <c r="Q166" s="34"/>
    </row>
    <row r="167" spans="2:17" customFormat="1" ht="14.5" x14ac:dyDescent="0.35">
      <c r="B167" s="27"/>
      <c r="C167" s="27"/>
      <c r="D167" s="2"/>
      <c r="E167" s="27"/>
      <c r="F167" s="27"/>
      <c r="G167" s="27"/>
      <c r="H167" s="2"/>
      <c r="I167" s="2"/>
      <c r="J167" s="2"/>
      <c r="K167" s="2"/>
      <c r="L167" s="34"/>
      <c r="M167" s="34"/>
      <c r="N167" s="34"/>
      <c r="O167" s="34"/>
      <c r="P167" s="34"/>
      <c r="Q167" s="34"/>
    </row>
    <row r="168" spans="2:17" customFormat="1" ht="14.5" x14ac:dyDescent="0.35">
      <c r="B168" s="42"/>
      <c r="C168" s="27"/>
      <c r="D168" s="2"/>
      <c r="E168" s="27"/>
      <c r="F168" s="27"/>
      <c r="G168" s="32"/>
      <c r="H168" s="2"/>
      <c r="I168" s="2"/>
      <c r="J168" s="2"/>
      <c r="K168" s="2"/>
      <c r="L168" s="43"/>
      <c r="M168" s="43"/>
      <c r="N168" s="43"/>
      <c r="O168" s="43"/>
      <c r="P168" s="43"/>
      <c r="Q168" s="43"/>
    </row>
    <row r="169" spans="2:17" customFormat="1" ht="14.5" x14ac:dyDescent="0.35">
      <c r="B169" s="27"/>
      <c r="C169" s="27"/>
      <c r="D169" s="2"/>
      <c r="E169" s="27"/>
      <c r="F169" s="27"/>
      <c r="G169" s="27"/>
      <c r="H169" s="2"/>
      <c r="I169" s="2"/>
      <c r="J169" s="2"/>
      <c r="K169" s="2"/>
      <c r="L169" s="34"/>
      <c r="M169" s="34"/>
      <c r="N169" s="34"/>
      <c r="O169" s="34"/>
      <c r="P169" s="34"/>
      <c r="Q169" s="34"/>
    </row>
    <row r="170" spans="2:17" customFormat="1" ht="14.5" x14ac:dyDescent="0.35">
      <c r="B170" s="27"/>
      <c r="C170" s="27"/>
      <c r="D170" s="2"/>
      <c r="E170" s="27"/>
      <c r="F170" s="27"/>
      <c r="G170" s="27"/>
      <c r="H170" s="2"/>
      <c r="I170" s="2"/>
      <c r="J170" s="2"/>
      <c r="K170" s="2"/>
      <c r="L170" s="34"/>
      <c r="M170" s="34"/>
      <c r="N170" s="34"/>
      <c r="O170" s="34"/>
      <c r="P170" s="34"/>
      <c r="Q170" s="34"/>
    </row>
    <row r="171" spans="2:17" customFormat="1" ht="14.5" x14ac:dyDescent="0.35">
      <c r="B171" s="27"/>
      <c r="C171" s="27"/>
      <c r="D171" s="2"/>
      <c r="E171" s="27"/>
      <c r="F171" s="27"/>
      <c r="G171" s="27"/>
      <c r="H171" s="2"/>
      <c r="I171" s="2"/>
      <c r="J171" s="2"/>
      <c r="K171" s="2"/>
      <c r="L171" s="34"/>
      <c r="M171" s="34"/>
      <c r="N171" s="34"/>
      <c r="O171" s="34"/>
      <c r="P171" s="34"/>
      <c r="Q171" s="34"/>
    </row>
    <row r="172" spans="2:17" customFormat="1" ht="14.5" x14ac:dyDescent="0.35">
      <c r="B172" s="27"/>
      <c r="C172" s="27"/>
      <c r="D172" s="2"/>
      <c r="E172" s="27"/>
      <c r="F172" s="27"/>
      <c r="G172" s="27"/>
      <c r="H172" s="2"/>
      <c r="I172" s="2"/>
      <c r="J172" s="2"/>
      <c r="K172" s="2"/>
      <c r="L172" s="34"/>
      <c r="M172" s="34"/>
      <c r="N172" s="34"/>
      <c r="O172" s="34"/>
      <c r="P172" s="34"/>
      <c r="Q172" s="34"/>
    </row>
    <row r="173" spans="2:17" customFormat="1" ht="14.5" x14ac:dyDescent="0.35">
      <c r="D173" s="2"/>
      <c r="H173" s="2"/>
      <c r="I173" s="2"/>
      <c r="J173" s="2"/>
      <c r="K173" s="2"/>
      <c r="L173" s="33"/>
      <c r="M173" s="33"/>
      <c r="N173" s="33"/>
      <c r="O173" s="33"/>
      <c r="P173" s="33"/>
      <c r="Q173" s="33"/>
    </row>
    <row r="174" spans="2:17" customFormat="1" ht="14.5" x14ac:dyDescent="0.35">
      <c r="B174" s="44"/>
      <c r="D174" s="2"/>
      <c r="H174" s="2"/>
      <c r="I174" s="2"/>
      <c r="J174" s="2"/>
      <c r="K174" s="2"/>
      <c r="L174" s="33"/>
      <c r="M174" s="33"/>
      <c r="N174" s="33"/>
      <c r="O174" s="33"/>
      <c r="P174" s="33"/>
      <c r="Q174" s="33"/>
    </row>
    <row r="175" spans="2:17" customFormat="1" ht="14.5" x14ac:dyDescent="0.35">
      <c r="D175" s="2"/>
      <c r="H175" s="2"/>
      <c r="I175" s="2"/>
      <c r="J175" s="2"/>
      <c r="K175" s="2"/>
      <c r="L175" s="33"/>
      <c r="M175" s="33"/>
      <c r="N175" s="33"/>
      <c r="O175" s="33"/>
      <c r="P175" s="33"/>
      <c r="Q175" s="33"/>
    </row>
    <row r="176" spans="2:17" customFormat="1" ht="14.5" x14ac:dyDescent="0.35">
      <c r="D176" s="2"/>
      <c r="F176" s="27"/>
      <c r="H176" s="2"/>
      <c r="I176" s="2"/>
      <c r="J176" s="2"/>
      <c r="K176" s="2"/>
      <c r="L176" s="33"/>
      <c r="M176" s="33"/>
      <c r="N176" s="33"/>
      <c r="O176" s="33"/>
      <c r="P176" s="33"/>
      <c r="Q176" s="34"/>
    </row>
    <row r="177" spans="4:17" customFormat="1" ht="14.5" x14ac:dyDescent="0.35">
      <c r="D177" s="2"/>
      <c r="F177" s="27"/>
      <c r="H177" s="2"/>
      <c r="I177" s="2"/>
      <c r="J177" s="2"/>
      <c r="K177" s="2"/>
      <c r="L177" s="33"/>
      <c r="M177" s="33"/>
      <c r="N177" s="33"/>
      <c r="O177" s="34"/>
      <c r="P177" s="33"/>
      <c r="Q177" s="33"/>
    </row>
    <row r="178" spans="4:17" customFormat="1" ht="14.5" x14ac:dyDescent="0.35"/>
    <row r="179" spans="4:17" customFormat="1" ht="14.5" x14ac:dyDescent="0.3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Document_x0020_status xmlns="de7ae6dc-ac48-4e23-b5f4-085091b96a6e">Concept</Document_x0020_status>
    <TaxKeywordTaxHTField xmlns="de7ae6dc-ac48-4e23-b5f4-085091b96a6e">
      <Terms xmlns="http://schemas.microsoft.com/office/infopath/2007/PartnerControls"/>
    </TaxKeywordTaxHTField>
    <TaxCatchAll xmlns="de7ae6dc-ac48-4e23-b5f4-085091b96a6e"/>
    <_dlc_DocId xmlns="5e7bef76-b888-41a2-a261-5f525b37d47e">ECT67VDXDTCW-337030353-338</_dlc_DocId>
    <_dlc_DocIdUrl xmlns="5e7bef76-b888-41a2-a261-5f525b37d47e">
      <Url>https://intranet.acm.local/project/tarievenbesluiten/_layouts/15/DocIdRedir.aspx?ID=ECT67VDXDTCW-337030353-338</Url>
      <Description>ECT67VDXDTCW-337030353-338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6e34cd31-bfd2-42c2-81ba-d74df6e92547" ContentTypeId="0x0101002A59D213CA403546A4193AF39C4CF72003" PreviousValue="false"/>
</file>

<file path=customXml/item5.xml><?xml version="1.0" encoding="utf-8"?>
<ct:contentTypeSchema xmlns:ct="http://schemas.microsoft.com/office/2006/metadata/contentType" xmlns:ma="http://schemas.microsoft.com/office/2006/metadata/properties/metaAttributes" ct:_="" ma:_="" ma:contentTypeName="ACM Excel Werkmap" ma:contentTypeID="0x0101002A59D213CA403546A4193AF39C4CF7200300A980753E771C7E44AA45E3389D7CC72C" ma:contentTypeVersion="9" ma:contentTypeDescription="" ma:contentTypeScope="" ma:versionID="9b2b06542ecad1ea8b1c13aab86fb6c6">
  <xsd:schema xmlns:xsd="http://www.w3.org/2001/XMLSchema" xmlns:xs="http://www.w3.org/2001/XMLSchema" xmlns:p="http://schemas.microsoft.com/office/2006/metadata/properties" xmlns:ns2="de7ae6dc-ac48-4e23-b5f4-085091b96a6e" xmlns:ns3="5e7bef76-b888-41a2-a261-5f525b37d47e" targetNamespace="http://schemas.microsoft.com/office/2006/metadata/properties" ma:root="true" ma:fieldsID="d7a411fdcd1ad4a1d5ecfdfe44759372" ns2:_="" ns3:_="">
    <xsd:import namespace="de7ae6dc-ac48-4e23-b5f4-085091b96a6e"/>
    <xsd:import namespace="5e7bef76-b888-41a2-a261-5f525b37d47e"/>
    <xsd:element name="properties">
      <xsd:complexType>
        <xsd:sequence>
          <xsd:element name="documentManagement">
            <xsd:complexType>
              <xsd:all>
                <xsd:element ref="ns2:Document_x0020_status" minOccurs="0"/>
                <xsd:element ref="ns2:TaxKeywordTaxHTField" minOccurs="0"/>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ae6dc-ac48-4e23-b5f4-085091b96a6e" elementFormDefault="qualified">
    <xsd:import namespace="http://schemas.microsoft.com/office/2006/documentManagement/types"/>
    <xsd:import namespace="http://schemas.microsoft.com/office/infopath/2007/PartnerControls"/>
    <xsd:element name="Document_x0020_status" ma:index="8" nillable="true" ma:displayName="Document status" ma:default="Concept" ma:format="RadioButtons" ma:internalName="Document_x0020_status">
      <xsd:simpleType>
        <xsd:restriction base="dms:Choice">
          <xsd:enumeration value="Concept"/>
          <xsd:enumeration value="Definitief"/>
          <xsd:enumeration value="Gearchiveerd"/>
        </xsd:restriction>
      </xsd:simpleType>
    </xsd:element>
    <xsd:element name="TaxKeywordTaxHTField" ma:index="9" nillable="true" ma:taxonomy="true" ma:internalName="TaxKeywordTaxHTField" ma:taxonomyFieldName="TaxKeyword" ma:displayName="Enterprise Keywords" ma:fieldId="{23f27201-bee3-471e-b2e7-b64fd8b7ca38}" ma:taxonomyMulti="true" ma:sspId="6e34cd31-bfd2-42c2-81ba-d74df6e92547"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8b5c4d77-5df6-4038-99b4-130c61950066}" ma:internalName="TaxCatchAll" ma:showField="CatchAllData" ma:web="5e7bef76-b888-41a2-a261-5f525b37d47e">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8b5c4d77-5df6-4038-99b4-130c61950066}" ma:internalName="TaxCatchAllLabel" ma:readOnly="true" ma:showField="CatchAllDataLabel" ma:web="5e7bef76-b888-41a2-a261-5f525b37d47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209FAE-05F3-4F0A-89D1-4D2D3FF89ED9}">
  <ds:schemaRefs>
    <ds:schemaRef ds:uri="http://schemas.microsoft.com/sharepoint/events"/>
  </ds:schemaRefs>
</ds:datastoreItem>
</file>

<file path=customXml/itemProps2.xml><?xml version="1.0" encoding="utf-8"?>
<ds:datastoreItem xmlns:ds="http://schemas.openxmlformats.org/officeDocument/2006/customXml" ds:itemID="{9CDAB9D1-B815-4B0E-93E7-4496A7FE99F6}">
  <ds:schemaRefs>
    <ds:schemaRef ds:uri="http://purl.org/dc/terms/"/>
    <ds:schemaRef ds:uri="http://schemas.openxmlformats.org/package/2006/metadata/core-properties"/>
    <ds:schemaRef ds:uri="http://purl.org/dc/dcmitype/"/>
    <ds:schemaRef ds:uri="5e7bef76-b888-41a2-a261-5f525b37d47e"/>
    <ds:schemaRef ds:uri="http://schemas.microsoft.com/office/2006/documentManagement/types"/>
    <ds:schemaRef ds:uri="http://schemas.microsoft.com/office/2006/metadata/properties"/>
    <ds:schemaRef ds:uri="http://purl.org/dc/elements/1.1/"/>
    <ds:schemaRef ds:uri="http://schemas.microsoft.com/office/infopath/2007/PartnerControls"/>
    <ds:schemaRef ds:uri="de7ae6dc-ac48-4e23-b5f4-085091b96a6e"/>
    <ds:schemaRef ds:uri="http://www.w3.org/XML/1998/namespace"/>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4.xml><?xml version="1.0" encoding="utf-8"?>
<ds:datastoreItem xmlns:ds="http://schemas.openxmlformats.org/officeDocument/2006/customXml" ds:itemID="{6A838882-4D5B-4937-B58B-D7971F272D16}">
  <ds:schemaRefs>
    <ds:schemaRef ds:uri="Microsoft.SharePoint.Taxonomy.ContentTypeSync"/>
  </ds:schemaRefs>
</ds:datastoreItem>
</file>

<file path=customXml/itemProps5.xml><?xml version="1.0" encoding="utf-8"?>
<ds:datastoreItem xmlns:ds="http://schemas.openxmlformats.org/officeDocument/2006/customXml" ds:itemID="{274B1EBA-E958-4A56-869C-B903CD9EA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ae6dc-ac48-4e23-b5f4-085091b96a6e"/>
    <ds:schemaRef ds:uri="5e7bef76-b888-41a2-a261-5f525b37d4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34</vt:i4>
      </vt:variant>
    </vt:vector>
  </HeadingPairs>
  <TitlesOfParts>
    <vt:vector size="34" baseType="lpstr">
      <vt:lpstr>Titelblad</vt:lpstr>
      <vt:lpstr>Toelichting</vt:lpstr>
      <vt:lpstr>Bronnen en toepassingen</vt:lpstr>
      <vt:lpstr>TI-berekening 2026</vt:lpstr>
      <vt:lpstr>Input --&gt;</vt:lpstr>
      <vt:lpstr>Input parameters</vt:lpstr>
      <vt:lpstr>Input x-factor, begininkomsten</vt:lpstr>
      <vt:lpstr>Input overname private netten</vt:lpstr>
      <vt:lpstr>Input lokale heffingen</vt:lpstr>
      <vt:lpstr>Input SO transportdienst</vt:lpstr>
      <vt:lpstr>Input daling volumes gas</vt:lpstr>
      <vt:lpstr>Input netverliezen</vt:lpstr>
      <vt:lpstr>Input rente</vt:lpstr>
      <vt:lpstr>Input invoeding</vt:lpstr>
      <vt:lpstr>Herijking GAW</vt:lpstr>
      <vt:lpstr>Input desinv. afn. benutting</vt:lpstr>
      <vt:lpstr>Input verwijderingskosten KV</vt:lpstr>
      <vt:lpstr>Input verwijderingskosten GV</vt:lpstr>
      <vt:lpstr>Input faillissement leverancier</vt:lpstr>
      <vt:lpstr>Input richtbedragen</vt:lpstr>
      <vt:lpstr>Berekeningen --&gt;</vt:lpstr>
      <vt:lpstr>Parameters</vt:lpstr>
      <vt:lpstr>Overname private netten</vt:lpstr>
      <vt:lpstr>Lokale heffingen 2024</vt:lpstr>
      <vt:lpstr>SO transportdienst</vt:lpstr>
      <vt:lpstr>Daling volumes gas</vt:lpstr>
      <vt:lpstr>Netverliezen 2024</vt:lpstr>
      <vt:lpstr>Rente 2024</vt:lpstr>
      <vt:lpstr>Invoeding 2024</vt:lpstr>
      <vt:lpstr>Desinv. afn. benuttingsgraad</vt:lpstr>
      <vt:lpstr>Verwijderingskosten KV</vt:lpstr>
      <vt:lpstr>Verwijderingskosten GV</vt:lpstr>
      <vt:lpstr>Faillissementen leveranciers</vt:lpstr>
      <vt:lpstr>Richtbedragen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2025-11-24T14:01:38Z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0x0101002A59D213CA403546A4193AF39C4CF7200300A980753E771C7E44AA45E3389D7CC72C</vt:lpwstr>
  </property>
  <property fmtid="{D5CDD505-2E9C-101B-9397-08002B2CF9AE}" pid="3" name="_dlc_DocIdItemGuid">
    <vt:lpwstr>f38a7fa1-a80d-4c55-b4aa-fa15f89f4d0d</vt:lpwstr>
  </property>
  <property fmtid="{D5CDD505-2E9C-101B-9397-08002B2CF9AE}" pid="4" name="TaxKeyword">
    <vt:lpwstr/>
  </property>
</Properties>
</file>