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8_{F64F8A5F-D61F-4ACF-BA41-B7C820E02AA1}" xr6:coauthVersionLast="47" xr6:coauthVersionMax="47" xr10:uidLastSave="{00000000-0000-0000-0000-000000000000}"/>
  <bookViews>
    <workbookView xWindow="-120" yWindow="-120" windowWidth="29040" windowHeight="15840" tabRatio="915" xr2:uid="{00000000-000D-0000-FFFF-FFFF00000000}"/>
  </bookViews>
  <sheets>
    <sheet name="Titelblad" sheetId="9" r:id="rId1"/>
    <sheet name="Toelichting" sheetId="10" r:id="rId2"/>
    <sheet name="Bronnen en toepassingen" sheetId="11" r:id="rId3"/>
    <sheet name="TI-berekening 2025" sheetId="21" r:id="rId4"/>
    <sheet name="Input --&gt;" sheetId="13" r:id="rId5"/>
    <sheet name="Input parameters" sheetId="26" r:id="rId6"/>
    <sheet name="Input x-factor, begininkomsten" sheetId="28" r:id="rId7"/>
    <sheet name="Input overname private netten" sheetId="66" r:id="rId8"/>
    <sheet name="Input lokale heffingen" sheetId="25" r:id="rId9"/>
    <sheet name="Input gewijzigd methodebesluit" sheetId="71" r:id="rId10"/>
    <sheet name="Input SO transportdienst 2023" sheetId="72" r:id="rId11"/>
    <sheet name="Input netverliezen" sheetId="62" r:id="rId12"/>
    <sheet name="Input rente" sheetId="55" r:id="rId13"/>
    <sheet name="Input invoeding" sheetId="53" r:id="rId14"/>
    <sheet name="Herijking GAW" sheetId="61" r:id="rId15"/>
    <sheet name="Input desinv. afn. benutting" sheetId="54" r:id="rId16"/>
    <sheet name="Input verwijderingskosten KV" sheetId="39" r:id="rId17"/>
    <sheet name="Input verwijderingskosten GV" sheetId="46" r:id="rId18"/>
    <sheet name="Input richtbedragen" sheetId="32" r:id="rId19"/>
    <sheet name="Berekeningen --&gt;" sheetId="15" r:id="rId20"/>
    <sheet name="Parameters" sheetId="27" r:id="rId21"/>
    <sheet name="Overname private netten" sheetId="67" r:id="rId22"/>
    <sheet name="Lokale heffingen 2023" sheetId="24" r:id="rId23"/>
    <sheet name="Gewijzigd methodebesluit" sheetId="69" r:id="rId24"/>
    <sheet name="SO transportdienst 2023" sheetId="73" r:id="rId25"/>
    <sheet name="Netverliezen 2023" sheetId="63" r:id="rId26"/>
    <sheet name="Rente 2023" sheetId="57" r:id="rId27"/>
    <sheet name="Invoeding 2023" sheetId="58" r:id="rId28"/>
    <sheet name="Desinv. afn. benuttingsgraad" sheetId="56" r:id="rId29"/>
    <sheet name="Verwijderingskosten KV" sheetId="40" r:id="rId30"/>
    <sheet name="Verwijderingskosten GV" sheetId="49" r:id="rId31"/>
    <sheet name="Richtbedragen" sheetId="31"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CPI2001">'[1]CPI en WACC'!$C$7</definedName>
    <definedName name="___CPI2002">'[1]CPI en WACC'!$C$8</definedName>
    <definedName name="___CPI2003">'[1]CPI en WACC'!$C$9</definedName>
    <definedName name="___CPI2004">'[1]CPI en WACC'!$C$10</definedName>
    <definedName name="___CPI2005">'[1]CPI en WACC'!$C$11</definedName>
    <definedName name="___CPI2006">'[1]CPI en WACC'!$C$12</definedName>
    <definedName name="___CPI2007">'[1]CPI en WACC'!$C$13</definedName>
    <definedName name="___CPI2008">'[1]CPI en WACC'!$C$14</definedName>
    <definedName name="___CPI2009">'[1]CPI en WACC'!$C$15</definedName>
    <definedName name="___CPI2010">'[1]CPI en WACC'!$C$16</definedName>
    <definedName name="___CPI2011">'[1]CPI en WACC'!$C$17</definedName>
    <definedName name="___CPI2012">'[1]CPI en WACC'!$C$18</definedName>
    <definedName name="___CPI2013">'[1]CPI en WACC'!$C$19</definedName>
    <definedName name="___CPI2014">'[1]CPI en WACC'!$C$20</definedName>
    <definedName name="__CPI2001" localSheetId="7">#REF!</definedName>
    <definedName name="__CPI2001" localSheetId="21">#REF!</definedName>
    <definedName name="__CPI2001">#REF!</definedName>
    <definedName name="__CPI2002" localSheetId="7">#REF!</definedName>
    <definedName name="__CPI2002" localSheetId="21">#REF!</definedName>
    <definedName name="__CPI2002">#REF!</definedName>
    <definedName name="__CPI2003" localSheetId="7">#REF!</definedName>
    <definedName name="__CPI2003" localSheetId="21">#REF!</definedName>
    <definedName name="__CPI2003">#REF!</definedName>
    <definedName name="__CPI2004" localSheetId="7">#REF!</definedName>
    <definedName name="__CPI2004" localSheetId="21">#REF!</definedName>
    <definedName name="__CPI2004">#REF!</definedName>
    <definedName name="__CPI2005" localSheetId="7">#REF!</definedName>
    <definedName name="__CPI2005" localSheetId="21">#REF!</definedName>
    <definedName name="__CPI2005">#REF!</definedName>
    <definedName name="__CPI2006" localSheetId="7">#REF!</definedName>
    <definedName name="__CPI2006" localSheetId="21">#REF!</definedName>
    <definedName name="__CPI2006">#REF!</definedName>
    <definedName name="__CPI2007" localSheetId="7">#REF!</definedName>
    <definedName name="__CPI2007" localSheetId="21">#REF!</definedName>
    <definedName name="__CPI2007">#REF!</definedName>
    <definedName name="__CPI2008" localSheetId="7">#REF!</definedName>
    <definedName name="__CPI2008" localSheetId="21">#REF!</definedName>
    <definedName name="__CPI2008">#REF!</definedName>
    <definedName name="__CPI2009" localSheetId="7">#REF!</definedName>
    <definedName name="__CPI2009" localSheetId="21">#REF!</definedName>
    <definedName name="__CPI2009">#REF!</definedName>
    <definedName name="__CPI2010" localSheetId="7">#REF!</definedName>
    <definedName name="__CPI2010" localSheetId="21">#REF!</definedName>
    <definedName name="__CPI2010">#REF!</definedName>
    <definedName name="__CPI2011" localSheetId="7">#REF!</definedName>
    <definedName name="__CPI2011" localSheetId="21">#REF!</definedName>
    <definedName name="__CPI2011">#REF!</definedName>
    <definedName name="__CPI2012" localSheetId="7">#REF!</definedName>
    <definedName name="__CPI2012" localSheetId="21">#REF!</definedName>
    <definedName name="__CPI2012">#REF!</definedName>
    <definedName name="__CPI2013" localSheetId="7">#REF!</definedName>
    <definedName name="__CPI2013" localSheetId="21">#REF!</definedName>
    <definedName name="__CPI2013">#REF!</definedName>
    <definedName name="__CPI2014" localSheetId="7">#REF!</definedName>
    <definedName name="__CPI2014" localSheetId="21">#REF!</definedName>
    <definedName name="__CPI2014">#REF!</definedName>
    <definedName name="_3B.A.141" localSheetId="7">'[2]Tabel 3B - Specificaties inkoop'!$R$33</definedName>
    <definedName name="_3B.A.141" localSheetId="21">'[2]Tabel 3B - Specificaties inkoop'!$R$33</definedName>
    <definedName name="_3B.A.141">'[3]Tabel 3B - Specificaties inkoop'!$R$33</definedName>
    <definedName name="_3B.A.162" localSheetId="7">'[2]Tabel 3B - Specificaties inkoop'!$R$57</definedName>
    <definedName name="_3B.A.162" localSheetId="21">'[2]Tabel 3B - Specificaties inkoop'!$R$57</definedName>
    <definedName name="_3B.A.162">'[3]Tabel 3B - Specificaties inkoop'!$R$57</definedName>
    <definedName name="_CPI2001" localSheetId="7">#REF!</definedName>
    <definedName name="_CPI2001" localSheetId="21">#REF!</definedName>
    <definedName name="_CPI2001">#REF!</definedName>
    <definedName name="_CPI2002" localSheetId="7">#REF!</definedName>
    <definedName name="_CPI2002" localSheetId="21">#REF!</definedName>
    <definedName name="_CPI2002">#REF!</definedName>
    <definedName name="_CPI2003" localSheetId="7">#REF!</definedName>
    <definedName name="_CPI2003" localSheetId="21">#REF!</definedName>
    <definedName name="_CPI2003">#REF!</definedName>
    <definedName name="_CPI2004" localSheetId="7">#REF!</definedName>
    <definedName name="_CPI2004" localSheetId="21">#REF!</definedName>
    <definedName name="_CPI2004">#REF!</definedName>
    <definedName name="_CPI2005" localSheetId="7">#REF!</definedName>
    <definedName name="_CPI2005" localSheetId="21">#REF!</definedName>
    <definedName name="_CPI2005">#REF!</definedName>
    <definedName name="_CPI2006" localSheetId="7">#REF!</definedName>
    <definedName name="_CPI2006" localSheetId="21">#REF!</definedName>
    <definedName name="_CPI2006">#REF!</definedName>
    <definedName name="_CPI2007" localSheetId="7">#REF!</definedName>
    <definedName name="_CPI2007" localSheetId="21">#REF!</definedName>
    <definedName name="_CPI2007">#REF!</definedName>
    <definedName name="_CPI2008" localSheetId="7">#REF!</definedName>
    <definedName name="_CPI2008" localSheetId="21">#REF!</definedName>
    <definedName name="_CPI2008">#REF!</definedName>
    <definedName name="_CPI2009" localSheetId="7">#REF!</definedName>
    <definedName name="_CPI2009" localSheetId="21">#REF!</definedName>
    <definedName name="_CPI2009">#REF!</definedName>
    <definedName name="_CPI2010" localSheetId="7">#REF!</definedName>
    <definedName name="_CPI2010" localSheetId="21">#REF!</definedName>
    <definedName name="_CPI2010">#REF!</definedName>
    <definedName name="_CPI2011" localSheetId="7">#REF!</definedName>
    <definedName name="_CPI2011" localSheetId="21">#REF!</definedName>
    <definedName name="_CPI2011">#REF!</definedName>
    <definedName name="_CPI2012" localSheetId="7">#REF!</definedName>
    <definedName name="_CPI2012" localSheetId="21">#REF!</definedName>
    <definedName name="_CPI2012">#REF!</definedName>
    <definedName name="_CPI2013" localSheetId="7">#REF!</definedName>
    <definedName name="_CPI2013" localSheetId="21">#REF!</definedName>
    <definedName name="_CPI2013">#REF!</definedName>
    <definedName name="_CPI2014" localSheetId="7">#REF!</definedName>
    <definedName name="_CPI2014" localSheetId="21">#REF!</definedName>
    <definedName name="_CPI2014">#REF!</definedName>
    <definedName name="AS2DocOpenMode" hidden="1">"AS2DocumentEdit"</definedName>
    <definedName name="BijzWrdVerm">'[4]Tabel 2A - Bijz mutaties activa'!$F$46,'[4]Tabel 2A - Bijz mutaties activa'!$J$46,'[4]Tabel 2A - Bijz mutaties activa'!$N$46,'[4]Tabel 2A - Bijz mutaties activa'!$R$46,'[4]Tabel 2A - Bijz mutaties activa'!$V$46,'[4]Tabel 2A - Bijz mutaties activa'!$Z$46,'[4]Tabel 2A - Bijz mutaties activa'!$AD$46,'[4]Tabel 2A - Bijz mutaties activa'!$AH$46,'[4]Tabel 2A - Bijz mutaties activa'!$AL$46</definedName>
    <definedName name="BijzWrdVermTAHdLd">'[5]Tabel 2A - Bijz mutaties activa'!$H$39,'[5]Tabel 2A - Bijz mutaties activa'!$L$39,'[5]Tabel 2A - Bijz mutaties activa'!$P$39,'[5]Tabel 2A - Bijz mutaties activa'!$T$39,'[5]Tabel 2A - Bijz mutaties activa'!$X$39,'[5]Tabel 2A - Bijz mutaties activa'!$AB$39</definedName>
    <definedName name="CPIv2000n2001" localSheetId="7">#REF!</definedName>
    <definedName name="CPIv2000n2001" localSheetId="21">#REF!</definedName>
    <definedName name="CPIv2000n2001">#REF!</definedName>
    <definedName name="CPIv2000n2002" localSheetId="7">#REF!</definedName>
    <definedName name="CPIv2000n2002" localSheetId="21">#REF!</definedName>
    <definedName name="CPIv2000n2002">#REF!</definedName>
    <definedName name="CPIv2000n2003" localSheetId="7">#REF!</definedName>
    <definedName name="CPIv2000n2003" localSheetId="21">#REF!</definedName>
    <definedName name="CPIv2000n2003">#REF!</definedName>
    <definedName name="CPIv2000n2004" localSheetId="7">#REF!</definedName>
    <definedName name="CPIv2000n2004" localSheetId="21">#REF!</definedName>
    <definedName name="CPIv2000n2004">#REF!</definedName>
    <definedName name="CPIv2000n2005" localSheetId="7">#REF!</definedName>
    <definedName name="CPIv2000n2005" localSheetId="21">#REF!</definedName>
    <definedName name="CPIv2000n2005">#REF!</definedName>
    <definedName name="CPIv2000n2006" localSheetId="7">#REF!</definedName>
    <definedName name="CPIv2000n2006" localSheetId="21">#REF!</definedName>
    <definedName name="CPIv2000n2006">#REF!</definedName>
    <definedName name="CPIv2000n2007" localSheetId="7">#REF!</definedName>
    <definedName name="CPIv2000n2007" localSheetId="21">#REF!</definedName>
    <definedName name="CPIv2000n2007">#REF!</definedName>
    <definedName name="CPIv2000n2008" localSheetId="7">#REF!</definedName>
    <definedName name="CPIv2000n2008" localSheetId="21">#REF!</definedName>
    <definedName name="CPIv2000n2008">#REF!</definedName>
    <definedName name="CPIv2000n2009" localSheetId="7">#REF!</definedName>
    <definedName name="CPIv2000n2009" localSheetId="21">#REF!</definedName>
    <definedName name="CPIv2000n2009">#REF!</definedName>
    <definedName name="CPIv2000n2010" localSheetId="7">#REF!</definedName>
    <definedName name="CPIv2000n2010" localSheetId="21">#REF!</definedName>
    <definedName name="CPIv2000n2010">#REF!</definedName>
    <definedName name="CPIv2000n2011" localSheetId="7">#REF!</definedName>
    <definedName name="CPIv2000n2011" localSheetId="21">#REF!</definedName>
    <definedName name="CPIv2000n2011">#REF!</definedName>
    <definedName name="CPIv2000n2012" localSheetId="7">#REF!</definedName>
    <definedName name="CPIv2000n2012" localSheetId="21">#REF!</definedName>
    <definedName name="CPIv2000n2012">#REF!</definedName>
    <definedName name="CPIv2000n2013" localSheetId="7">#REF!</definedName>
    <definedName name="CPIv2000n2013" localSheetId="21">#REF!</definedName>
    <definedName name="CPIv2000n2013">#REF!</definedName>
    <definedName name="CPIv2000n2014" localSheetId="7">#REF!</definedName>
    <definedName name="CPIv2000n2014" localSheetId="21">#REF!</definedName>
    <definedName name="CPIv2000n2014">#REF!</definedName>
    <definedName name="CPIv2001n2002" localSheetId="7">#REF!</definedName>
    <definedName name="CPIv2001n2002" localSheetId="21">#REF!</definedName>
    <definedName name="CPIv2001n2002">#REF!</definedName>
    <definedName name="CPIv2001n2003" localSheetId="7">#REF!</definedName>
    <definedName name="CPIv2001n2003" localSheetId="21">#REF!</definedName>
    <definedName name="CPIv2001n2003">#REF!</definedName>
    <definedName name="CPIv2001n2004" localSheetId="7">#REF!</definedName>
    <definedName name="CPIv2001n2004" localSheetId="21">#REF!</definedName>
    <definedName name="CPIv2001n2004">#REF!</definedName>
    <definedName name="CPIv2001n2005" localSheetId="7">#REF!</definedName>
    <definedName name="CPIv2001n2005" localSheetId="21">#REF!</definedName>
    <definedName name="CPIv2001n2005">#REF!</definedName>
    <definedName name="CPIv2001n2006" localSheetId="7">#REF!</definedName>
    <definedName name="CPIv2001n2006" localSheetId="21">#REF!</definedName>
    <definedName name="CPIv2001n2006">#REF!</definedName>
    <definedName name="CPIv2001n2007" localSheetId="7">#REF!</definedName>
    <definedName name="CPIv2001n2007" localSheetId="21">#REF!</definedName>
    <definedName name="CPIv2001n2007">#REF!</definedName>
    <definedName name="CPIv2001n2008" localSheetId="7">#REF!</definedName>
    <definedName name="CPIv2001n2008" localSheetId="21">#REF!</definedName>
    <definedName name="CPIv2001n2008">#REF!</definedName>
    <definedName name="CPIv2001n2009" localSheetId="7">#REF!</definedName>
    <definedName name="CPIv2001n2009" localSheetId="21">#REF!</definedName>
    <definedName name="CPIv2001n2009">#REF!</definedName>
    <definedName name="CPIv2001n2010" localSheetId="7">#REF!</definedName>
    <definedName name="CPIv2001n2010" localSheetId="21">#REF!</definedName>
    <definedName name="CPIv2001n2010">#REF!</definedName>
    <definedName name="CPIv2001n2011" localSheetId="7">#REF!</definedName>
    <definedName name="CPIv2001n2011" localSheetId="21">#REF!</definedName>
    <definedName name="CPIv2001n2011">#REF!</definedName>
    <definedName name="CPIv2001n2012" localSheetId="7">#REF!</definedName>
    <definedName name="CPIv2001n2012" localSheetId="21">#REF!</definedName>
    <definedName name="CPIv2001n2012">#REF!</definedName>
    <definedName name="CPIv2001n2013" localSheetId="7">#REF!</definedName>
    <definedName name="CPIv2001n2013" localSheetId="21">#REF!</definedName>
    <definedName name="CPIv2001n2013">#REF!</definedName>
    <definedName name="CPIv2001n2014" localSheetId="7">#REF!</definedName>
    <definedName name="CPIv2001n2014" localSheetId="21">#REF!</definedName>
    <definedName name="CPIv2001n2014">#REF!</definedName>
    <definedName name="CPIv2002n2003" localSheetId="7">#REF!</definedName>
    <definedName name="CPIv2002n2003" localSheetId="21">#REF!</definedName>
    <definedName name="CPIv2002n2003">#REF!</definedName>
    <definedName name="CPIv2002n2004" localSheetId="7">#REF!</definedName>
    <definedName name="CPIv2002n2004" localSheetId="21">#REF!</definedName>
    <definedName name="CPIv2002n2004">#REF!</definedName>
    <definedName name="CPIv2002n2005" localSheetId="7">#REF!</definedName>
    <definedName name="CPIv2002n2005" localSheetId="21">#REF!</definedName>
    <definedName name="CPIv2002n2005">#REF!</definedName>
    <definedName name="CPIv2002n2006" localSheetId="7">#REF!</definedName>
    <definedName name="CPIv2002n2006" localSheetId="21">#REF!</definedName>
    <definedName name="CPIv2002n2006">#REF!</definedName>
    <definedName name="CPIv2002n2007" localSheetId="7">#REF!</definedName>
    <definedName name="CPIv2002n2007" localSheetId="21">#REF!</definedName>
    <definedName name="CPIv2002n2007">#REF!</definedName>
    <definedName name="CPIv2002n2008" localSheetId="7">#REF!</definedName>
    <definedName name="CPIv2002n2008" localSheetId="21">#REF!</definedName>
    <definedName name="CPIv2002n2008">#REF!</definedName>
    <definedName name="CPIv2002n2009" localSheetId="7">#REF!</definedName>
    <definedName name="CPIv2002n2009" localSheetId="21">#REF!</definedName>
    <definedName name="CPIv2002n2009">#REF!</definedName>
    <definedName name="CPIv2002n2010" localSheetId="7">#REF!</definedName>
    <definedName name="CPIv2002n2010" localSheetId="21">#REF!</definedName>
    <definedName name="CPIv2002n2010">#REF!</definedName>
    <definedName name="CPIv2002n2011" localSheetId="7">#REF!</definedName>
    <definedName name="CPIv2002n2011" localSheetId="21">#REF!</definedName>
    <definedName name="CPIv2002n2011">#REF!</definedName>
    <definedName name="CPIv2002n2012" localSheetId="7">#REF!</definedName>
    <definedName name="CPIv2002n2012" localSheetId="21">#REF!</definedName>
    <definedName name="CPIv2002n2012">#REF!</definedName>
    <definedName name="CPIv2002n2013" localSheetId="7">#REF!</definedName>
    <definedName name="CPIv2002n2013" localSheetId="21">#REF!</definedName>
    <definedName name="CPIv2002n2013">#REF!</definedName>
    <definedName name="CPIv2002n2014" localSheetId="7">#REF!</definedName>
    <definedName name="CPIv2002n2014" localSheetId="21">#REF!</definedName>
    <definedName name="CPIv2002n2014">#REF!</definedName>
    <definedName name="CPIv2003n2004" localSheetId="7">#REF!</definedName>
    <definedName name="CPIv2003n2004" localSheetId="21">#REF!</definedName>
    <definedName name="CPIv2003n2004">#REF!</definedName>
    <definedName name="CPIv2003n2005" localSheetId="7">#REF!</definedName>
    <definedName name="CPIv2003n2005" localSheetId="21">#REF!</definedName>
    <definedName name="CPIv2003n2005">#REF!</definedName>
    <definedName name="CPIv2003n2006" localSheetId="7">#REF!</definedName>
    <definedName name="CPIv2003n2006" localSheetId="21">#REF!</definedName>
    <definedName name="CPIv2003n2006">#REF!</definedName>
    <definedName name="CPIv2003n2007" localSheetId="7">#REF!</definedName>
    <definedName name="CPIv2003n2007" localSheetId="21">#REF!</definedName>
    <definedName name="CPIv2003n2007">#REF!</definedName>
    <definedName name="CPIv2003n2008" localSheetId="7">#REF!</definedName>
    <definedName name="CPIv2003n2008" localSheetId="21">#REF!</definedName>
    <definedName name="CPIv2003n2008">#REF!</definedName>
    <definedName name="CPIv2003n2009" localSheetId="7">#REF!</definedName>
    <definedName name="CPIv2003n2009" localSheetId="21">#REF!</definedName>
    <definedName name="CPIv2003n2009">#REF!</definedName>
    <definedName name="CPIv2003n2010" localSheetId="7">#REF!</definedName>
    <definedName name="CPIv2003n2010" localSheetId="21">#REF!</definedName>
    <definedName name="CPIv2003n2010">#REF!</definedName>
    <definedName name="CPIv2003n2011" localSheetId="7">#REF!</definedName>
    <definedName name="CPIv2003n2011" localSheetId="21">#REF!</definedName>
    <definedName name="CPIv2003n2011">#REF!</definedName>
    <definedName name="CPIv2003n2012" localSheetId="7">#REF!</definedName>
    <definedName name="CPIv2003n2012" localSheetId="21">#REF!</definedName>
    <definedName name="CPIv2003n2012">#REF!</definedName>
    <definedName name="CPIv2003n2013" localSheetId="7">#REF!</definedName>
    <definedName name="CPIv2003n2013" localSheetId="21">#REF!</definedName>
    <definedName name="CPIv2003n2013">#REF!</definedName>
    <definedName name="CPIv2003n2014" localSheetId="7">#REF!</definedName>
    <definedName name="CPIv2003n2014" localSheetId="21">#REF!</definedName>
    <definedName name="CPIv2003n2014">#REF!</definedName>
    <definedName name="CPIv2004n2005" localSheetId="7">#REF!</definedName>
    <definedName name="CPIv2004n2005" localSheetId="21">#REF!</definedName>
    <definedName name="CPIv2004n2005">#REF!</definedName>
    <definedName name="CPIv2004n2006" localSheetId="7">#REF!</definedName>
    <definedName name="CPIv2004n2006" localSheetId="21">#REF!</definedName>
    <definedName name="CPIv2004n2006">#REF!</definedName>
    <definedName name="CPIv2004n2007" localSheetId="7">#REF!</definedName>
    <definedName name="CPIv2004n2007" localSheetId="21">#REF!</definedName>
    <definedName name="CPIv2004n2007">#REF!</definedName>
    <definedName name="CPIv2004n2008" localSheetId="7">#REF!</definedName>
    <definedName name="CPIv2004n2008" localSheetId="21">#REF!</definedName>
    <definedName name="CPIv2004n2008">#REF!</definedName>
    <definedName name="CPIv2004n2009" localSheetId="7">#REF!</definedName>
    <definedName name="CPIv2004n2009" localSheetId="21">#REF!</definedName>
    <definedName name="CPIv2004n2009">#REF!</definedName>
    <definedName name="CPIv2004n2010" localSheetId="7">#REF!</definedName>
    <definedName name="CPIv2004n2010" localSheetId="21">#REF!</definedName>
    <definedName name="CPIv2004n2010">#REF!</definedName>
    <definedName name="CPIv2004n2011" localSheetId="7">#REF!</definedName>
    <definedName name="CPIv2004n2011" localSheetId="21">#REF!</definedName>
    <definedName name="CPIv2004n2011">#REF!</definedName>
    <definedName name="CPIv2004n2012" localSheetId="7">#REF!</definedName>
    <definedName name="CPIv2004n2012" localSheetId="21">#REF!</definedName>
    <definedName name="CPIv2004n2012">#REF!</definedName>
    <definedName name="CPIv2004n2013" localSheetId="7">#REF!</definedName>
    <definedName name="CPIv2004n2013" localSheetId="21">#REF!</definedName>
    <definedName name="CPIv2004n2013">#REF!</definedName>
    <definedName name="CPIv2004n2014" localSheetId="7">#REF!</definedName>
    <definedName name="CPIv2004n2014" localSheetId="21">#REF!</definedName>
    <definedName name="CPIv2004n2014">#REF!</definedName>
    <definedName name="CPIv2005n2006" localSheetId="7">#REF!</definedName>
    <definedName name="CPIv2005n2006" localSheetId="21">#REF!</definedName>
    <definedName name="CPIv2005n2006">#REF!</definedName>
    <definedName name="CPIv2005n2007" localSheetId="7">#REF!</definedName>
    <definedName name="CPIv2005n2007" localSheetId="21">#REF!</definedName>
    <definedName name="CPIv2005n2007">#REF!</definedName>
    <definedName name="CPIv2005n2008" localSheetId="7">#REF!</definedName>
    <definedName name="CPIv2005n2008" localSheetId="21">#REF!</definedName>
    <definedName name="CPIv2005n2008">#REF!</definedName>
    <definedName name="CPIv2005n2009" localSheetId="7">#REF!</definedName>
    <definedName name="CPIv2005n2009" localSheetId="21">#REF!</definedName>
    <definedName name="CPIv2005n2009">#REF!</definedName>
    <definedName name="CPIv2005n2010" localSheetId="7">#REF!</definedName>
    <definedName name="CPIv2005n2010" localSheetId="21">#REF!</definedName>
    <definedName name="CPIv2005n2010">#REF!</definedName>
    <definedName name="CPIv2005n2011" localSheetId="7">#REF!</definedName>
    <definedName name="CPIv2005n2011" localSheetId="21">#REF!</definedName>
    <definedName name="CPIv2005n2011">#REF!</definedName>
    <definedName name="CPIv2005n2012" localSheetId="7">#REF!</definedName>
    <definedName name="CPIv2005n2012" localSheetId="21">#REF!</definedName>
    <definedName name="CPIv2005n2012">#REF!</definedName>
    <definedName name="CPIv2005n2013" localSheetId="7">#REF!</definedName>
    <definedName name="CPIv2005n2013" localSheetId="21">#REF!</definedName>
    <definedName name="CPIv2005n2013">#REF!</definedName>
    <definedName name="CPIv2005n2014" localSheetId="7">#REF!</definedName>
    <definedName name="CPIv2005n2014" localSheetId="21">#REF!</definedName>
    <definedName name="CPIv2005n2014">#REF!</definedName>
    <definedName name="CPIv2006n2007" localSheetId="7">#REF!</definedName>
    <definedName name="CPIv2006n2007" localSheetId="21">#REF!</definedName>
    <definedName name="CPIv2006n2007">#REF!</definedName>
    <definedName name="CPIv2006n2008" localSheetId="7">#REF!</definedName>
    <definedName name="CPIv2006n2008" localSheetId="21">#REF!</definedName>
    <definedName name="CPIv2006n2008">#REF!</definedName>
    <definedName name="CPIv2006n2009" localSheetId="7">#REF!</definedName>
    <definedName name="CPIv2006n2009" localSheetId="21">#REF!</definedName>
    <definedName name="CPIv2006n2009">#REF!</definedName>
    <definedName name="CPIv2006n2010" localSheetId="7">#REF!</definedName>
    <definedName name="CPIv2006n2010" localSheetId="21">#REF!</definedName>
    <definedName name="CPIv2006n2010">#REF!</definedName>
    <definedName name="CPIv2006n2011" localSheetId="7">#REF!</definedName>
    <definedName name="CPIv2006n2011" localSheetId="21">#REF!</definedName>
    <definedName name="CPIv2006n2011">#REF!</definedName>
    <definedName name="CPIv2006n2012" localSheetId="7">#REF!</definedName>
    <definedName name="CPIv2006n2012" localSheetId="21">#REF!</definedName>
    <definedName name="CPIv2006n2012">#REF!</definedName>
    <definedName name="CPIv2006n2013" localSheetId="7">#REF!</definedName>
    <definedName name="CPIv2006n2013" localSheetId="21">#REF!</definedName>
    <definedName name="CPIv2006n2013">#REF!</definedName>
    <definedName name="CPIv2006n2014" localSheetId="7">#REF!</definedName>
    <definedName name="CPIv2006n2014" localSheetId="21">#REF!</definedName>
    <definedName name="CPIv2006n2014">#REF!</definedName>
    <definedName name="CPIv2007n2008" localSheetId="7">#REF!</definedName>
    <definedName name="CPIv2007n2008" localSheetId="21">#REF!</definedName>
    <definedName name="CPIv2007n2008">#REF!</definedName>
    <definedName name="CPIv2007n2009" localSheetId="7">#REF!</definedName>
    <definedName name="CPIv2007n2009" localSheetId="21">#REF!</definedName>
    <definedName name="CPIv2007n2009">#REF!</definedName>
    <definedName name="CPIv2007n2010" localSheetId="7">#REF!</definedName>
    <definedName name="CPIv2007n2010" localSheetId="21">#REF!</definedName>
    <definedName name="CPIv2007n2010">#REF!</definedName>
    <definedName name="CPIv2007n2011" localSheetId="7">#REF!</definedName>
    <definedName name="CPIv2007n2011" localSheetId="21">#REF!</definedName>
    <definedName name="CPIv2007n2011">#REF!</definedName>
    <definedName name="CPIv2007n2012" localSheetId="7">#REF!</definedName>
    <definedName name="CPIv2007n2012" localSheetId="21">#REF!</definedName>
    <definedName name="CPIv2007n2012">#REF!</definedName>
    <definedName name="CPIv2007n2013" localSheetId="7">#REF!</definedName>
    <definedName name="CPIv2007n2013" localSheetId="21">#REF!</definedName>
    <definedName name="CPIv2007n2013">#REF!</definedName>
    <definedName name="CPIv2007n2014" localSheetId="7">#REF!</definedName>
    <definedName name="CPIv2007n2014" localSheetId="21">#REF!</definedName>
    <definedName name="CPIv2007n2014">#REF!</definedName>
    <definedName name="CPIv2008n2009" localSheetId="7">#REF!</definedName>
    <definedName name="CPIv2008n2009" localSheetId="21">#REF!</definedName>
    <definedName name="CPIv2008n2009">#REF!</definedName>
    <definedName name="CPIv2008n2010" localSheetId="7">#REF!</definedName>
    <definedName name="CPIv2008n2010" localSheetId="21">#REF!</definedName>
    <definedName name="CPIv2008n2010">#REF!</definedName>
    <definedName name="CPIv2008n2011" localSheetId="7">#REF!</definedName>
    <definedName name="CPIv2008n2011" localSheetId="21">#REF!</definedName>
    <definedName name="CPIv2008n2011">#REF!</definedName>
    <definedName name="CPIv2008n2012" localSheetId="7">#REF!</definedName>
    <definedName name="CPIv2008n2012" localSheetId="21">#REF!</definedName>
    <definedName name="CPIv2008n2012">#REF!</definedName>
    <definedName name="CPIv2008n2013" localSheetId="7">#REF!</definedName>
    <definedName name="CPIv2008n2013" localSheetId="21">#REF!</definedName>
    <definedName name="CPIv2008n2013">#REF!</definedName>
    <definedName name="CPIv2008n2014" localSheetId="7">#REF!</definedName>
    <definedName name="CPIv2008n2014" localSheetId="21">#REF!</definedName>
    <definedName name="CPIv2008n2014">#REF!</definedName>
    <definedName name="CPIv2009n2010" localSheetId="7">#REF!</definedName>
    <definedName name="CPIv2009n2010" localSheetId="21">#REF!</definedName>
    <definedName name="CPIv2009n2010">#REF!</definedName>
    <definedName name="CPIv2009n2011" localSheetId="7">#REF!</definedName>
    <definedName name="CPIv2009n2011" localSheetId="21">#REF!</definedName>
    <definedName name="CPIv2009n2011">#REF!</definedName>
    <definedName name="CPIv2009n2012" localSheetId="7">#REF!</definedName>
    <definedName name="CPIv2009n2012" localSheetId="21">#REF!</definedName>
    <definedName name="CPIv2009n2012">#REF!</definedName>
    <definedName name="CPIv2009n2013" localSheetId="7">#REF!</definedName>
    <definedName name="CPIv2009n2013" localSheetId="21">#REF!</definedName>
    <definedName name="CPIv2009n2013">#REF!</definedName>
    <definedName name="CPIv2009n2014" localSheetId="7">#REF!</definedName>
    <definedName name="CPIv2009n2014" localSheetId="21">#REF!</definedName>
    <definedName name="CPIv2009n2014">#REF!</definedName>
    <definedName name="CPIv2010n2011" localSheetId="7">#REF!</definedName>
    <definedName name="CPIv2010n2011" localSheetId="21">#REF!</definedName>
    <definedName name="CPIv2010n2011">#REF!</definedName>
    <definedName name="CPIv2010n2012" localSheetId="7">#REF!</definedName>
    <definedName name="CPIv2010n2012" localSheetId="21">#REF!</definedName>
    <definedName name="CPIv2010n2012">#REF!</definedName>
    <definedName name="CPIv2010n2013" localSheetId="7">#REF!</definedName>
    <definedName name="CPIv2010n2013" localSheetId="21">#REF!</definedName>
    <definedName name="CPIv2010n2013">#REF!</definedName>
    <definedName name="CPIv2010n2014" localSheetId="7">#REF!</definedName>
    <definedName name="CPIv2010n2014" localSheetId="21">#REF!</definedName>
    <definedName name="CPIv2010n2014">#REF!</definedName>
    <definedName name="CPIv2011n2012" localSheetId="7">#REF!</definedName>
    <definedName name="CPIv2011n2012" localSheetId="21">#REF!</definedName>
    <definedName name="CPIv2011n2012">#REF!</definedName>
    <definedName name="CPIv2011n2013" localSheetId="7">#REF!</definedName>
    <definedName name="CPIv2011n2013" localSheetId="21">#REF!</definedName>
    <definedName name="CPIv2011n2013">#REF!</definedName>
    <definedName name="CPIv2011n2014" localSheetId="7">#REF!</definedName>
    <definedName name="CPIv2011n2014" localSheetId="21">#REF!</definedName>
    <definedName name="CPIv2011n2014">#REF!</definedName>
    <definedName name="CPIv2012n2013" localSheetId="7">#REF!</definedName>
    <definedName name="CPIv2012n2013" localSheetId="21">#REF!</definedName>
    <definedName name="CPIv2012n2013">#REF!</definedName>
    <definedName name="CPIv2012n2014" localSheetId="7">#REF!</definedName>
    <definedName name="CPIv2012n2014" localSheetId="21">#REF!</definedName>
    <definedName name="CPIv2012n2014">#REF!</definedName>
    <definedName name="CPIv2013n2014" localSheetId="7">#REF!</definedName>
    <definedName name="CPIv2013n2014" localSheetId="21">#REF!</definedName>
    <definedName name="CPIv2013n2014">#REF!</definedName>
    <definedName name="DTE_old" localSheetId="7">#REF!</definedName>
    <definedName name="DTE_old" localSheetId="21">#REF!</definedName>
    <definedName name="DTE_old">#REF!</definedName>
    <definedName name="EofG" localSheetId="7">'[6]Lokale heffingen (LH)'!#REF!</definedName>
    <definedName name="EofG" localSheetId="21">'[6]Lokale heffingen (LH)'!#REF!</definedName>
    <definedName name="EofG">'[6]Lokale heffingen (LH)'!#REF!</definedName>
    <definedName name="extraveld_kolom" localSheetId="7">#REF!</definedName>
    <definedName name="extraveld_kolom" localSheetId="21">#REF!</definedName>
    <definedName name="extraveld_kolom">#REF!</definedName>
    <definedName name="extraveld_rij" localSheetId="7">#REF!</definedName>
    <definedName name="extraveld_rij" localSheetId="21">#REF!</definedName>
    <definedName name="extraveld_rij">#REF!</definedName>
    <definedName name="Naam" localSheetId="7">#REF!</definedName>
    <definedName name="Naam" localSheetId="21">#REF!</definedName>
    <definedName name="Naam">#REF!</definedName>
    <definedName name="Naam_GA">'[1]Kapitaalkosten Gasaansluiting'!$C$1</definedName>
    <definedName name="Netbeheerders">[1]Netbeheerders!$B$2:$B$25</definedName>
    <definedName name="Overzicht_EofG" localSheetId="7">#REF!</definedName>
    <definedName name="Overzicht_EofG" localSheetId="21">#REF!</definedName>
    <definedName name="Overzicht_EofG">#REF!</definedName>
    <definedName name="Overzicht_Gasaansluiting" localSheetId="7">#REF!</definedName>
    <definedName name="Overzicht_Gasaansluiting" localSheetId="21">#REF!</definedName>
    <definedName name="Overzicht_Gasaansluiting">#REF!</definedName>
    <definedName name="Overzicht_Netbeheerder" localSheetId="7">#REF!</definedName>
    <definedName name="Overzicht_Netbeheerder" localSheetId="21">#REF!</definedName>
    <definedName name="Overzicht_Netbeheerder">#REF!</definedName>
    <definedName name="Overzicht_totJaar" localSheetId="7">#REF!</definedName>
    <definedName name="Overzicht_totJaar" localSheetId="21">#REF!</definedName>
    <definedName name="Overzicht_totJaar">#REF!</definedName>
    <definedName name="Overzicht_vanafJaar" localSheetId="7">#REF!</definedName>
    <definedName name="Overzicht_vanafJaar" localSheetId="21">#REF!</definedName>
    <definedName name="Overzicht_vanafJaar">#REF!</definedName>
    <definedName name="wacc" localSheetId="7">[7]Data!#REF!</definedName>
    <definedName name="wacc" localSheetId="21">[7]Data!#REF!</definedName>
    <definedName name="wacc">[7]Data!#REF!</definedName>
    <definedName name="wacc_exc_tax">[8]constants!$E$3</definedName>
    <definedName name="wacc_inc_tax">[7]constants!$E$4</definedName>
    <definedName name="WACC2001" localSheetId="7">#REF!</definedName>
    <definedName name="WACC2001" localSheetId="21">#REF!</definedName>
    <definedName name="WACC2001">#REF!</definedName>
    <definedName name="WACC2002" localSheetId="7">#REF!</definedName>
    <definedName name="WACC2002" localSheetId="21">#REF!</definedName>
    <definedName name="WACC2002">#REF!</definedName>
    <definedName name="WACC2003" localSheetId="7">#REF!</definedName>
    <definedName name="WACC2003" localSheetId="21">#REF!</definedName>
    <definedName name="WACC2003">#REF!</definedName>
    <definedName name="WACC2004" localSheetId="7">#REF!</definedName>
    <definedName name="WACC2004" localSheetId="21">#REF!</definedName>
    <definedName name="WACC2004">#REF!</definedName>
    <definedName name="WACC2005" localSheetId="7">#REF!</definedName>
    <definedName name="WACC2005" localSheetId="21">#REF!</definedName>
    <definedName name="WACC2005">#REF!</definedName>
    <definedName name="WACC2006" localSheetId="7">#REF!</definedName>
    <definedName name="WACC2006" localSheetId="21">#REF!</definedName>
    <definedName name="WACC2006">#REF!</definedName>
    <definedName name="WACC2007" localSheetId="7">#REF!</definedName>
    <definedName name="WACC2007" localSheetId="21">#REF!</definedName>
    <definedName name="WACC2007">#REF!</definedName>
    <definedName name="WACC2008" localSheetId="7">#REF!</definedName>
    <definedName name="WACC2008" localSheetId="21">#REF!</definedName>
    <definedName name="WACC2008">#REF!</definedName>
    <definedName name="WACC2009" localSheetId="7">#REF!</definedName>
    <definedName name="WACC2009" localSheetId="21">#REF!</definedName>
    <definedName name="WACC2009">#REF!</definedName>
    <definedName name="WACC2010" localSheetId="7">#REF!</definedName>
    <definedName name="WACC2010" localSheetId="21">#REF!</definedName>
    <definedName name="WACC2010">#REF!</definedName>
    <definedName name="WACC2011_2013">'[9]CPI&amp;WACC'!$D$14</definedName>
    <definedName name="WACCtabel">'[10]CPI en WACC'!$B$6:$D$26</definedName>
    <definedName name="winstcorrectie" localSheetId="7">#REF!</definedName>
    <definedName name="winstcorrectie" localSheetId="21">#REF!</definedName>
    <definedName name="winstcorrecti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2" i="49" l="1"/>
  <c r="Q23" i="49"/>
  <c r="P36" i="67" l="1"/>
  <c r="H62" i="67"/>
  <c r="H61" i="67"/>
  <c r="P57" i="67"/>
  <c r="P49" i="67"/>
  <c r="P42" i="67"/>
  <c r="P41" i="67"/>
  <c r="P28" i="67"/>
  <c r="P21" i="67"/>
  <c r="P70" i="67" s="1"/>
  <c r="P20" i="67"/>
  <c r="P100" i="67"/>
  <c r="P117" i="67"/>
  <c r="P107" i="67" l="1"/>
  <c r="P77" i="67"/>
  <c r="P87" i="67"/>
  <c r="P89" i="67" s="1"/>
  <c r="P119" i="67"/>
  <c r="P73" i="67"/>
  <c r="P74" i="67" s="1"/>
  <c r="P78" i="67" s="1"/>
  <c r="P81" i="67" s="1"/>
  <c r="P82" i="67" s="1"/>
  <c r="P129" i="67" s="1"/>
  <c r="P103" i="67"/>
  <c r="P104" i="67"/>
  <c r="P108" i="67" l="1"/>
  <c r="P111" i="67" s="1"/>
  <c r="P112" i="67" s="1"/>
  <c r="P138" i="67" s="1"/>
  <c r="P91" i="67"/>
  <c r="P93" i="67" s="1"/>
  <c r="P95" i="67" s="1"/>
  <c r="P121" i="67"/>
  <c r="P123" i="67" s="1"/>
  <c r="P125" i="67" s="1"/>
  <c r="L131" i="63" l="1"/>
  <c r="Q64" i="63"/>
  <c r="P64" i="63"/>
  <c r="O64" i="63"/>
  <c r="N64" i="63"/>
  <c r="M64" i="63"/>
  <c r="L87" i="73"/>
  <c r="L84" i="73"/>
  <c r="L83" i="73"/>
  <c r="L80" i="73"/>
  <c r="L79" i="73"/>
  <c r="L76" i="73"/>
  <c r="M75" i="73"/>
  <c r="L75" i="73"/>
  <c r="Q39" i="73"/>
  <c r="P39" i="73"/>
  <c r="O39" i="73"/>
  <c r="N39" i="73"/>
  <c r="M39" i="73"/>
  <c r="L39" i="73"/>
  <c r="Q37" i="73"/>
  <c r="P37" i="73"/>
  <c r="O37" i="73"/>
  <c r="N37" i="73"/>
  <c r="M37" i="73"/>
  <c r="L37" i="73"/>
  <c r="Q36" i="73"/>
  <c r="P36" i="73"/>
  <c r="O36" i="73"/>
  <c r="N36" i="73"/>
  <c r="M36" i="73"/>
  <c r="L36" i="73"/>
  <c r="Q32" i="73"/>
  <c r="P32" i="73"/>
  <c r="O32" i="73"/>
  <c r="N32" i="73"/>
  <c r="M32" i="73"/>
  <c r="L32" i="73"/>
  <c r="Q28" i="73"/>
  <c r="P28" i="73"/>
  <c r="O28" i="73"/>
  <c r="N28" i="73"/>
  <c r="M28" i="73"/>
  <c r="L28" i="73"/>
  <c r="Q27" i="73"/>
  <c r="P27" i="73"/>
  <c r="O27" i="73"/>
  <c r="N27" i="73"/>
  <c r="M27" i="73"/>
  <c r="L27" i="73"/>
  <c r="Q26" i="73"/>
  <c r="P26" i="73"/>
  <c r="O26" i="73"/>
  <c r="N26" i="73"/>
  <c r="M26" i="73"/>
  <c r="L26" i="73"/>
  <c r="Q25" i="73"/>
  <c r="P25" i="73"/>
  <c r="O25" i="73"/>
  <c r="N25" i="73"/>
  <c r="M25" i="73"/>
  <c r="L25" i="73"/>
  <c r="Q24" i="73"/>
  <c r="P24" i="73"/>
  <c r="O24" i="73"/>
  <c r="N24" i="73"/>
  <c r="M24" i="73"/>
  <c r="L24" i="73"/>
  <c r="Q21" i="73"/>
  <c r="P21" i="73"/>
  <c r="O21" i="73"/>
  <c r="N21" i="73"/>
  <c r="M21" i="73"/>
  <c r="L21" i="73"/>
  <c r="Q20" i="73"/>
  <c r="P20" i="73"/>
  <c r="O20" i="73"/>
  <c r="N20" i="73"/>
  <c r="M20" i="73"/>
  <c r="L20" i="73"/>
  <c r="Q19" i="73"/>
  <c r="P19" i="73"/>
  <c r="O19" i="73"/>
  <c r="N19" i="73"/>
  <c r="M19" i="73"/>
  <c r="L19" i="73"/>
  <c r="Q18" i="73"/>
  <c r="P18" i="73"/>
  <c r="O18" i="73"/>
  <c r="N18" i="73"/>
  <c r="M18" i="73"/>
  <c r="L18" i="73"/>
  <c r="Q17" i="73"/>
  <c r="P17" i="73"/>
  <c r="O17" i="73"/>
  <c r="N17" i="73"/>
  <c r="M17" i="73"/>
  <c r="L17" i="73"/>
  <c r="Q16" i="73"/>
  <c r="P16" i="73"/>
  <c r="O16" i="73"/>
  <c r="N16" i="73"/>
  <c r="M16" i="73"/>
  <c r="J79" i="57" l="1"/>
  <c r="J73" i="57"/>
  <c r="M19" i="24" l="1"/>
  <c r="N19" i="24"/>
  <c r="O19" i="24"/>
  <c r="P19" i="24"/>
  <c r="Q19" i="24"/>
  <c r="L19" i="24"/>
  <c r="O56" i="63" l="1"/>
  <c r="Q49" i="63" l="1"/>
  <c r="M63" i="63" l="1"/>
  <c r="N63" i="63"/>
  <c r="O63" i="63"/>
  <c r="P63" i="63"/>
  <c r="Q63" i="63"/>
  <c r="L63" i="63"/>
  <c r="H70" i="73" l="1"/>
  <c r="H69" i="73"/>
  <c r="H66" i="73"/>
  <c r="H65" i="73"/>
  <c r="H62" i="73"/>
  <c r="H61" i="73"/>
  <c r="H56" i="73" l="1"/>
  <c r="H55" i="73"/>
  <c r="H54" i="73"/>
  <c r="H53" i="73"/>
  <c r="H52" i="73"/>
  <c r="H46" i="73"/>
  <c r="H47" i="73"/>
  <c r="H48" i="73"/>
  <c r="H49" i="73"/>
  <c r="H45" i="73"/>
  <c r="H44" i="73"/>
  <c r="M83" i="73"/>
  <c r="N83" i="73"/>
  <c r="O83" i="73"/>
  <c r="P83" i="73"/>
  <c r="Q83" i="73"/>
  <c r="O84" i="73"/>
  <c r="M84" i="73"/>
  <c r="P84" i="73"/>
  <c r="Q84" i="73"/>
  <c r="L16" i="73"/>
  <c r="J39" i="72"/>
  <c r="J37" i="72"/>
  <c r="J36" i="72"/>
  <c r="J32" i="72"/>
  <c r="J28" i="72"/>
  <c r="J27" i="72"/>
  <c r="J26" i="72"/>
  <c r="J25" i="72"/>
  <c r="J24" i="72"/>
  <c r="J21" i="72"/>
  <c r="J20" i="72"/>
  <c r="J19" i="72"/>
  <c r="J18" i="72"/>
  <c r="J17" i="72"/>
  <c r="J16" i="72"/>
  <c r="M79" i="73" l="1"/>
  <c r="M80" i="73"/>
  <c r="M76" i="73"/>
  <c r="N84" i="73"/>
  <c r="N80" i="73"/>
  <c r="N79" i="73"/>
  <c r="N75" i="73"/>
  <c r="N76" i="73"/>
  <c r="P80" i="73"/>
  <c r="P79" i="73"/>
  <c r="P76" i="73"/>
  <c r="P75" i="73"/>
  <c r="O79" i="73"/>
  <c r="O80" i="73"/>
  <c r="O76" i="73"/>
  <c r="O75" i="73"/>
  <c r="Q79" i="73"/>
  <c r="Q80" i="73"/>
  <c r="Q75" i="73"/>
  <c r="Q76" i="73"/>
  <c r="H19" i="21"/>
  <c r="Q30" i="69"/>
  <c r="P30" i="69"/>
  <c r="O30" i="69"/>
  <c r="N30" i="69"/>
  <c r="M30" i="69"/>
  <c r="L30" i="69"/>
  <c r="Q29" i="69"/>
  <c r="P29" i="69"/>
  <c r="O29" i="69"/>
  <c r="N29" i="69"/>
  <c r="M29" i="69"/>
  <c r="L29" i="69"/>
  <c r="Q26" i="69"/>
  <c r="P26" i="69"/>
  <c r="O26" i="69"/>
  <c r="N26" i="69"/>
  <c r="M26" i="69"/>
  <c r="L26" i="69"/>
  <c r="Q25" i="69"/>
  <c r="P25" i="69"/>
  <c r="O25" i="69"/>
  <c r="N25" i="69"/>
  <c r="M25" i="69"/>
  <c r="L25" i="69"/>
  <c r="L16" i="69"/>
  <c r="M16" i="69"/>
  <c r="N16" i="69"/>
  <c r="O16" i="69"/>
  <c r="P16" i="69"/>
  <c r="Q16" i="69"/>
  <c r="L17" i="69"/>
  <c r="M17" i="69"/>
  <c r="N17" i="69"/>
  <c r="O17" i="69"/>
  <c r="P17" i="69"/>
  <c r="Q17" i="69"/>
  <c r="M15" i="69"/>
  <c r="N15" i="69"/>
  <c r="O15" i="69"/>
  <c r="P15" i="69"/>
  <c r="Q15" i="69"/>
  <c r="L15" i="69"/>
  <c r="J24" i="71"/>
  <c r="J23" i="71"/>
  <c r="J20" i="71"/>
  <c r="J19" i="71"/>
  <c r="J16" i="71"/>
  <c r="J15" i="71"/>
  <c r="J14" i="71"/>
  <c r="M87" i="73" l="1"/>
  <c r="N87" i="73"/>
  <c r="P87" i="73"/>
  <c r="O87" i="73"/>
  <c r="Q87" i="73"/>
  <c r="J16" i="69"/>
  <c r="Q46" i="69"/>
  <c r="P45" i="69"/>
  <c r="J17" i="69"/>
  <c r="Q45" i="69"/>
  <c r="O45" i="69"/>
  <c r="L45" i="69"/>
  <c r="O46" i="69"/>
  <c r="J26" i="69"/>
  <c r="J25" i="69"/>
  <c r="N46" i="69"/>
  <c r="M46" i="69"/>
  <c r="J15" i="69"/>
  <c r="N45" i="69"/>
  <c r="P46" i="69"/>
  <c r="J29" i="69"/>
  <c r="M45" i="69"/>
  <c r="J30" i="69"/>
  <c r="L46" i="69"/>
  <c r="H31" i="56"/>
  <c r="L64" i="63" l="1"/>
  <c r="J45" i="69"/>
  <c r="J46" i="69"/>
  <c r="Q115" i="61"/>
  <c r="P115" i="61"/>
  <c r="O115" i="61"/>
  <c r="N115" i="61"/>
  <c r="I115" i="61"/>
  <c r="H115" i="61"/>
  <c r="G115" i="61"/>
  <c r="Q114" i="61"/>
  <c r="P114" i="61"/>
  <c r="O114" i="61"/>
  <c r="N114" i="61"/>
  <c r="I114" i="61"/>
  <c r="H114" i="61"/>
  <c r="G114" i="61"/>
  <c r="Q113" i="61"/>
  <c r="P113" i="61"/>
  <c r="O113" i="61"/>
  <c r="N113" i="61"/>
  <c r="I113" i="61"/>
  <c r="H113" i="61"/>
  <c r="G113" i="61"/>
  <c r="Q112" i="61"/>
  <c r="P112" i="61"/>
  <c r="O112" i="61"/>
  <c r="N112" i="61"/>
  <c r="I112" i="61"/>
  <c r="H112" i="61"/>
  <c r="G112" i="61"/>
  <c r="Q111" i="61"/>
  <c r="P111" i="61"/>
  <c r="O111" i="61"/>
  <c r="N111" i="61"/>
  <c r="I111" i="61"/>
  <c r="H111" i="61"/>
  <c r="G111" i="61"/>
  <c r="Q110" i="61"/>
  <c r="P110" i="61"/>
  <c r="O110" i="61"/>
  <c r="N110" i="61"/>
  <c r="I110" i="61"/>
  <c r="H110" i="61"/>
  <c r="G110" i="61"/>
  <c r="Q109" i="61"/>
  <c r="P109" i="61"/>
  <c r="O109" i="61"/>
  <c r="N109" i="61"/>
  <c r="I109" i="61"/>
  <c r="H109" i="61"/>
  <c r="G109" i="61"/>
  <c r="Q108" i="61"/>
  <c r="P108" i="61"/>
  <c r="O108" i="61"/>
  <c r="N108" i="61"/>
  <c r="I108" i="61"/>
  <c r="H108" i="61"/>
  <c r="G108" i="61"/>
  <c r="Q107" i="61"/>
  <c r="P107" i="61"/>
  <c r="O107" i="61"/>
  <c r="N107" i="61"/>
  <c r="I107" i="61"/>
  <c r="H107" i="61"/>
  <c r="G107" i="61"/>
  <c r="Q106" i="61"/>
  <c r="P106" i="61"/>
  <c r="O106" i="61"/>
  <c r="N106" i="61"/>
  <c r="I106" i="61"/>
  <c r="H106" i="61"/>
  <c r="G106" i="61"/>
  <c r="Q105" i="61"/>
  <c r="P105" i="61"/>
  <c r="O105" i="61"/>
  <c r="N105" i="61"/>
  <c r="I105" i="61"/>
  <c r="H105" i="61"/>
  <c r="G105" i="61"/>
  <c r="Q104" i="61"/>
  <c r="P104" i="61"/>
  <c r="O104" i="61"/>
  <c r="N104" i="61"/>
  <c r="I104" i="61"/>
  <c r="H104" i="61"/>
  <c r="G104" i="61"/>
  <c r="P103" i="61"/>
  <c r="O103" i="61"/>
  <c r="N103" i="61"/>
  <c r="Q103" i="61" s="1"/>
  <c r="I103" i="61"/>
  <c r="H103" i="61"/>
  <c r="G103" i="61"/>
  <c r="Q102" i="61"/>
  <c r="P102" i="61"/>
  <c r="O102" i="61"/>
  <c r="N102" i="61"/>
  <c r="I102" i="61"/>
  <c r="H102" i="61"/>
  <c r="G102" i="61"/>
  <c r="Q101" i="61"/>
  <c r="N101" i="61"/>
  <c r="O101" i="61"/>
  <c r="P101" i="61"/>
  <c r="G101" i="61"/>
  <c r="H101" i="61"/>
  <c r="I101" i="61"/>
  <c r="G75" i="61"/>
  <c r="H75" i="61"/>
  <c r="I75" i="61"/>
  <c r="G76" i="61"/>
  <c r="H76" i="61"/>
  <c r="I76" i="61"/>
  <c r="G77" i="61"/>
  <c r="H77" i="61"/>
  <c r="I77" i="61"/>
  <c r="G78" i="61"/>
  <c r="H78" i="61"/>
  <c r="I78" i="61"/>
  <c r="G79" i="61"/>
  <c r="H79" i="61"/>
  <c r="I79" i="61"/>
  <c r="G80" i="61"/>
  <c r="H80" i="61"/>
  <c r="I80" i="61"/>
  <c r="G81" i="61"/>
  <c r="H81" i="61"/>
  <c r="I81" i="61"/>
  <c r="G82" i="61"/>
  <c r="H82" i="61"/>
  <c r="I82" i="61"/>
  <c r="G83" i="61"/>
  <c r="H83" i="61"/>
  <c r="I83" i="61"/>
  <c r="G84" i="61"/>
  <c r="H84" i="61"/>
  <c r="I84" i="61"/>
  <c r="G85" i="61"/>
  <c r="H85" i="61"/>
  <c r="I85" i="61"/>
  <c r="G86" i="61"/>
  <c r="H86" i="61"/>
  <c r="I86" i="61"/>
  <c r="G87" i="61"/>
  <c r="H87" i="61"/>
  <c r="I87" i="61"/>
  <c r="Q53" i="61"/>
  <c r="Q54" i="61"/>
  <c r="Q55" i="61"/>
  <c r="Q56" i="61"/>
  <c r="Q57" i="61"/>
  <c r="Q58" i="61"/>
  <c r="Q59" i="61"/>
  <c r="Q60" i="61"/>
  <c r="Q61" i="61"/>
  <c r="Q62" i="61"/>
  <c r="Q63" i="61"/>
  <c r="Q64" i="61"/>
  <c r="Q65" i="61"/>
  <c r="Q66" i="61"/>
  <c r="Q67" i="61"/>
  <c r="Q68" i="61"/>
  <c r="Q69" i="61"/>
  <c r="Q70" i="61"/>
  <c r="Q71" i="61"/>
  <c r="Q72" i="61"/>
  <c r="Q73" i="61"/>
  <c r="Q74" i="61"/>
  <c r="Q77" i="61"/>
  <c r="Q78" i="61"/>
  <c r="Q79" i="61"/>
  <c r="Q80" i="61"/>
  <c r="Q81" i="61"/>
  <c r="Q82" i="61"/>
  <c r="Q83" i="61"/>
  <c r="Q84" i="61"/>
  <c r="Q85" i="61"/>
  <c r="Q86" i="61"/>
  <c r="Q87" i="61"/>
  <c r="N41" i="61"/>
  <c r="Q41" i="61" s="1"/>
  <c r="O41" i="61"/>
  <c r="N42" i="61"/>
  <c r="Q42" i="61" s="1"/>
  <c r="O42" i="61"/>
  <c r="N43" i="61"/>
  <c r="Q43" i="61" s="1"/>
  <c r="O43" i="61"/>
  <c r="N44" i="61"/>
  <c r="Q44" i="61" s="1"/>
  <c r="O44" i="61"/>
  <c r="N45" i="61"/>
  <c r="Q45" i="61" s="1"/>
  <c r="O45" i="61"/>
  <c r="N46" i="61"/>
  <c r="Q46" i="61" s="1"/>
  <c r="O46" i="61"/>
  <c r="N47" i="61"/>
  <c r="Q47" i="61" s="1"/>
  <c r="O47" i="61"/>
  <c r="N48" i="61"/>
  <c r="Q48" i="61" s="1"/>
  <c r="O48" i="61"/>
  <c r="N49" i="61"/>
  <c r="Q49" i="61" s="1"/>
  <c r="O49" i="61"/>
  <c r="N50" i="61"/>
  <c r="Q50" i="61" s="1"/>
  <c r="O50" i="61"/>
  <c r="N51" i="61"/>
  <c r="Q51" i="61" s="1"/>
  <c r="O51" i="61"/>
  <c r="N52" i="61"/>
  <c r="Q52" i="61" s="1"/>
  <c r="O52" i="61"/>
  <c r="N53" i="61"/>
  <c r="O53" i="61"/>
  <c r="P53" i="61"/>
  <c r="N54" i="61"/>
  <c r="O54" i="61"/>
  <c r="P54" i="61"/>
  <c r="N55" i="61"/>
  <c r="O55" i="61"/>
  <c r="P55" i="61"/>
  <c r="N56" i="61"/>
  <c r="O56" i="61"/>
  <c r="P56" i="61"/>
  <c r="N57" i="61"/>
  <c r="O57" i="61"/>
  <c r="P57" i="61"/>
  <c r="N58" i="61"/>
  <c r="O58" i="61"/>
  <c r="P58" i="61"/>
  <c r="N59" i="61"/>
  <c r="O59" i="61"/>
  <c r="P59" i="61"/>
  <c r="N60" i="61"/>
  <c r="O60" i="61"/>
  <c r="P60" i="61"/>
  <c r="N61" i="61"/>
  <c r="O61" i="61"/>
  <c r="P61" i="61"/>
  <c r="N62" i="61"/>
  <c r="O62" i="61"/>
  <c r="P62" i="61"/>
  <c r="N63" i="61"/>
  <c r="O63" i="61"/>
  <c r="P63" i="61"/>
  <c r="N64" i="61"/>
  <c r="O64" i="61"/>
  <c r="P64" i="61"/>
  <c r="N65" i="61"/>
  <c r="O65" i="61"/>
  <c r="P65" i="61"/>
  <c r="N66" i="61"/>
  <c r="O66" i="61"/>
  <c r="P66" i="61"/>
  <c r="N67" i="61"/>
  <c r="O67" i="61"/>
  <c r="P67" i="61"/>
  <c r="N68" i="61"/>
  <c r="O68" i="61"/>
  <c r="P68" i="61"/>
  <c r="N69" i="61"/>
  <c r="O69" i="61"/>
  <c r="P69" i="61"/>
  <c r="N70" i="61"/>
  <c r="O70" i="61"/>
  <c r="P70" i="61"/>
  <c r="N71" i="61"/>
  <c r="O71" i="61"/>
  <c r="P71" i="61"/>
  <c r="N72" i="61"/>
  <c r="O72" i="61"/>
  <c r="P72" i="61"/>
  <c r="N73" i="61"/>
  <c r="O73" i="61"/>
  <c r="P73" i="61"/>
  <c r="N74" i="61"/>
  <c r="O74" i="61"/>
  <c r="P74" i="61"/>
  <c r="N75" i="61"/>
  <c r="Q75" i="61" s="1"/>
  <c r="O75" i="61"/>
  <c r="P75" i="61"/>
  <c r="N76" i="61"/>
  <c r="Q76" i="61" s="1"/>
  <c r="O76" i="61"/>
  <c r="P76" i="61"/>
  <c r="N77" i="61"/>
  <c r="O77" i="61"/>
  <c r="P77" i="61"/>
  <c r="N78" i="61"/>
  <c r="O78" i="61"/>
  <c r="P78" i="61"/>
  <c r="N79" i="61"/>
  <c r="O79" i="61"/>
  <c r="P79" i="61"/>
  <c r="N80" i="61"/>
  <c r="O80" i="61"/>
  <c r="P80" i="61"/>
  <c r="N81" i="61"/>
  <c r="O81" i="61"/>
  <c r="P81" i="61"/>
  <c r="N82" i="61"/>
  <c r="O82" i="61"/>
  <c r="P82" i="61"/>
  <c r="N83" i="61"/>
  <c r="O83" i="61"/>
  <c r="P83" i="61"/>
  <c r="N84" i="61"/>
  <c r="O84" i="61"/>
  <c r="P84" i="61"/>
  <c r="R84" i="61" s="1"/>
  <c r="N85" i="61"/>
  <c r="O85" i="61"/>
  <c r="P85" i="61"/>
  <c r="N86" i="61"/>
  <c r="O86" i="61"/>
  <c r="P86" i="61"/>
  <c r="N87" i="61"/>
  <c r="O87" i="61"/>
  <c r="P87" i="61"/>
  <c r="N88" i="61"/>
  <c r="Q88" i="61" s="1"/>
  <c r="O88" i="61"/>
  <c r="P88" i="61"/>
  <c r="G41" i="61"/>
  <c r="H41" i="61"/>
  <c r="I41" i="61"/>
  <c r="G42" i="61"/>
  <c r="H42" i="61"/>
  <c r="I42" i="61"/>
  <c r="G43" i="61"/>
  <c r="H43" i="61"/>
  <c r="I43" i="61"/>
  <c r="G44" i="61"/>
  <c r="H44" i="61"/>
  <c r="I44" i="61"/>
  <c r="G45" i="61"/>
  <c r="H45" i="61"/>
  <c r="I45" i="61"/>
  <c r="G46" i="61"/>
  <c r="H46" i="61"/>
  <c r="I46" i="61"/>
  <c r="G47" i="61"/>
  <c r="H47" i="61"/>
  <c r="I47" i="61"/>
  <c r="G48" i="61"/>
  <c r="H48" i="61"/>
  <c r="I48" i="61"/>
  <c r="G49" i="61"/>
  <c r="H49" i="61"/>
  <c r="I49" i="61"/>
  <c r="G50" i="61"/>
  <c r="H50" i="61"/>
  <c r="I50" i="61"/>
  <c r="G51" i="61"/>
  <c r="H51" i="61"/>
  <c r="I51" i="61"/>
  <c r="G52" i="61"/>
  <c r="H52" i="61"/>
  <c r="I52" i="61"/>
  <c r="G53" i="61"/>
  <c r="H53" i="61"/>
  <c r="I53" i="61"/>
  <c r="G54" i="61"/>
  <c r="H54" i="61"/>
  <c r="I54" i="61"/>
  <c r="G55" i="61"/>
  <c r="H55" i="61"/>
  <c r="I55" i="61"/>
  <c r="G56" i="61"/>
  <c r="H56" i="61"/>
  <c r="I56" i="61"/>
  <c r="G57" i="61"/>
  <c r="H57" i="61"/>
  <c r="I57" i="61"/>
  <c r="G58" i="61"/>
  <c r="H58" i="61"/>
  <c r="I58" i="61"/>
  <c r="G59" i="61"/>
  <c r="H59" i="61"/>
  <c r="I59" i="61"/>
  <c r="G60" i="61"/>
  <c r="H60" i="61"/>
  <c r="I60" i="61"/>
  <c r="G61" i="61"/>
  <c r="H61" i="61"/>
  <c r="I61" i="61"/>
  <c r="G62" i="61"/>
  <c r="H62" i="61"/>
  <c r="I62" i="61"/>
  <c r="G63" i="61"/>
  <c r="H63" i="61"/>
  <c r="I63" i="61"/>
  <c r="G64" i="61"/>
  <c r="H64" i="61"/>
  <c r="I64" i="61"/>
  <c r="G65" i="61"/>
  <c r="H65" i="61"/>
  <c r="I65" i="61"/>
  <c r="G66" i="61"/>
  <c r="H66" i="61"/>
  <c r="I66" i="61"/>
  <c r="G67" i="61"/>
  <c r="H67" i="61"/>
  <c r="I67" i="61"/>
  <c r="G68" i="61"/>
  <c r="H68" i="61"/>
  <c r="I68" i="61"/>
  <c r="G69" i="61"/>
  <c r="H69" i="61"/>
  <c r="I69" i="61"/>
  <c r="G70" i="61"/>
  <c r="H70" i="61"/>
  <c r="I70" i="61"/>
  <c r="G71" i="61"/>
  <c r="H71" i="61"/>
  <c r="I71" i="61"/>
  <c r="G72" i="61"/>
  <c r="H72" i="61"/>
  <c r="I72" i="61"/>
  <c r="G73" i="61"/>
  <c r="H73" i="61"/>
  <c r="I73" i="61"/>
  <c r="G74" i="61"/>
  <c r="H74" i="61"/>
  <c r="I74" i="61"/>
  <c r="R54" i="61" l="1"/>
  <c r="R104" i="61"/>
  <c r="R112" i="61"/>
  <c r="R80" i="61"/>
  <c r="R106" i="61"/>
  <c r="R111" i="61"/>
  <c r="R110" i="61"/>
  <c r="R102" i="61"/>
  <c r="R109" i="61"/>
  <c r="R101" i="61"/>
  <c r="R108" i="61"/>
  <c r="R107" i="61"/>
  <c r="R115" i="61"/>
  <c r="R114" i="61"/>
  <c r="R103" i="61"/>
  <c r="R105" i="61"/>
  <c r="R113" i="61"/>
  <c r="R75" i="61"/>
  <c r="R88" i="61"/>
  <c r="R57" i="61"/>
  <c r="R72" i="61"/>
  <c r="R68" i="61"/>
  <c r="R64" i="61"/>
  <c r="R60" i="61"/>
  <c r="R56" i="61"/>
  <c r="R69" i="61"/>
  <c r="R71" i="61"/>
  <c r="R67" i="61"/>
  <c r="R59" i="61"/>
  <c r="R65" i="61"/>
  <c r="R74" i="61"/>
  <c r="R66" i="61"/>
  <c r="R62" i="61"/>
  <c r="R86" i="61"/>
  <c r="R82" i="61"/>
  <c r="R78" i="61"/>
  <c r="R83" i="61"/>
  <c r="R76" i="61"/>
  <c r="R85" i="61"/>
  <c r="R77" i="61"/>
  <c r="R87" i="61"/>
  <c r="R79" i="61"/>
  <c r="R81" i="61"/>
  <c r="R70" i="61"/>
  <c r="R58" i="61"/>
  <c r="R73" i="61"/>
  <c r="R63" i="61"/>
  <c r="R61" i="61"/>
  <c r="R55" i="61"/>
  <c r="R53" i="61"/>
  <c r="Q40" i="61" l="1"/>
  <c r="N40" i="61"/>
  <c r="O40" i="61"/>
  <c r="P40" i="61"/>
  <c r="G40" i="61"/>
  <c r="H40" i="61"/>
  <c r="I40" i="61"/>
  <c r="Q26" i="61"/>
  <c r="Q29" i="61"/>
  <c r="Q30" i="61"/>
  <c r="Q31" i="61"/>
  <c r="Q32" i="61"/>
  <c r="Q33" i="61"/>
  <c r="Q34" i="61"/>
  <c r="Q35" i="61"/>
  <c r="Q36" i="61"/>
  <c r="Q37" i="61"/>
  <c r="Q38" i="61"/>
  <c r="Q39" i="61"/>
  <c r="Q90" i="61"/>
  <c r="Q91" i="61"/>
  <c r="Q92" i="61"/>
  <c r="Q93" i="61"/>
  <c r="Q94" i="61"/>
  <c r="Q95" i="61"/>
  <c r="Q96" i="61"/>
  <c r="Q97" i="61"/>
  <c r="Q98" i="61"/>
  <c r="Q99" i="61"/>
  <c r="N25" i="61"/>
  <c r="Q25" i="61" s="1"/>
  <c r="O25" i="61"/>
  <c r="N26" i="61"/>
  <c r="O26" i="61"/>
  <c r="P26" i="61"/>
  <c r="N27" i="61"/>
  <c r="Q27" i="61" s="1"/>
  <c r="O27" i="61"/>
  <c r="P27" i="61"/>
  <c r="N28" i="61"/>
  <c r="Q28" i="61" s="1"/>
  <c r="O28" i="61"/>
  <c r="P28" i="61"/>
  <c r="N29" i="61"/>
  <c r="O29" i="61"/>
  <c r="P29" i="61"/>
  <c r="N30" i="61"/>
  <c r="O30" i="61"/>
  <c r="P30" i="61"/>
  <c r="N31" i="61"/>
  <c r="O31" i="61"/>
  <c r="P31" i="61"/>
  <c r="N32" i="61"/>
  <c r="O32" i="61"/>
  <c r="P32" i="61"/>
  <c r="R32" i="61" s="1"/>
  <c r="N33" i="61"/>
  <c r="O33" i="61"/>
  <c r="P33" i="61"/>
  <c r="N34" i="61"/>
  <c r="O34" i="61"/>
  <c r="P34" i="61"/>
  <c r="N35" i="61"/>
  <c r="O35" i="61"/>
  <c r="P35" i="61"/>
  <c r="N36" i="61"/>
  <c r="O36" i="61"/>
  <c r="P36" i="61"/>
  <c r="R36" i="61" s="1"/>
  <c r="N37" i="61"/>
  <c r="O37" i="61"/>
  <c r="P37" i="61"/>
  <c r="N38" i="61"/>
  <c r="O38" i="61"/>
  <c r="P38" i="61"/>
  <c r="R38" i="61" s="1"/>
  <c r="N39" i="61"/>
  <c r="O39" i="61"/>
  <c r="P39" i="61"/>
  <c r="N89" i="61"/>
  <c r="Q89" i="61" s="1"/>
  <c r="O89" i="61"/>
  <c r="P89" i="61"/>
  <c r="N90" i="61"/>
  <c r="O90" i="61"/>
  <c r="P90" i="61"/>
  <c r="N91" i="61"/>
  <c r="O91" i="61"/>
  <c r="P91" i="61"/>
  <c r="N92" i="61"/>
  <c r="O92" i="61"/>
  <c r="P92" i="61"/>
  <c r="N93" i="61"/>
  <c r="O93" i="61"/>
  <c r="P93" i="61"/>
  <c r="N94" i="61"/>
  <c r="O94" i="61"/>
  <c r="P94" i="61"/>
  <c r="G26" i="61"/>
  <c r="H26" i="61"/>
  <c r="I26" i="61"/>
  <c r="G27" i="61"/>
  <c r="H27" i="61"/>
  <c r="I27" i="61"/>
  <c r="R40" i="61" l="1"/>
  <c r="R94" i="61"/>
  <c r="R26" i="61"/>
  <c r="R37" i="61"/>
  <c r="R90" i="61"/>
  <c r="R34" i="61"/>
  <c r="R92" i="61"/>
  <c r="R28" i="61"/>
  <c r="R30" i="61"/>
  <c r="R91" i="61"/>
  <c r="R35" i="61"/>
  <c r="R27" i="61"/>
  <c r="R93" i="61"/>
  <c r="R29" i="61"/>
  <c r="R39" i="61"/>
  <c r="R31" i="61"/>
  <c r="R89" i="61"/>
  <c r="R33" i="61"/>
  <c r="H37" i="40" l="1"/>
  <c r="M34" i="40"/>
  <c r="N34" i="40"/>
  <c r="O34" i="40"/>
  <c r="P34" i="40"/>
  <c r="Q34" i="40"/>
  <c r="L34" i="40"/>
  <c r="H38" i="40"/>
  <c r="J31" i="39"/>
  <c r="J34" i="40" l="1"/>
  <c r="H81" i="63" l="1"/>
  <c r="H79" i="63"/>
  <c r="M58" i="63"/>
  <c r="M131" i="63" s="1"/>
  <c r="N58" i="63"/>
  <c r="N131" i="63" s="1"/>
  <c r="O58" i="63"/>
  <c r="O131" i="63" s="1"/>
  <c r="P58" i="63"/>
  <c r="P131" i="63" s="1"/>
  <c r="Q58" i="63"/>
  <c r="Q131" i="63" s="1"/>
  <c r="L58" i="63"/>
  <c r="L61" i="63"/>
  <c r="J131" i="63" l="1"/>
  <c r="N52" i="27" l="1"/>
  <c r="N53" i="27"/>
  <c r="N54" i="27"/>
  <c r="N55" i="27"/>
  <c r="AD17" i="27"/>
  <c r="AD22" i="27" s="1"/>
  <c r="AD45" i="27" l="1"/>
  <c r="M55" i="63" l="1"/>
  <c r="N55" i="63"/>
  <c r="O55" i="63"/>
  <c r="P55" i="63"/>
  <c r="Q55" i="63"/>
  <c r="L55" i="63"/>
  <c r="H72" i="63"/>
  <c r="H75" i="63" l="1"/>
  <c r="H76" i="63"/>
  <c r="H77" i="63"/>
  <c r="L32" i="63" l="1"/>
  <c r="M32" i="63"/>
  <c r="N32" i="63"/>
  <c r="O32" i="63"/>
  <c r="P32" i="63"/>
  <c r="Q32" i="63"/>
  <c r="L33" i="63"/>
  <c r="M33" i="63"/>
  <c r="N33" i="63"/>
  <c r="O33" i="63"/>
  <c r="P33" i="63"/>
  <c r="Q33" i="63"/>
  <c r="L36" i="63"/>
  <c r="M36" i="63"/>
  <c r="N36" i="63"/>
  <c r="O36" i="63"/>
  <c r="P36" i="63"/>
  <c r="Q36" i="63"/>
  <c r="L37" i="63"/>
  <c r="M37" i="63"/>
  <c r="N37" i="63"/>
  <c r="O37" i="63"/>
  <c r="P37" i="63"/>
  <c r="Q37" i="63"/>
  <c r="L38" i="63"/>
  <c r="M38" i="63"/>
  <c r="N38" i="63"/>
  <c r="O38" i="63"/>
  <c r="P38" i="63"/>
  <c r="Q38" i="63"/>
  <c r="L41" i="63"/>
  <c r="M41" i="63"/>
  <c r="N41" i="63"/>
  <c r="O41" i="63"/>
  <c r="P41" i="63"/>
  <c r="Q41" i="63"/>
  <c r="L42" i="63"/>
  <c r="M42" i="63"/>
  <c r="N42" i="63"/>
  <c r="O42" i="63"/>
  <c r="P42" i="63"/>
  <c r="Q42" i="63"/>
  <c r="L43" i="63"/>
  <c r="M43" i="63"/>
  <c r="N43" i="63"/>
  <c r="O43" i="63"/>
  <c r="P43" i="63"/>
  <c r="Q43" i="63"/>
  <c r="M31" i="63"/>
  <c r="N31" i="63"/>
  <c r="O31" i="63"/>
  <c r="P31" i="63"/>
  <c r="Q31" i="63"/>
  <c r="L31" i="63"/>
  <c r="L91" i="63" l="1"/>
  <c r="N91" i="63"/>
  <c r="P91" i="63"/>
  <c r="O91" i="63"/>
  <c r="M92" i="63"/>
  <c r="Q91" i="63"/>
  <c r="M91" i="63"/>
  <c r="N93" i="63"/>
  <c r="P92" i="63"/>
  <c r="L92" i="63"/>
  <c r="O93" i="63"/>
  <c r="Q92" i="63"/>
  <c r="Q93" i="63"/>
  <c r="M93" i="63"/>
  <c r="O92" i="63"/>
  <c r="P93" i="63"/>
  <c r="L93" i="63"/>
  <c r="N92" i="63"/>
  <c r="L46" i="63"/>
  <c r="M46" i="63"/>
  <c r="N46" i="63"/>
  <c r="O46" i="63"/>
  <c r="P46" i="63"/>
  <c r="Q46" i="63"/>
  <c r="L52" i="63"/>
  <c r="M52" i="63"/>
  <c r="N52" i="63"/>
  <c r="O52" i="63"/>
  <c r="P52" i="63"/>
  <c r="Q52" i="63"/>
  <c r="L53" i="63"/>
  <c r="M53" i="63"/>
  <c r="N53" i="63"/>
  <c r="O53" i="63"/>
  <c r="P53" i="63"/>
  <c r="Q53" i="63"/>
  <c r="L54" i="63"/>
  <c r="M54" i="63"/>
  <c r="N54" i="63"/>
  <c r="O54" i="63"/>
  <c r="P54" i="63"/>
  <c r="Q54" i="63"/>
  <c r="O114" i="63" l="1"/>
  <c r="P114" i="63"/>
  <c r="N114" i="63"/>
  <c r="M114" i="63"/>
  <c r="L114" i="63"/>
  <c r="J93" i="63"/>
  <c r="J91" i="63"/>
  <c r="J92" i="63"/>
  <c r="H95" i="63" l="1"/>
  <c r="H96" i="63" s="1"/>
  <c r="H58" i="27" l="1"/>
  <c r="M61" i="63"/>
  <c r="N61" i="63"/>
  <c r="O61" i="63"/>
  <c r="P61" i="63"/>
  <c r="Q61" i="63"/>
  <c r="H83" i="63"/>
  <c r="H78" i="63"/>
  <c r="O64" i="27" l="1"/>
  <c r="O63" i="27"/>
  <c r="O67" i="27" s="1"/>
  <c r="O72" i="27" s="1"/>
  <c r="H35" i="69" s="1"/>
  <c r="J61" i="63"/>
  <c r="H97" i="63" s="1"/>
  <c r="O56" i="69" l="1"/>
  <c r="Q57" i="69"/>
  <c r="P56" i="69"/>
  <c r="L56" i="69"/>
  <c r="Q56" i="69"/>
  <c r="M57" i="69"/>
  <c r="N56" i="69"/>
  <c r="N57" i="69"/>
  <c r="P57" i="69"/>
  <c r="O57" i="69"/>
  <c r="M56" i="69"/>
  <c r="L57" i="69"/>
  <c r="P99" i="63"/>
  <c r="P101" i="63" s="1"/>
  <c r="M99" i="63"/>
  <c r="M101" i="63" s="1"/>
  <c r="Q99" i="63"/>
  <c r="Q101" i="63" s="1"/>
  <c r="O99" i="63"/>
  <c r="O101" i="63" s="1"/>
  <c r="N99" i="63"/>
  <c r="N101" i="63" s="1"/>
  <c r="L99" i="63"/>
  <c r="L101" i="63" s="1"/>
  <c r="J16" i="46"/>
  <c r="J57" i="69" l="1"/>
  <c r="J56" i="69"/>
  <c r="J101" i="63"/>
  <c r="J99" i="63"/>
  <c r="P95" i="61" l="1"/>
  <c r="R95" i="61" s="1"/>
  <c r="P96" i="61"/>
  <c r="R96" i="61" s="1"/>
  <c r="P97" i="61"/>
  <c r="R97" i="61" s="1"/>
  <c r="P98" i="61"/>
  <c r="R98" i="61" s="1"/>
  <c r="P99" i="61"/>
  <c r="R99" i="61" s="1"/>
  <c r="P100" i="61"/>
  <c r="G94" i="61" l="1"/>
  <c r="H94" i="61"/>
  <c r="I94" i="61"/>
  <c r="G95" i="61"/>
  <c r="H95" i="61"/>
  <c r="I95" i="61"/>
  <c r="N95" i="61"/>
  <c r="O95" i="61"/>
  <c r="G96" i="61"/>
  <c r="H96" i="61"/>
  <c r="I96" i="61"/>
  <c r="N96" i="61"/>
  <c r="O96" i="61"/>
  <c r="G97" i="61"/>
  <c r="H97" i="61"/>
  <c r="I97" i="61"/>
  <c r="N97" i="61"/>
  <c r="O97" i="61"/>
  <c r="G98" i="61"/>
  <c r="H98" i="61"/>
  <c r="I98" i="61"/>
  <c r="N98" i="61"/>
  <c r="O98" i="61"/>
  <c r="G99" i="61"/>
  <c r="H99" i="61"/>
  <c r="I99" i="61"/>
  <c r="N99" i="61"/>
  <c r="O99" i="61"/>
  <c r="G100" i="61"/>
  <c r="H100" i="61"/>
  <c r="I100" i="61"/>
  <c r="N100" i="61"/>
  <c r="Q100" i="61" s="1"/>
  <c r="R100" i="61" s="1"/>
  <c r="O100" i="61"/>
  <c r="H19" i="61" l="1"/>
  <c r="J17" i="27"/>
  <c r="J22" i="27" s="1"/>
  <c r="J25" i="27" s="1"/>
  <c r="K17" i="27"/>
  <c r="L17" i="27"/>
  <c r="L22" i="27" s="1"/>
  <c r="L27" i="27" s="1"/>
  <c r="M17" i="27"/>
  <c r="M22" i="27" s="1"/>
  <c r="M28" i="27" s="1"/>
  <c r="N17" i="27"/>
  <c r="N22" i="27" s="1"/>
  <c r="N29" i="27" s="1"/>
  <c r="O17" i="27"/>
  <c r="O22" i="27" s="1"/>
  <c r="O30" i="27" s="1"/>
  <c r="H18" i="61" s="1"/>
  <c r="P17" i="27"/>
  <c r="P22" i="27" s="1"/>
  <c r="P31" i="27" s="1"/>
  <c r="Q17" i="27"/>
  <c r="Q22" i="27" s="1"/>
  <c r="Q32" i="27" s="1"/>
  <c r="R17" i="27"/>
  <c r="R22" i="27" s="1"/>
  <c r="R33" i="27" s="1"/>
  <c r="S17" i="27"/>
  <c r="S22" i="27" s="1"/>
  <c r="S34" i="27" s="1"/>
  <c r="T17" i="27"/>
  <c r="T22" i="27" s="1"/>
  <c r="T35" i="27" s="1"/>
  <c r="U17" i="27"/>
  <c r="U22" i="27" s="1"/>
  <c r="U36" i="27" s="1"/>
  <c r="V17" i="27"/>
  <c r="V22" i="27" s="1"/>
  <c r="V37" i="27" s="1"/>
  <c r="W17" i="27"/>
  <c r="X17" i="27"/>
  <c r="X22" i="27" s="1"/>
  <c r="X39" i="27" s="1"/>
  <c r="Y17" i="27"/>
  <c r="Y22" i="27" s="1"/>
  <c r="Y40" i="27" s="1"/>
  <c r="Z17" i="27"/>
  <c r="Z22" i="27" s="1"/>
  <c r="Z41" i="27" s="1"/>
  <c r="AA17" i="27"/>
  <c r="AA22" i="27" s="1"/>
  <c r="AA42" i="27" s="1"/>
  <c r="AB17" i="27"/>
  <c r="AB22" i="27" s="1"/>
  <c r="AB43" i="27" s="1"/>
  <c r="AC17" i="27"/>
  <c r="AC22" i="27" s="1"/>
  <c r="AC44" i="27" s="1"/>
  <c r="AD44" i="27" s="1"/>
  <c r="I17" i="27"/>
  <c r="I22" i="27" s="1"/>
  <c r="W22" i="27"/>
  <c r="W38" i="27" s="1"/>
  <c r="K22" i="27"/>
  <c r="K26" i="27" s="1"/>
  <c r="H93" i="61"/>
  <c r="H89" i="61"/>
  <c r="H90" i="61"/>
  <c r="H91" i="61"/>
  <c r="H92" i="61"/>
  <c r="I89" i="61"/>
  <c r="I90" i="61"/>
  <c r="I91" i="61"/>
  <c r="I92" i="61"/>
  <c r="I93" i="61"/>
  <c r="I28" i="61"/>
  <c r="I29" i="61"/>
  <c r="I30" i="61"/>
  <c r="I31" i="61"/>
  <c r="I32" i="61"/>
  <c r="I33" i="61"/>
  <c r="I34" i="61"/>
  <c r="I35" i="61"/>
  <c r="I36" i="61"/>
  <c r="I37" i="61"/>
  <c r="I38" i="61"/>
  <c r="I39" i="61"/>
  <c r="I88" i="61"/>
  <c r="H28" i="61"/>
  <c r="H29" i="61"/>
  <c r="H30" i="61"/>
  <c r="H31" i="61"/>
  <c r="H32" i="61"/>
  <c r="H33" i="61"/>
  <c r="H34" i="61"/>
  <c r="H35" i="61"/>
  <c r="H36" i="61"/>
  <c r="H37" i="61"/>
  <c r="H38" i="61"/>
  <c r="H39" i="61"/>
  <c r="H88" i="61"/>
  <c r="H25" i="61"/>
  <c r="I25" i="61"/>
  <c r="G93" i="61"/>
  <c r="G92" i="61"/>
  <c r="G91" i="61"/>
  <c r="G90" i="61"/>
  <c r="G89" i="61"/>
  <c r="G88" i="61"/>
  <c r="G39" i="61"/>
  <c r="G38" i="61"/>
  <c r="G37" i="61"/>
  <c r="G36" i="61"/>
  <c r="G35" i="61"/>
  <c r="G34" i="61"/>
  <c r="G33" i="61"/>
  <c r="G32" i="61"/>
  <c r="G31" i="61"/>
  <c r="G30" i="61"/>
  <c r="G29" i="61"/>
  <c r="G28" i="61"/>
  <c r="G25" i="61"/>
  <c r="P25" i="61" l="1"/>
  <c r="R25" i="61" s="1"/>
  <c r="P49" i="61"/>
  <c r="R49" i="61" s="1"/>
  <c r="P50" i="61"/>
  <c r="R50" i="61" s="1"/>
  <c r="P52" i="61"/>
  <c r="R52" i="61" s="1"/>
  <c r="P51" i="61"/>
  <c r="R51" i="61" s="1"/>
  <c r="Z40" i="27"/>
  <c r="AA40" i="27" s="1"/>
  <c r="AB40" i="27" s="1"/>
  <c r="AC40" i="27" s="1"/>
  <c r="AD40" i="27" s="1"/>
  <c r="R32" i="27"/>
  <c r="S32" i="27" s="1"/>
  <c r="T32" i="27" s="1"/>
  <c r="U32" i="27" s="1"/>
  <c r="V32" i="27" s="1"/>
  <c r="W32" i="27" s="1"/>
  <c r="X32" i="27" s="1"/>
  <c r="Y32" i="27" s="1"/>
  <c r="Z32" i="27" s="1"/>
  <c r="AA32" i="27" s="1"/>
  <c r="AB32" i="27" s="1"/>
  <c r="AC32" i="27" s="1"/>
  <c r="AD32" i="27" s="1"/>
  <c r="N28" i="27"/>
  <c r="O28" i="27" s="1"/>
  <c r="V36" i="27"/>
  <c r="W36" i="27" s="1"/>
  <c r="X36" i="27" s="1"/>
  <c r="Y36" i="27" s="1"/>
  <c r="Z36" i="27" s="1"/>
  <c r="AA36" i="27" s="1"/>
  <c r="AB36" i="27" s="1"/>
  <c r="AC36" i="27" s="1"/>
  <c r="AD36" i="27" s="1"/>
  <c r="T34" i="27"/>
  <c r="U34" i="27" s="1"/>
  <c r="V34" i="27" s="1"/>
  <c r="W34" i="27" s="1"/>
  <c r="X34" i="27" s="1"/>
  <c r="Y34" i="27" s="1"/>
  <c r="Z34" i="27" s="1"/>
  <c r="AA34" i="27" s="1"/>
  <c r="AB34" i="27" s="1"/>
  <c r="AC34" i="27" s="1"/>
  <c r="AD34" i="27" s="1"/>
  <c r="P30" i="27"/>
  <c r="Q30" i="27" s="1"/>
  <c r="R30" i="27" s="1"/>
  <c r="S30" i="27" s="1"/>
  <c r="T30" i="27" s="1"/>
  <c r="U30" i="27" s="1"/>
  <c r="V30" i="27" s="1"/>
  <c r="W30" i="27" s="1"/>
  <c r="X30" i="27" s="1"/>
  <c r="Y30" i="27" s="1"/>
  <c r="Z30" i="27" s="1"/>
  <c r="AA30" i="27" s="1"/>
  <c r="AB30" i="27" s="1"/>
  <c r="AC30" i="27" s="1"/>
  <c r="AD30" i="27" s="1"/>
  <c r="AB42" i="27"/>
  <c r="AC42" i="27" s="1"/>
  <c r="AD42" i="27" s="1"/>
  <c r="L26" i="27"/>
  <c r="M26" i="27" s="1"/>
  <c r="N26" i="27" s="1"/>
  <c r="O26" i="27" s="1"/>
  <c r="O29" i="27"/>
  <c r="S33" i="27"/>
  <c r="T33" i="27" s="1"/>
  <c r="U33" i="27" s="1"/>
  <c r="V33" i="27" s="1"/>
  <c r="W33" i="27" s="1"/>
  <c r="X33" i="27" s="1"/>
  <c r="Y33" i="27" s="1"/>
  <c r="Z33" i="27" s="1"/>
  <c r="AA33" i="27" s="1"/>
  <c r="AB33" i="27" s="1"/>
  <c r="AC33" i="27" s="1"/>
  <c r="AD33" i="27" s="1"/>
  <c r="W37" i="27"/>
  <c r="X37" i="27" s="1"/>
  <c r="Y37" i="27" s="1"/>
  <c r="Z37" i="27" s="1"/>
  <c r="AA37" i="27" s="1"/>
  <c r="AB37" i="27" s="1"/>
  <c r="AC37" i="27" s="1"/>
  <c r="AD37" i="27" s="1"/>
  <c r="AA41" i="27"/>
  <c r="AB41" i="27" s="1"/>
  <c r="AC41" i="27" s="1"/>
  <c r="AD41" i="27" s="1"/>
  <c r="K25" i="27"/>
  <c r="L25" i="27" s="1"/>
  <c r="M25" i="27" s="1"/>
  <c r="N25" i="27" s="1"/>
  <c r="O25" i="27" s="1"/>
  <c r="X38" i="27"/>
  <c r="Y38" i="27" s="1"/>
  <c r="Z38" i="27" s="1"/>
  <c r="AA38" i="27" s="1"/>
  <c r="AB38" i="27" s="1"/>
  <c r="AC38" i="27" s="1"/>
  <c r="AD38" i="27" s="1"/>
  <c r="M27" i="27"/>
  <c r="N27" i="27" s="1"/>
  <c r="O27" i="27" s="1"/>
  <c r="Y39" i="27"/>
  <c r="Z39" i="27" s="1"/>
  <c r="AA39" i="27" s="1"/>
  <c r="AB39" i="27" s="1"/>
  <c r="AC39" i="27" s="1"/>
  <c r="AD39" i="27" s="1"/>
  <c r="Q31" i="27"/>
  <c r="R31" i="27" s="1"/>
  <c r="S31" i="27" s="1"/>
  <c r="T31" i="27" s="1"/>
  <c r="U31" i="27" s="1"/>
  <c r="V31" i="27" s="1"/>
  <c r="W31" i="27" s="1"/>
  <c r="X31" i="27" s="1"/>
  <c r="Y31" i="27" s="1"/>
  <c r="Z31" i="27" s="1"/>
  <c r="AA31" i="27" s="1"/>
  <c r="AB31" i="27" s="1"/>
  <c r="AC31" i="27" s="1"/>
  <c r="AD31" i="27" s="1"/>
  <c r="U35" i="27"/>
  <c r="V35" i="27" s="1"/>
  <c r="W35" i="27" s="1"/>
  <c r="X35" i="27" s="1"/>
  <c r="Y35" i="27" s="1"/>
  <c r="Z35" i="27" s="1"/>
  <c r="AA35" i="27" s="1"/>
  <c r="AB35" i="27" s="1"/>
  <c r="AC35" i="27" s="1"/>
  <c r="AD35" i="27" s="1"/>
  <c r="AC43" i="27"/>
  <c r="AD43" i="27" s="1"/>
  <c r="P28" i="27" l="1"/>
  <c r="Q28" i="27" s="1"/>
  <c r="R28" i="27" s="1"/>
  <c r="S28" i="27" s="1"/>
  <c r="T28" i="27" s="1"/>
  <c r="U28" i="27" s="1"/>
  <c r="V28" i="27" s="1"/>
  <c r="W28" i="27" s="1"/>
  <c r="X28" i="27" s="1"/>
  <c r="Y28" i="27" s="1"/>
  <c r="Z28" i="27" s="1"/>
  <c r="AA28" i="27" s="1"/>
  <c r="AB28" i="27" s="1"/>
  <c r="AC28" i="27" s="1"/>
  <c r="AD28" i="27" s="1"/>
  <c r="H16" i="61"/>
  <c r="P25" i="27"/>
  <c r="Q25" i="27" s="1"/>
  <c r="R25" i="27" s="1"/>
  <c r="S25" i="27" s="1"/>
  <c r="T25" i="27" s="1"/>
  <c r="U25" i="27" s="1"/>
  <c r="V25" i="27" s="1"/>
  <c r="W25" i="27" s="1"/>
  <c r="X25" i="27" s="1"/>
  <c r="Y25" i="27" s="1"/>
  <c r="Z25" i="27" s="1"/>
  <c r="AA25" i="27" s="1"/>
  <c r="AB25" i="27" s="1"/>
  <c r="AC25" i="27" s="1"/>
  <c r="AD25" i="27" s="1"/>
  <c r="H13" i="61"/>
  <c r="P29" i="27"/>
  <c r="Q29" i="27" s="1"/>
  <c r="R29" i="27" s="1"/>
  <c r="S29" i="27" s="1"/>
  <c r="T29" i="27" s="1"/>
  <c r="U29" i="27" s="1"/>
  <c r="V29" i="27" s="1"/>
  <c r="W29" i="27" s="1"/>
  <c r="X29" i="27" s="1"/>
  <c r="Y29" i="27" s="1"/>
  <c r="Z29" i="27" s="1"/>
  <c r="AA29" i="27" s="1"/>
  <c r="AB29" i="27" s="1"/>
  <c r="AC29" i="27" s="1"/>
  <c r="AD29" i="27" s="1"/>
  <c r="H17" i="61"/>
  <c r="P27" i="27"/>
  <c r="Q27" i="27" s="1"/>
  <c r="R27" i="27" s="1"/>
  <c r="S27" i="27" s="1"/>
  <c r="T27" i="27" s="1"/>
  <c r="U27" i="27" s="1"/>
  <c r="V27" i="27" s="1"/>
  <c r="W27" i="27" s="1"/>
  <c r="X27" i="27" s="1"/>
  <c r="Y27" i="27" s="1"/>
  <c r="Z27" i="27" s="1"/>
  <c r="AA27" i="27" s="1"/>
  <c r="AB27" i="27" s="1"/>
  <c r="AC27" i="27" s="1"/>
  <c r="AD27" i="27" s="1"/>
  <c r="H15" i="61"/>
  <c r="P26" i="27"/>
  <c r="Q26" i="27" s="1"/>
  <c r="R26" i="27" s="1"/>
  <c r="S26" i="27" s="1"/>
  <c r="T26" i="27" s="1"/>
  <c r="U26" i="27" s="1"/>
  <c r="V26" i="27" s="1"/>
  <c r="W26" i="27" s="1"/>
  <c r="X26" i="27" s="1"/>
  <c r="Y26" i="27" s="1"/>
  <c r="Z26" i="27" s="1"/>
  <c r="AA26" i="27" s="1"/>
  <c r="AB26" i="27" s="1"/>
  <c r="AC26" i="27" s="1"/>
  <c r="AD26" i="27" s="1"/>
  <c r="H14" i="61"/>
  <c r="P48" i="61" l="1"/>
  <c r="R48" i="61" s="1"/>
  <c r="P47" i="61"/>
  <c r="R47" i="61" s="1"/>
  <c r="P45" i="61"/>
  <c r="R45" i="61" s="1"/>
  <c r="P46" i="61"/>
  <c r="R46" i="61" s="1"/>
  <c r="P44" i="61"/>
  <c r="R44" i="61" s="1"/>
  <c r="P43" i="61"/>
  <c r="R43" i="61" s="1"/>
  <c r="P41" i="61"/>
  <c r="R41" i="61" s="1"/>
  <c r="P42" i="61"/>
  <c r="R42" i="61" s="1"/>
  <c r="M29" i="40" l="1"/>
  <c r="N29" i="40"/>
  <c r="O29" i="40"/>
  <c r="P29" i="40"/>
  <c r="Q29" i="40"/>
  <c r="L29" i="40"/>
  <c r="J27" i="39"/>
  <c r="J29" i="40" l="1"/>
  <c r="M27" i="40" l="1"/>
  <c r="M54" i="40" s="1"/>
  <c r="N27" i="40"/>
  <c r="N54" i="40" s="1"/>
  <c r="O27" i="40"/>
  <c r="O54" i="40" s="1"/>
  <c r="P27" i="40"/>
  <c r="P54" i="40" s="1"/>
  <c r="Q27" i="40"/>
  <c r="Q54" i="40" s="1"/>
  <c r="L27" i="40"/>
  <c r="L54" i="40" s="1"/>
  <c r="J25" i="39"/>
  <c r="J27" i="40" l="1"/>
  <c r="H56" i="57" l="1"/>
  <c r="H49" i="57"/>
  <c r="H48" i="57"/>
  <c r="H45" i="57"/>
  <c r="H44" i="57"/>
  <c r="H41" i="57"/>
  <c r="H38" i="57"/>
  <c r="H37" i="57"/>
  <c r="H112" i="57" l="1"/>
  <c r="H99" i="57"/>
  <c r="L60" i="57"/>
  <c r="M60" i="57"/>
  <c r="N60" i="57"/>
  <c r="O60" i="57"/>
  <c r="P60" i="57"/>
  <c r="Q60" i="57"/>
  <c r="L61" i="57"/>
  <c r="M61" i="57"/>
  <c r="N61" i="57"/>
  <c r="O61" i="57"/>
  <c r="P61" i="57"/>
  <c r="Q61" i="57"/>
  <c r="M59" i="57"/>
  <c r="N59" i="57"/>
  <c r="O59" i="57"/>
  <c r="P59" i="57"/>
  <c r="Q59" i="57"/>
  <c r="L59" i="57"/>
  <c r="H54" i="57"/>
  <c r="H53" i="57"/>
  <c r="H52" i="57"/>
  <c r="U31" i="57"/>
  <c r="O85" i="57" s="1"/>
  <c r="U30" i="57"/>
  <c r="O84" i="57" s="1"/>
  <c r="S32" i="57"/>
  <c r="S31" i="57"/>
  <c r="S30" i="57"/>
  <c r="Q32" i="57"/>
  <c r="Q86" i="57" s="1"/>
  <c r="P32" i="57"/>
  <c r="P86" i="57" s="1"/>
  <c r="O32" i="57"/>
  <c r="O86" i="57" s="1"/>
  <c r="N32" i="57"/>
  <c r="N86" i="57" s="1"/>
  <c r="M32" i="57"/>
  <c r="M86" i="57" s="1"/>
  <c r="L32" i="57"/>
  <c r="L86" i="57" s="1"/>
  <c r="Q31" i="57"/>
  <c r="Q85" i="57" s="1"/>
  <c r="P31" i="57"/>
  <c r="O31" i="57"/>
  <c r="N31" i="57"/>
  <c r="N85" i="57" s="1"/>
  <c r="M31" i="57"/>
  <c r="M85" i="57" s="1"/>
  <c r="L31" i="57"/>
  <c r="L85" i="57" s="1"/>
  <c r="Q30" i="57"/>
  <c r="Q84" i="57" s="1"/>
  <c r="P30" i="57"/>
  <c r="O30" i="57"/>
  <c r="N30" i="57"/>
  <c r="N84" i="57" s="1"/>
  <c r="M30" i="57"/>
  <c r="M84" i="57" s="1"/>
  <c r="L30" i="57"/>
  <c r="L84" i="57" s="1"/>
  <c r="S27" i="57"/>
  <c r="S26" i="57"/>
  <c r="S25" i="57"/>
  <c r="L26" i="57"/>
  <c r="L69" i="57" s="1"/>
  <c r="M26" i="57"/>
  <c r="M69" i="57" s="1"/>
  <c r="N26" i="57"/>
  <c r="N69" i="57" s="1"/>
  <c r="O26" i="57"/>
  <c r="O69" i="57" s="1"/>
  <c r="P26" i="57"/>
  <c r="Q26" i="57"/>
  <c r="Q69" i="57" s="1"/>
  <c r="L27" i="57"/>
  <c r="L70" i="57" s="1"/>
  <c r="M27" i="57"/>
  <c r="M70" i="57" s="1"/>
  <c r="N27" i="57"/>
  <c r="N70" i="57" s="1"/>
  <c r="O27" i="57"/>
  <c r="O70" i="57" s="1"/>
  <c r="P27" i="57"/>
  <c r="Q27" i="57"/>
  <c r="Q70" i="57" s="1"/>
  <c r="M25" i="57"/>
  <c r="M68" i="57" s="1"/>
  <c r="N25" i="57"/>
  <c r="N68" i="57" s="1"/>
  <c r="O25" i="57"/>
  <c r="O68" i="57" s="1"/>
  <c r="P25" i="57"/>
  <c r="P68" i="57" s="1"/>
  <c r="Q25" i="57"/>
  <c r="Q68" i="57" s="1"/>
  <c r="L25" i="57"/>
  <c r="L68" i="57" s="1"/>
  <c r="J48" i="55"/>
  <c r="J47" i="55"/>
  <c r="J46" i="55"/>
  <c r="P84" i="57" l="1"/>
  <c r="J84" i="57" s="1"/>
  <c r="J89" i="57" s="1"/>
  <c r="P70" i="57"/>
  <c r="J70" i="57" s="1"/>
  <c r="J75" i="57" s="1"/>
  <c r="P85" i="57"/>
  <c r="J85" i="57" s="1"/>
  <c r="J90" i="57" s="1"/>
  <c r="P69" i="57"/>
  <c r="J69" i="57" s="1"/>
  <c r="J74" i="57" s="1"/>
  <c r="J60" i="57"/>
  <c r="J86" i="57"/>
  <c r="J91" i="57" s="1"/>
  <c r="J61" i="57"/>
  <c r="J59" i="57"/>
  <c r="J68" i="57"/>
  <c r="J93" i="57" l="1"/>
  <c r="J95" i="57" s="1"/>
  <c r="J77" i="57"/>
  <c r="J114" i="57" l="1"/>
  <c r="J115" i="57"/>
  <c r="J117" i="57" s="1"/>
  <c r="H119" i="57" s="1"/>
  <c r="J102" i="57"/>
  <c r="J101" i="57"/>
  <c r="J104" i="57" l="1"/>
  <c r="H106" i="57" s="1"/>
  <c r="L108" i="57" s="1"/>
  <c r="L16" i="28"/>
  <c r="P121" i="57" l="1"/>
  <c r="O121" i="57"/>
  <c r="M121" i="57"/>
  <c r="Q121" i="57"/>
  <c r="N121" i="57"/>
  <c r="L121" i="57"/>
  <c r="O108" i="57"/>
  <c r="P108" i="57"/>
  <c r="M108" i="57"/>
  <c r="Q108" i="57"/>
  <c r="N108" i="57"/>
  <c r="L28" i="31"/>
  <c r="M28" i="31"/>
  <c r="M44" i="31" s="1"/>
  <c r="N28" i="31"/>
  <c r="N44" i="31" s="1"/>
  <c r="O28" i="31"/>
  <c r="O44" i="31" s="1"/>
  <c r="P28" i="31"/>
  <c r="P44" i="31" s="1"/>
  <c r="Q28" i="31"/>
  <c r="Q44" i="31" s="1"/>
  <c r="M27" i="31"/>
  <c r="M37" i="31" s="1"/>
  <c r="N27" i="31"/>
  <c r="N37" i="31" s="1"/>
  <c r="O27" i="31"/>
  <c r="O37" i="31" s="1"/>
  <c r="P27" i="31"/>
  <c r="P37" i="31" s="1"/>
  <c r="Q27" i="31"/>
  <c r="Q37" i="31" s="1"/>
  <c r="L27" i="31"/>
  <c r="L44" i="31" l="1"/>
  <c r="J44" i="31" s="1"/>
  <c r="J28" i="31"/>
  <c r="L37" i="31"/>
  <c r="J37" i="31" s="1"/>
  <c r="J27" i="31"/>
  <c r="M18" i="58"/>
  <c r="N18" i="58"/>
  <c r="O18" i="58"/>
  <c r="P18" i="58"/>
  <c r="Q18" i="58"/>
  <c r="M19" i="58"/>
  <c r="N19" i="58"/>
  <c r="O19" i="58"/>
  <c r="P19" i="58"/>
  <c r="Q19" i="58"/>
  <c r="M20" i="58"/>
  <c r="N20" i="58"/>
  <c r="O20" i="58"/>
  <c r="P20" i="58"/>
  <c r="Q20" i="58"/>
  <c r="M23" i="58"/>
  <c r="N23" i="58"/>
  <c r="O23" i="58"/>
  <c r="P23" i="58"/>
  <c r="Q23" i="58"/>
  <c r="M24" i="58"/>
  <c r="N24" i="58"/>
  <c r="O24" i="58"/>
  <c r="P24" i="58"/>
  <c r="Q24" i="58"/>
  <c r="M25" i="58"/>
  <c r="N25" i="58"/>
  <c r="O25" i="58"/>
  <c r="P25" i="58"/>
  <c r="Q25" i="58"/>
  <c r="M32" i="58"/>
  <c r="N32" i="58"/>
  <c r="O32" i="58"/>
  <c r="P32" i="58"/>
  <c r="Q32" i="58"/>
  <c r="O41" i="58" l="1"/>
  <c r="P40" i="58"/>
  <c r="Q39" i="58"/>
  <c r="M39" i="58"/>
  <c r="O40" i="58"/>
  <c r="N41" i="58"/>
  <c r="P39" i="58"/>
  <c r="P41" i="58"/>
  <c r="Q40" i="58"/>
  <c r="M40" i="58"/>
  <c r="N39" i="58"/>
  <c r="Q41" i="58"/>
  <c r="M41" i="58"/>
  <c r="N40" i="58"/>
  <c r="O39" i="58"/>
  <c r="Q24" i="40" l="1"/>
  <c r="P24" i="40"/>
  <c r="O24" i="40"/>
  <c r="N24" i="40"/>
  <c r="M24" i="40"/>
  <c r="L24" i="40"/>
  <c r="M23" i="40"/>
  <c r="N23" i="40"/>
  <c r="O23" i="40"/>
  <c r="P23" i="40"/>
  <c r="Q23" i="40"/>
  <c r="Q20" i="40"/>
  <c r="P20" i="40"/>
  <c r="O20" i="40"/>
  <c r="N20" i="40"/>
  <c r="M20" i="40"/>
  <c r="L20" i="40"/>
  <c r="M19" i="40"/>
  <c r="N19" i="40"/>
  <c r="O19" i="40"/>
  <c r="P19" i="40"/>
  <c r="Q19" i="40"/>
  <c r="M13" i="24" l="1"/>
  <c r="N13" i="24"/>
  <c r="O13" i="24"/>
  <c r="P13" i="24"/>
  <c r="Q13" i="24"/>
  <c r="L13" i="24"/>
  <c r="L23" i="58" l="1"/>
  <c r="L24" i="58"/>
  <c r="L25" i="58"/>
  <c r="L18" i="58"/>
  <c r="L19" i="58"/>
  <c r="L20" i="58"/>
  <c r="L32" i="58"/>
  <c r="H29" i="58"/>
  <c r="H30" i="58"/>
  <c r="H28" i="58"/>
  <c r="J38" i="53"/>
  <c r="J28" i="53"/>
  <c r="J27" i="53"/>
  <c r="J26" i="53"/>
  <c r="J22" i="53"/>
  <c r="J21" i="53"/>
  <c r="J20" i="53"/>
  <c r="L40" i="58" l="1"/>
  <c r="L39" i="58"/>
  <c r="P43" i="58"/>
  <c r="P45" i="58" s="1"/>
  <c r="N43" i="58"/>
  <c r="N45" i="58" s="1"/>
  <c r="M43" i="58"/>
  <c r="M45" i="58" s="1"/>
  <c r="Q43" i="58"/>
  <c r="Q45" i="58" s="1"/>
  <c r="O43" i="58"/>
  <c r="O45" i="58" s="1"/>
  <c r="L41" i="58"/>
  <c r="J19" i="58"/>
  <c r="J20" i="58"/>
  <c r="J18" i="58"/>
  <c r="J24" i="58"/>
  <c r="J23" i="58"/>
  <c r="J32" i="58"/>
  <c r="J25" i="58"/>
  <c r="L43" i="58" l="1"/>
  <c r="L45" i="58" s="1"/>
  <c r="N31" i="40"/>
  <c r="O31" i="40"/>
  <c r="P31" i="40"/>
  <c r="Q31" i="40"/>
  <c r="M31" i="40"/>
  <c r="L31" i="40"/>
  <c r="J45" i="58" l="1"/>
  <c r="J43" i="58"/>
  <c r="J54" i="40"/>
  <c r="H55" i="40" s="1"/>
  <c r="L57" i="40" s="1"/>
  <c r="L58" i="40" s="1"/>
  <c r="M27" i="56"/>
  <c r="N27" i="56"/>
  <c r="O27" i="56"/>
  <c r="P27" i="56"/>
  <c r="Q27" i="56"/>
  <c r="L27" i="56"/>
  <c r="L24" i="56"/>
  <c r="M24" i="56"/>
  <c r="N24" i="56"/>
  <c r="O24" i="56"/>
  <c r="P24" i="56"/>
  <c r="Q24" i="56"/>
  <c r="M23" i="56"/>
  <c r="N23" i="56"/>
  <c r="O23" i="56"/>
  <c r="P23" i="56"/>
  <c r="Q23" i="56"/>
  <c r="L23" i="56"/>
  <c r="L20" i="56"/>
  <c r="L41" i="56" s="1"/>
  <c r="M20" i="56"/>
  <c r="M41" i="56" s="1"/>
  <c r="N20" i="56"/>
  <c r="N41" i="56" s="1"/>
  <c r="O20" i="56"/>
  <c r="P20" i="56"/>
  <c r="Q20" i="56"/>
  <c r="M19" i="56"/>
  <c r="N19" i="56"/>
  <c r="O19" i="56"/>
  <c r="O40" i="56" s="1"/>
  <c r="P19" i="56"/>
  <c r="P40" i="56" s="1"/>
  <c r="Q19" i="56"/>
  <c r="Q40" i="56" s="1"/>
  <c r="L19" i="56"/>
  <c r="H30" i="56"/>
  <c r="H37" i="56" s="1"/>
  <c r="N40" i="56" l="1"/>
  <c r="M40" i="56"/>
  <c r="Q41" i="56"/>
  <c r="P41" i="56"/>
  <c r="L40" i="56"/>
  <c r="L44" i="56" s="1"/>
  <c r="O41" i="56"/>
  <c r="O45" i="56" s="1"/>
  <c r="P57" i="40"/>
  <c r="P58" i="40" s="1"/>
  <c r="N57" i="40"/>
  <c r="N58" i="40" s="1"/>
  <c r="M57" i="40"/>
  <c r="M58" i="40" s="1"/>
  <c r="Q57" i="40"/>
  <c r="Q58" i="40" s="1"/>
  <c r="O57" i="40"/>
  <c r="O58" i="40" s="1"/>
  <c r="N45" i="56"/>
  <c r="Q45" i="56"/>
  <c r="M45" i="56"/>
  <c r="P45" i="56"/>
  <c r="L45" i="56"/>
  <c r="N44" i="56"/>
  <c r="M44" i="56"/>
  <c r="Q44" i="56"/>
  <c r="O44" i="56"/>
  <c r="P44" i="56"/>
  <c r="J58" i="40" l="1"/>
  <c r="J57" i="40"/>
  <c r="J40" i="56"/>
  <c r="J41" i="56"/>
  <c r="J45" i="56"/>
  <c r="J44" i="56" l="1"/>
  <c r="H18" i="21"/>
  <c r="L16" i="49" l="1"/>
  <c r="M16" i="49"/>
  <c r="N16" i="49"/>
  <c r="O16" i="49"/>
  <c r="P16" i="49"/>
  <c r="Q16" i="49"/>
  <c r="L18" i="49"/>
  <c r="M18" i="49"/>
  <c r="N18" i="49"/>
  <c r="O18" i="49"/>
  <c r="P18" i="49"/>
  <c r="Q18" i="49"/>
  <c r="L19" i="49"/>
  <c r="M19" i="49"/>
  <c r="N19" i="49"/>
  <c r="O19" i="49"/>
  <c r="P19" i="49"/>
  <c r="Q19" i="49"/>
  <c r="L22" i="49"/>
  <c r="M22" i="49"/>
  <c r="N22" i="49"/>
  <c r="O22" i="49"/>
  <c r="P22" i="49"/>
  <c r="L23" i="49"/>
  <c r="M23" i="49"/>
  <c r="N23" i="49"/>
  <c r="O23" i="49"/>
  <c r="P23" i="49"/>
  <c r="L25" i="49"/>
  <c r="M25" i="49"/>
  <c r="N25" i="49"/>
  <c r="O25" i="49"/>
  <c r="P25" i="49"/>
  <c r="Q25" i="49"/>
  <c r="L26" i="49"/>
  <c r="M26" i="49"/>
  <c r="N26" i="49"/>
  <c r="O26" i="49"/>
  <c r="P26" i="49"/>
  <c r="Q26" i="49"/>
  <c r="M15" i="49"/>
  <c r="N15" i="49"/>
  <c r="O15" i="49"/>
  <c r="P15" i="49"/>
  <c r="Q15" i="49"/>
  <c r="L15" i="49"/>
  <c r="J24" i="46"/>
  <c r="J23" i="46"/>
  <c r="J21" i="46"/>
  <c r="J20" i="46"/>
  <c r="J17" i="46"/>
  <c r="J14" i="46"/>
  <c r="J13" i="46"/>
  <c r="J15" i="49" l="1"/>
  <c r="J33" i="49" s="1"/>
  <c r="J19" i="49"/>
  <c r="J38" i="49" s="1"/>
  <c r="J25" i="49"/>
  <c r="J46" i="49" s="1"/>
  <c r="J22" i="49"/>
  <c r="J42" i="49" s="1"/>
  <c r="J23" i="49"/>
  <c r="J43" i="49" s="1"/>
  <c r="J16" i="49"/>
  <c r="J34" i="49" s="1"/>
  <c r="J18" i="49"/>
  <c r="J37" i="49" s="1"/>
  <c r="J26" i="49"/>
  <c r="J47" i="49" s="1"/>
  <c r="J39" i="49" l="1"/>
  <c r="J48" i="49"/>
  <c r="J35" i="49"/>
  <c r="J44" i="49"/>
  <c r="P51" i="49" l="1"/>
  <c r="L51" i="49"/>
  <c r="O51" i="49"/>
  <c r="Q51" i="49"/>
  <c r="N51" i="49"/>
  <c r="M51" i="49"/>
  <c r="J51" i="49" l="1"/>
  <c r="M53" i="27" l="1"/>
  <c r="M54" i="27"/>
  <c r="M55" i="27"/>
  <c r="N67" i="27" l="1"/>
  <c r="N71" i="27"/>
  <c r="O71" i="27" l="1"/>
  <c r="H65" i="67" s="1"/>
  <c r="L23" i="40"/>
  <c r="L19" i="40"/>
  <c r="P130" i="67" l="1"/>
  <c r="P139" i="67"/>
  <c r="H34" i="69"/>
  <c r="H33" i="56"/>
  <c r="H34" i="58"/>
  <c r="H63" i="57"/>
  <c r="H28" i="49"/>
  <c r="H40" i="40"/>
  <c r="L66" i="40" s="1"/>
  <c r="H86" i="63"/>
  <c r="H15" i="24"/>
  <c r="J20" i="40"/>
  <c r="J19" i="40"/>
  <c r="J24" i="40"/>
  <c r="J23" i="40"/>
  <c r="J21" i="39"/>
  <c r="J20" i="39"/>
  <c r="J17" i="39"/>
  <c r="J16" i="39"/>
  <c r="M66" i="40" l="1"/>
  <c r="M43" i="21" s="1"/>
  <c r="M79" i="31" s="1"/>
  <c r="O66" i="40"/>
  <c r="O43" i="21" s="1"/>
  <c r="O79" i="31" s="1"/>
  <c r="P66" i="40"/>
  <c r="P43" i="21" s="1"/>
  <c r="P79" i="31" s="1"/>
  <c r="Q66" i="40"/>
  <c r="Q43" i="21" s="1"/>
  <c r="Q79" i="31" s="1"/>
  <c r="N66" i="40"/>
  <c r="N43" i="21" s="1"/>
  <c r="N79" i="31" s="1"/>
  <c r="J46" i="40"/>
  <c r="J45" i="40"/>
  <c r="L30" i="31"/>
  <c r="M52" i="27"/>
  <c r="L54" i="27"/>
  <c r="M67" i="27" s="1"/>
  <c r="L55" i="27"/>
  <c r="H17" i="21"/>
  <c r="L43" i="21" l="1"/>
  <c r="J66" i="40"/>
  <c r="N49" i="40"/>
  <c r="Q49" i="40"/>
  <c r="O49" i="40"/>
  <c r="M49" i="40"/>
  <c r="L49" i="40"/>
  <c r="L60" i="40" s="1"/>
  <c r="L64" i="40" s="1"/>
  <c r="P49" i="40"/>
  <c r="M70" i="27"/>
  <c r="H85" i="63" s="1"/>
  <c r="Q111" i="63" s="1"/>
  <c r="Q114" i="63" s="1"/>
  <c r="J114" i="63" s="1"/>
  <c r="H33" i="31"/>
  <c r="L79" i="31" l="1"/>
  <c r="J79" i="31" s="1"/>
  <c r="J43" i="21"/>
  <c r="N70" i="27"/>
  <c r="M60" i="40"/>
  <c r="N60" i="40"/>
  <c r="Q60" i="40"/>
  <c r="O60" i="40"/>
  <c r="P60" i="40"/>
  <c r="O70" i="27" l="1"/>
  <c r="J60" i="40"/>
  <c r="N49" i="56"/>
  <c r="N39" i="21" s="1"/>
  <c r="N75" i="31" s="1"/>
  <c r="L49" i="58"/>
  <c r="L38" i="21" s="1"/>
  <c r="L21" i="24"/>
  <c r="L55" i="49"/>
  <c r="O126" i="57"/>
  <c r="O36" i="21" s="1"/>
  <c r="O72" i="31" s="1"/>
  <c r="N55" i="49"/>
  <c r="N42" i="21" s="1"/>
  <c r="N78" i="31" s="1"/>
  <c r="P55" i="49"/>
  <c r="P42" i="21" s="1"/>
  <c r="P78" i="31" s="1"/>
  <c r="J49" i="40"/>
  <c r="H23" i="31"/>
  <c r="M16" i="28"/>
  <c r="M13" i="21" s="1"/>
  <c r="N16" i="28"/>
  <c r="N13" i="21" s="1"/>
  <c r="O16" i="28"/>
  <c r="O13" i="21" s="1"/>
  <c r="P16" i="28"/>
  <c r="P13" i="21" s="1"/>
  <c r="Q16" i="28"/>
  <c r="Q13" i="21" s="1"/>
  <c r="H33" i="69" l="1"/>
  <c r="H64" i="67"/>
  <c r="Q55" i="49"/>
  <c r="M55" i="49"/>
  <c r="M78" i="31" s="1"/>
  <c r="O49" i="56"/>
  <c r="O39" i="21" s="1"/>
  <c r="O75" i="31" s="1"/>
  <c r="N126" i="57"/>
  <c r="N36" i="21" s="1"/>
  <c r="N72" i="31" s="1"/>
  <c r="Q49" i="56"/>
  <c r="Q39" i="21" s="1"/>
  <c r="Q21" i="24"/>
  <c r="Q33" i="21" s="1"/>
  <c r="M49" i="56"/>
  <c r="O21" i="24"/>
  <c r="N21" i="24"/>
  <c r="N33" i="21" s="1"/>
  <c r="L50" i="56"/>
  <c r="L40" i="21" s="1"/>
  <c r="L76" i="31" s="1"/>
  <c r="M50" i="56"/>
  <c r="P50" i="56"/>
  <c r="P40" i="21" s="1"/>
  <c r="P76" i="31" s="1"/>
  <c r="L49" i="56"/>
  <c r="L39" i="21" s="1"/>
  <c r="L75" i="31" s="1"/>
  <c r="N50" i="56"/>
  <c r="O50" i="56"/>
  <c r="O40" i="21" s="1"/>
  <c r="O76" i="31" s="1"/>
  <c r="P21" i="24"/>
  <c r="P33" i="21" s="1"/>
  <c r="P49" i="56"/>
  <c r="Q50" i="56"/>
  <c r="M125" i="57"/>
  <c r="N125" i="57"/>
  <c r="Q125" i="57"/>
  <c r="Q37" i="21" s="1"/>
  <c r="Q73" i="31" s="1"/>
  <c r="M21" i="24"/>
  <c r="M33" i="21" s="1"/>
  <c r="M64" i="40"/>
  <c r="P64" i="40"/>
  <c r="N64" i="40"/>
  <c r="Q64" i="40"/>
  <c r="O64" i="40"/>
  <c r="O125" i="57"/>
  <c r="O37" i="21" s="1"/>
  <c r="O73" i="31" s="1"/>
  <c r="L125" i="57"/>
  <c r="L37" i="21" s="1"/>
  <c r="L73" i="31" s="1"/>
  <c r="P125" i="57"/>
  <c r="P37" i="21" s="1"/>
  <c r="P73" i="31" s="1"/>
  <c r="L126" i="57"/>
  <c r="P126" i="57"/>
  <c r="P36" i="21" s="1"/>
  <c r="P72" i="31" s="1"/>
  <c r="O55" i="49"/>
  <c r="O78" i="31" s="1"/>
  <c r="M126" i="57"/>
  <c r="M36" i="21" s="1"/>
  <c r="M72" i="31" s="1"/>
  <c r="Q126" i="57"/>
  <c r="Q36" i="21" s="1"/>
  <c r="Q72" i="31" s="1"/>
  <c r="O49" i="58"/>
  <c r="O38" i="21" s="1"/>
  <c r="O74" i="31" s="1"/>
  <c r="M49" i="58"/>
  <c r="M38" i="21" s="1"/>
  <c r="M74" i="31" s="1"/>
  <c r="N49" i="58"/>
  <c r="N38" i="21" s="1"/>
  <c r="N74" i="31" s="1"/>
  <c r="P49" i="58"/>
  <c r="P38" i="21" s="1"/>
  <c r="P74" i="31" s="1"/>
  <c r="Q49" i="58"/>
  <c r="Q38" i="21" s="1"/>
  <c r="Q76" i="31"/>
  <c r="M76" i="31"/>
  <c r="Q75" i="31"/>
  <c r="P75" i="31"/>
  <c r="M75" i="31"/>
  <c r="L74" i="31"/>
  <c r="L13" i="21"/>
  <c r="J13" i="21" s="1"/>
  <c r="H16" i="21"/>
  <c r="M14" i="21"/>
  <c r="N14" i="21"/>
  <c r="O14" i="21"/>
  <c r="O70" i="63" s="1"/>
  <c r="P14" i="21"/>
  <c r="Q14" i="21"/>
  <c r="L14" i="21"/>
  <c r="P141" i="67" l="1"/>
  <c r="P143" i="67" s="1"/>
  <c r="P27" i="21" s="1"/>
  <c r="P132" i="67"/>
  <c r="P134" i="67" s="1"/>
  <c r="P26" i="21" s="1"/>
  <c r="Q42" i="21"/>
  <c r="Q78" i="31" s="1"/>
  <c r="N40" i="21"/>
  <c r="N76" i="31" s="1"/>
  <c r="J76" i="31" s="1"/>
  <c r="J49" i="56"/>
  <c r="N37" i="21"/>
  <c r="N73" i="31" s="1"/>
  <c r="J125" i="57"/>
  <c r="M37" i="21"/>
  <c r="M73" i="31" s="1"/>
  <c r="J50" i="56"/>
  <c r="J126" i="57"/>
  <c r="O102" i="63"/>
  <c r="M70" i="63"/>
  <c r="M102" i="63" s="1"/>
  <c r="Q70" i="63"/>
  <c r="Q102" i="63" s="1"/>
  <c r="P70" i="63"/>
  <c r="P102" i="63" s="1"/>
  <c r="L70" i="63"/>
  <c r="L102" i="63" s="1"/>
  <c r="L103" i="63" s="1"/>
  <c r="N70" i="63"/>
  <c r="N102" i="63" s="1"/>
  <c r="L36" i="21"/>
  <c r="L72" i="31" s="1"/>
  <c r="J72" i="31" s="1"/>
  <c r="J38" i="21"/>
  <c r="J55" i="49"/>
  <c r="Q74" i="31"/>
  <c r="J74" i="31" s="1"/>
  <c r="J49" i="58"/>
  <c r="J75" i="31"/>
  <c r="O21" i="21"/>
  <c r="L21" i="21"/>
  <c r="L20" i="69" s="1"/>
  <c r="J39" i="21"/>
  <c r="L78" i="31"/>
  <c r="Q21" i="21"/>
  <c r="N21" i="21"/>
  <c r="M21" i="21"/>
  <c r="P21" i="21"/>
  <c r="P67" i="31" l="1"/>
  <c r="J67" i="31" s="1"/>
  <c r="J26" i="21"/>
  <c r="P68" i="31"/>
  <c r="J68" i="31" s="1"/>
  <c r="J27" i="21"/>
  <c r="O67" i="63"/>
  <c r="O20" i="69"/>
  <c r="O40" i="69" s="1"/>
  <c r="O51" i="69" s="1"/>
  <c r="P67" i="63"/>
  <c r="P106" i="63" s="1"/>
  <c r="P108" i="63" s="1"/>
  <c r="P20" i="69"/>
  <c r="P40" i="69" s="1"/>
  <c r="P51" i="69" s="1"/>
  <c r="M67" i="63"/>
  <c r="M20" i="69"/>
  <c r="M40" i="69" s="1"/>
  <c r="M51" i="69" s="1"/>
  <c r="Q67" i="63"/>
  <c r="Q20" i="69"/>
  <c r="Q40" i="69" s="1"/>
  <c r="Q51" i="69" s="1"/>
  <c r="N67" i="63"/>
  <c r="N20" i="69"/>
  <c r="N40" i="69" s="1"/>
  <c r="N51" i="69" s="1"/>
  <c r="L40" i="69"/>
  <c r="J42" i="21"/>
  <c r="J78" i="31"/>
  <c r="J40" i="21"/>
  <c r="Q106" i="63"/>
  <c r="Q108" i="63" s="1"/>
  <c r="M106" i="63"/>
  <c r="M108" i="63" s="1"/>
  <c r="N106" i="63"/>
  <c r="N108" i="63" s="1"/>
  <c r="L22" i="21"/>
  <c r="L67" i="63"/>
  <c r="L106" i="63" s="1"/>
  <c r="L108" i="63" s="1"/>
  <c r="O106" i="63"/>
  <c r="O108" i="63" s="1"/>
  <c r="M103" i="63"/>
  <c r="Q103" i="63"/>
  <c r="O103" i="63"/>
  <c r="P103" i="63"/>
  <c r="N103" i="63"/>
  <c r="J73" i="31"/>
  <c r="J37" i="21"/>
  <c r="J102" i="63"/>
  <c r="Q22" i="21"/>
  <c r="M22" i="21"/>
  <c r="N22" i="21"/>
  <c r="O22" i="21"/>
  <c r="P22" i="21"/>
  <c r="N23" i="21" l="1"/>
  <c r="N21" i="69"/>
  <c r="N41" i="69" s="1"/>
  <c r="N52" i="69" s="1"/>
  <c r="J20" i="69"/>
  <c r="O23" i="21"/>
  <c r="O21" i="69"/>
  <c r="O41" i="69" s="1"/>
  <c r="O52" i="69" s="1"/>
  <c r="J40" i="69"/>
  <c r="L51" i="69"/>
  <c r="M23" i="21"/>
  <c r="M21" i="69"/>
  <c r="M41" i="69" s="1"/>
  <c r="M52" i="69" s="1"/>
  <c r="L23" i="21"/>
  <c r="L21" i="69"/>
  <c r="P23" i="21"/>
  <c r="P21" i="69"/>
  <c r="P41" i="69" s="1"/>
  <c r="P52" i="69" s="1"/>
  <c r="Q23" i="21"/>
  <c r="Q21" i="69"/>
  <c r="Q41" i="69" s="1"/>
  <c r="Q52" i="69" s="1"/>
  <c r="Q115" i="63"/>
  <c r="Q120" i="63" s="1"/>
  <c r="P115" i="63"/>
  <c r="P120" i="63" s="1"/>
  <c r="M115" i="63"/>
  <c r="M120" i="63" s="1"/>
  <c r="N115" i="63"/>
  <c r="N120" i="63" s="1"/>
  <c r="J67" i="63"/>
  <c r="O115" i="63"/>
  <c r="O120" i="63" s="1"/>
  <c r="J103" i="63"/>
  <c r="J22" i="21"/>
  <c r="M24" i="21" l="1"/>
  <c r="M22" i="69"/>
  <c r="M42" i="69" s="1"/>
  <c r="M53" i="69" s="1"/>
  <c r="M59" i="69" s="1"/>
  <c r="M34" i="21" s="1"/>
  <c r="M70" i="31" s="1"/>
  <c r="N24" i="21"/>
  <c r="N22" i="69"/>
  <c r="N42" i="69" s="1"/>
  <c r="N53" i="69" s="1"/>
  <c r="N59" i="69" s="1"/>
  <c r="N34" i="21" s="1"/>
  <c r="N70" i="31" s="1"/>
  <c r="J23" i="21"/>
  <c r="Q24" i="21"/>
  <c r="Q22" i="69"/>
  <c r="Q42" i="69" s="1"/>
  <c r="Q53" i="69" s="1"/>
  <c r="Q59" i="69" s="1"/>
  <c r="Q34" i="21" s="1"/>
  <c r="Q70" i="31" s="1"/>
  <c r="L41" i="69"/>
  <c r="J21" i="69"/>
  <c r="O24" i="21"/>
  <c r="O22" i="69"/>
  <c r="O42" i="69" s="1"/>
  <c r="O53" i="69" s="1"/>
  <c r="O59" i="69" s="1"/>
  <c r="O34" i="21" s="1"/>
  <c r="O70" i="31" s="1"/>
  <c r="L24" i="21"/>
  <c r="L22" i="69"/>
  <c r="J51" i="69"/>
  <c r="P24" i="21"/>
  <c r="P22" i="69"/>
  <c r="P42" i="69" s="1"/>
  <c r="P53" i="69" s="1"/>
  <c r="P59" i="69" s="1"/>
  <c r="P34" i="21" s="1"/>
  <c r="P70" i="31" s="1"/>
  <c r="J106" i="63"/>
  <c r="J22" i="69" l="1"/>
  <c r="L42" i="69"/>
  <c r="M65" i="31"/>
  <c r="M29" i="21"/>
  <c r="P29" i="21"/>
  <c r="P65" i="31"/>
  <c r="L65" i="31"/>
  <c r="L29" i="21"/>
  <c r="J24" i="21"/>
  <c r="J41" i="69"/>
  <c r="L52" i="69"/>
  <c r="N29" i="21"/>
  <c r="N65" i="31"/>
  <c r="O29" i="21"/>
  <c r="O65" i="31"/>
  <c r="Q65" i="31"/>
  <c r="Q29" i="21"/>
  <c r="J108" i="63"/>
  <c r="L115" i="63"/>
  <c r="L120" i="63" s="1"/>
  <c r="L41" i="21"/>
  <c r="N41" i="21"/>
  <c r="M41" i="21"/>
  <c r="O41" i="21"/>
  <c r="P41" i="21"/>
  <c r="Q41" i="21"/>
  <c r="J64" i="40"/>
  <c r="J29" i="21" l="1"/>
  <c r="J52" i="69"/>
  <c r="J42" i="69"/>
  <c r="L53" i="69"/>
  <c r="J53" i="69" s="1"/>
  <c r="J65" i="31"/>
  <c r="J120" i="63"/>
  <c r="J115" i="63"/>
  <c r="H123" i="63" s="1"/>
  <c r="P77" i="31"/>
  <c r="Q77" i="31"/>
  <c r="N77" i="31"/>
  <c r="O77" i="31"/>
  <c r="M77" i="31"/>
  <c r="L77" i="31"/>
  <c r="J41" i="21"/>
  <c r="L59" i="69" l="1"/>
  <c r="L124" i="63"/>
  <c r="N124" i="63"/>
  <c r="N126" i="63" s="1"/>
  <c r="N130" i="63" s="1"/>
  <c r="O124" i="63"/>
  <c r="O126" i="63" s="1"/>
  <c r="O130" i="63" s="1"/>
  <c r="M124" i="63"/>
  <c r="M126" i="63" s="1"/>
  <c r="M130" i="63" s="1"/>
  <c r="Q124" i="63"/>
  <c r="Q126" i="63" s="1"/>
  <c r="Q130" i="63" s="1"/>
  <c r="P124" i="63"/>
  <c r="P126" i="63" s="1"/>
  <c r="P130" i="63" s="1"/>
  <c r="J77" i="31"/>
  <c r="J36" i="21"/>
  <c r="H25" i="31"/>
  <c r="H42" i="31" s="1"/>
  <c r="H22" i="31"/>
  <c r="Q31" i="31"/>
  <c r="P31" i="31"/>
  <c r="O31" i="31"/>
  <c r="N31" i="31"/>
  <c r="M31" i="31"/>
  <c r="L31" i="31"/>
  <c r="Q30" i="31"/>
  <c r="P30" i="31"/>
  <c r="O30" i="31"/>
  <c r="N30" i="31"/>
  <c r="M30" i="31"/>
  <c r="M20" i="31"/>
  <c r="N20" i="31"/>
  <c r="O20" i="31"/>
  <c r="P20" i="31"/>
  <c r="Q20" i="31"/>
  <c r="L20" i="31"/>
  <c r="L34" i="21" l="1"/>
  <c r="J59" i="69"/>
  <c r="P133" i="63"/>
  <c r="P135" i="63" s="1"/>
  <c r="P35" i="21" s="1"/>
  <c r="P45" i="21" s="1"/>
  <c r="P49" i="21" s="1"/>
  <c r="Q133" i="63"/>
  <c r="M133" i="63"/>
  <c r="M135" i="63" s="1"/>
  <c r="M35" i="21" s="1"/>
  <c r="M45" i="21" s="1"/>
  <c r="M49" i="21" s="1"/>
  <c r="O133" i="63"/>
  <c r="O135" i="63" s="1"/>
  <c r="O35" i="21" s="1"/>
  <c r="O45" i="21" s="1"/>
  <c r="O49" i="21" s="1"/>
  <c r="N133" i="63"/>
  <c r="N135" i="63" s="1"/>
  <c r="N35" i="21" s="1"/>
  <c r="N45" i="21" s="1"/>
  <c r="N49" i="21" s="1"/>
  <c r="L126" i="63"/>
  <c r="J124" i="63"/>
  <c r="J30" i="31"/>
  <c r="J31" i="31"/>
  <c r="J20" i="31"/>
  <c r="N38" i="31" s="1"/>
  <c r="L70" i="31" l="1"/>
  <c r="J70" i="31" s="1"/>
  <c r="J34" i="21"/>
  <c r="O71" i="31"/>
  <c r="Q135" i="63"/>
  <c r="Q35" i="21" s="1"/>
  <c r="Q45" i="21" s="1"/>
  <c r="Q49" i="21" s="1"/>
  <c r="N71" i="31"/>
  <c r="M71" i="31"/>
  <c r="P71" i="31"/>
  <c r="L130" i="63"/>
  <c r="L133" i="63" s="1"/>
  <c r="L135" i="63" s="1"/>
  <c r="J126" i="63"/>
  <c r="L45" i="31"/>
  <c r="N39" i="31"/>
  <c r="N40" i="31" s="1"/>
  <c r="N51" i="31" s="1"/>
  <c r="P45" i="31"/>
  <c r="Q45" i="31"/>
  <c r="Q46" i="31" s="1"/>
  <c r="P38" i="31"/>
  <c r="M38" i="31"/>
  <c r="Q38" i="31"/>
  <c r="O38" i="31"/>
  <c r="O45" i="31"/>
  <c r="O46" i="31" s="1"/>
  <c r="N45" i="31"/>
  <c r="N46" i="31" s="1"/>
  <c r="L38" i="31"/>
  <c r="M45" i="31"/>
  <c r="M46" i="31" s="1"/>
  <c r="L46" i="31"/>
  <c r="P46" i="31"/>
  <c r="Q71" i="31" l="1"/>
  <c r="J130" i="63"/>
  <c r="L39" i="31"/>
  <c r="J38" i="31"/>
  <c r="L47" i="31"/>
  <c r="J46" i="31"/>
  <c r="J45" i="31"/>
  <c r="Q39" i="31"/>
  <c r="O39" i="31"/>
  <c r="M39" i="31"/>
  <c r="N53" i="31"/>
  <c r="P39" i="31"/>
  <c r="N52" i="31"/>
  <c r="O47" i="31"/>
  <c r="P47" i="31"/>
  <c r="N47" i="31"/>
  <c r="Q47" i="31"/>
  <c r="Q56" i="31" s="1"/>
  <c r="M47" i="31"/>
  <c r="J133" i="63" l="1"/>
  <c r="J39" i="31"/>
  <c r="L55" i="31"/>
  <c r="J47" i="31"/>
  <c r="M40" i="31"/>
  <c r="M52" i="31" s="1"/>
  <c r="P40" i="31"/>
  <c r="P52" i="31" s="1"/>
  <c r="Q40" i="31"/>
  <c r="Q52" i="31" s="1"/>
  <c r="Q60" i="31" s="1"/>
  <c r="O40" i="31"/>
  <c r="L40" i="31"/>
  <c r="O56" i="31"/>
  <c r="P56" i="31"/>
  <c r="M56" i="31"/>
  <c r="L57" i="31"/>
  <c r="Q55" i="31"/>
  <c r="Q57" i="31"/>
  <c r="M55" i="31"/>
  <c r="M57" i="31"/>
  <c r="N55" i="31"/>
  <c r="N59" i="31" s="1"/>
  <c r="N57" i="31"/>
  <c r="N61" i="31" s="1"/>
  <c r="L56" i="31"/>
  <c r="N56" i="31"/>
  <c r="P55" i="31"/>
  <c r="P57" i="31"/>
  <c r="O55" i="31"/>
  <c r="O57" i="31"/>
  <c r="M60" i="31" l="1"/>
  <c r="P60" i="31"/>
  <c r="N60" i="31"/>
  <c r="N84" i="31" s="1"/>
  <c r="L35" i="21"/>
  <c r="L45" i="21" s="1"/>
  <c r="L49" i="21" s="1"/>
  <c r="J135" i="63"/>
  <c r="L52" i="31"/>
  <c r="L60" i="31" s="1"/>
  <c r="J40" i="31"/>
  <c r="L51" i="31"/>
  <c r="L59" i="31" s="1"/>
  <c r="L53" i="31"/>
  <c r="L61" i="31" s="1"/>
  <c r="Q51" i="31"/>
  <c r="Q59" i="31" s="1"/>
  <c r="Q53" i="31"/>
  <c r="O51" i="31"/>
  <c r="O59" i="31" s="1"/>
  <c r="O53" i="31"/>
  <c r="O61" i="31" s="1"/>
  <c r="O52" i="31"/>
  <c r="O60" i="31" s="1"/>
  <c r="P51" i="31"/>
  <c r="P59" i="31" s="1"/>
  <c r="P53" i="31"/>
  <c r="P61" i="31" s="1"/>
  <c r="M51" i="31"/>
  <c r="M59" i="31" s="1"/>
  <c r="M53" i="31"/>
  <c r="M61" i="31" s="1"/>
  <c r="M85" i="31" s="1"/>
  <c r="B43" i="10"/>
  <c r="O84" i="31" l="1"/>
  <c r="L71" i="31"/>
  <c r="L84" i="31"/>
  <c r="P84" i="31"/>
  <c r="O85" i="31"/>
  <c r="L85" i="31"/>
  <c r="N85" i="31"/>
  <c r="P85" i="31"/>
  <c r="M84" i="31"/>
  <c r="J71" i="31"/>
  <c r="Q61" i="31"/>
  <c r="J35" i="21"/>
  <c r="J21" i="21"/>
  <c r="Q85" i="31" l="1"/>
  <c r="Q84" i="31"/>
  <c r="O69" i="31"/>
  <c r="O83" i="31" s="1"/>
  <c r="Q69" i="31"/>
  <c r="Q83" i="31" s="1"/>
  <c r="L69" i="31"/>
  <c r="L83" i="31" s="1"/>
  <c r="P69" i="31"/>
  <c r="P83" i="31" s="1"/>
  <c r="J45" i="21"/>
  <c r="J84" i="31" l="1"/>
  <c r="J85" i="31"/>
  <c r="L81" i="31"/>
  <c r="O81" i="31"/>
  <c r="P81" i="31"/>
  <c r="Q81" i="31"/>
  <c r="M69" i="31"/>
  <c r="M83" i="31" s="1"/>
  <c r="N69" i="31"/>
  <c r="N83" i="31" s="1"/>
  <c r="J33" i="21"/>
  <c r="N81" i="31" l="1"/>
  <c r="M81" i="31"/>
  <c r="J69" i="31"/>
  <c r="J49" i="21"/>
  <c r="B31" i="10"/>
  <c r="J81" i="31" l="1"/>
  <c r="J83" i="31"/>
  <c r="B38" i="10"/>
  <c r="B32" i="10"/>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9" authorId="0" shapeId="0" xr:uid="{CF8E9E43-3B00-4B8C-BCD7-505EEF232B6B}">
      <text>
        <r>
          <rPr>
            <sz val="9"/>
            <color indexed="81"/>
            <rFont val="Tahoma"/>
            <family val="2"/>
          </rPr>
          <t>Inclusief Enduris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67" authorId="0" shapeId="0" xr:uid="{F302C435-FC1F-472D-9353-A94039857E6A}">
      <text>
        <r>
          <rPr>
            <sz val="9"/>
            <color indexed="81"/>
            <rFont val="Tahoma"/>
            <family val="2"/>
          </rPr>
          <t>Waarde voor het eerste half jaar van 2025 wordt geschat door de meest recente beschikbare gegevens te gebruiken.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114" authorId="0" shapeId="0" xr:uid="{BCE9CAC4-4A0E-48CF-BC1D-625A68BCBB44}">
      <text>
        <r>
          <rPr>
            <sz val="9"/>
            <color indexed="81"/>
            <rFont val="Tahoma"/>
            <family val="2"/>
          </rPr>
          <t>Exclusief opbrengsten a.g.v.  registratiefout klant</t>
        </r>
      </text>
    </comment>
    <comment ref="Q114" authorId="0" shapeId="0" xr:uid="{230B90C1-F0A2-4594-BBD0-1502F31CA81D}">
      <text>
        <r>
          <rPr>
            <sz val="9"/>
            <color indexed="81"/>
            <rFont val="Tahoma"/>
            <family val="2"/>
          </rPr>
          <t xml:space="preserve">Inclusief werkelijke kosten netverliezen 2022
</t>
        </r>
      </text>
    </comment>
  </commentList>
</comments>
</file>

<file path=xl/sharedStrings.xml><?xml version="1.0" encoding="utf-8"?>
<sst xmlns="http://schemas.openxmlformats.org/spreadsheetml/2006/main" count="2539" uniqueCount="789">
  <si>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</si>
  <si>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</si>
  <si>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</si>
  <si>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</si>
  <si>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</si>
  <si>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</si>
  <si>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</si>
  <si>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</si>
  <si>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</si>
  <si>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</si>
  <si>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</si>
  <si>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</si>
  <si>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</si>
  <si>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</si>
  <si>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</si>
  <si>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</si>
  <si>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</si>
  <si>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</si>
  <si>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</si>
  <si>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</si>
  <si>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</si>
  <si>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</si>
  <si>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</si>
  <si>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</si>
  <si>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</si>
  <si>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</si>
  <si>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</si>
  <si>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</si>
  <si>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</si>
  <si>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</si>
  <si>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</si>
  <si>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</si>
  <si>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</si>
  <si>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</si>
  <si>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</si>
  <si>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</si>
  <si>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</si>
  <si>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</si>
  <si>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</si>
  <si>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</si>
  <si>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</si>
  <si>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</si>
  <si>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</si>
  <si>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</si>
  <si>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</si>
  <si>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</si>
  <si>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</si>
  <si>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</si>
  <si>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</si>
  <si>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</si>
  <si>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</si>
  <si>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</si>
  <si>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</si>
  <si>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</si>
  <si>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</si>
  <si>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</si>
  <si>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Nr.</t>
  </si>
  <si>
    <t xml:space="preserve">Verkorte naam </t>
  </si>
  <si>
    <t>Naam bestand extern</t>
  </si>
  <si>
    <t>Beschrijving berekening</t>
  </si>
  <si>
    <t>Beschrijving resultaat</t>
  </si>
  <si>
    <t>Schematische weergave en/of inhoudsopgave van de werking van dit model</t>
  </si>
  <si>
    <t>Aanvullende gegevens bestand extern</t>
  </si>
  <si>
    <t>Datum ontvangst, versie nr., opmerkingen</t>
  </si>
  <si>
    <t>Zoals gebruikt in dit bestand</t>
  </si>
  <si>
    <t>ENDURIS</t>
  </si>
  <si>
    <t>ENEXIS</t>
  </si>
  <si>
    <t>LIANDER</t>
  </si>
  <si>
    <t>RENDO</t>
  </si>
  <si>
    <t>STEDIN</t>
  </si>
  <si>
    <t>WESTLAND</t>
  </si>
  <si>
    <t>#</t>
  </si>
  <si>
    <t>Nacalculatiebedrag</t>
  </si>
  <si>
    <t>%</t>
  </si>
  <si>
    <t>Data rentepercentage tariefcorrecties</t>
  </si>
  <si>
    <t>Toelichting gegevens rentepercentage tariefcorrecties</t>
  </si>
  <si>
    <t>Rentepercentage tariefcorrecties</t>
  </si>
  <si>
    <t>Eerste kwartaal</t>
  </si>
  <si>
    <t>Tweede kwartaal</t>
  </si>
  <si>
    <t>Derde kwartaal</t>
  </si>
  <si>
    <t>Vierde kwartaal</t>
  </si>
  <si>
    <t>Mutatie van bedrag in oorspronkelijk prijspeil naar boekjaar</t>
  </si>
  <si>
    <t>Samengesteld percentage op basis van juli - juli mutatie:</t>
  </si>
  <si>
    <t>Berekening rentepercentage tariefcorrecties op jaarbasis</t>
  </si>
  <si>
    <t>Berekening mutatie rentepercentage tariefcorrecties over meerdere jaren</t>
  </si>
  <si>
    <t>Totale Inkomsten exclusief correcties</t>
  </si>
  <si>
    <t>X-factor</t>
  </si>
  <si>
    <t>Begininkomsten</t>
  </si>
  <si>
    <t>Input x-factoren en begininkomsten</t>
  </si>
  <si>
    <t>COTEQ</t>
  </si>
  <si>
    <t>Berekening richtbedragen</t>
  </si>
  <si>
    <t>Vanuit het oogpunt van kostenoriëntatie is het van belang dat de tariefinkomsten voor de transport- en aansluitdienst de verhouding in onderliggende kosten weerspiegelen.</t>
  </si>
  <si>
    <t>Om de richtbedragen te berekenen worden de volgende stappen doorlopen:</t>
  </si>
  <si>
    <t>- Ten eerste worden de efficiënte kosten voor de eenmalige aansluitdienst (EAV) bepaald aan de hand van gegevens uit het x-factormodel.</t>
  </si>
  <si>
    <t>Data cpi</t>
  </si>
  <si>
    <t>Toelichting vaststelling jaarlijks cpi-percentage</t>
  </si>
  <si>
    <t>cpi percentage</t>
  </si>
  <si>
    <t>EUR, pp 2020</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</si>
  <si>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</si>
  <si>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</si>
  <si>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Data en input (bron wordt vermeld)</t>
  </si>
  <si>
    <t>Input richtbedragen</t>
  </si>
  <si>
    <t xml:space="preserve">Beschrijving </t>
  </si>
  <si>
    <t>Ophalen efficiënte kosten EAV</t>
  </si>
  <si>
    <t>Berekening efficiënte kosten</t>
  </si>
  <si>
    <t xml:space="preserve">Berekening aandelen in totale efficiënte kosten </t>
  </si>
  <si>
    <t>EUR, pp 2021</t>
  </si>
  <si>
    <t>Grijze cijfers geven de uitkomst van een check berekening; dit is geen resultaat waarmee verder wordt gerekend</t>
  </si>
  <si>
    <t>2022</t>
  </si>
  <si>
    <t>Begininkomsten 2021</t>
  </si>
  <si>
    <t>X-factor 2022-2026</t>
  </si>
  <si>
    <t>EUR, pp 2022</t>
  </si>
  <si>
    <t>cpi 2022</t>
  </si>
  <si>
    <t>Begininkomsten en x-factoren 2022-2026</t>
  </si>
  <si>
    <t>Ten behoeve hiervan neemt ACM hier een berekening op van de richtbedragen voor de transport- en aansluitdienst, op basis van het gewijzigde x-factormodel voor de periode 2022-2026.</t>
  </si>
  <si>
    <t>EAV 2020</t>
  </si>
  <si>
    <t>cpi 2022-2026</t>
  </si>
  <si>
    <t>Efficiënte kosten 2026 AD</t>
  </si>
  <si>
    <t>EUR, pp 2026</t>
  </si>
  <si>
    <t>Efficiënte kosten 2026 TD</t>
  </si>
  <si>
    <t>Efficiënte kosten EAV 2026</t>
  </si>
  <si>
    <t>Efficiënte kosten 2026 AD PAV</t>
  </si>
  <si>
    <t>Efficiënte kosten 2026 AD EAV</t>
  </si>
  <si>
    <t>Aandeel TD in efficiënte kosten 2026</t>
  </si>
  <si>
    <t>Aandeel AD PAV in efficiënte kosten 2026</t>
  </si>
  <si>
    <t>Aandeel AD EAV in efficiënte kosten 2026</t>
  </si>
  <si>
    <t>Efficiënte kosten 2021 AD</t>
  </si>
  <si>
    <t>Efficiënte kosten EAV 2021</t>
  </si>
  <si>
    <t>Efficiënte kosten 2021 TD</t>
  </si>
  <si>
    <t>Efficiënte kosten 2021 AD PAV</t>
  </si>
  <si>
    <t>Efficiënte kosten 2021 AD EAV</t>
  </si>
  <si>
    <t>Aandeel TD in efficiënte kosten 2021</t>
  </si>
  <si>
    <t>Aandeel AD PAV in efficiënte kosten 2021</t>
  </si>
  <si>
    <t>Aandeel AD EAV in efficiënte kosten 2021</t>
  </si>
  <si>
    <t>Aansluitdienst</t>
  </si>
  <si>
    <t>TI 2022 (exclusief correcties)</t>
  </si>
  <si>
    <t>CPI 2022-2026</t>
  </si>
  <si>
    <t>StatLine</t>
  </si>
  <si>
    <t>DNB</t>
  </si>
  <si>
    <t>Nominale PV TD 2022-2026</t>
  </si>
  <si>
    <t>Nominale PV AD 2022-2026</t>
  </si>
  <si>
    <t>2023</t>
  </si>
  <si>
    <t>EUR, pp 2023</t>
  </si>
  <si>
    <t>TI 2023 (exclusief correcties)</t>
  </si>
  <si>
    <t>cpi 2023</t>
  </si>
  <si>
    <t>Voor bedragen oorspronkelijk in prijspeil 2022</t>
  </si>
  <si>
    <t>- Ten tweede worden de efficiënte kosten voor 2021 en 2026 bepaald, onderverdeeld naar de transportdienst, de periodieke aansluitvergoeding (PAV), de EAV</t>
  </si>
  <si>
    <t>Input verwijderingskosten gasaansluitingen kleinverbruikers</t>
  </si>
  <si>
    <t>Verwijderingen zonder verzoek</t>
  </si>
  <si>
    <t>Verwijderingen aansluitingen laagbouw (grondgebonden woningen en 2-op-1/n-op-1 grondgebonden woningen)</t>
  </si>
  <si>
    <t>Verwijderingen aansluitingen hoogbouw (niet-grondgebonden woningen)</t>
  </si>
  <si>
    <t>Ophalen gegevens</t>
  </si>
  <si>
    <t>Totaal aantal verwijderde aansluitingen (exclusief meerlengte)</t>
  </si>
  <si>
    <t>Totale kosten voor verwijdering van meerlengtemeters</t>
  </si>
  <si>
    <t>Verwijderingen zonder verzoek - Hoogbouw</t>
  </si>
  <si>
    <t>Verwijderingen zonder verzoek - Laagbouw</t>
  </si>
  <si>
    <t>Efficiente kosten per netbeheerder</t>
  </si>
  <si>
    <t>Efficiente verwijderingskosten zonder verzoek</t>
  </si>
  <si>
    <t>Totaal aantal verwijderde aansluitingen t/m 40 m3(n)/uur</t>
  </si>
  <si>
    <t>Totale kosten van verwijderde aansluitingen t/m 40 m3(n)/uur</t>
  </si>
  <si>
    <t>Totaal aantal verwijderde aansluitingen</t>
  </si>
  <si>
    <t>Totale kosten verwijderde aansluitingen</t>
  </si>
  <si>
    <t>Totale Inkomsten inclusief correcties</t>
  </si>
  <si>
    <t>x-factor</t>
  </si>
  <si>
    <t>2024</t>
  </si>
  <si>
    <t>Transportdienst</t>
  </si>
  <si>
    <t>Voor bedragen oorspronkelijk in prijspeil 2023</t>
  </si>
  <si>
    <t>EUR, pp 2024</t>
  </si>
  <si>
    <t>Correctie voor reeds in x-factorberekening opgenomen verwijderingskosten</t>
  </si>
  <si>
    <t>Toelichting bij bijzonderheden</t>
  </si>
  <si>
    <t>Op dit blad worden inputgegevens verzameld voor de nacalculatie verwijderingskosten gasaansluitingen grootverbruikers zonder verzoek.</t>
  </si>
  <si>
    <t>Verwijderingen aansluitingen lagedruknet</t>
  </si>
  <si>
    <t>Verwijderingen aansluitingen hogedruknet</t>
  </si>
  <si>
    <t>Totaal aantal verwijderde aansluitingen &gt;40 m3(n)/uur (exclusief meerlengte)</t>
  </si>
  <si>
    <t>Totale kosten van verwijderde aansluitingen &gt;40 m3(n)/uur (exclusief meerlengte)</t>
  </si>
  <si>
    <t>Totaal aantal verwijderde meerlengtemeters bij aansluitingen &gt;40 m3(n)/uur</t>
  </si>
  <si>
    <t>Lagedruknet</t>
  </si>
  <si>
    <t>Efficiente kosten per verwijderde aansluiting (exclusief meerlengte)</t>
  </si>
  <si>
    <t>Totaal aantal verwijderde meerlengtemeters</t>
  </si>
  <si>
    <t>Totale kosten van verwijderde aansluitingen (exclusief meerlengte)</t>
  </si>
  <si>
    <t>Efficiënte kosten per verwijderde meerlengtemeter</t>
  </si>
  <si>
    <t>Hogedruknet</t>
  </si>
  <si>
    <t>Input invoeding</t>
  </si>
  <si>
    <t>cpi 2024</t>
  </si>
  <si>
    <t>TI 2024 (exclusief correcties)</t>
  </si>
  <si>
    <t>Lokale heffingen 2022</t>
  </si>
  <si>
    <r>
      <t>Er wordt gebruik gemaakt van de restwaarde</t>
    </r>
    <r>
      <rPr>
        <i/>
        <sz val="10"/>
        <rFont val="Arial"/>
        <family val="2"/>
      </rPr>
      <t xml:space="preserve"> aan het einde van de reguleringsperiode</t>
    </r>
    <r>
      <rPr>
        <sz val="10"/>
        <rFont val="Arial"/>
        <family val="2"/>
      </rPr>
      <t xml:space="preserve"> om te voorkomen dat de netbeheerder een dubbele vergoeding van de kapitaalkosten ontvangt. In het methodebesluit 2022-2026 zijn de geschatte kapitaalkosten immers gebaseerd op de GAW inclusief de gedesinvesteerde activa. </t>
    </r>
  </si>
  <si>
    <t>EUR, pp. 2026</t>
  </si>
  <si>
    <t>Verwijderingskosten gasnetten</t>
  </si>
  <si>
    <t>Desinvesteringen</t>
  </si>
  <si>
    <t>Opbrengsten en kosten</t>
  </si>
  <si>
    <t>Discontovoet</t>
  </si>
  <si>
    <t>1+ discontovoet van 2022 naar 2026</t>
  </si>
  <si>
    <t>1+%</t>
  </si>
  <si>
    <t>Parameters</t>
  </si>
  <si>
    <t>Berekening netto resterende activawaarde desinvesteringen</t>
  </si>
  <si>
    <t>Nacalculatiebedrag groei invoeding</t>
  </si>
  <si>
    <t>Rekenvolumes invoeding 2022-2026</t>
  </si>
  <si>
    <t>Kleinverbruik (t/m 40 m3/h)</t>
  </si>
  <si>
    <t>Profielgrootverbruik ( &gt;40 m3/h)</t>
  </si>
  <si>
    <t>Telemetriegrootverbruik (&lt; 16 bar) gestandaardiseerd</t>
  </si>
  <si>
    <t>EUR/jaar/m3/h</t>
  </si>
  <si>
    <t>Profielgrootverbruik (&gt; 40 m3/h)</t>
  </si>
  <si>
    <t>Telemetriegrootverbruik (&lt; 16 bar)</t>
  </si>
  <si>
    <t>Ontwikkeling ontvangen inkomsten voor invoeding via afname</t>
  </si>
  <si>
    <t>Wegingsfactoren invoeding</t>
  </si>
  <si>
    <t>Ontwikkeling volumes invoeding ten opzichte van rekenvolumes</t>
  </si>
  <si>
    <t>Samengestelde output</t>
  </si>
  <si>
    <t>Nacalculatiebedragen</t>
  </si>
  <si>
    <t>WACC TD 2022</t>
  </si>
  <si>
    <t>WACC AD 2022</t>
  </si>
  <si>
    <t>Precario</t>
  </si>
  <si>
    <t>Lokale heffingen totaal</t>
  </si>
  <si>
    <t>Op dit blad worden input gegevens uit het x-factor berekeningsbestand verzameld.</t>
  </si>
  <si>
    <t>Totale kosten voor verwijdering van meerlengtemeters bij aansluitingen &gt;40 m3(n)/uur</t>
  </si>
  <si>
    <t>Nominale WACC 2022</t>
  </si>
  <si>
    <t>In het GAW bestand wordt op basis van de aanschafwaarde, het jaar van aanschaf, de afschrijvingstermijn en het jaar van desinvesteren berekend wat de restwaarde van een gedesinvesteerde actief aan het einde van de reguleringsperiode is (ook als het actief gedurende de reguleringsperiode wordt gedesinvesteerd).</t>
  </si>
  <si>
    <t>Geschatte volumes methodebesluit 2022-2026</t>
  </si>
  <si>
    <t xml:space="preserve">Vanaf 2022 geldt dat de kosten voor het verwijderen van gasaansluitingen van grootverbruikers zonder verzoek worden nagecalculeerd op basis van efficiënte kosten. </t>
  </si>
  <si>
    <t>In de berekening van de efficiënte kosten per verwijderde gasaansluiting wordt onderscheid gemaakt naar lage- en hogedruknetten en meerlengtemeters (vanaf 25 meter).</t>
  </si>
  <si>
    <t>De efficiënte verwijderingskosten zonder verzoek worden verrekend in het transporttarief.</t>
  </si>
  <si>
    <t>Efficiënte kosten per verwijderde aansluiting (exclusief meerlengte)</t>
  </si>
  <si>
    <t>Efficiënte verwijderingskosten zonder verzoek</t>
  </si>
  <si>
    <t>Desinvesteringen van verwijderde gasactiva en verwijderingskosten van gasnetten worden op werkelijke basis nagecalculeerd. Enkel verwijderingen als gevolg van de afnemende benutting van het gasnet komen in aanmerking voor nacalculatie.</t>
  </si>
  <si>
    <t>Voor het transportdomein worden de operationele kosten voor het verwijderen van gasnetten hierbij opgeteld.</t>
  </si>
  <si>
    <t>Resterende activawaarde desinvesteringen</t>
  </si>
  <si>
    <t>Opbrengsten die op enigerlei wijze samenhangen met desinvesteringen</t>
  </si>
  <si>
    <t>Totaal resterende activawaarde desinvesteringen</t>
  </si>
  <si>
    <t>Op dit blad worden de gegevens van verwijderde desinvesteringen en de operationele kosten voor het verwijderen van gasnetten verzameld. Enkel verwijderingen als gevolg van de afnemende benutting van het gasnet worden meegenomen.</t>
  </si>
  <si>
    <t>Ophalen parameters</t>
  </si>
  <si>
    <t>Profielgrootverbruik (&gt;40 m3/h)</t>
  </si>
  <si>
    <t>Telemetriegrootverbruik (&lt;16 bar) gestandaardiseerd</t>
  </si>
  <si>
    <t>Telemetriegrootverbruik (&lt;16 bar)</t>
  </si>
  <si>
    <t>- Ten tweede worden de efficiënte kosten voor 2021 en 2026 bepaald, onderverdeeld naar de transportdienst, de periodieke aansluitvergoeding (PAV) en de EAV.</t>
  </si>
  <si>
    <t>- Tot slot wordt voor elke nacalculatie bepaald op welk domein deze betrekking heeft. De nacalculatie wordt vervolgens toegevoegd aan het betreffende richtbedrag.</t>
  </si>
  <si>
    <t>Efficiënte kosten 2021 totaal</t>
  </si>
  <si>
    <t>Efficiënte kosten 2026 totaal</t>
  </si>
  <si>
    <t>Operationele verwijderingskosten gasnetten</t>
  </si>
  <si>
    <t xml:space="preserve">Er wordt gebruik gemaakt van de restwaarde aan het einde van de reguleringsperiode om te voorkomen dat de netbeheerder een dubbele vergoeding van de kapitaalkosten ontvangt. In het methodebesluit 2022-2026 zijn de geschatte kapitaalkosten immers gebaseerd op de GAW inclusief de inmiddels gedesinvesteerde activa. </t>
  </si>
  <si>
    <t>Operationele verwijderingskosten van gasnetten</t>
  </si>
  <si>
    <t>Efficiënte kosten</t>
  </si>
  <si>
    <t>Gegevens GAW</t>
  </si>
  <si>
    <t>GAW 2018</t>
  </si>
  <si>
    <t>EUR, pp 2018</t>
  </si>
  <si>
    <t>GAW 2019</t>
  </si>
  <si>
    <t>EUR, pp 2019</t>
  </si>
  <si>
    <t>GAW 2020</t>
  </si>
  <si>
    <t>WACC in x-factorberekening</t>
  </si>
  <si>
    <t>WACC bestaand vermogen incl. nacalculatie rente</t>
  </si>
  <si>
    <t>Productiviteitsverandering tot 2021</t>
  </si>
  <si>
    <t>Productiviteitsverandering 2021-2026</t>
  </si>
  <si>
    <t>Geschatte jaarlijkse CPI voor de periode 2022-2026</t>
  </si>
  <si>
    <t>RENDO incl. BV</t>
  </si>
  <si>
    <t>GAW AD</t>
  </si>
  <si>
    <t>GAW TD</t>
  </si>
  <si>
    <t>Nominale WACC begininkomstenjaar 2021</t>
  </si>
  <si>
    <t>Nominale WACC eindinkomstenjaar 2026</t>
  </si>
  <si>
    <t>Productiviteitsverandering AD</t>
  </si>
  <si>
    <t>Productiviteitsverandering TD</t>
  </si>
  <si>
    <t>SO totaal voor maatstaf TD 2022-2026</t>
  </si>
  <si>
    <t>SO totaal voor maatstaf AD 2022-2026 (EAV o.b.v. peiljaren)</t>
  </si>
  <si>
    <t>SO totaal voor maatstaf AD 2022-2026 (EAV o.b.v. 2020)</t>
  </si>
  <si>
    <t>Ophalen gegevens GAW</t>
  </si>
  <si>
    <t>CPI</t>
  </si>
  <si>
    <t>CPI 2019</t>
  </si>
  <si>
    <t>CPI 2020</t>
  </si>
  <si>
    <t>CPI 2021</t>
  </si>
  <si>
    <t>2019</t>
  </si>
  <si>
    <t>2020</t>
  </si>
  <si>
    <t>2021</t>
  </si>
  <si>
    <t>Berekening GAW AD in efficiëntieniveau en prijspeil 2022</t>
  </si>
  <si>
    <t>GAW TD incl. correctie Enduris en correctie RENDO voor start-GAW</t>
  </si>
  <si>
    <t>Berekening GAW TD in efficiëntieniveau en prijspeil 2022</t>
  </si>
  <si>
    <t>GAW TD in 2021</t>
  </si>
  <si>
    <t>Gemiddelde GAW TD in 2021</t>
  </si>
  <si>
    <t>Gemiddelde GAW AD in 2021</t>
  </si>
  <si>
    <t>GAW AD in 2021</t>
  </si>
  <si>
    <t>GAW AD incl. correctie Enduris</t>
  </si>
  <si>
    <t>Gewijzigd kostenbestand RNB G 2022-2026, tabblad 'Berekening kapitaalkosten AD', rij 161</t>
  </si>
  <si>
    <t>Gewijzigd kostenbestand RNB G 2022-2026, tabblad 'Berekening kapitaalkosten AD', rij 204</t>
  </si>
  <si>
    <t>Gewijzigd kostenbestand RNB G 2022-2026, tabblad 'Berekening kapitaalkosten AD', rij 247</t>
  </si>
  <si>
    <t>Gewijzigd kostenbestand RNB G 2022-2026, tabblad 'Berekening kapitaalkosten TD', rij 161</t>
  </si>
  <si>
    <t>Gewijzigd kostenbestand RNB G 2022-2026, tabblad 'Berekening kapitaalkosten TD', rij 204</t>
  </si>
  <si>
    <t>Gewijzigd kostenbestand RNB G 2022-2026, tabblad 'Berekening kapitaalkosten TD', rij 247</t>
  </si>
  <si>
    <t>Gewijzigde x-factorberekening RNB G 2022-2026, tabblad 'Reguleringsparameters', cel H13</t>
  </si>
  <si>
    <t>Gewijzigde x-factorberekening RNB G 2022-2026, tabblad 'Reguleringsparameters', cel H14</t>
  </si>
  <si>
    <t>Gewijzigde x-factorberekening RNB G 2022-2026, tabblad 'Reguleringsparameters', cel H26</t>
  </si>
  <si>
    <t xml:space="preserve"> </t>
  </si>
  <si>
    <t>Gewijzigde x-factorberekening RNB G 2022-2026, tabblad 'SO, BI &amp; PV', rij 12</t>
  </si>
  <si>
    <t>Gewijzigde x-factorberekening RNB G 2022-2026, tabblad 'SO, BI &amp; PV', rij 28</t>
  </si>
  <si>
    <t>Gewijzigde x-factorberekening RNB G 2022-2026, tabblad 'SO, BI &amp; PV', rij 29</t>
  </si>
  <si>
    <t>Gewijzigde x-factorberekening RNB G 2022-2026, tabblad 'Resultaat', cel H33</t>
  </si>
  <si>
    <t>Gewijzigde x-factorberekening RNB G 2022-2026, tabblad 'Resultaat', cel H35</t>
  </si>
  <si>
    <t>Gewijzigde x-factorberekening RNB G 2022-2026, tabblad 'Resultaat', cel H32</t>
  </si>
  <si>
    <t>Gewijzigde x-factorberekening RNB G 2022-2026, tabblad 'Resultaat', cel H34</t>
  </si>
  <si>
    <t>Verschil efficiënte vermogenskosten TD per SO</t>
  </si>
  <si>
    <t>Verschil efficiënte vermogenskosten TD per netbeheerder o.b.v. SO</t>
  </si>
  <si>
    <t>Verschil efficiënte vermogenskosten AD per SO (EAV o.b.v. peiljaren)</t>
  </si>
  <si>
    <t>Verschil efficiënte vermogenskosten AD per netbeheerder o.b.v. SO (EAV o.b.v. 2020)</t>
  </si>
  <si>
    <t>Reeds in x-factorberekening opgenomen verwijderingskosten gasaansluiting KV (zonder verzoek)</t>
  </si>
  <si>
    <t>SO Transportdienst</t>
  </si>
  <si>
    <t>Verwijderingskosten per eenheid SO</t>
  </si>
  <si>
    <t>Verdeling totale verwijderingskosten in begininkomsten op basis van SO</t>
  </si>
  <si>
    <t>Nog te vergoeden verwijderingskosten gasaansluiting zonder verzoek</t>
  </si>
  <si>
    <t>Per 1 januari 2022 zijn lokale heffingen afgeschaft. De kosten in deze nacalculatie betreffen enkel naheffingen van eerdere lokale heffingen.</t>
  </si>
  <si>
    <t>Om tot de ontwikkeling van ontvangen inkomsten voor invoeding via afname te komen, doorloopt de ACM de volgende stappen:</t>
  </si>
  <si>
    <t>3. De ontwikkeling van ontvangen inkomsten voor invoeding via afname volgt door de ontwikkeling van ontvangen inkomsten uit afname (uit stap 2) te vermenigvuldigen met het aandeel van de SO invoeding in de totale SO van de transportdienst.</t>
  </si>
  <si>
    <t xml:space="preserve">2. De ontwikkeling van ontvangen inkomsten uit afname wordt berekend door de ontwikkeling van volumes (uit stap 1) te vermenigvuldigen met de rolling forward wegingsfactoren. </t>
  </si>
  <si>
    <t>Om tot het nacalculatiebedrag te komen, doorloopt de ACM de volgende stappen:</t>
  </si>
  <si>
    <t>Gewijzigde x-factorberekening RNB G 2022-2026; tabblad '7) Totale kosten TD maatstaf', rij 75</t>
  </si>
  <si>
    <t>Gewijzigde x-factorberekening RNB G 2022 - 2026, tabblad  'Resultaat', regel 12</t>
  </si>
  <si>
    <t>Gewijzigde x-factorberekening RNB G 2022 - 2026, tabblad  'Resultaat', regel 16</t>
  </si>
  <si>
    <t>Gewijzigde x-factorberekening RNB G 2022 - 2026, tabblad  'Resultaat', regel 20</t>
  </si>
  <si>
    <t>Gewijzigde X-factorberekening RNB G 2022 - 2026, tabblad  '4) Berekeningen op parameters', cel W21</t>
  </si>
  <si>
    <t>GAW-bestand RNB-G 2022-2026 [RNB] tbv nacalcuatie desinvesteringen</t>
  </si>
  <si>
    <t>Gewijzigde x-factorberekening RNB G 2022 - 2026, tabblad 'Kosten 2015-2020', rij 128</t>
  </si>
  <si>
    <t>Gewijzigde x-factorberekening RNB G 2022 - 2026, tabblad 'Totale kosten AD maatstaf', rij 69</t>
  </si>
  <si>
    <t>Gewijzigde x-factorberekening RNB G 2022 - 2026, tabblad 'Resultaat', rij 34</t>
  </si>
  <si>
    <t>Gewijzigde x-factorberekening RNB G 2022 - 2026, tabblad 'Resultaat', rij 35</t>
  </si>
  <si>
    <t>Gewijzigde x-factorberekening RNB G 2022 - 2026, tabblad 'X-factor &amp; tariefruimte', rij 25</t>
  </si>
  <si>
    <t>Gewijzigde x-factorberekening RNB G 2022 - 2026, tabblad 'Resultaat', rij 16</t>
  </si>
  <si>
    <t>Gewijzigde x-factorberekening RNB G 2022 - 2026, tabblad 'Resultaat', rij 17</t>
  </si>
  <si>
    <t>Gewijzigde x-factorberekening RNB G 2022 - 2026, tabblad 'Resultaat', rij 12</t>
  </si>
  <si>
    <t>Gewijzigde x-factorberekening RNB G 2022 - 2026, tabblad 'Resultaat', rij 13</t>
  </si>
  <si>
    <t>Er is in de methodebesluiten dus geen afzonderlijke WACC vastgesteld voor de tussenliggende jaren 2022-2025. Deze afzonderlijke WACC is wel benodigd voor de nacalculatie van de WACC voor deze jaren.</t>
  </si>
  <si>
    <t>Door de afzonderlijke WACC te berekenen voor ieder tussenliggend jaar ziet de nacalculatie telkens op één jaar en is er geen sprake van een herverdeling van inkomsten over tijd.</t>
  </si>
  <si>
    <t>De nacalculatie komt vervolgens tot stand via de volgende stappen:</t>
  </si>
  <si>
    <t>Stap 4: Het verschil tussen de twee vermogenskosten vormt het nacalculatiebedrag voor de sector.</t>
  </si>
  <si>
    <t>Stap 5: Voor het aansluitdomein wordt dit bedrag gecorrigeerd voor het verschil tussen de SO op basis van de EAV in de peiljaren en de SO op basis van de EAV in enkel 2020.</t>
  </si>
  <si>
    <t>Stap 6: Dit bedrag wordt vervolgens op basis van de samengestelde output aan de individuele netbeheerders toebedeeld om tot het nacalculatiebedrag te komen.</t>
  </si>
  <si>
    <t>CPI van … naar 2010</t>
  </si>
  <si>
    <t>Dataset investeringen uit investeringsbestand</t>
  </si>
  <si>
    <t>Taken voor selectie</t>
  </si>
  <si>
    <t>TD</t>
  </si>
  <si>
    <t>Netbeheerder</t>
  </si>
  <si>
    <t>Type</t>
  </si>
  <si>
    <t>Activacategorie</t>
  </si>
  <si>
    <t>Overgenomen van [naam netbeheerder]</t>
  </si>
  <si>
    <t>Taak</t>
  </si>
  <si>
    <t>Combinatie type en taak</t>
  </si>
  <si>
    <t>AD</t>
  </si>
  <si>
    <t>Afschrijvingstermijn</t>
  </si>
  <si>
    <t>(Veronderstelde) investeringsdatum</t>
  </si>
  <si>
    <t>Investerings- bedrag</t>
  </si>
  <si>
    <t>Correctie startmoment</t>
  </si>
  <si>
    <t>Afschrijvingstermijn vanaf 2011</t>
  </si>
  <si>
    <t>Herijkt (veronderstelde) investeringsdatum</t>
  </si>
  <si>
    <t>Factor indexering naar ultimo 2010</t>
  </si>
  <si>
    <t>Herijkt (verondersteld) investeringsbedrag (in euro's)</t>
  </si>
  <si>
    <t>GAW ultimo 2010 (in euro's)</t>
  </si>
  <si>
    <t>Opmerkingen</t>
  </si>
  <si>
    <t>19 Onbekend</t>
  </si>
  <si>
    <t>CPI jaar t</t>
  </si>
  <si>
    <t>Berekening CPI-tabel</t>
  </si>
  <si>
    <t>Groeifactor</t>
  </si>
  <si>
    <t xml:space="preserve">CPI van … naar … </t>
  </si>
  <si>
    <t>Herijking GAW</t>
  </si>
  <si>
    <t>Op dit tabblad worden de desinvesteringen opgehaald die netbeheerders opgeven in de Reguleringsdata van het betreffende jaar. Deze desinvesteringen worden vervolgens herijkt naar het jaar ultimo 2010 en dienen ter input voor de betreffende GAW bestanden per netbeheerder.</t>
  </si>
  <si>
    <t>Coteq</t>
  </si>
  <si>
    <t>Omdat de kosten voor lokale heffingen niet beïnvloedbaar zijn door de netbeheerder worden deze op werkelijke basis nagecalculeerd.</t>
  </si>
  <si>
    <t>1. De ACM berekent de ontwikkeling van volumes in de transportdienst door het verschil te nemen tussen gerealiseerde volumes en rekenvolumes.</t>
  </si>
  <si>
    <t>Daarom wordt eerst de WACC berekend voor de tussenliggende jaren 2022-2025, uitgaande van het lineaire verloop van geschatte efficiënte kosten tussen 2021 en 2026.</t>
  </si>
  <si>
    <t>De kosten voor lokale heffingen worden afzonderlijk bepaald per gemeente, waardoor deze verschillen per netbeheerder. De netbeheerders kunnen daarom zelf geen invloed uitoefenen op de hoogte van deze kostenpost.</t>
  </si>
  <si>
    <t>Verrekende resterende activawaarde desinvesteringen</t>
  </si>
  <si>
    <t>Input netverliezen</t>
  </si>
  <si>
    <t>In 2022 zijn de energieprijzen voor gas sterk toegenomen. Door deze hoge energieprijzen is het voor de regionale netbeheerders duurder geworden om netverliezen in te kopen.</t>
  </si>
  <si>
    <t>Kosten netverliezen</t>
  </si>
  <si>
    <t>Efficiënte kosten netverliezen 2021</t>
  </si>
  <si>
    <t>Parameters voor berekeningen</t>
  </si>
  <si>
    <t>SO transportdienst voor maatstaf 2022-2026</t>
  </si>
  <si>
    <t>Aandeel individuele nacalculatie netverliezen 2022</t>
  </si>
  <si>
    <t>Netverliezen 2022</t>
  </si>
  <si>
    <t>Berekening van ongedekte kosten netverliezen</t>
  </si>
  <si>
    <t>Geschatte kosten op basis van in het verleden gerealiseerde efficiënte kosten in 2022</t>
  </si>
  <si>
    <t>Nacalculatieberekening</t>
  </si>
  <si>
    <t>Nacalculatie op individuele basis (75%)</t>
  </si>
  <si>
    <t>Sectorgemiddelde ongedekte kosten netverliezen per SO</t>
  </si>
  <si>
    <t>Sectorgemiddelde ongedekte kosten per netbeheerder op basis van SO</t>
  </si>
  <si>
    <t>Nacalculatie op sectorgemiddelde basis (25%)</t>
  </si>
  <si>
    <t>Correctiebedrag</t>
  </si>
  <si>
    <t>Input parameters</t>
  </si>
  <si>
    <t>Deze parameters betreffen de CPI en het rentepercentage tariefcorrecties.</t>
  </si>
  <si>
    <t>Op dit blad worden inputgegevens verzameld voor relevante parameters in de berekening van de Totale Inkomsten.</t>
  </si>
  <si>
    <t>De ACM gebruikt het rentepercentage tariefcorrecties voor de vergoeding van de tijdwaarde van geld in het geval van het toekennen van correcties in de tarieven die volgen uit nacalculaties over eerdere jaren.</t>
  </si>
  <si>
    <t>De nacalculaties waarop het rentepercentage tariefcorrecties wordt toegepast kunnen zowel positief als negatief zijn; ACM past het rentepercentage tariefcorrecties symmetrisch toe.</t>
  </si>
  <si>
    <t>Rentepercentage wettelijke rente</t>
  </si>
  <si>
    <t>Rentepercentage ECB rente</t>
  </si>
  <si>
    <t>ECB</t>
  </si>
  <si>
    <t>Ophalen gegevens voor berekening CPI</t>
  </si>
  <si>
    <t>Ophalen gegevens voor berekening rentepercentage tariefcorrecties</t>
  </si>
  <si>
    <t>Schatting wettelijke rente eerste kwartaal</t>
  </si>
  <si>
    <t>Schatting wettelijke rente tweede kwartaal</t>
  </si>
  <si>
    <t>1 + CPI</t>
  </si>
  <si>
    <t>Op dit blad wordt voor de CPI en de wettelijke rente de mutatie tussen twee jaren berekend.</t>
  </si>
  <si>
    <t>Input overname private netten</t>
  </si>
  <si>
    <t>Op dit blad worden input gegevens verzameld voor de nacalculatie overname private netten, die volgt uit artikel 9 van de 'Beleidsregel ACM beoordeling doelmatige kosten van niet-reguliere uitbreidingsinvesteringen'.</t>
  </si>
  <si>
    <t>Voor de nacalculatie wordt gecorrigeerd voor zowel de kosten als de opbrengsten voortkomend uit de overname van een privaat net.</t>
  </si>
  <si>
    <t>Informatieverzoek Rendant 2022</t>
  </si>
  <si>
    <t>Jaren</t>
  </si>
  <si>
    <t>Operationele kosten</t>
  </si>
  <si>
    <t>Inkomsten</t>
  </si>
  <si>
    <t>Overname private netten</t>
  </si>
  <si>
    <t>Voor deze nacalculatie wordt er gecorrigeerd voor de kosten en opbrengsten voortkomend uit de overname van een privaat net, omdat deze niet zijn meegenomen in het methodebesluit elektriciteit 2022-2026.</t>
  </si>
  <si>
    <t>De kosten staan gelijk aan de kapitaalkosten en de operationele kosten. De kapitaalkosten komen voort uit de investeringen in het private net, waarbij onderscheid wordt gemaakt tussen de initiële overname en latere investeringen.</t>
  </si>
  <si>
    <t>Vermogenskosten</t>
  </si>
  <si>
    <t>Ophalen gegevens TD</t>
  </si>
  <si>
    <t>Ophalen gegevens AD</t>
  </si>
  <si>
    <t>Nacalculatiebedrag TD</t>
  </si>
  <si>
    <t>Nacalculatiebedrag AD</t>
  </si>
  <si>
    <t>Overname private netten TD</t>
  </si>
  <si>
    <t>Overname private netten AD</t>
  </si>
  <si>
    <t>Het nacalculatiebedrag op werkelijke kostenbasis staat per netbeheerder gelijk aan zijn ongedekte kosten vermenigvuldigd met 75%.</t>
  </si>
  <si>
    <t>De nacalculatie wordt voor 75% berekend op basis van werkelijke kosten en voor 25% op basis van de sectorgemiddelde kosten.</t>
  </si>
  <si>
    <t>Nominale WACC nieuw vermogen 2022</t>
  </si>
  <si>
    <t>Op dit blad worden inputgegevens verzameld voor de nacalculatie verwijderingskosten gasaansluitingen kleinverbruikers zonder verzoek.</t>
  </si>
  <si>
    <t>Omdat de personeelsentiteit van RENDO tot en met 2019 deel uitmaakte van de transportdienst van de netbeheerder wordt er tot en met 2019 rekening gehouden met de GAW van RENDO inclusief de activa van de personeelsentiteit.</t>
  </si>
  <si>
    <t>De efficiënte verwijderingskosten per aansluiting staan afzonderlijk voor laag- en hoogbouw gelijk aan de gemiddelde kosten van de gehele sector.</t>
  </si>
  <si>
    <t>Bronverwijzijng</t>
  </si>
  <si>
    <t>In de berekening van de efficiënte kosten per verwijderde gasaansluiting wordt gebruik gemaakt van kostengegevens over verwijderingen zonder verzoek, waarbij onderscheid gemaakt wordt naar laag- en hoogbouw woningen.</t>
  </si>
  <si>
    <t>Netverliezen in methodebesluit</t>
  </si>
  <si>
    <t>Fraude en leegstand: In rekening gebrachte elektriciteit</t>
  </si>
  <si>
    <t>Fraude en leegstand: In rekening gebrachte overige kosten</t>
  </si>
  <si>
    <t>Als eerst wordt berekend welke kosten in aanmerking komen voor nacalculatie. Dit zijn de kosten die netbeheerders niet vergoed hebben gekregen via de methodebesluiten 2022-2026 of via opbrengsten voor netverliezen in 2022. Deze kosten worden per netbeheerder als volgt berekend:</t>
  </si>
  <si>
    <t>Fraude en leegstand: In rekening gebrachte transportvergoeding</t>
  </si>
  <si>
    <t>Opbrengsten mbt netverliezen 2020</t>
  </si>
  <si>
    <t>Opbrengsten mbt netverliezen 2019</t>
  </si>
  <si>
    <t>Opbrengsten mbt netverliezen 2018</t>
  </si>
  <si>
    <t>Reguleringsdata 2018, tabel 7A</t>
  </si>
  <si>
    <t>Reguleringsdata 2018, tabel 6</t>
  </si>
  <si>
    <t>Reguleringsdata 2019, tabel 7A</t>
  </si>
  <si>
    <t>Reguleringsdata 2019, tabel 6</t>
  </si>
  <si>
    <t>Reguleringsdata 2020, tabel 7A</t>
  </si>
  <si>
    <t>Reguleringsdata 2020, tabel 6</t>
  </si>
  <si>
    <t>cpi 2019</t>
  </si>
  <si>
    <t>cpi 2020</t>
  </si>
  <si>
    <t>cpi 2021</t>
  </si>
  <si>
    <t>Gewijzigde x-factorberekening RNB G 2022-2026, tabblad 'Resultaat', cel F32</t>
  </si>
  <si>
    <t>Reële productiviteitsverandering TD tot 2021</t>
  </si>
  <si>
    <t>Gemiddelde opbrengsten mbt netverliezen 2018-2020</t>
  </si>
  <si>
    <t>Geschatte opbrengsten mbt netverliezen in BI2021</t>
  </si>
  <si>
    <t>Geschatte opbrengsten mbt netverliezen in BI2021 per eenheid SO</t>
  </si>
  <si>
    <t>EUR/#, pp 2021</t>
  </si>
  <si>
    <t>Geschatte opbrengsten mbt netverliezen in BI2021 per netbeheerder</t>
  </si>
  <si>
    <t>Netto efficiënte kosten netverliezen 2021</t>
  </si>
  <si>
    <t>2025</t>
  </si>
  <si>
    <t>Netverliezen 2023</t>
  </si>
  <si>
    <t>Gewijzigd SO-bestand RNB G 2022-2026, tabblad 'Rekenvolumes invoeding', rij 252</t>
  </si>
  <si>
    <t>Gewijzigd SO-bestand RNB G 2022-2026, tabblad 'Rekenvolumes invoeding', rij 253</t>
  </si>
  <si>
    <t>Gewijzigd SO-bestand RNB G 2022-2026, tabblad 'Rekenvolumes invoeding', rij 254</t>
  </si>
  <si>
    <t>Lokale heffingen 2023</t>
  </si>
  <si>
    <t>Lokale Heffingen 2023</t>
  </si>
  <si>
    <t>Op dit blad worden input gegevens uit de reguleringsdata 2023 verzameld voor de nacalculatie van kosten voor lokale heffingen in 2023.</t>
  </si>
  <si>
    <t>In deze nacalculatie worden lokale heffingen in 2023 op basis van werkelijke kosten nagecalculeerd.</t>
  </si>
  <si>
    <t>Het nacalculatiebedrag staat gelijk aan de werkelijke kosten, die via de wettelijke rente naar prijspeil 2025 worden gebracht.</t>
  </si>
  <si>
    <t>Rentestand op 31 augustus 2024</t>
  </si>
  <si>
    <t>Voor bedragen oorspronkelijk in prijspeil 2024</t>
  </si>
  <si>
    <t>Vanwege de onverwachte stijging van kosten voor netverliezen gas heeft de ACM een nacalculatie aangekondigd voor netverliezen in 2023.</t>
  </si>
  <si>
    <t>De nacalculatie voor netverliezen in 2023 wordt verwerkt in de tarieven 2025. Op dit tabblad wordt input opgehaald voor de berekening van deze nacalculatie.</t>
  </si>
  <si>
    <t>Fraude en leegstand: In rekening gebracht gas</t>
  </si>
  <si>
    <t>Gewijzigde x-factorberekening RNB G 2022-2026, tabblad '9) Kosten netverliezen', regel 71</t>
  </si>
  <si>
    <t>Reguleringdata 2023, tabel 3A</t>
  </si>
  <si>
    <t>Reguleringdata 2023, tabel 7A</t>
  </si>
  <si>
    <t>Reguleringdata 2023, tabel 6</t>
  </si>
  <si>
    <t>Voorschot netverliezen 2023 in inkomsten 2023</t>
  </si>
  <si>
    <t>Gewijzigde x-factorberekening RNB G 2022-2026, tabblad '3) SO, BI &amp; PV', rij 12</t>
  </si>
  <si>
    <t>Aandeel individuele nacalculatie netverliezen 2023</t>
  </si>
  <si>
    <t>Correctiepercentage dubbele vergoeding 2023</t>
  </si>
  <si>
    <t>Op dit tabblad wordt de nacalculatie netverliezen 2023 berekend.</t>
  </si>
  <si>
    <t>Stap 1: Eerst worden de gemiddelde opbrengsten met betrekking tot netverliezen uit 2018-2020 berekend en naar het prijspeil en efficiëntieniveau van 2021 gebracht en verdeeld op basis van de samengestelde output.</t>
  </si>
  <si>
    <t>Stap 2: Deze opbrengsten worden afgetrokken van de geschatte efficiënte kosten voor netverliezen in 2021 uit het methodebesluit om tot de individuele vergoeding in de begininkomsten 2021 te komen;</t>
  </si>
  <si>
    <t>Stap 3: Deze individuele vergoeding per netbeheerder wordt via de wettelijke formule naar prijspeil en efficiëntieniveau 2023 gebracht. Dit staat gelijk aan de vergoeding die de netbeheerder heeft ontvangen via het gewijzigde methodebesluit;</t>
  </si>
  <si>
    <t>Stap 4: Vervolgens wordt er berekend hoeveel netbeheerders in 2023 door het energiecomponent in de CPI extra vergoed kregen;</t>
  </si>
  <si>
    <t>Stap 5: De reeds vergoede kosten voor netverliezen in 2023 staan gelijk aan de som van de kostenschatting uit de methodebesluiten (stap 1-3), de extra inkomsten via de toepassing van de CPI (stap 4) en de opbrengsten voor netverliezen in 2023;</t>
  </si>
  <si>
    <t>Stap 6: Per netbeheerder staan de ongedekte kosten voor netverliezen gelijk aan het verschil tussen de werkelijke kosten en de reeds vergoede kosten (stap 5). Dit zijn de kosten die in aanmerking komen voor nacalculatie.</t>
  </si>
  <si>
    <t>Het nacalculatiebedrag op sectorgemiddelde kostenbasis staat per netbeheerder gelijk aan de sectorgemiddelde kosten vermenigvuldigd met zijn samengestelde ouput, wat vervolgens vermenigvuldigd wordt met 25%.</t>
  </si>
  <si>
    <t>De som van bovenstaande twee regels staat gelijk aan de totale nacalculatie netverliezen 2023.</t>
  </si>
  <si>
    <t>Totale inkomsten</t>
  </si>
  <si>
    <t>Mutatie rentepercentage van 2023 naar 2025</t>
  </si>
  <si>
    <t>Vergoeding netverliezen uit methodebesluit</t>
  </si>
  <si>
    <t>Opbrengsten 2018, prijspeil 2020</t>
  </si>
  <si>
    <t>Opbrengsten 2019, prijspeil 2020</t>
  </si>
  <si>
    <t>Opbrengsten 2020, prijspeil 2020</t>
  </si>
  <si>
    <t>Geschatte efficiënte kosten netverliezen in TI 2023 (excl. correcties)</t>
  </si>
  <si>
    <t>Vergoeding energiekosten CPI</t>
  </si>
  <si>
    <t>TI 2022 (exclusief correcties en netverliezen) o.b.v. wettelijke formule</t>
  </si>
  <si>
    <t>Gedekte kosten netverliezen in 2023 door energiecomponent in CPI</t>
  </si>
  <si>
    <t>Netto kosten netverliezen 2023</t>
  </si>
  <si>
    <t>Ongedekte kosten netverliezen 2023</t>
  </si>
  <si>
    <t>Nacalculatie netverliezen 2023 op individuele basis</t>
  </si>
  <si>
    <t>Nacalculatie netverliezen 2023 op sectorgemiddelde basis</t>
  </si>
  <si>
    <t>Nacalculatie netverliezen 2023</t>
  </si>
  <si>
    <t>Correctiebedrag tarieven 2025 na aftrek voorschot</t>
  </si>
  <si>
    <t>Correctiebedrag tarieven 2025</t>
  </si>
  <si>
    <t>EUR, pp 2025</t>
  </si>
  <si>
    <t>Nacalculatiebedrag lokale heffingen 2023</t>
  </si>
  <si>
    <t>Correctie voor nacalculatie verwijderingskosten kleinverbruikers met verzoek in tarieven 2023</t>
  </si>
  <si>
    <t>Nacalculatie verwijderingskosten kleinverbruikers 2021 met verzoek in tarieven 2023</t>
  </si>
  <si>
    <t>Efficiente kosten per verwijderde aansluiting laagbouw</t>
  </si>
  <si>
    <t>Efficiente kosten per verwijderde aansluiting hoogbouw</t>
  </si>
  <si>
    <t>Efficiënte kosten per verwijderde aansluiting</t>
  </si>
  <si>
    <t>Totale reeds vergoede verwijderingskosten zonder verzoek in TI 2023</t>
  </si>
  <si>
    <t>Naar aanleiding van de CBb-uitspraak inzake het socialiseren van verwijderingskosten met verzoek worden in de tarieven 2025 enkel verwijderingskosten zonder verzoek nagecalculeerd.</t>
  </si>
  <si>
    <t>In de tarieven 2023 heeft de ACM een nacalculatie opgenomen voor kosten voor verwijderingen van gasaansluitingen op verzoek van de gebruiker. Naar aanleiding van de CBb-uitspraak onttrekt de ACM deze nagecalculeerde kosten aan de tarieven 2025.</t>
  </si>
  <si>
    <t>Reguleringsdata 2023, tabel 3A</t>
  </si>
  <si>
    <t>Input verwijderingskosten gasaansluitingen grootverbruikers 2023</t>
  </si>
  <si>
    <t>Nominale WACC 2023</t>
  </si>
  <si>
    <t>Nacalculatiemodel WACC 2023</t>
  </si>
  <si>
    <t>Gemiddelde GAW TD in 2023</t>
  </si>
  <si>
    <t>Stap 2: De sectorgemiddelde GAW wordt met behulp van de productiviteitsverandering en de geschatte CPI naar het efficiëntie niveau en prijspeil 2023 gebracht.</t>
  </si>
  <si>
    <t>Efficiënte vermogenskosten AD 2023 (na nacalculatie rente)</t>
  </si>
  <si>
    <t>Verschil efficiënte vermogenskosten AD 2023</t>
  </si>
  <si>
    <t>EUR/#, pp 2023</t>
  </si>
  <si>
    <t>Efficiënte vermogenskosten TD 2023 (na nacalculatie rente)</t>
  </si>
  <si>
    <t>Verschil efficiënte vermogenskosten TD 2023</t>
  </si>
  <si>
    <t>Berekening nacalculatie invoeding G 2023; tabblad 'Aggregatie volumes 2023', rij 108</t>
  </si>
  <si>
    <t>Berekening nacalculatie invoeding G 2023; tabblad 'Aggregatie volumes 2023', rij 109</t>
  </si>
  <si>
    <t>Berekening nacalculatie invoeding G 2023; tabblad 'Aggregatie volumes 2023', rij 110</t>
  </si>
  <si>
    <t>Berekening nacalculatie invoeding G 2023; tabblad 'Wegingsfactoren', rij 57</t>
  </si>
  <si>
    <t>Berekening nacalculatie invoeding G 2023; tabblad 'Wegingsfactoren', rij 58</t>
  </si>
  <si>
    <t>Berekening nacalculatie invoeding G 2023; tabblad 'Wegingsfactoren', rij 59</t>
  </si>
  <si>
    <t>Gerealiseerde volumes invoeding 2023</t>
  </si>
  <si>
    <t>Wegingsfactoren invoeding 2023</t>
  </si>
  <si>
    <t>Berekening nacalculatie invoeding G 2023; tabblad 'Vergoeding inv. ontw. TD', rij 40</t>
  </si>
  <si>
    <t>Desinvesteringen afnemende benutting 2023</t>
  </si>
  <si>
    <t>Liander</t>
  </si>
  <si>
    <t>Stedin</t>
  </si>
  <si>
    <t>Voor de desinvesteringen betreft het vaste activa die ná 2003 (transportdienst) of ná 2008 (aansluitdienst) zijn aangeschaft en in het jaar 2023 worden gedesinvesteerd.</t>
  </si>
  <si>
    <t>Reguleringsdata 2023, tabel 2B</t>
  </si>
  <si>
    <t>Reguleringsdata 2023, tabel 2D</t>
  </si>
  <si>
    <t>EUR, pp. 2023</t>
  </si>
  <si>
    <t>1+ discontovoet van 2022 naar 2023</t>
  </si>
  <si>
    <t>1+ discontovoet van 2023 naar 2026</t>
  </si>
  <si>
    <t>In de berekening wordt eerst de totale restwaarde in 2026 van de gedesinvesteerde activa via de discontovoet naar 2023 verdisconteerd. Dit bedrag wordt vervolgens verrekenend met eventuele opbrengsten uit de desinvsteringen.</t>
  </si>
  <si>
    <t>Tot slot wordt de verrekende resterende activawaarde op basis van de wettelijke rente naar het juiste prijspeil voor de tarieven 2025 gebracht.</t>
  </si>
  <si>
    <t>Gegevens tarievenbesluiten</t>
  </si>
  <si>
    <t>TI o.b.v. oorspronkelijk methodebesluit</t>
  </si>
  <si>
    <t>TI 2022 (exclusief correcties en inkoopkosten transport) o.b.v. wettelijke formule</t>
  </si>
  <si>
    <t>TI 2023 (exclusief correcties en inkoopkosten transport) o.b.v. wettelijke formule</t>
  </si>
  <si>
    <t>TI 2024 (exclusief correcties en inkoopkosten transport) o.b.v. wettelijke formule</t>
  </si>
  <si>
    <t>TI o.b.v. gewijzigd methodebesluit</t>
  </si>
  <si>
    <t>Nacalculaties in tarieven 2024 o.b.v. oorspronkelijk methodebesluit</t>
  </si>
  <si>
    <t>Nacalculaties in tarieven 2024 o.b.v. gewijzigd methodebesluit</t>
  </si>
  <si>
    <t>Input nacalculatie gewijzigd methodebesluit gas 2022-2026</t>
  </si>
  <si>
    <t>Ophalen gegevens TI en nacalculaties</t>
  </si>
  <si>
    <t>Mutatie rentepercentage van 2022 naar 2025</t>
  </si>
  <si>
    <t>Mutatie rentepercentage van 2024 naar 2025</t>
  </si>
  <si>
    <t>Berekening verschil TI en nacalculaties a.g.v. gewijzigd methodebesluit</t>
  </si>
  <si>
    <t>Verschil TI-bedragen</t>
  </si>
  <si>
    <t>cpi 2025</t>
  </si>
  <si>
    <t>Totale inkomsten 2025 (inclusief correcties)</t>
  </si>
  <si>
    <t>TI-berekening 2025</t>
  </si>
  <si>
    <t>Totaalbedrag correcties in TI 2025</t>
  </si>
  <si>
    <t>Nacalculatie invoeding 2023</t>
  </si>
  <si>
    <t>Desinvesteringen gas TD en verwijderingskosten gasnetten 2023</t>
  </si>
  <si>
    <t>Desinvesteringen gas AD 2023</t>
  </si>
  <si>
    <t>Verwijderingskosten gasaansluitingen zonder verzoek grootverbruikers 2023</t>
  </si>
  <si>
    <t>Verwijderingskosten gasaansluitingen zonder verzoek kleinverbruikers 2023</t>
  </si>
  <si>
    <t>Nacalculatie risicovrije rente en de rente voor de kostenvoet vreemd vermogen AD 2023</t>
  </si>
  <si>
    <t>Nacalculatie risicovrije rente en de rente voor de kostenvoet vreemd vermogen TD 2023</t>
  </si>
  <si>
    <t>De op dit tabblad berekende bedragen zijn enkel van toepassing binnen de context van de berekening van de richtbedragen voor de tarievenbesluiten 2025.</t>
  </si>
  <si>
    <t>- Vervolgens worden op basis van de aandelen in de efficiënte kosten in de jaren 2021 en 2026 de aandelen in de inkomsten voor het jaar 2025 bepaald.</t>
  </si>
  <si>
    <t>- Op basis van de aandelen in de inkomsten voor het jaar 2025 worden de richtbedragen bepaald.</t>
  </si>
  <si>
    <t>Aandeel TD in inkomsten 2025 o.b.v. ingroei</t>
  </si>
  <si>
    <t>Aandeel AD PAV in inkomsten 2025 o.b.v. ingroei</t>
  </si>
  <si>
    <t>Aandeel AD EAV in inkomsten 2025 o.b.v. ingroei</t>
  </si>
  <si>
    <t>TI 2025 (exclusief correcties)</t>
  </si>
  <si>
    <t>Nacalculatie lokale heffingen 2023</t>
  </si>
  <si>
    <t>Correctie reeds vergoede verwijderingskosten op verzoek kleinverbruik 2021</t>
  </si>
  <si>
    <t>TI 2025 (inclusief overgenomen netten, exclusief correcties)</t>
  </si>
  <si>
    <t>TI 2025 (inclusief correcties)</t>
  </si>
  <si>
    <t>TD + PAV + EAV</t>
  </si>
  <si>
    <t>PAV + EAV</t>
  </si>
  <si>
    <t>TD + PAV</t>
  </si>
  <si>
    <t>PAV</t>
  </si>
  <si>
    <t>Berekening totale inkomsten regionale netbeheerders gas 2025</t>
  </si>
  <si>
    <t>Dit Excel-bestand bevat de berekening van de Totale Inkomsten (TI) voor het jaar 2025 voor de regionale netbeheerders gas.</t>
  </si>
  <si>
    <t>In dit bestand worden de berekeningen gepresenteerd voor de vaststelling van de tarieven voor 2025, inclusief de berekening van de nacalculatiebedragen.</t>
  </si>
  <si>
    <t>Deze berekeningen maken onderdeel uit van de tarievenbesluiten gas 2025.</t>
  </si>
  <si>
    <t>Input samengestelde output transportdienst 2023</t>
  </si>
  <si>
    <t>Deze berekening van de SO heeft uitsluitend betekenis binnen de context van de tarievenbesluiten 2025.</t>
  </si>
  <si>
    <t>Volumes transportdienst 2023</t>
  </si>
  <si>
    <t>VOLUMES PROFIELVERBRUIK: AANTALLEN AANSLUITINGEN</t>
  </si>
  <si>
    <t>Kleinverbruikers</t>
  </si>
  <si>
    <t>=&lt; 10 m3(n)h, jaarverbruik &lt; 500 Nm3</t>
  </si>
  <si>
    <t>=&lt; 10 m3(n)h, jaarverbruik vanaf 500 Nm3 en &lt; 4.000 Nm3</t>
  </si>
  <si>
    <t>=&lt; 10 m3(n)h, jaarverbruik vanaf 4.000 Nm3</t>
  </si>
  <si>
    <t>&gt; 10 en =&lt; 16 m3(n)h</t>
  </si>
  <si>
    <t>&gt; 16 en =&lt; 25 m3(n)h</t>
  </si>
  <si>
    <t>&gt; 25 en =&lt; 40 m3(n)h</t>
  </si>
  <si>
    <t>Profielgrootverbruikers</t>
  </si>
  <si>
    <t>&gt; 40 en =&lt; 65 m3(n)h</t>
  </si>
  <si>
    <t>&gt; 65 en =&lt; 100 m3(n)h</t>
  </si>
  <si>
    <t>&gt; 100 en =&lt; 160 m3(n)h</t>
  </si>
  <si>
    <t>&gt; 160 en =&lt; 250 m3(n)h</t>
  </si>
  <si>
    <t>&gt; 250 m3(n)h</t>
  </si>
  <si>
    <t>VOLUMES TELEMETRIE: AANTALLEN AANSLUITINGEN</t>
  </si>
  <si>
    <t>Telemetrie &lt; 16 bar</t>
  </si>
  <si>
    <t>VOLUMES TELEMETRIE: GECONTRACTEERDE CAPACITEIT</t>
  </si>
  <si>
    <t>Hoge druk (&gt;= 200 Mbar en &lt; 16 Bar)</t>
  </si>
  <si>
    <t>Lage druk (&lt; 200 Mbar)</t>
  </si>
  <si>
    <t>Totaal volume indien geen onderscheid LD/HD: Standaard</t>
  </si>
  <si>
    <t>Rekencapaciteiten TD profielverbruikers</t>
  </si>
  <si>
    <t>Op dit blad wordt de input voor de berekening van de samengestelde output van de transportdienst in 2023 opgehaald. Deze waarden zijn nodig als onderdeel van de nacalculatie netverliezen 2023.</t>
  </si>
  <si>
    <t>Ophalen volumes transportdienst 2023</t>
  </si>
  <si>
    <t>Ophalen rekencapaciteiten TD profielverbruikers</t>
  </si>
  <si>
    <t>Wegingsfactoren TD</t>
  </si>
  <si>
    <t>Vastrecht (TOVT)</t>
  </si>
  <si>
    <t>Capaciteitsafhankelijk tarief (TAVTc)</t>
  </si>
  <si>
    <t>Capaciteitsafhankelijk tarief (TAVTc) gestandaardiseerd</t>
  </si>
  <si>
    <t xml:space="preserve">Ophalen wegingsfactoren TD </t>
  </si>
  <si>
    <t xml:space="preserve">Aggregatie volumes TD 2023 en berekening SO </t>
  </si>
  <si>
    <t>Volumes kleinverbruik (t/m 40 m3/h)</t>
  </si>
  <si>
    <t>Volumes profielgrootverbruik (&gt; 40 m3/h)</t>
  </si>
  <si>
    <t>Volumes telemetriegrootverbruik (&lt; 16 bar)</t>
  </si>
  <si>
    <t>Samengestelde Output transportdienst</t>
  </si>
  <si>
    <t>Gerealiseerde SO transportdienst 2023 (exclusief invoeding)</t>
  </si>
  <si>
    <t>SO-bestand RNB G 2022-2026, tabblad 'Berekening wegingsfactoren', rij 604</t>
  </si>
  <si>
    <t>SO-bestand RNB G 2022-2026, tabblad 'Berekening wegingsfactoren', rij 607</t>
  </si>
  <si>
    <t>SO-bestand RNB G 2022-2026, tabblad 'Berekening wegingsfactoren', rij 608</t>
  </si>
  <si>
    <t>SO-bestand RNB G 2022-2026, tabblad 'Berekening wegingsfactoren', rij 611</t>
  </si>
  <si>
    <t>SO-bestand RNB G 2022-2026, tabblad 'Berekening wegingsfactoren', rij 612</t>
  </si>
  <si>
    <t>SO-bestand RNB G 2022-2026, tabblad 'Berekening wegingsfactoren', rij 603</t>
  </si>
  <si>
    <t>SO transportdienst (exclusief invoeding) voor maatstaf 2022-2026</t>
  </si>
  <si>
    <t>SO-bestand RNB G 2022-2026, tabblad 'SO voor maatstaf', som van rijen 370-379</t>
  </si>
  <si>
    <t>Behaalde vergoeding uit voorschot netverliezen 2023 in tarieven 2023</t>
  </si>
  <si>
    <t>Reguleringdata 2022, tabel 3A</t>
  </si>
  <si>
    <t>In de tarieven 2023 is een voorschot op de nacalculatie netverliezen gas 2023 opgenomen. Het nacalculatiebedrag in de tarieven 2025 wordt hiervoor gecorrigeerd, rekening houdend met volumeveranderingen.</t>
  </si>
  <si>
    <t>Mutatie rentepercentage van 2022 naar 2023</t>
  </si>
  <si>
    <t>Informatieverzoek RENDO t.b.v. registratiefout netverliezen</t>
  </si>
  <si>
    <t xml:space="preserve">In de tarieven 2024 zijn voor Westland in de nacalculatie netverliezen 2022 de werkelijke kosten voor netverliezen 2022 op nihil gesteld, aangezien deze nog niet definitief waren. Deze kosten zijn inmiddels definitief en worden verwerkt in de nacalculatie netverliezen 2023. </t>
  </si>
  <si>
    <t>Opbrengsten a.g.v. registratiefout klant</t>
  </si>
  <si>
    <t xml:space="preserve">Door een registratiefout van een klant heeft RENDO in de reguleringsdata 2023 opbrengsten ontvangen die niet het gevolg zijn van werkelijke netverliezen. Deze opbrengsten worden in de nacalculatie in mindering gebracht op de werkelijke kosten voor netverliezen 2023. </t>
  </si>
  <si>
    <t>Tarievenbesluiten regionale netbeheerders gas 2025</t>
  </si>
  <si>
    <t>Nacalculatie netverliezen gas 2023</t>
  </si>
  <si>
    <t>Nacalculatiebedrag gewijzigd methodebesluit 2022-2024</t>
  </si>
  <si>
    <t>Nacalculatie gewijzigd methodebesluit 2022-2024</t>
  </si>
  <si>
    <t>Op dit tabblad worden de totale inkomsten (inclusief correcties) berekend. Dit gebeurt door de wettelijke formule toe te passen op de begininkomsten, dit resulteert in de TI 2025 (exclusief correcties).</t>
  </si>
  <si>
    <t>De relatieve wijziging van de consumentenprijsindex wordt berekend uit het quotiënt van van deze prijsindex, gepubliceerd in de vierde maand voorafgaande aan het jaar t, en van deze index, gepubliceerd in de zestiende maand voorafgaande aan het jaar t, zoals deze maandelijks wordt vastgesteld door het CBS.</t>
  </si>
  <si>
    <t>De ACM hanteert vanaf 2022 de wettelijke rente als rentepercentage voor tariefcorrecties. De wettelijke rente wordt halfjaarlijks door De Nederlandsche Bank gepubliceerd.</t>
  </si>
  <si>
    <t>Op dit blad worden inputgegevens verzameld voor de nacalculatie van misgelopen inkomsten in 2022-2024 naar aanleiding van het gewijzigde methodebesluit 2022-2026 dat op 14 december 2023 door de ACM is vastgesteld.</t>
  </si>
  <si>
    <t>De ACM heeft de nacalculaties 2022 in de tarieven 2024 o.b.v. het gewijzigde methodebesluit in een separaat Excelbestand berekend. Dit bestand wordt als bijlage gepubliceerd.</t>
  </si>
  <si>
    <t>Voorschot netverliezen 2023 in tarieven 2023</t>
  </si>
  <si>
    <t>Input risicovrije rente en de rente voor de kostenvoet vreemd vermogen 2023</t>
  </si>
  <si>
    <t>Op dit blad worden input gegevens verzameld voor de nacalculatie van de risicovrije rente en de rente voor de kostenvoet vreemd vermogen in de WACC in 2023.</t>
  </si>
  <si>
    <t>De nacalculatie staat gelijk aan het verschil tussen de in het gewijzigde x-factorbesluit geschatte vermogenskosten voor 2023 en de vermogenskosten op basis van de herrekende WACC in 2023.</t>
  </si>
  <si>
    <t>De ACM calculeert invoedingsvolumes na om de netbeheerder een vergoeding te bieden voor exra invoedingskosten a.g.v. veranderingen in de vraag naar invoeding gedurende de reguleringsperiode.</t>
  </si>
  <si>
    <t>De ACM heeft de geaggregeerde volumes, rolling forward wegingsfactoren en de ontwikkeling van ontvangen inkomsten voor invoeding via afname in een separaat Excelbestand berekend. Dit bestand wordt als bijlage gepubliceerd.</t>
  </si>
  <si>
    <t>De rolling-forward wegingsfactoren zijn gelijk aan de wegingsfactoren uit het gewijzigde methodebesluit, aangepast naar prijspeil en efficiëntieniveau 2023.</t>
  </si>
  <si>
    <r>
      <t xml:space="preserve">In de tarieven 2023 is een nacalculatie voor verwijderingen van gasaansluiting </t>
    </r>
    <r>
      <rPr>
        <i/>
        <sz val="10"/>
        <rFont val="Arial"/>
        <family val="2"/>
      </rPr>
      <t>met</t>
    </r>
    <r>
      <rPr>
        <sz val="10"/>
        <rFont val="Arial"/>
        <family val="2"/>
      </rPr>
      <t xml:space="preserve"> verzoek opgenomen. Op 20 juni 2023 heeft het CBb geoordeeld dat de ACM de kosten voor het verwijderen van gasaansluitingen op verzoek van de kleinverbruiker niet in de tarieven had mogen opnemen. De ACM onttrekt deze nagecalculeerde kosten daarom aan de tarieven 2025.</t>
    </r>
  </si>
  <si>
    <t>Berekening van parameters</t>
  </si>
  <si>
    <t>Door de wettelijke rente toe te passen kunnen correctiebedragen uit eerdere jaren naar het prijspeil in het tarievenjaar 2025 worden gebracht.</t>
  </si>
  <si>
    <t>De relevante wettelijke rente voor de tarieven 2025 betreft de rente vanaf 1 juli van het jaar waarop het tekort of overschot betrekking heeft tot 1 juli 2025.</t>
  </si>
  <si>
    <t>De wettelijke rente voor het eerste half jaar van 2025 is pas begin 2025 bekend. Daarom schat de ACM de wettelijke rente voor het eerste en tweede kwartaal van 2025 op basis van de gebruikelijke berekeningsmethode van het ECB.</t>
  </si>
  <si>
    <t>Volgens deze berekeningsmethode staat de wettelijke rente gelijk aan de som van de ECB rente en 2,25%, afgerond naar boven. Voor het eerste en tweede kwartaal van 2025 wordt de stand van de ECB rente eind oktober toegepast.</t>
  </si>
  <si>
    <t>Wettelijke rente 2025</t>
  </si>
  <si>
    <t>Op 14 december 2023 heeft de ACM het gewijzigd methodebesluit RNB's elektriciteit 2022-2026 vastgesteld. Het gewijzigd methodebesluit is met terugwerkende kracht van toepassing vanaf 1 januari 2022.</t>
  </si>
  <si>
    <t>In de nacalculatie gewijzigd methodebesluit worden de misgelopen inkomsten in 2022-2024 op basis van het gewijzigde methodebesluit vergoed.</t>
  </si>
  <si>
    <t>Voor de nacalculatie vergelijkt de ACM de toegestane inkomsten in 2022-2024 op basis van het oorspronkelijke en gewijzigde methodebesluit.</t>
  </si>
  <si>
    <t>Verschil nacalculaties in tarieven 2024</t>
  </si>
  <si>
    <t>Nacalculatie risicovrije rente en de rente voor de kostenvoet vreemd vermogen 2023</t>
  </si>
  <si>
    <t>De geschatte vermogenskosten vormen onderdeel van de gewijzigde x-factorberekening. De ACM stelt de jaarlijkse geschatte vermogenskosten in de gewijzigde x-factorberekening vast door uit te gaan van een lineair verloop van de geschatte efficiënte kosten tussen 2021 en 2026.</t>
  </si>
  <si>
    <t>Stap 1: Het startpunt is de sectorgemiddelde GAW 2018-2020 in efficiëntie niveau 2021 en prijspeil 2021 uit het gewijzigde x-factorbestand.</t>
  </si>
  <si>
    <t>Stap 3: Vervolgens worden de vermogenskosten tweemaal berekend door de GAW te vermenigvuldigen met 1) de WACC die is af te leiden uit de gewijzigde x-factorberekening en 2) de herrekende WACC.</t>
  </si>
  <si>
    <t>Voor de nacalculatie risicovrije rente en de rente voor de kostenvoet vreemd vermogen wordt jaarlijks het absolute verschil berekend tussen de geschatte vermogenskosten en de vermogenskosten op basis van de herrekende WACC.</t>
  </si>
  <si>
    <t>Berekening verschil vermogenskosten TD n.a.v. herrekende WACC</t>
  </si>
  <si>
    <t>Berekening verschil vermogenskosten AD n.a.v. herrekende WACC</t>
  </si>
  <si>
    <t>Nominale WACC 2023 in gewijzigde x-factorberekening</t>
  </si>
  <si>
    <t>Efficiënte vermogenskosten AD 2023 in gewijzigde x-factorberekening (vóór nacalculatie rente)</t>
  </si>
  <si>
    <t>Efficiënte vermogenskosten TD 2023 in gewijzigde x-factorberekening (vóór nacalculatie rente)</t>
  </si>
  <si>
    <t>WACC in gewijzigde x-factorberekening</t>
  </si>
  <si>
    <t>Toegestane extra inkomsten invoeding vóór correctie ontwikkeling afnamevolumes</t>
  </si>
  <si>
    <t>Toegestane extra inkomsten invoeding ná correctie ontwikkeling afnamevolumes</t>
  </si>
  <si>
    <t>Berekening gecorrigeerde ontwikkeling invoeding</t>
  </si>
  <si>
    <t>Stap 1: De ACM berekent de ontwikkeling van invoedingsvolumes door het verschil te nemen tussen gerealiseerde volumes en rekenvolumes.</t>
  </si>
  <si>
    <t xml:space="preserve">Stap 2: Het bruto nacalculatiebedrag wordt berekend door de ontwikkeling van invoedingsvolumes (uit stap 1) te vermenigvuldigen met de rolling forward wegingsfactoren. </t>
  </si>
  <si>
    <t>Stap 3: Het netto nacalculatiebedrag volgt door de ontwikkeling van ontvangen inkomsten voor invoeding via afname af te trekken van het bruto nacalculatiebedrag (uit stap 2)</t>
  </si>
  <si>
    <t>Nacalculatie verwijderingskosten gasaansluitingen zonder verzoek kleinverbruikers 2023</t>
  </si>
  <si>
    <t>Nacalculatie verwijderingskosten gasaansluitingen zonder verzoek grootverbruikers 2023</t>
  </si>
  <si>
    <t>- Ten eerste worden de efficiënte kosten voor de eenmalige aansluitdienst (EAV) bepaald aan de hand van gegevens uit het gewijzigde x-factormodel.</t>
  </si>
  <si>
    <t>Hierop worden overgenomen private netten aan toegevoegd en vervolgens correcties op toegepast.</t>
  </si>
  <si>
    <t>Kolommen L tot Z zijn ingeklapt ten behoeve van het overzicht.</t>
  </si>
  <si>
    <t>Risicovrije rente en de rente voor de kostenvoet vreemd vermogen TD 2022</t>
  </si>
  <si>
    <t>Risicovrije rente en de rente voor de kostenvoet vreemd vermogen AD 2022</t>
  </si>
  <si>
    <t>Gewijzigde X-factorberekening RNB G 2022 - 2026, tabblad  '4) Berekeningen op parameters', cel T21</t>
  </si>
  <si>
    <t>Gemiddelde GAW AD in 2023</t>
  </si>
  <si>
    <t>In de gewijzigde x-factorberekening is reeds een bedrag voor de verwijderingskosten gasaansluiting kleinverbruik zonder verzoek opgenomen. De kosten die in de gewijzigde x-factorberekening zijn opgenomen worden daarom met de CPI en de x-factor naar prijspeil en efficiëntieniveau 2022 gebracht en daarna in mindering gebracht op het nacalculatiebedrag voor verwijderingen zonder verzoek.</t>
  </si>
  <si>
    <t>Correctie voor reeds in gewijzigde x-factorberekening opgenomen verwijderingskosten</t>
  </si>
  <si>
    <t>Reeds in gewijzigde x-factorberekening opgenomen verwijderingskosten gasaansluiting zonder verzoek</t>
  </si>
  <si>
    <t>Reeds in gewijzigde x-factorberekening opgenomen verwijderingskosten gasaansluiting KV (zonder verzoek)</t>
  </si>
  <si>
    <t>Samengestelde output transportdienst 2023</t>
  </si>
  <si>
    <t>Op dit blad wordt de samengestelde output van de transportdienst in 2023 per netbeheerder berekend. Deze waarden zijn nodig als onderdeel van de nacalculatie netverliezen en de nacalculatie daling volumes gas.</t>
  </si>
  <si>
    <t>Gewijzigde x-factorberekening RNB G 2022 - 2026</t>
  </si>
  <si>
    <t>Bestand is als bijlage gepubliceerd.</t>
  </si>
  <si>
    <t>https://www.dnb.nl/statistieken/data-zoeken/#/details/wettelijke-rente/dataset/2ed0b77d-72c5-47e8-8a3d-0c213048e11d/resource/b363a333-1ce1-4ba0-83b9-80bdf6f78fa0</t>
  </si>
  <si>
    <t>https://www.ecb.europa.eu/stats/policy_and_exchange_rates/key_ecb_interest_rates/html/index.nl.html</t>
  </si>
  <si>
    <t>WACC model met nagecalculeerde rentes</t>
  </si>
  <si>
    <t xml:space="preserve">StatLine </t>
  </si>
  <si>
    <t>https://opendata.cbs.nl/#/CBS/nl/dataset/70936ned/table?ts=1631782812900</t>
  </si>
  <si>
    <t>TI-berekening RNB-G 2024; tabblad 'TI-berekeningen 2024', rij 19</t>
  </si>
  <si>
    <t>TI-berekening RNB-G 2024; tabblad 'TI-berekeningen 2024', rij 20</t>
  </si>
  <si>
    <t>TI-berekening RNB-G 2024; tabblad 'TI-berekeningen 2024', rij 21</t>
  </si>
  <si>
    <t>TI-berekening RNB-G 2024</t>
  </si>
  <si>
    <t>TI-berekening RNB-G 2023, tabblad 'TI-berekening 2023', rij 28</t>
  </si>
  <si>
    <t>TI-berekening RNB-G 2023</t>
  </si>
  <si>
    <t>Gewijzigd kostenbestand RNB G 2022-2026</t>
  </si>
  <si>
    <t>Berekening nacalculatie invoeding G 2023</t>
  </si>
  <si>
    <t>GAW-bestand RNB-G 2022-2026 [RNB] tbv nacalculatie desinvesteringen</t>
  </si>
  <si>
    <t>TI-berekening RNB-G 2023, tabblad 'Verwijderingskosten KV', rij 52</t>
  </si>
  <si>
    <t>X-factorberekening RNB G 2022-2026</t>
  </si>
  <si>
    <t>Reguleringsdata 2018/2019/2020/2022/2023</t>
  </si>
  <si>
    <t>Reguleringsdata 2018, Reguleringsdata 2019, Reguleringsdata 2020, Reguleringsdata 2022, Reguleringsdata 2023</t>
  </si>
  <si>
    <t>Berekening input nacalculatie invoeding 2023 regionale netbeheerders gas</t>
  </si>
  <si>
    <r>
      <t xml:space="preserve">Bestand is vanwege de omvang en complexiteit niet gepubliceerd, maar kan op verzoek worden toegestuurd. U kunt hiervoor mailen naar </t>
    </r>
    <r>
      <rPr>
        <u/>
        <sz val="10"/>
        <color rgb="FF0070C0"/>
        <rFont val="Arial"/>
        <family val="2"/>
      </rPr>
      <t>DTE-Tarievenbesluiten@acm.nl</t>
    </r>
    <r>
      <rPr>
        <sz val="10"/>
        <rFont val="Arial"/>
        <family val="2"/>
      </rPr>
      <t>.</t>
    </r>
  </si>
  <si>
    <t>https://www.acm.nl/nl/publicaties/herstel-x-factorberekening-regionale-netbeheerders-gas-2021-2026</t>
  </si>
  <si>
    <t>SO-bestand regionale netbeheerders gas 2022-2026</t>
  </si>
  <si>
    <t>Berekening x-factor bij gewijzigde x-factorbesluiten gas 2022-2026 | ACM.nl</t>
  </si>
  <si>
    <t>Gewijzigd kostenbestand regionale netbeheerders gas 2022-2026</t>
  </si>
  <si>
    <t>Gewijzigde x-factorberekening regional enetbeheerders gas 2022-2026 (29-03-2024)</t>
  </si>
  <si>
    <t>Gewijzigde X-factorberekening regionale netbeheerders gas 2022-2026 (28-09-2021)</t>
  </si>
  <si>
    <t>De totale inkomsten voor de regionale netbeheerders gas voor 2024 | ACM.nl</t>
  </si>
  <si>
    <t>Berekening totale inkomsten 2024 regionale netbeheerders gas</t>
  </si>
  <si>
    <t>Berekening totale inkomsten 2023 regionale netbeheerders gas</t>
  </si>
  <si>
    <t>Berekening totale inkomsten 2023 regionaal netbeheer gas | ACM.nl</t>
  </si>
  <si>
    <t>Gewijzigd SO-bestand RNB-G 2022-2026</t>
  </si>
  <si>
    <t>SO-bestand RNB-G 2022-2026</t>
  </si>
  <si>
    <t>Gewijzigd so bestand regionale netbeheerders gas 2022-2026</t>
  </si>
  <si>
    <t>Aandeel TI PAV 2025 o.b.v. ingroei</t>
  </si>
  <si>
    <t>Aandeel TI EAV 2025 o.b.v. ingroei</t>
  </si>
  <si>
    <t>Aandeel TI TD 2025 o.b.v. ingroei</t>
  </si>
  <si>
    <t>Reguleringsdata 2023, tabel 2B &amp; 2D</t>
  </si>
  <si>
    <t>Correcties in tarieven 2025</t>
  </si>
  <si>
    <t>TI-berekening RNB-G 2024; tabblad 'Nacalculatie rente', rij 127</t>
  </si>
  <si>
    <t>TI-berekening RNB-G 2024; tabblad 'Nacalculatie rente', rij 126</t>
  </si>
  <si>
    <t>Input desinvesteringen afnemende benuttingsgraad (zowel TD als AD) en verwijderingskosten gasnetten (alleen TD)</t>
  </si>
  <si>
    <t>Desinvesteringen afnemende benuttingsgraad (zowel TD als AD) en verwijderingskosten gasnetten (alleen TD) 2023</t>
  </si>
  <si>
    <t>De netbeheerder geeft de kosten en opbrengsten op bij de ACM via een afzonderlijk informatieverzoek. De ACM toetst deze opgave onder andere op kostenefficiëntie.</t>
  </si>
  <si>
    <t>Investeringen bij overname 1 juli 2022</t>
  </si>
  <si>
    <t>Initiële overnamesom</t>
  </si>
  <si>
    <t>Hernieuwde overnamesom</t>
  </si>
  <si>
    <t>Informatieverzoek Rendant 2023</t>
  </si>
  <si>
    <t>Uitbreidingsinvesteringen</t>
  </si>
  <si>
    <t>Uitbreidingsinvesteringen 2022</t>
  </si>
  <si>
    <t>Uitbreidingsinvesteringen 2023</t>
  </si>
  <si>
    <t>Afschrijftermijnen</t>
  </si>
  <si>
    <t>Resterende afschrijftermijn vanaf overname</t>
  </si>
  <si>
    <t>Afschrijftermijn uitbreidingsinvesteringen 2022</t>
  </si>
  <si>
    <t>Afschrijftermijn uitbreidingsinvesteringen 2023</t>
  </si>
  <si>
    <t>Operationele kosten 2023</t>
  </si>
  <si>
    <t>Inkomsten privaat net 2023</t>
  </si>
  <si>
    <t>WACC</t>
  </si>
  <si>
    <t>Nacalculatiemodel WACC 2023, tabblad '1. Resultaat', cel K66</t>
  </si>
  <si>
    <t>Nominale WACC nieuw vermogen 2023</t>
  </si>
  <si>
    <t>Nacalculatiemodel WACC 2023, tabblad '1. Resultaat', cel L66</t>
  </si>
  <si>
    <t>GAW berekeningen - investeringen TD bij overname</t>
  </si>
  <si>
    <t>Investeringen bij overname (1 juli 2022)</t>
  </si>
  <si>
    <t>Overnamesom (herwaardering)</t>
  </si>
  <si>
    <t>GAW 2022</t>
  </si>
  <si>
    <t>Afschrijvingen 2022</t>
  </si>
  <si>
    <t>Activawaarde per 31 december 2022</t>
  </si>
  <si>
    <t>GAW 2023</t>
  </si>
  <si>
    <t>Afschrijvingen 2023</t>
  </si>
  <si>
    <t>Activawaarde per 31 december 2023</t>
  </si>
  <si>
    <t>Kapitaalkosten 2023</t>
  </si>
  <si>
    <t>Totale kapitaalkosten 2023</t>
  </si>
  <si>
    <t>Herberekening nacalculatie TD 2022</t>
  </si>
  <si>
    <t>Verschil overnamesom</t>
  </si>
  <si>
    <t>Afschrijvingen</t>
  </si>
  <si>
    <t>Verschil activawaarde per 31 december 2022</t>
  </si>
  <si>
    <t>Verschil vermogenskosten</t>
  </si>
  <si>
    <t>Correctie nacalculatie 2022</t>
  </si>
  <si>
    <t>GAW berekeningen - investeringen AD bij overname</t>
  </si>
  <si>
    <t>Herberekening nacalculatie AD 2022</t>
  </si>
  <si>
    <t>Nacalculatie overname private netten TD</t>
  </si>
  <si>
    <t>Nacalculatie 2023</t>
  </si>
  <si>
    <t>Nacalculatie overname private netten AD</t>
  </si>
  <si>
    <t>Informatieverzoek Rendant 2022 en 2023</t>
  </si>
  <si>
    <t>Ja</t>
  </si>
  <si>
    <t>Individuele tarievenmodules RNB gas 2025</t>
  </si>
  <si>
    <t>ACM/23/187178</t>
  </si>
  <si>
    <t>Stedin heeft het netwerk Rendant op 1 juli 2022 overgenomen. De kosten en opbrengsten uit 2022 zijn nagecalculeerd in de tarieven 2024.</t>
  </si>
  <si>
    <t>De nacalculatie voor 2022 heeft geen rekening gehouden met deze extra kapitaalkosten. Deze kosten worden daarom vergoed in de nacalculatie overname private netten 2023.</t>
  </si>
  <si>
    <t>De kosten werden o.a. gebaseerd op de overnamesom die Stedin in 2022 heeft betaald. Deze overnamesom stond gelijk aan de in 2022 vastgestelde waardering van het netwerk.</t>
  </si>
  <si>
    <t>Na de initiële waardering heeft een onafhankelijke partij een hernieuwde waardering uitgevoerd. Hieruit volgde een hogere overnamesom, en daarmee hogere kapitaalkosten voor 2022.</t>
  </si>
  <si>
    <t>Herstel x-factorberekening regionale netbeheerders gas 2021-2026 | ACM.nl</t>
  </si>
  <si>
    <t>Berekening input nacalculatie gewijzigd methodebesluit 2022-2024 regionale netbeheerders gas</t>
  </si>
  <si>
    <t>Berekening nacalculatie gewijzigd methodebesluit</t>
  </si>
  <si>
    <t>Berekening nacalculatie gewijzigd methodebesluit; tabblad 'Nacalculatie rente', rij 127</t>
  </si>
  <si>
    <t>Berekening nacalculatie gewijzigd methodebesluit; tabblad 'Nacalculatie rente', rij 126</t>
  </si>
  <si>
    <t>Reguleringsdata 2023, tabel 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</si>
</sst>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 * #,##0_ ;_ * \-#,##0_ ;_ * &quot;-&quot;??_ ;_ @_ "/>
    <numFmt numFmtId="166" formatCode="0.0%"/>
    <numFmt numFmtId="167" formatCode="_-* #,##0_-;_-* #,##0\-;_-* &quot;-&quot;_-;_-@_-"/>
    <numFmt numFmtId="168" formatCode="_-* #,##0.00_-;_-* #,##0.00\-;_-* &quot;-&quot;??_-;_-@_-"/>
    <numFmt numFmtId="169" formatCode="0.000%"/>
    <numFmt numFmtId="170" formatCode="_ * #,##0.00_ ;_ * \-#,##0.00_ ;_ * &quot;-&quot;_ ;_ @_ "/>
    <numFmt numFmtId="171" formatCode="0.00000%"/>
    <numFmt numFmtId="172" formatCode="_ * #,##0.000_ ;_ * \-#,##0.000_ ;_ * &quot;-&quot;??_ ;_ @_ "/>
    <numFmt numFmtId="173" formatCode="_ * #,##0.000_ ;_ * \-#,##0.000_ ;_ * &quot;-&quot;_ ;_ @_ "/>
    <numFmt numFmtId="174" formatCode="_ * #,##0.0_ ;_ * \-#,##0.0_ ;_ * &quot;-&quot;_ ;_ @_ "/>
    <numFmt numFmtId="175" formatCode="0.000"/>
    <numFmt numFmtId="176" formatCode="_ * #,##0.0_ ;_ * \-#,##0.0_ ;_ * &quot;-&quot;??_ ;_ @_ "/>
    <numFmt numFmtId="177" formatCode="_ * #,##0.0000_ ;_ * \-#,##0.0000_ ;_ * &quot;-&quot;_ ;_ @_ "/>
  </numFmts>
  <fonts count="6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1"/>
      <color theme="1"/>
      <name val="Calibri"/>
      <family val="2"/>
      <scheme val="minor"/>
    </font>
    <font>
      <b/>
      <sz val="11"/>
      <color indexed="8"/>
      <name val="Arial"/>
      <family val="2"/>
    </font>
    <font>
      <sz val="11"/>
      <color theme="1"/>
      <name val="Arial"/>
      <family val="2"/>
    </font>
    <font>
      <u/>
      <sz val="10"/>
      <color theme="10"/>
      <name val="Arial"/>
      <family val="2"/>
    </font>
    <font>
      <sz val="8"/>
      <name val="Calibri"/>
      <family val="2"/>
      <scheme val="minor"/>
    </font>
    <font>
      <sz val="9"/>
      <color indexed="81"/>
      <name val="Tahoma"/>
      <family val="2"/>
    </font>
    <font>
      <sz val="10"/>
      <color rgb="FF000000"/>
      <name val="Arial"/>
      <family val="2"/>
    </font>
    <font>
      <sz val="9.5"/>
      <color theme="1"/>
      <name val="Arial"/>
      <family val="2"/>
    </font>
    <font>
      <u/>
      <sz val="10"/>
      <color rgb="FF0070C0"/>
      <name val="Arial"/>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1FFE1"/>
        <bgColor indexed="64"/>
      </patternFill>
    </fill>
    <fill>
      <patternFill patternType="solid">
        <fgColor rgb="FF99FF99"/>
        <bgColor indexed="64"/>
      </patternFill>
    </fill>
    <fill>
      <patternFill patternType="solid">
        <fgColor theme="0" tint="-0.14996795556505021"/>
        <bgColor indexed="64"/>
      </patternFill>
    </fill>
    <fill>
      <patternFill patternType="solid">
        <fgColor indexed="9"/>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s>
  <cellStyleXfs count="99">
    <xf numFmtId="0" fontId="0" fillId="0" borderId="0"/>
    <xf numFmtId="0" fontId="29" fillId="2" borderId="0" applyNumberFormat="0" applyBorder="0" applyAlignment="0" applyProtection="0"/>
    <xf numFmtId="0" fontId="30" fillId="3" borderId="0" applyNumberFormat="0" applyBorder="0" applyAlignment="0" applyProtection="0"/>
    <xf numFmtId="0" fontId="31" fillId="4" borderId="0" applyNumberFormat="0" applyBorder="0" applyAlignment="0" applyProtection="0"/>
    <xf numFmtId="0" fontId="32" fillId="0" borderId="0">
      <alignment vertical="top"/>
    </xf>
    <xf numFmtId="49" fontId="36" fillId="5" borderId="1">
      <alignment vertical="top"/>
    </xf>
    <xf numFmtId="49" fontId="33" fillId="23" borderId="1">
      <alignment vertical="top"/>
    </xf>
    <xf numFmtId="49" fontId="33" fillId="0" borderId="0">
      <alignment vertical="top"/>
    </xf>
    <xf numFmtId="43" fontId="32" fillId="16" borderId="0">
      <alignment vertical="top"/>
    </xf>
    <xf numFmtId="43" fontId="32" fillId="15" borderId="0">
      <alignment vertical="top"/>
    </xf>
    <xf numFmtId="43" fontId="32" fillId="13" borderId="0">
      <alignment vertical="top"/>
    </xf>
    <xf numFmtId="43" fontId="32" fillId="6" borderId="0">
      <alignment vertical="top"/>
    </xf>
    <xf numFmtId="43" fontId="32" fillId="8" borderId="0">
      <alignment vertical="top"/>
    </xf>
    <xf numFmtId="43" fontId="32" fillId="17" borderId="0">
      <alignment vertical="top"/>
    </xf>
    <xf numFmtId="49" fontId="37" fillId="0" borderId="0">
      <alignment vertical="top"/>
    </xf>
    <xf numFmtId="0" fontId="44" fillId="19" borderId="3" applyNumberFormat="0" applyAlignment="0" applyProtection="0"/>
    <xf numFmtId="0" fontId="45" fillId="20" borderId="4" applyNumberFormat="0" applyAlignment="0" applyProtection="0"/>
    <xf numFmtId="0" fontId="46" fillId="20" borderId="3" applyNumberFormat="0" applyAlignment="0" applyProtection="0"/>
    <xf numFmtId="0" fontId="47" fillId="0" borderId="5" applyNumberFormat="0" applyFill="0" applyAlignment="0" applyProtection="0"/>
    <xf numFmtId="0" fontId="41" fillId="21" borderId="6" applyNumberFormat="0" applyAlignment="0" applyProtection="0"/>
    <xf numFmtId="0" fontId="43" fillId="22" borderId="7" applyNumberFormat="0" applyFont="0" applyAlignment="0" applyProtection="0"/>
    <xf numFmtId="0" fontId="48" fillId="0" borderId="0" applyNumberFormat="0" applyFill="0" applyBorder="0" applyAlignment="0" applyProtection="0"/>
    <xf numFmtId="43" fontId="43" fillId="0" borderId="0" applyFont="0" applyFill="0" applyBorder="0" applyAlignment="0" applyProtection="0"/>
    <xf numFmtId="41"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9" fontId="43" fillId="0" borderId="0" applyFont="0" applyFill="0" applyBorder="0" applyAlignment="0" applyProtection="0"/>
    <xf numFmtId="0" fontId="49" fillId="0" borderId="0" applyNumberFormat="0" applyFill="0" applyBorder="0" applyAlignment="0" applyProtection="0"/>
    <xf numFmtId="0" fontId="50" fillId="0" borderId="8" applyNumberFormat="0" applyFill="0" applyAlignment="0" applyProtection="0"/>
    <xf numFmtId="0" fontId="51" fillId="0" borderId="9" applyNumberFormat="0" applyFill="0" applyAlignment="0" applyProtection="0"/>
    <xf numFmtId="0" fontId="52" fillId="0" borderId="10" applyNumberFormat="0" applyFill="0" applyAlignment="0" applyProtection="0"/>
    <xf numFmtId="0" fontId="52" fillId="0" borderId="0" applyNumberFormat="0" applyFill="0" applyBorder="0" applyAlignment="0" applyProtection="0"/>
    <xf numFmtId="0" fontId="42" fillId="0" borderId="0" applyNumberFormat="0" applyFill="0" applyBorder="0" applyAlignment="0" applyProtection="0"/>
    <xf numFmtId="0" fontId="53" fillId="0" borderId="0" applyNumberFormat="0" applyFill="0" applyBorder="0" applyAlignment="0" applyProtection="0"/>
    <xf numFmtId="0" fontId="54" fillId="0" borderId="11" applyNumberFormat="0" applyFill="0" applyAlignment="0" applyProtection="0"/>
    <xf numFmtId="0" fontId="55"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55" fillId="39" borderId="0" applyNumberFormat="0" applyBorder="0" applyAlignment="0" applyProtection="0"/>
    <xf numFmtId="0" fontId="55" fillId="40"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55" fillId="43" borderId="0" applyNumberFormat="0" applyBorder="0" applyAlignment="0" applyProtection="0"/>
    <xf numFmtId="0" fontId="55" fillId="44"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55" fillId="47" borderId="0" applyNumberFormat="0" applyBorder="0" applyAlignment="0" applyProtection="0"/>
    <xf numFmtId="0" fontId="56" fillId="0" borderId="0" applyNumberFormat="0" applyFill="0" applyBorder="0" applyAlignment="0" applyProtection="0"/>
    <xf numFmtId="43" fontId="43" fillId="0" borderId="0" applyFont="0" applyFill="0" applyBorder="0" applyAlignment="0" applyProtection="0"/>
    <xf numFmtId="9" fontId="43" fillId="0" borderId="0" applyFont="0" applyFill="0" applyBorder="0" applyAlignment="0" applyProtection="0"/>
    <xf numFmtId="0" fontId="48" fillId="0" borderId="0" applyNumberFormat="0" applyFill="0" applyBorder="0" applyAlignment="0" applyProtection="0"/>
    <xf numFmtId="165" fontId="32" fillId="7" borderId="0"/>
    <xf numFmtId="43" fontId="32" fillId="49" borderId="0">
      <alignment vertical="top"/>
    </xf>
    <xf numFmtId="43" fontId="32" fillId="50" borderId="0">
      <alignment vertical="top"/>
    </xf>
    <xf numFmtId="43" fontId="32" fillId="51" borderId="0" applyNumberFormat="0">
      <alignment vertical="top"/>
    </xf>
    <xf numFmtId="0" fontId="48" fillId="0" borderId="0" applyNumberFormat="0" applyFill="0" applyBorder="0" applyAlignment="0" applyProtection="0"/>
    <xf numFmtId="9" fontId="32" fillId="0" borderId="0" applyFont="0" applyFill="0" applyBorder="0" applyAlignment="0" applyProtection="0"/>
    <xf numFmtId="168" fontId="32" fillId="0" borderId="0" applyFont="0" applyFill="0" applyBorder="0" applyAlignment="0" applyProtection="0"/>
    <xf numFmtId="43" fontId="43" fillId="0" borderId="0" applyFont="0" applyFill="0" applyBorder="0" applyAlignment="0" applyProtection="0"/>
    <xf numFmtId="168" fontId="32" fillId="0" borderId="0" applyFont="0" applyFill="0" applyBorder="0" applyAlignment="0" applyProtection="0"/>
    <xf numFmtId="9" fontId="43" fillId="0" borderId="0" applyFont="0" applyFill="0" applyBorder="0" applyAlignment="0" applyProtection="0"/>
    <xf numFmtId="9" fontId="32" fillId="0" borderId="0" applyFont="0" applyFill="0" applyBorder="0" applyAlignment="0" applyProtection="0"/>
    <xf numFmtId="0" fontId="32" fillId="0" borderId="0"/>
    <xf numFmtId="0" fontId="32" fillId="0" borderId="0"/>
    <xf numFmtId="0" fontId="32" fillId="0" borderId="0" applyFill="0"/>
    <xf numFmtId="0" fontId="43" fillId="0" borderId="0"/>
    <xf numFmtId="0" fontId="32" fillId="0" borderId="0"/>
    <xf numFmtId="0" fontId="32" fillId="0" borderId="0"/>
    <xf numFmtId="0" fontId="32" fillId="0" borderId="0"/>
    <xf numFmtId="41" fontId="32" fillId="15" borderId="0">
      <alignment vertical="top"/>
    </xf>
    <xf numFmtId="0" fontId="32" fillId="0" borderId="0"/>
    <xf numFmtId="41" fontId="32" fillId="49" borderId="0">
      <alignment vertical="top"/>
    </xf>
    <xf numFmtId="0" fontId="16" fillId="0" borderId="0">
      <alignment vertical="top"/>
    </xf>
    <xf numFmtId="43" fontId="43" fillId="0" borderId="0" applyFont="0" applyFill="0" applyBorder="0" applyAlignment="0" applyProtection="0"/>
    <xf numFmtId="49" fontId="33" fillId="23" borderId="1">
      <alignment vertical="top"/>
    </xf>
    <xf numFmtId="9" fontId="43" fillId="0" borderId="0" applyFont="0" applyFill="0" applyBorder="0" applyAlignment="0" applyProtection="0"/>
    <xf numFmtId="41" fontId="32" fillId="50" borderId="0">
      <alignment vertical="top"/>
    </xf>
    <xf numFmtId="49" fontId="36" fillId="5" borderId="1">
      <alignment vertical="top"/>
    </xf>
    <xf numFmtId="41" fontId="32" fillId="49" borderId="0">
      <alignment vertical="top"/>
    </xf>
    <xf numFmtId="0" fontId="10" fillId="0" borderId="0">
      <alignment vertical="top"/>
    </xf>
    <xf numFmtId="10" fontId="32" fillId="0" borderId="0" applyFont="0" applyFill="0" applyBorder="0" applyAlignment="0" applyProtection="0">
      <alignment vertical="top"/>
    </xf>
    <xf numFmtId="0" fontId="32" fillId="0" borderId="0"/>
    <xf numFmtId="0" fontId="32" fillId="0" borderId="0"/>
    <xf numFmtId="9" fontId="32" fillId="0" borderId="0" applyFont="0" applyFill="0" applyBorder="0" applyAlignment="0" applyProtection="0"/>
    <xf numFmtId="168" fontId="32" fillId="0" borderId="0" applyFont="0" applyFill="0" applyBorder="0" applyAlignment="0" applyProtection="0"/>
    <xf numFmtId="0" fontId="32" fillId="0" borderId="0"/>
    <xf numFmtId="49" fontId="33" fillId="23" borderId="1">
      <alignment vertical="top"/>
    </xf>
  </cellStyleXfs>
  <cellXfs count="262">
    <xf numFmtId="0" fontId="0" fillId="0" borderId="0" xfId="0"/>
    <xf numFmtId="0" fontId="33" fillId="0" borderId="0" xfId="4" applyFont="1">
      <alignment vertical="top"/>
    </xf>
    <xf numFmtId="0" fontId="32" fillId="0" borderId="0" xfId="4">
      <alignment vertical="top"/>
    </xf>
    <xf numFmtId="0" fontId="34" fillId="0" borderId="0" xfId="4" applyFont="1">
      <alignment vertical="top"/>
    </xf>
    <xf numFmtId="0" fontId="37" fillId="0" borderId="0" xfId="4" applyFont="1">
      <alignment vertical="top"/>
    </xf>
    <xf numFmtId="0" fontId="38" fillId="0" borderId="0" xfId="4" applyFont="1">
      <alignment vertical="top"/>
    </xf>
    <xf numFmtId="49" fontId="33" fillId="23" borderId="1" xfId="6">
      <alignment vertical="top"/>
    </xf>
    <xf numFmtId="0" fontId="34" fillId="0" borderId="2" xfId="4" applyFont="1" applyBorder="1" applyAlignment="1">
      <alignment horizontal="left" vertical="top" wrapText="1"/>
    </xf>
    <xf numFmtId="0" fontId="32" fillId="0" borderId="2" xfId="4" applyBorder="1" applyAlignment="1">
      <alignment horizontal="left" vertical="top" wrapText="1"/>
    </xf>
    <xf numFmtId="0" fontId="36" fillId="5" borderId="1" xfId="4" applyFont="1" applyFill="1" applyBorder="1">
      <alignment vertical="top"/>
    </xf>
    <xf numFmtId="0" fontId="35" fillId="5" borderId="1" xfId="4" applyFont="1" applyFill="1" applyBorder="1">
      <alignment vertical="top"/>
    </xf>
    <xf numFmtId="0" fontId="32" fillId="10" borderId="0" xfId="4" applyFill="1">
      <alignment vertical="top"/>
    </xf>
    <xf numFmtId="0" fontId="32" fillId="11" borderId="0" xfId="4" applyFill="1">
      <alignment vertical="top"/>
    </xf>
    <xf numFmtId="0" fontId="32" fillId="12" borderId="0" xfId="4" applyFill="1">
      <alignment vertical="top"/>
    </xf>
    <xf numFmtId="0" fontId="32" fillId="7" borderId="0" xfId="4" applyFill="1">
      <alignment vertical="top"/>
    </xf>
    <xf numFmtId="2" fontId="32" fillId="14" borderId="0" xfId="4" applyNumberFormat="1" applyFill="1">
      <alignment vertical="top"/>
    </xf>
    <xf numFmtId="1" fontId="32" fillId="0" borderId="0" xfId="4" applyNumberFormat="1">
      <alignment vertical="top"/>
    </xf>
    <xf numFmtId="1" fontId="37" fillId="0" borderId="0" xfId="4" applyNumberFormat="1" applyFont="1">
      <alignment vertical="top"/>
    </xf>
    <xf numFmtId="0" fontId="40" fillId="0" borderId="0" xfId="4" applyFont="1">
      <alignment vertical="top"/>
    </xf>
    <xf numFmtId="0" fontId="36" fillId="5" borderId="1" xfId="5" applyNumberFormat="1">
      <alignment vertical="top"/>
    </xf>
    <xf numFmtId="0" fontId="42" fillId="0" borderId="0" xfId="4" applyFont="1">
      <alignment vertical="top"/>
    </xf>
    <xf numFmtId="0" fontId="34" fillId="9" borderId="0" xfId="4" applyFont="1" applyFill="1">
      <alignment vertical="top"/>
    </xf>
    <xf numFmtId="0" fontId="34" fillId="11" borderId="0" xfId="4" applyFont="1" applyFill="1">
      <alignment vertical="top"/>
    </xf>
    <xf numFmtId="0" fontId="34" fillId="12" borderId="0" xfId="4" applyFont="1" applyFill="1">
      <alignment vertical="top"/>
    </xf>
    <xf numFmtId="0" fontId="32" fillId="18" borderId="0" xfId="4" applyFill="1">
      <alignment vertical="top"/>
    </xf>
    <xf numFmtId="49" fontId="34" fillId="23" borderId="0" xfId="6" applyFont="1" applyBorder="1">
      <alignment vertical="top"/>
    </xf>
    <xf numFmtId="49" fontId="32" fillId="23" borderId="2" xfId="6" applyFont="1" applyBorder="1">
      <alignment vertical="top"/>
    </xf>
    <xf numFmtId="0" fontId="34" fillId="0" borderId="0" xfId="4" applyFont="1" applyAlignment="1">
      <alignment horizontal="left" vertical="top" wrapText="1"/>
    </xf>
    <xf numFmtId="49" fontId="33" fillId="0" borderId="0" xfId="7">
      <alignment vertical="top"/>
    </xf>
    <xf numFmtId="0" fontId="28" fillId="0" borderId="0" xfId="0" applyFont="1"/>
    <xf numFmtId="165" fontId="32" fillId="0" borderId="0" xfId="0" applyNumberFormat="1" applyFont="1"/>
    <xf numFmtId="165" fontId="36" fillId="5" borderId="1" xfId="0" applyNumberFormat="1" applyFont="1" applyFill="1" applyBorder="1" applyAlignment="1">
      <alignment vertical="top"/>
    </xf>
    <xf numFmtId="165" fontId="32" fillId="0" borderId="0" xfId="0" applyNumberFormat="1" applyFont="1" applyAlignment="1">
      <alignment vertical="top"/>
    </xf>
    <xf numFmtId="165" fontId="33" fillId="23" borderId="1" xfId="0" applyNumberFormat="1" applyFont="1" applyFill="1" applyBorder="1" applyAlignment="1">
      <alignment vertical="top"/>
    </xf>
    <xf numFmtId="165" fontId="28" fillId="0" borderId="0" xfId="0" applyNumberFormat="1" applyFont="1"/>
    <xf numFmtId="43" fontId="0" fillId="0" borderId="0" xfId="0" applyNumberFormat="1"/>
    <xf numFmtId="43" fontId="32" fillId="0" borderId="0" xfId="0" applyNumberFormat="1" applyFont="1"/>
    <xf numFmtId="43" fontId="32" fillId="17" borderId="0" xfId="13">
      <alignment vertical="top"/>
    </xf>
    <xf numFmtId="0" fontId="32" fillId="0" borderId="0" xfId="0" applyFont="1" applyAlignment="1">
      <alignment vertical="top"/>
    </xf>
    <xf numFmtId="165" fontId="32" fillId="16" borderId="0" xfId="8" applyNumberFormat="1">
      <alignment vertical="top"/>
    </xf>
    <xf numFmtId="165" fontId="32" fillId="15" borderId="0" xfId="9" applyNumberFormat="1">
      <alignment vertical="top"/>
    </xf>
    <xf numFmtId="0" fontId="32" fillId="0" borderId="0" xfId="0" applyFont="1"/>
    <xf numFmtId="49" fontId="33" fillId="0" borderId="1" xfId="6" applyFill="1">
      <alignment vertical="top"/>
    </xf>
    <xf numFmtId="165" fontId="33" fillId="0" borderId="1" xfId="0" applyNumberFormat="1" applyFont="1" applyBorder="1" applyAlignment="1">
      <alignment vertical="top"/>
    </xf>
    <xf numFmtId="0" fontId="54" fillId="0" borderId="0" xfId="0" applyFont="1"/>
    <xf numFmtId="43" fontId="28" fillId="0" borderId="0" xfId="0" applyNumberFormat="1" applyFont="1"/>
    <xf numFmtId="0" fontId="57" fillId="0" borderId="0" xfId="0" applyFont="1"/>
    <xf numFmtId="49" fontId="33" fillId="0" borderId="0" xfId="6" applyFill="1" applyBorder="1">
      <alignment vertical="top"/>
    </xf>
    <xf numFmtId="165" fontId="32" fillId="17" borderId="0" xfId="13" applyNumberFormat="1">
      <alignment vertical="top"/>
    </xf>
    <xf numFmtId="10" fontId="28" fillId="0" borderId="0" xfId="0" applyNumberFormat="1" applyFont="1"/>
    <xf numFmtId="166" fontId="32" fillId="17" borderId="0" xfId="61" applyNumberFormat="1" applyFont="1" applyFill="1" applyAlignment="1">
      <alignment vertical="top"/>
    </xf>
    <xf numFmtId="166" fontId="32" fillId="15" borderId="0" xfId="61" applyNumberFormat="1" applyFont="1" applyFill="1" applyAlignment="1">
      <alignment vertical="top"/>
    </xf>
    <xf numFmtId="0" fontId="33" fillId="23" borderId="1" xfId="6" applyNumberFormat="1">
      <alignment vertical="top"/>
    </xf>
    <xf numFmtId="167" fontId="28" fillId="15" borderId="0" xfId="0" applyNumberFormat="1" applyFont="1" applyFill="1"/>
    <xf numFmtId="165" fontId="28" fillId="17" borderId="0" xfId="0" applyNumberFormat="1" applyFont="1" applyFill="1"/>
    <xf numFmtId="165" fontId="28" fillId="15" borderId="0" xfId="0" applyNumberFormat="1" applyFont="1" applyFill="1"/>
    <xf numFmtId="164" fontId="28" fillId="16" borderId="0" xfId="0" applyNumberFormat="1" applyFont="1" applyFill="1"/>
    <xf numFmtId="10" fontId="32" fillId="17" borderId="0" xfId="61" applyNumberFormat="1" applyFont="1" applyFill="1" applyAlignment="1">
      <alignment vertical="top"/>
    </xf>
    <xf numFmtId="0" fontId="58" fillId="0" borderId="0" xfId="0" applyFont="1"/>
    <xf numFmtId="0" fontId="59" fillId="0" borderId="0" xfId="0" applyFont="1"/>
    <xf numFmtId="2" fontId="33" fillId="23" borderId="1" xfId="6" applyNumberFormat="1">
      <alignment vertical="top"/>
    </xf>
    <xf numFmtId="164" fontId="32" fillId="0" borderId="0" xfId="4" applyNumberFormat="1">
      <alignment vertical="top"/>
    </xf>
    <xf numFmtId="49" fontId="37" fillId="0" borderId="0" xfId="14">
      <alignment vertical="top"/>
    </xf>
    <xf numFmtId="43" fontId="32" fillId="49" borderId="0" xfId="64">
      <alignment vertical="top"/>
    </xf>
    <xf numFmtId="49" fontId="32" fillId="0" borderId="0" xfId="14" applyFont="1">
      <alignment vertical="top"/>
    </xf>
    <xf numFmtId="43" fontId="32" fillId="50" borderId="0" xfId="65">
      <alignment vertical="top"/>
    </xf>
    <xf numFmtId="43" fontId="32" fillId="13" borderId="0" xfId="10">
      <alignment vertical="top"/>
    </xf>
    <xf numFmtId="165" fontId="32" fillId="49" borderId="0" xfId="64" applyNumberFormat="1">
      <alignment vertical="top"/>
    </xf>
    <xf numFmtId="10" fontId="32" fillId="49" borderId="0" xfId="61" applyNumberFormat="1" applyFont="1" applyFill="1" applyAlignment="1">
      <alignment vertical="top"/>
    </xf>
    <xf numFmtId="43" fontId="32" fillId="49" borderId="2" xfId="64" applyBorder="1">
      <alignment vertical="top"/>
    </xf>
    <xf numFmtId="0" fontId="40" fillId="0" borderId="0" xfId="0" applyFont="1" applyAlignment="1">
      <alignment vertical="top"/>
    </xf>
    <xf numFmtId="49" fontId="32" fillId="0" borderId="0" xfId="7" applyFont="1">
      <alignment vertical="top"/>
    </xf>
    <xf numFmtId="0" fontId="32" fillId="0" borderId="0" xfId="4" applyAlignment="1">
      <alignment vertical="top" wrapText="1"/>
    </xf>
    <xf numFmtId="49" fontId="33" fillId="23" borderId="1" xfId="6" applyAlignment="1">
      <alignment vertical="top" wrapText="1"/>
    </xf>
    <xf numFmtId="167" fontId="32" fillId="0" borderId="0" xfId="4" applyNumberFormat="1">
      <alignment vertical="top"/>
    </xf>
    <xf numFmtId="0" fontId="32" fillId="0" borderId="0" xfId="0" quotePrefix="1" applyFont="1"/>
    <xf numFmtId="0" fontId="32" fillId="0" borderId="0" xfId="80"/>
    <xf numFmtId="0" fontId="27" fillId="0" borderId="0" xfId="0" applyFont="1"/>
    <xf numFmtId="0" fontId="26" fillId="0" borderId="0" xfId="0" applyFont="1"/>
    <xf numFmtId="0" fontId="26" fillId="0" borderId="0" xfId="0" quotePrefix="1" applyFont="1"/>
    <xf numFmtId="0" fontId="32" fillId="48" borderId="0" xfId="4" applyFill="1">
      <alignment vertical="top"/>
    </xf>
    <xf numFmtId="0" fontId="27" fillId="48" borderId="0" xfId="0" applyFont="1" applyFill="1"/>
    <xf numFmtId="165" fontId="32" fillId="48" borderId="0" xfId="64" applyNumberFormat="1" applyFill="1">
      <alignment vertical="top"/>
    </xf>
    <xf numFmtId="10" fontId="32" fillId="0" borderId="0" xfId="61" applyNumberFormat="1" applyFont="1" applyFill="1" applyAlignment="1">
      <alignment vertical="top"/>
    </xf>
    <xf numFmtId="0" fontId="25" fillId="0" borderId="0" xfId="0" quotePrefix="1" applyFont="1"/>
    <xf numFmtId="165" fontId="32" fillId="0" borderId="0" xfId="4" applyNumberFormat="1">
      <alignment vertical="top"/>
    </xf>
    <xf numFmtId="0" fontId="41" fillId="5" borderId="1" xfId="4" applyFont="1" applyFill="1" applyBorder="1">
      <alignment vertical="top"/>
    </xf>
    <xf numFmtId="0" fontId="48" fillId="0" borderId="0" xfId="62"/>
    <xf numFmtId="0" fontId="24" fillId="0" borderId="0" xfId="0" applyFont="1"/>
    <xf numFmtId="0" fontId="23" fillId="0" borderId="0" xfId="0" quotePrefix="1" applyFont="1"/>
    <xf numFmtId="49" fontId="32" fillId="0" borderId="0" xfId="6" applyFont="1" applyFill="1" applyBorder="1">
      <alignment vertical="top"/>
    </xf>
    <xf numFmtId="0" fontId="22" fillId="0" borderId="0" xfId="0" applyFont="1"/>
    <xf numFmtId="165" fontId="32" fillId="0" borderId="0" xfId="9" applyNumberFormat="1" applyFill="1">
      <alignment vertical="top"/>
    </xf>
    <xf numFmtId="165" fontId="32" fillId="0" borderId="0" xfId="13" applyNumberFormat="1" applyFill="1">
      <alignment vertical="top"/>
    </xf>
    <xf numFmtId="0" fontId="21" fillId="0" borderId="0" xfId="0" applyFont="1"/>
    <xf numFmtId="0" fontId="33" fillId="0" borderId="0" xfId="82" applyFont="1"/>
    <xf numFmtId="165" fontId="33" fillId="23" borderId="1" xfId="6" applyNumberFormat="1">
      <alignment vertical="top"/>
    </xf>
    <xf numFmtId="0" fontId="20" fillId="0" borderId="0" xfId="0" applyFont="1"/>
    <xf numFmtId="0" fontId="41" fillId="5" borderId="1" xfId="5" applyNumberFormat="1" applyFont="1">
      <alignment vertical="top"/>
    </xf>
    <xf numFmtId="41" fontId="32" fillId="49" borderId="0" xfId="83">
      <alignment vertical="top"/>
    </xf>
    <xf numFmtId="165" fontId="32" fillId="0" borderId="0" xfId="64" applyNumberFormat="1" applyFill="1">
      <alignment vertical="top"/>
    </xf>
    <xf numFmtId="0" fontId="20" fillId="0" borderId="0" xfId="0" applyFont="1" applyAlignment="1">
      <alignment vertical="top"/>
    </xf>
    <xf numFmtId="43" fontId="32" fillId="0" borderId="0" xfId="4" applyNumberFormat="1">
      <alignment vertical="top"/>
    </xf>
    <xf numFmtId="43" fontId="33" fillId="23" borderId="1" xfId="6" applyNumberFormat="1">
      <alignment vertical="top"/>
    </xf>
    <xf numFmtId="165" fontId="32" fillId="17" borderId="0" xfId="64" applyNumberFormat="1" applyFill="1">
      <alignment vertical="top"/>
    </xf>
    <xf numFmtId="166" fontId="32" fillId="17" borderId="0" xfId="4" applyNumberFormat="1" applyFill="1">
      <alignment vertical="top"/>
    </xf>
    <xf numFmtId="43" fontId="32" fillId="17" borderId="0" xfId="64" applyFill="1">
      <alignment vertical="top"/>
    </xf>
    <xf numFmtId="43" fontId="41" fillId="5" borderId="1" xfId="5" applyNumberFormat="1" applyFont="1">
      <alignment vertical="top"/>
    </xf>
    <xf numFmtId="41" fontId="32" fillId="15" borderId="0" xfId="81">
      <alignment vertical="top"/>
    </xf>
    <xf numFmtId="169" fontId="32" fillId="0" borderId="0" xfId="61" applyNumberFormat="1" applyFont="1" applyAlignment="1">
      <alignment vertical="top"/>
    </xf>
    <xf numFmtId="41" fontId="32" fillId="17" borderId="0" xfId="83" applyFill="1">
      <alignment vertical="top"/>
    </xf>
    <xf numFmtId="0" fontId="19" fillId="0" borderId="0" xfId="0" applyFont="1"/>
    <xf numFmtId="165" fontId="32" fillId="17" borderId="0" xfId="9" applyNumberFormat="1" applyFill="1">
      <alignment vertical="top"/>
    </xf>
    <xf numFmtId="170" fontId="32" fillId="49" borderId="0" xfId="83" applyNumberFormat="1">
      <alignment vertical="top"/>
    </xf>
    <xf numFmtId="43" fontId="32" fillId="17" borderId="0" xfId="4" applyNumberFormat="1" applyFill="1">
      <alignment vertical="top"/>
    </xf>
    <xf numFmtId="0" fontId="0" fillId="0" borderId="0" xfId="0" applyAlignment="1">
      <alignment vertical="top"/>
    </xf>
    <xf numFmtId="41" fontId="32" fillId="0" borderId="0" xfId="83" applyFill="1">
      <alignment vertical="top"/>
    </xf>
    <xf numFmtId="41" fontId="32" fillId="15" borderId="0" xfId="4" applyNumberFormat="1" applyFill="1">
      <alignment vertical="top"/>
    </xf>
    <xf numFmtId="0" fontId="18" fillId="0" borderId="0" xfId="0" applyFont="1" applyAlignment="1">
      <alignment vertical="top"/>
    </xf>
    <xf numFmtId="43" fontId="20" fillId="0" borderId="0" xfId="0" applyNumberFormat="1" applyFont="1" applyAlignment="1">
      <alignment vertical="top"/>
    </xf>
    <xf numFmtId="43" fontId="20" fillId="17" borderId="0" xfId="0" applyNumberFormat="1" applyFont="1" applyFill="1" applyAlignment="1">
      <alignment vertical="top"/>
    </xf>
    <xf numFmtId="165" fontId="32" fillId="15" borderId="0" xfId="13" applyNumberFormat="1" applyFill="1">
      <alignment vertical="top"/>
    </xf>
    <xf numFmtId="41" fontId="32" fillId="17" borderId="0" xfId="81" applyFill="1">
      <alignment vertical="top"/>
    </xf>
    <xf numFmtId="0" fontId="32" fillId="0" borderId="0" xfId="82"/>
    <xf numFmtId="41" fontId="32" fillId="0" borderId="0" xfId="4" applyNumberFormat="1">
      <alignment vertical="top"/>
    </xf>
    <xf numFmtId="0" fontId="17" fillId="0" borderId="0" xfId="0" applyFont="1" applyAlignment="1">
      <alignment vertical="top"/>
    </xf>
    <xf numFmtId="10" fontId="17" fillId="0" borderId="0" xfId="0" applyNumberFormat="1" applyFont="1" applyAlignment="1">
      <alignment vertical="top"/>
    </xf>
    <xf numFmtId="165" fontId="32" fillId="0" borderId="0" xfId="70" applyNumberFormat="1" applyFont="1" applyAlignment="1">
      <alignment vertical="top"/>
    </xf>
    <xf numFmtId="41" fontId="32" fillId="0" borderId="0" xfId="81" applyFill="1">
      <alignment vertical="top"/>
    </xf>
    <xf numFmtId="0" fontId="17" fillId="0" borderId="0" xfId="75" applyFont="1"/>
    <xf numFmtId="41" fontId="32" fillId="16" borderId="0" xfId="81" applyFill="1">
      <alignment vertical="top"/>
    </xf>
    <xf numFmtId="0" fontId="15" fillId="0" borderId="0" xfId="0" quotePrefix="1" applyFont="1"/>
    <xf numFmtId="0" fontId="14" fillId="0" borderId="0" xfId="75" applyFont="1" applyAlignment="1">
      <alignment vertical="top"/>
    </xf>
    <xf numFmtId="0" fontId="54" fillId="0" borderId="0" xfId="75" applyFont="1" applyAlignment="1">
      <alignment vertical="top"/>
    </xf>
    <xf numFmtId="0" fontId="14" fillId="0" borderId="0" xfId="75" applyFont="1"/>
    <xf numFmtId="0" fontId="63" fillId="0" borderId="0" xfId="0" applyFont="1" applyAlignment="1">
      <alignment vertical="center"/>
    </xf>
    <xf numFmtId="10" fontId="32" fillId="49" borderId="0" xfId="83" applyNumberFormat="1">
      <alignment vertical="top"/>
    </xf>
    <xf numFmtId="10" fontId="32" fillId="17" borderId="0" xfId="83" applyNumberFormat="1" applyFill="1">
      <alignment vertical="top"/>
    </xf>
    <xf numFmtId="0" fontId="14" fillId="0" borderId="0" xfId="0" applyFont="1"/>
    <xf numFmtId="9" fontId="43" fillId="0" borderId="0" xfId="61" applyAlignment="1">
      <alignment vertical="top"/>
    </xf>
    <xf numFmtId="171" fontId="32" fillId="0" borderId="0" xfId="4" applyNumberFormat="1">
      <alignment vertical="top"/>
    </xf>
    <xf numFmtId="10" fontId="32" fillId="15" borderId="0" xfId="83" applyNumberFormat="1" applyFill="1">
      <alignment vertical="top"/>
    </xf>
    <xf numFmtId="170" fontId="32" fillId="15" borderId="0" xfId="81" applyNumberFormat="1">
      <alignment vertical="top"/>
    </xf>
    <xf numFmtId="49" fontId="33" fillId="23" borderId="1" xfId="86">
      <alignment vertical="top"/>
    </xf>
    <xf numFmtId="0" fontId="14" fillId="0" borderId="0" xfId="0" applyFont="1" applyAlignment="1">
      <alignment vertical="top"/>
    </xf>
    <xf numFmtId="10" fontId="14" fillId="0" borderId="0" xfId="0" applyNumberFormat="1" applyFont="1"/>
    <xf numFmtId="166" fontId="32" fillId="17" borderId="0" xfId="87" applyNumberFormat="1" applyFont="1" applyFill="1" applyAlignment="1">
      <alignment vertical="top"/>
    </xf>
    <xf numFmtId="0" fontId="13" fillId="0" borderId="0" xfId="75" applyFont="1" applyAlignment="1">
      <alignment vertical="top"/>
    </xf>
    <xf numFmtId="0" fontId="12" fillId="0" borderId="0" xfId="0" applyFont="1"/>
    <xf numFmtId="172" fontId="32" fillId="15" borderId="0" xfId="9" applyNumberFormat="1">
      <alignment vertical="top"/>
    </xf>
    <xf numFmtId="0" fontId="60" fillId="0" borderId="0" xfId="67" applyFont="1" applyBorder="1" applyAlignment="1">
      <alignment vertical="top" wrapText="1"/>
    </xf>
    <xf numFmtId="0" fontId="54" fillId="0" borderId="0" xfId="0" applyFont="1" applyAlignment="1">
      <alignment vertical="top"/>
    </xf>
    <xf numFmtId="41" fontId="32" fillId="51" borderId="0" xfId="66" applyNumberFormat="1">
      <alignment vertical="top"/>
    </xf>
    <xf numFmtId="173" fontId="32" fillId="17" borderId="0" xfId="13" applyNumberFormat="1">
      <alignment vertical="top"/>
    </xf>
    <xf numFmtId="49" fontId="33" fillId="23" borderId="0" xfId="6" applyBorder="1">
      <alignment vertical="top"/>
    </xf>
    <xf numFmtId="49" fontId="37" fillId="23" borderId="0" xfId="6" applyFont="1" applyBorder="1">
      <alignment vertical="top"/>
    </xf>
    <xf numFmtId="49" fontId="32" fillId="23" borderId="0" xfId="6" applyFont="1" applyBorder="1">
      <alignment vertical="top"/>
    </xf>
    <xf numFmtId="49" fontId="32" fillId="23" borderId="12" xfId="6" applyFont="1" applyBorder="1">
      <alignment vertical="top"/>
    </xf>
    <xf numFmtId="49" fontId="32" fillId="23" borderId="12" xfId="6" applyFont="1" applyBorder="1" applyAlignment="1">
      <alignment vertical="top" wrapText="1"/>
    </xf>
    <xf numFmtId="174" fontId="32" fillId="49" borderId="0" xfId="83" applyNumberFormat="1">
      <alignment vertical="top"/>
    </xf>
    <xf numFmtId="174" fontId="32" fillId="15" borderId="0" xfId="81" applyNumberFormat="1">
      <alignment vertical="top"/>
    </xf>
    <xf numFmtId="0" fontId="32" fillId="15" borderId="0" xfId="81" applyNumberFormat="1">
      <alignment vertical="top"/>
    </xf>
    <xf numFmtId="175" fontId="32" fillId="15" borderId="0" xfId="81" applyNumberFormat="1">
      <alignment vertical="top"/>
    </xf>
    <xf numFmtId="43" fontId="32" fillId="16" borderId="0" xfId="8">
      <alignment vertical="top"/>
    </xf>
    <xf numFmtId="10" fontId="32" fillId="17" borderId="0" xfId="0" applyNumberFormat="1" applyFont="1" applyFill="1" applyAlignment="1">
      <alignment vertical="top"/>
    </xf>
    <xf numFmtId="0" fontId="32" fillId="52" borderId="0" xfId="0" applyFont="1" applyFill="1" applyAlignment="1">
      <alignment vertical="top"/>
    </xf>
    <xf numFmtId="173" fontId="32" fillId="15" borderId="0" xfId="81" applyNumberFormat="1">
      <alignment vertical="top"/>
    </xf>
    <xf numFmtId="0" fontId="32" fillId="0" borderId="0" xfId="0" applyFont="1" applyAlignment="1">
      <alignment horizontal="center" vertical="top"/>
    </xf>
    <xf numFmtId="175" fontId="0" fillId="7" borderId="0" xfId="0" applyNumberFormat="1" applyFill="1" applyAlignment="1">
      <alignment vertical="top"/>
    </xf>
    <xf numFmtId="0" fontId="11" fillId="0" borderId="0" xfId="0" applyFont="1"/>
    <xf numFmtId="165" fontId="32" fillId="48" borderId="0" xfId="9" applyNumberFormat="1" applyFill="1">
      <alignment vertical="top"/>
    </xf>
    <xf numFmtId="41" fontId="32" fillId="48" borderId="0" xfId="83" applyFill="1">
      <alignment vertical="top"/>
    </xf>
    <xf numFmtId="0" fontId="11" fillId="0" borderId="0" xfId="0" applyFont="1" applyAlignment="1">
      <alignment vertical="top"/>
    </xf>
    <xf numFmtId="0" fontId="32" fillId="0" borderId="0" xfId="74" applyAlignment="1">
      <alignment vertical="top"/>
    </xf>
    <xf numFmtId="9" fontId="32" fillId="49" borderId="0" xfId="68" applyFill="1" applyAlignment="1">
      <alignment vertical="top"/>
    </xf>
    <xf numFmtId="43" fontId="36" fillId="5" borderId="1" xfId="5" applyNumberFormat="1">
      <alignment vertical="top"/>
    </xf>
    <xf numFmtId="0" fontId="33" fillId="0" borderId="0" xfId="74" applyFont="1" applyAlignment="1">
      <alignment vertical="top"/>
    </xf>
    <xf numFmtId="0" fontId="32" fillId="0" borderId="0" xfId="74"/>
    <xf numFmtId="0" fontId="54" fillId="0" borderId="0" xfId="74" applyFont="1" applyAlignment="1">
      <alignment vertical="top"/>
    </xf>
    <xf numFmtId="9" fontId="32" fillId="17" borderId="0" xfId="61" applyFont="1" applyFill="1" applyAlignment="1">
      <alignment vertical="top"/>
    </xf>
    <xf numFmtId="170" fontId="32" fillId="17" borderId="0" xfId="64" applyNumberFormat="1" applyFill="1">
      <alignment vertical="top"/>
    </xf>
    <xf numFmtId="0" fontId="32" fillId="51" borderId="0" xfId="66" applyNumberFormat="1">
      <alignment vertical="top"/>
    </xf>
    <xf numFmtId="166" fontId="32" fillId="15" borderId="0" xfId="73" applyNumberFormat="1" applyFont="1" applyFill="1" applyAlignment="1">
      <alignment vertical="top"/>
    </xf>
    <xf numFmtId="166" fontId="32" fillId="13" borderId="0" xfId="73" applyNumberFormat="1" applyFont="1" applyFill="1" applyAlignment="1">
      <alignment vertical="top"/>
    </xf>
    <xf numFmtId="0" fontId="36" fillId="5" borderId="1" xfId="89" applyNumberFormat="1">
      <alignment vertical="top"/>
    </xf>
    <xf numFmtId="43" fontId="32" fillId="7" borderId="0" xfId="64" applyFill="1">
      <alignment vertical="top"/>
    </xf>
    <xf numFmtId="43" fontId="32" fillId="0" borderId="0" xfId="74" applyNumberFormat="1" applyAlignment="1">
      <alignment vertical="top"/>
    </xf>
    <xf numFmtId="165" fontId="32" fillId="0" borderId="0" xfId="74" applyNumberFormat="1" applyAlignment="1">
      <alignment vertical="top"/>
    </xf>
    <xf numFmtId="0" fontId="10" fillId="0" borderId="0" xfId="91">
      <alignment vertical="top"/>
    </xf>
    <xf numFmtId="176" fontId="32" fillId="0" borderId="0" xfId="74" applyNumberFormat="1" applyAlignment="1">
      <alignment vertical="top"/>
    </xf>
    <xf numFmtId="43" fontId="32" fillId="48" borderId="0" xfId="12" applyFill="1">
      <alignment vertical="top"/>
    </xf>
    <xf numFmtId="166" fontId="32" fillId="49" borderId="0" xfId="92" applyNumberFormat="1" applyFill="1">
      <alignment vertical="top"/>
    </xf>
    <xf numFmtId="166" fontId="32" fillId="17" borderId="0" xfId="92" applyNumberFormat="1" applyFill="1">
      <alignment vertical="top"/>
    </xf>
    <xf numFmtId="43" fontId="32" fillId="0" borderId="0" xfId="13" applyFill="1">
      <alignment vertical="top"/>
    </xf>
    <xf numFmtId="43" fontId="33" fillId="23" borderId="1" xfId="86" applyNumberFormat="1">
      <alignment vertical="top"/>
    </xf>
    <xf numFmtId="43" fontId="32" fillId="0" borderId="0" xfId="64" applyFill="1">
      <alignment vertical="top"/>
    </xf>
    <xf numFmtId="165" fontId="32" fillId="15" borderId="0" xfId="4" applyNumberFormat="1" applyFill="1">
      <alignment vertical="top"/>
    </xf>
    <xf numFmtId="43" fontId="32" fillId="0" borderId="0" xfId="81" applyNumberFormat="1" applyFill="1">
      <alignment vertical="top"/>
    </xf>
    <xf numFmtId="165" fontId="32" fillId="0" borderId="0" xfId="85" applyNumberFormat="1" applyFont="1" applyAlignment="1">
      <alignment vertical="top"/>
    </xf>
    <xf numFmtId="165" fontId="32" fillId="16" borderId="0" xfId="4" applyNumberFormat="1" applyFill="1">
      <alignment vertical="top"/>
    </xf>
    <xf numFmtId="0" fontId="64" fillId="0" borderId="0" xfId="0" applyFont="1"/>
    <xf numFmtId="0" fontId="32" fillId="0" borderId="2" xfId="4" applyBorder="1">
      <alignment vertical="top"/>
    </xf>
    <xf numFmtId="0" fontId="60" fillId="0" borderId="2" xfId="67" applyFont="1" applyFill="1" applyBorder="1" applyAlignment="1">
      <alignment vertical="top" wrapText="1"/>
    </xf>
    <xf numFmtId="0" fontId="32" fillId="0" borderId="0" xfId="93"/>
    <xf numFmtId="49" fontId="33" fillId="0" borderId="0" xfId="86" applyFill="1" applyBorder="1">
      <alignment vertical="top"/>
    </xf>
    <xf numFmtId="0" fontId="33" fillId="48" borderId="0" xfId="74" applyFont="1" applyFill="1" applyAlignment="1">
      <alignment vertical="top"/>
    </xf>
    <xf numFmtId="0" fontId="9" fillId="0" borderId="0" xfId="0" applyFont="1" applyAlignment="1">
      <alignment vertical="top"/>
    </xf>
    <xf numFmtId="177" fontId="32" fillId="15" borderId="0" xfId="81" applyNumberFormat="1">
      <alignment vertical="top"/>
    </xf>
    <xf numFmtId="10" fontId="14" fillId="0" borderId="0" xfId="75" applyNumberFormat="1" applyFont="1" applyAlignment="1">
      <alignment vertical="top"/>
    </xf>
    <xf numFmtId="0" fontId="8" fillId="0" borderId="0" xfId="0" applyFont="1" applyAlignment="1">
      <alignment vertical="top"/>
    </xf>
    <xf numFmtId="0" fontId="8" fillId="0" borderId="0" xfId="0" applyFont="1"/>
    <xf numFmtId="0" fontId="8" fillId="0" borderId="0" xfId="75" applyFont="1" applyAlignment="1">
      <alignment vertical="top"/>
    </xf>
    <xf numFmtId="0" fontId="32" fillId="0" borderId="0" xfId="75" applyAlignment="1">
      <alignment vertical="top"/>
    </xf>
    <xf numFmtId="166" fontId="32" fillId="49" borderId="0" xfId="95" applyNumberFormat="1" applyFill="1" applyAlignment="1">
      <alignment vertical="top"/>
    </xf>
    <xf numFmtId="0" fontId="32" fillId="48" borderId="0" xfId="74" applyFill="1" applyAlignment="1">
      <alignment vertical="top"/>
    </xf>
    <xf numFmtId="0" fontId="7" fillId="0" borderId="0" xfId="0" applyFont="1"/>
    <xf numFmtId="0" fontId="7" fillId="0" borderId="0" xfId="75" applyFont="1" applyAlignment="1">
      <alignment vertical="top"/>
    </xf>
    <xf numFmtId="9" fontId="14" fillId="0" borderId="0" xfId="75" applyNumberFormat="1" applyFont="1" applyAlignment="1">
      <alignment vertical="top"/>
    </xf>
    <xf numFmtId="0" fontId="7" fillId="0" borderId="0" xfId="0" applyFont="1" applyAlignment="1">
      <alignment vertical="top"/>
    </xf>
    <xf numFmtId="0" fontId="6" fillId="0" borderId="0" xfId="0" applyFont="1" applyAlignment="1">
      <alignment vertical="top"/>
    </xf>
    <xf numFmtId="41" fontId="32" fillId="15" borderId="0" xfId="68" applyNumberFormat="1" applyFill="1" applyAlignment="1">
      <alignment vertical="top"/>
    </xf>
    <xf numFmtId="41" fontId="32" fillId="48" borderId="0" xfId="4" applyNumberFormat="1" applyFill="1">
      <alignment vertical="top"/>
    </xf>
    <xf numFmtId="41" fontId="32" fillId="49" borderId="0" xfId="68" applyNumberFormat="1" applyFill="1" applyAlignment="1">
      <alignment vertical="top"/>
    </xf>
    <xf numFmtId="0" fontId="6" fillId="0" borderId="0" xfId="97" applyFont="1" applyAlignment="1">
      <alignment vertical="top"/>
    </xf>
    <xf numFmtId="0" fontId="32" fillId="0" borderId="0" xfId="80" applyAlignment="1">
      <alignment vertical="top"/>
    </xf>
    <xf numFmtId="41" fontId="32" fillId="17" borderId="0" xfId="68" applyNumberFormat="1" applyFill="1" applyAlignment="1">
      <alignment vertical="top"/>
    </xf>
    <xf numFmtId="0" fontId="5" fillId="0" borderId="0" xfId="0" applyFont="1"/>
    <xf numFmtId="0" fontId="5" fillId="0" borderId="0" xfId="0" quotePrefix="1" applyFont="1"/>
    <xf numFmtId="0" fontId="32" fillId="0" borderId="0" xfId="4" applyFill="1">
      <alignment vertical="top"/>
    </xf>
    <xf numFmtId="0" fontId="4" fillId="0" borderId="0" xfId="0" quotePrefix="1" applyFont="1"/>
    <xf numFmtId="0" fontId="4" fillId="0" borderId="0" xfId="0" applyFont="1"/>
    <xf numFmtId="176" fontId="32" fillId="17" borderId="0" xfId="13" applyNumberFormat="1">
      <alignment vertical="top"/>
    </xf>
    <xf numFmtId="0" fontId="3" fillId="0" borderId="0" xfId="0" applyFont="1" applyAlignment="1">
      <alignment vertical="top"/>
    </xf>
    <xf numFmtId="165" fontId="32" fillId="7" borderId="0" xfId="63"/>
    <xf numFmtId="165" fontId="32" fillId="13" borderId="0" xfId="10" applyNumberFormat="1">
      <alignment vertical="top"/>
    </xf>
    <xf numFmtId="0" fontId="32" fillId="0" borderId="0" xfId="4" applyFont="1">
      <alignment vertical="top"/>
    </xf>
    <xf numFmtId="0" fontId="20" fillId="0" borderId="0" xfId="0" applyFont="1" applyFill="1" applyAlignment="1">
      <alignment vertical="top"/>
    </xf>
    <xf numFmtId="0" fontId="2" fillId="0" borderId="0" xfId="0" applyFont="1"/>
    <xf numFmtId="0" fontId="32" fillId="0" borderId="0" xfId="4" applyAlignment="1">
      <alignment vertical="top"/>
    </xf>
    <xf numFmtId="49" fontId="33" fillId="0" borderId="0" xfId="4" applyNumberFormat="1" applyFont="1" applyAlignment="1">
      <alignment horizontal="right" vertical="top"/>
    </xf>
    <xf numFmtId="0" fontId="33" fillId="0" borderId="0" xfId="4" applyFont="1" applyAlignment="1">
      <alignment horizontal="right" vertical="top"/>
    </xf>
    <xf numFmtId="0" fontId="2" fillId="0" borderId="0" xfId="75" applyFont="1" applyAlignment="1">
      <alignment vertical="top"/>
    </xf>
    <xf numFmtId="0" fontId="2" fillId="0" borderId="0" xfId="97" applyFont="1" applyAlignment="1">
      <alignment vertical="top"/>
    </xf>
    <xf numFmtId="0" fontId="2" fillId="0" borderId="0" xfId="0" applyFont="1" applyAlignment="1">
      <alignment vertical="top"/>
    </xf>
    <xf numFmtId="0" fontId="2" fillId="0" borderId="0" xfId="0" quotePrefix="1" applyFont="1"/>
    <xf numFmtId="0" fontId="1" fillId="0" borderId="0" xfId="0" applyFont="1"/>
    <xf numFmtId="0" fontId="1" fillId="0" borderId="0" xfId="75" applyFont="1" applyAlignment="1">
      <alignment vertical="top"/>
    </xf>
    <xf numFmtId="0" fontId="32" fillId="0" borderId="2" xfId="62" applyFont="1" applyBorder="1" applyAlignment="1">
      <alignment vertical="top" wrapText="1"/>
    </xf>
    <xf numFmtId="0" fontId="32" fillId="0" borderId="2" xfId="62" applyFont="1" applyFill="1" applyBorder="1" applyAlignment="1">
      <alignment vertical="top" wrapText="1"/>
    </xf>
    <xf numFmtId="49" fontId="33" fillId="23" borderId="1" xfId="6" applyFont="1">
      <alignment vertical="top"/>
    </xf>
    <xf numFmtId="0" fontId="32" fillId="0" borderId="2" xfId="4" applyFont="1" applyBorder="1">
      <alignment vertical="top"/>
    </xf>
    <xf numFmtId="0" fontId="60" fillId="0" borderId="2" xfId="62" applyFont="1" applyFill="1" applyBorder="1" applyAlignment="1">
      <alignment vertical="top" wrapText="1"/>
    </xf>
    <xf numFmtId="0" fontId="32" fillId="0" borderId="2" xfId="4" applyFont="1" applyBorder="1" applyAlignment="1">
      <alignment vertical="top" wrapText="1"/>
    </xf>
    <xf numFmtId="0" fontId="32" fillId="0" borderId="2" xfId="74" applyFont="1" applyBorder="1" applyAlignment="1">
      <alignment vertical="top"/>
    </xf>
    <xf numFmtId="0" fontId="60" fillId="0" borderId="2" xfId="62" applyFont="1" applyBorder="1"/>
    <xf numFmtId="0" fontId="60" fillId="0" borderId="0" xfId="67" applyFont="1" applyFill="1" applyBorder="1" applyAlignment="1">
      <alignment vertical="top" wrapText="1"/>
    </xf>
    <xf numFmtId="0" fontId="60" fillId="0" borderId="0" xfId="62" applyFont="1" applyBorder="1"/>
    <xf numFmtId="0" fontId="37" fillId="0" borderId="0" xfId="74" applyFont="1" applyAlignment="1">
      <alignment vertical="top"/>
    </xf>
    <xf numFmtId="49" fontId="33" fillId="23" borderId="1" xfId="98">
      <alignment vertical="top"/>
    </xf>
    <xf numFmtId="43" fontId="33" fillId="23" borderId="1" xfId="98" applyNumberFormat="1">
      <alignment vertical="top"/>
    </xf>
    <xf numFmtId="10" fontId="32" fillId="49" borderId="0" xfId="92" applyFill="1">
      <alignment vertical="top"/>
    </xf>
    <xf numFmtId="0" fontId="32" fillId="0" borderId="0" xfId="4" applyAlignment="1">
      <alignment horizontal="left" vertical="top" wrapText="1"/>
    </xf>
  </cellXfs>
  <cellStyles count="99">
    <cellStyle name="_x000d__x000a_JournalTemplate=C:\COMFO\CTALK\JOURSTD.TPL_x000d__x000a_LbStateAddress=3 3 0 251 1 89 2 311_x000d__x000a_LbStateJou 2" xfId="82" xr:uid="{DB3D1099-F489-4369-B80F-F949295E3D80}"/>
    <cellStyle name="_x000d__x000a_JournalTemplate=C:\COMFO\CTALK\JOURSTD.TPL_x000d__x000a_LbStateAddress=3 3 0 251 1 89 2 311_x000d__x000a_LbStateJou_CONCEPT invulmodule E 2012 - aanpassing tab 7" xfId="94" xr:uid="{0B4A3FCB-5C76-49FB-8418-0D9F7D66406F}"/>
    <cellStyle name="_kop1 Bladtitel" xfId="5" xr:uid="{00000000-0005-0000-0000-000000000000}"/>
    <cellStyle name="_kop1 Bladtitel 2" xfId="89" xr:uid="{77AA9CA7-17C8-4DB4-A453-7DC4AF7ED495}"/>
    <cellStyle name="_kop2 Bloktitel" xfId="6" xr:uid="{00000000-0005-0000-0000-000001000000}"/>
    <cellStyle name="_kop2 Bloktitel 2" xfId="86" xr:uid="{E0F3CA13-4B3F-4215-BCEC-B9B24936E124}"/>
    <cellStyle name="_kop2 Bloktitel 2 2" xfId="98" xr:uid="{9B42DC24-0B79-4C09-A608-7613F4D7A788}"/>
    <cellStyle name="_kop3 Subkop" xfId="7" xr:uid="{00000000-0005-0000-0000-000002000000}"/>
    <cellStyle name="20% - Accent1" xfId="36" builtinId="30" hidden="1"/>
    <cellStyle name="20% - Accent2" xfId="40" builtinId="34" hidden="1"/>
    <cellStyle name="20% - Accent3" xfId="44" builtinId="38" hidden="1"/>
    <cellStyle name="20% - Accent4" xfId="48" builtinId="42" hidden="1"/>
    <cellStyle name="20% - Accent5" xfId="52" builtinId="46" hidden="1"/>
    <cellStyle name="20% - Accent6" xfId="56" builtinId="50" hidden="1"/>
    <cellStyle name="40% - Accent1" xfId="37" builtinId="31" hidden="1"/>
    <cellStyle name="40% - Accent2" xfId="41" builtinId="35" hidden="1"/>
    <cellStyle name="40% - Accent3" xfId="45" builtinId="39" hidden="1"/>
    <cellStyle name="40% - Accent4" xfId="49" builtinId="43" hidden="1"/>
    <cellStyle name="40% - Accent5" xfId="53" builtinId="47" hidden="1"/>
    <cellStyle name="40% - Accent6" xfId="57" builtinId="51" hidden="1"/>
    <cellStyle name="60% - Accent1" xfId="38" builtinId="32" hidden="1"/>
    <cellStyle name="60% - Accent2" xfId="42" builtinId="36" hidden="1"/>
    <cellStyle name="60% - Accent3" xfId="46" builtinId="40" hidden="1"/>
    <cellStyle name="60% - Accent4" xfId="50" builtinId="44" hidden="1"/>
    <cellStyle name="60% - Accent5" xfId="54" builtinId="48" hidden="1"/>
    <cellStyle name="60% - Accent6" xfId="58" builtinId="52" hidden="1"/>
    <cellStyle name="Accent1" xfId="35" builtinId="29" hidden="1"/>
    <cellStyle name="Accent2" xfId="39" builtinId="33" hidden="1"/>
    <cellStyle name="Accent3" xfId="43" builtinId="37" hidden="1"/>
    <cellStyle name="Accent4" xfId="47" builtinId="41" hidden="1"/>
    <cellStyle name="Accent5" xfId="51" builtinId="45" hidden="1"/>
    <cellStyle name="Accent6" xfId="55" builtinId="49" hidden="1"/>
    <cellStyle name="Berekening" xfId="17" builtinId="22" hidden="1"/>
    <cellStyle name="Cel (tussen)resultaat" xfId="8" xr:uid="{00000000-0005-0000-0000-00001C000000}"/>
    <cellStyle name="Cel Berekening" xfId="9" xr:uid="{00000000-0005-0000-0000-00001D000000}"/>
    <cellStyle name="Cel Berekening 2" xfId="81" xr:uid="{64C68C5C-BD60-4364-B2EA-FE214186076F}"/>
    <cellStyle name="Cel Bijzonderheid" xfId="10" xr:uid="{00000000-0005-0000-0000-00001E000000}"/>
    <cellStyle name="Cel Dataverzoek" xfId="88" xr:uid="{E3F72FAD-65A0-482D-A8FC-45F77358FE0B}"/>
    <cellStyle name="Cel Input" xfId="11" xr:uid="{00000000-0005-0000-0000-00001F000000}"/>
    <cellStyle name="Cel Input 2" xfId="64" xr:uid="{00000000-0005-0000-0000-000020000000}"/>
    <cellStyle name="Cel Input 3" xfId="83" xr:uid="{F67CB7EF-86C2-4AAA-B6F9-14B229603E08}"/>
    <cellStyle name="Cel Input 3 2" xfId="90" xr:uid="{EECBB009-3096-4AD8-953A-623921CA64BB}"/>
    <cellStyle name="Cel Input Data" xfId="65" xr:uid="{00000000-0005-0000-0000-000021000000}"/>
    <cellStyle name="Cel n.v.t. (leeg)" xfId="66" xr:uid="{00000000-0005-0000-0000-000022000000}"/>
    <cellStyle name="Cel PM extern" xfId="12" xr:uid="{00000000-0005-0000-0000-000023000000}"/>
    <cellStyle name="Cel Verwijzing" xfId="13" xr:uid="{00000000-0005-0000-0000-000024000000}"/>
    <cellStyle name="Controlecel" xfId="19" builtinId="23" hidden="1"/>
    <cellStyle name="Gekoppelde cel" xfId="18" builtinId="24" hidden="1"/>
    <cellStyle name="Gevolgde hyperlink" xfId="59" builtinId="9" hidden="1"/>
    <cellStyle name="Goed" xfId="1" builtinId="26" hidden="1"/>
    <cellStyle name="Grijze cel" xfId="63" xr:uid="{00000000-0005-0000-0000-000029000000}"/>
    <cellStyle name="Hyperlink" xfId="21" builtinId="8" hidden="1"/>
    <cellStyle name="Hyperlink" xfId="62" builtinId="8"/>
    <cellStyle name="Hyperlink 2" xfId="67" xr:uid="{00000000-0005-0000-0000-00002C000000}"/>
    <cellStyle name="Invoer" xfId="15" builtinId="20" hidden="1"/>
    <cellStyle name="Komma" xfId="22" builtinId="3" hidden="1"/>
    <cellStyle name="Komma" xfId="60" builtinId="3" hidden="1"/>
    <cellStyle name="Komma [0]" xfId="23" builtinId="6" hidden="1"/>
    <cellStyle name="Komma 2" xfId="85" xr:uid="{B3949C48-D61E-4DB0-A4C1-E69A462A4D4E}"/>
    <cellStyle name="Komma 2 2" xfId="96" xr:uid="{EB20F910-1C25-40CE-A3D9-42DE1F9135C3}"/>
    <cellStyle name="Komma 3" xfId="69" xr:uid="{00000000-0005-0000-0000-000031000000}"/>
    <cellStyle name="Komma 4" xfId="70" xr:uid="{00000000-0005-0000-0000-000032000000}"/>
    <cellStyle name="Komma 5" xfId="71" xr:uid="{00000000-0005-0000-0000-000033000000}"/>
    <cellStyle name="Kop 1" xfId="28" builtinId="16" hidden="1"/>
    <cellStyle name="Kop 2" xfId="29" builtinId="17" hidden="1"/>
    <cellStyle name="Kop 3" xfId="30" builtinId="18" hidden="1"/>
    <cellStyle name="Kop 4" xfId="31" builtinId="19" hidden="1"/>
    <cellStyle name="Neutraal" xfId="3" builtinId="28" hidden="1"/>
    <cellStyle name="Notitie" xfId="20" builtinId="10" hidden="1"/>
    <cellStyle name="Ongeldig" xfId="2" builtinId="27" hidden="1"/>
    <cellStyle name="Procent" xfId="26" builtinId="5" hidden="1"/>
    <cellStyle name="Procent" xfId="61" builtinId="5"/>
    <cellStyle name="Procent 2" xfId="68" xr:uid="{00000000-0005-0000-0000-00003D000000}"/>
    <cellStyle name="Procent 2 2" xfId="95" xr:uid="{D3793806-6574-4C9C-B47C-163A655267E4}"/>
    <cellStyle name="Procent 2 3" xfId="87" xr:uid="{49484D78-3B2B-43FA-B6D8-11D27F1F7706}"/>
    <cellStyle name="Procent 3" xfId="72" xr:uid="{00000000-0005-0000-0000-00003E000000}"/>
    <cellStyle name="Procent 4" xfId="73" xr:uid="{00000000-0005-0000-0000-00003F000000}"/>
    <cellStyle name="Procent 5" xfId="92" xr:uid="{2B4CEF0B-BD83-452F-9412-C41DAECB8D01}"/>
    <cellStyle name="Standaard" xfId="0" builtinId="0"/>
    <cellStyle name="Standaard 2" xfId="74" xr:uid="{00000000-0005-0000-0000-000041000000}"/>
    <cellStyle name="Standaard 2 2" xfId="80" xr:uid="{018D6841-10FA-4212-AC2E-A44822A7D589}"/>
    <cellStyle name="Standaard 3" xfId="75" xr:uid="{00000000-0005-0000-0000-000042000000}"/>
    <cellStyle name="Standaard 3 10" xfId="97" xr:uid="{BC6D5BDE-71CF-431F-85D0-01A190E08E8F}"/>
    <cellStyle name="Standaard 4" xfId="76" xr:uid="{00000000-0005-0000-0000-000043000000}"/>
    <cellStyle name="Standaard 5" xfId="84" xr:uid="{56E829B3-6FE3-489A-8F8A-34672DD8B495}"/>
    <cellStyle name="Standaard 6" xfId="77" xr:uid="{00000000-0005-0000-0000-000044000000}"/>
    <cellStyle name="Standaard 6 2" xfId="93" xr:uid="{4D02D4C7-3D1D-4E75-9B79-02504428134B}"/>
    <cellStyle name="Standaard 7" xfId="78" xr:uid="{00000000-0005-0000-0000-000045000000}"/>
    <cellStyle name="Standaard 8" xfId="79" xr:uid="{00000000-0005-0000-0000-000046000000}"/>
    <cellStyle name="Standaard 9" xfId="91" xr:uid="{7979DAD1-DDBE-40BC-ABFA-5F7489066598}"/>
    <cellStyle name="Standaard ACM-DE" xfId="4" xr:uid="{00000000-0005-0000-0000-000047000000}"/>
    <cellStyle name="Titel" xfId="27" builtinId="15" hidden="1"/>
    <cellStyle name="Toelichting" xfId="14" xr:uid="{00000000-0005-0000-0000-000049000000}"/>
    <cellStyle name="Totaal" xfId="34" builtinId="25" hidden="1"/>
    <cellStyle name="Uitvoer" xfId="16" builtinId="21" hidden="1"/>
    <cellStyle name="Valuta" xfId="24" builtinId="4" hidden="1"/>
    <cellStyle name="Valuta [0]" xfId="25" builtinId="7" hidden="1"/>
    <cellStyle name="Verklarende tekst" xfId="33" builtinId="53" hidden="1"/>
    <cellStyle name="Waarschuwingstekst" xfId="32" builtinId="11" hidden="1"/>
  </cellStyles>
  <dxfs count="0"/>
  <tableStyles count="0" defaultTableStyle="TableStyleMedium2" defaultPivotStyle="PivotStyleLight16"/>
  <colors>
    <mruColors>
      <color rgb="FFE1FFE1"/>
      <color rgb="FFFFFFCC"/>
      <color rgb="FFFF00FF"/>
      <color rgb="FFCCFFCC"/>
      <color rgb="FFCCC8D9"/>
      <color rgb="FFFFCC99"/>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19</xdr:row>
      <xdr:rowOff>8005</xdr:rowOff>
    </xdr:from>
    <xdr:to>
      <xdr:col>12</xdr:col>
      <xdr:colOff>126850</xdr:colOff>
      <xdr:row>23</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71350" y="3352338"/>
          <a:ext cx="1821500" cy="7648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Tarievenbladen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5</xdr:col>
      <xdr:colOff>19051</xdr:colOff>
      <xdr:row>18</xdr:row>
      <xdr:rowOff>187280</xdr:rowOff>
    </xdr:from>
    <xdr:to>
      <xdr:col>8</xdr:col>
      <xdr:colOff>3283</xdr:colOff>
      <xdr:row>22</xdr:row>
      <xdr:rowOff>190105</xdr:rowOff>
    </xdr:to>
    <xdr:sp macro="" textlink="">
      <xdr:nvSpPr>
        <xdr:cNvPr id="5" name="Rechthoek 4">
          <a:extLst>
            <a:ext uri="{FF2B5EF4-FFF2-40B4-BE49-F238E27FC236}">
              <a16:creationId xmlns:a16="http://schemas.microsoft.com/office/drawing/2014/main" id="{00000000-0008-0000-0100-000005000000}"/>
            </a:ext>
          </a:extLst>
        </xdr:cNvPr>
        <xdr:cNvSpPr/>
      </xdr:nvSpPr>
      <xdr:spPr>
        <a:xfrm>
          <a:off x="3088218" y="3341113"/>
          <a:ext cx="1825732" cy="764825"/>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a:ea typeface="+mn-ea"/>
              <a:cs typeface="+mn-cs"/>
            </a:rPr>
            <a:t>Totale inkomsten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a:ln>
                <a:noFill/>
              </a:ln>
              <a:solidFill>
                <a:srgbClr val="FFFFFF"/>
              </a:solidFill>
              <a:effectLst/>
              <a:uLnTx/>
              <a:uFillTx/>
              <a:latin typeface="Arial"/>
              <a:ea typeface="+mn-ea"/>
              <a:cs typeface="+mn-cs"/>
            </a:rPr>
            <a:t>(dit bestand)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3</xdr:col>
      <xdr:colOff>549007</xdr:colOff>
      <xdr:row>20</xdr:row>
      <xdr:rowOff>188693</xdr:rowOff>
    </xdr:from>
    <xdr:to>
      <xdr:col>5</xdr:col>
      <xdr:colOff>19051</xdr:colOff>
      <xdr:row>21</xdr:row>
      <xdr:rowOff>12620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14" idx="3"/>
          <a:endCxn id="5" idx="1"/>
        </xdr:cNvCxnSpPr>
      </xdr:nvCxnSpPr>
      <xdr:spPr>
        <a:xfrm flipV="1">
          <a:off x="2390507" y="3723526"/>
          <a:ext cx="697711"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20</xdr:row>
      <xdr:rowOff>188693</xdr:rowOff>
    </xdr:from>
    <xdr:to>
      <xdr:col>9</xdr:col>
      <xdr:colOff>146850</xdr:colOff>
      <xdr:row>21</xdr:row>
      <xdr:rowOff>9417</xdr:rowOff>
    </xdr:to>
    <xdr:cxnSp macro="">
      <xdr:nvCxnSpPr>
        <xdr:cNvPr id="9" name="Rechte verbindingslijn met pijl 8">
          <a:extLst>
            <a:ext uri="{FF2B5EF4-FFF2-40B4-BE49-F238E27FC236}">
              <a16:creationId xmlns:a16="http://schemas.microsoft.com/office/drawing/2014/main" id="{00000000-0008-0000-0100-000009000000}"/>
            </a:ext>
          </a:extLst>
        </xdr:cNvPr>
        <xdr:cNvCxnSpPr>
          <a:stCxn id="5" idx="3"/>
          <a:endCxn id="2" idx="1"/>
        </xdr:cNvCxnSpPr>
      </xdr:nvCxnSpPr>
      <xdr:spPr>
        <a:xfrm>
          <a:off x="4913950" y="3723526"/>
          <a:ext cx="757400"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19</xdr:row>
      <xdr:rowOff>33620</xdr:rowOff>
    </xdr:from>
    <xdr:to>
      <xdr:col>3</xdr:col>
      <xdr:colOff>549007</xdr:colOff>
      <xdr:row>22</xdr:row>
      <xdr:rowOff>182120</xdr:rowOff>
    </xdr:to>
    <xdr:sp macro="" textlink="">
      <xdr:nvSpPr>
        <xdr:cNvPr id="14" name="Rechthoek 13">
          <a:extLst>
            <a:ext uri="{FF2B5EF4-FFF2-40B4-BE49-F238E27FC236}">
              <a16:creationId xmlns:a16="http://schemas.microsoft.com/office/drawing/2014/main" id="{00000000-0008-0000-0100-00000E000000}"/>
            </a:ext>
          </a:extLst>
        </xdr:cNvPr>
        <xdr:cNvSpPr/>
      </xdr:nvSpPr>
      <xdr:spPr>
        <a:xfrm>
          <a:off x="179293" y="3424520"/>
          <a:ext cx="1817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11</xdr:row>
      <xdr:rowOff>78441</xdr:rowOff>
    </xdr:from>
    <xdr:to>
      <xdr:col>7</xdr:col>
      <xdr:colOff>635292</xdr:colOff>
      <xdr:row>15</xdr:row>
      <xdr:rowOff>81265</xdr:rowOff>
    </xdr:to>
    <xdr:sp macro="" textlink="">
      <xdr:nvSpPr>
        <xdr:cNvPr id="15" name="Stroomdiagram: Proces 14">
          <a:extLst>
            <a:ext uri="{FF2B5EF4-FFF2-40B4-BE49-F238E27FC236}">
              <a16:creationId xmlns:a16="http://schemas.microsoft.com/office/drawing/2014/main" id="{00000000-0008-0000-0100-00000F000000}"/>
            </a:ext>
          </a:extLst>
        </xdr:cNvPr>
        <xdr:cNvSpPr/>
      </xdr:nvSpPr>
      <xdr:spPr>
        <a:xfrm>
          <a:off x="2689410" y="194534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15</xdr:row>
      <xdr:rowOff>81265</xdr:rowOff>
    </xdr:from>
    <xdr:to>
      <xdr:col>6</xdr:col>
      <xdr:colOff>318084</xdr:colOff>
      <xdr:row>18</xdr:row>
      <xdr:rowOff>187280</xdr:rowOff>
    </xdr:to>
    <xdr:cxnSp macro="">
      <xdr:nvCxnSpPr>
        <xdr:cNvPr id="16" name="Rechte verbindingslijn met pijl 15">
          <a:extLst>
            <a:ext uri="{FF2B5EF4-FFF2-40B4-BE49-F238E27FC236}">
              <a16:creationId xmlns:a16="http://schemas.microsoft.com/office/drawing/2014/main" id="{00000000-0008-0000-0100-000010000000}"/>
            </a:ext>
          </a:extLst>
        </xdr:cNvPr>
        <xdr:cNvCxnSpPr>
          <a:stCxn id="15" idx="2"/>
          <a:endCxn id="5" idx="0"/>
        </xdr:cNvCxnSpPr>
      </xdr:nvCxnSpPr>
      <xdr:spPr>
        <a:xfrm>
          <a:off x="3997564" y="2663598"/>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root\AppData\Local\Microsoft\Windows\Temporary%20Internet%20Files\Content.Outlook\BV2YK9DL\kapitaalkostenmodel%20Classic%20ultimo%20201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20CODATA\06%20Ingevuld\NE\16%20RD\19.034792%20RD%202018\2%20Ruwe%20data\19.034798%20STED\STED%20-%20V01%20-%20NE-RD(i)-18-01%20-%20concep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20CODATA/06%20Ingevuld/NE/16%20RD/19.034792%20RD%202018/2%20Ruwe%20data/19.034798%20STED/STED%20-%20V01%20-%20NE-RD(i)-18-01%20-%20concep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763103\Local%20Settings\Temporary%20Internet%20Files\OLK21C\NE-PRD(i)-10-01%20CONCEPT%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7%20DN\103407%20103408%20PRD%20NG%20NE%202009\3.%20Opzet%20informatieverzoek\Gas\NG-PRD(i)-10-01%20-%20CONCEPT%2015JANUARI%20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Data G"/>
      <sheetName val="Kapitaalkosten Gasaansluiting"/>
      <sheetName val="Data Gasaansluiting"/>
      <sheetName val="Netbeheerders"/>
      <sheetName val="Kapitaalkosten Classic"/>
      <sheetName val="Data E"/>
      <sheetName val="CPI en WACC"/>
    </sheetNames>
    <sheetDataSet>
      <sheetData sheetId="0" refreshError="1"/>
      <sheetData sheetId="1"/>
      <sheetData sheetId="2">
        <row r="1">
          <cell r="C1" t="str">
            <v>STEDIN</v>
          </cell>
        </row>
      </sheetData>
      <sheetData sheetId="3" refreshError="1"/>
      <sheetData sheetId="4">
        <row r="2">
          <cell r="B2" t="str">
            <v>ALLE</v>
          </cell>
        </row>
        <row r="3">
          <cell r="B3" t="str">
            <v>MOSA</v>
          </cell>
        </row>
        <row r="4">
          <cell r="B4" t="str">
            <v>ONS</v>
          </cell>
        </row>
        <row r="5">
          <cell r="B5" t="str">
            <v>COGAS</v>
          </cell>
        </row>
        <row r="6">
          <cell r="B6" t="str">
            <v>DELTA</v>
          </cell>
        </row>
        <row r="7">
          <cell r="B7" t="str">
            <v>DELTA HS</v>
          </cell>
        </row>
        <row r="8">
          <cell r="B8" t="str">
            <v>DELTA EXCL HS</v>
          </cell>
        </row>
        <row r="9">
          <cell r="B9" t="str">
            <v>ENDINET</v>
          </cell>
        </row>
        <row r="10">
          <cell r="B10" t="str">
            <v>ENEXIS</v>
          </cell>
        </row>
        <row r="11">
          <cell r="B11" t="str">
            <v>ENEXIS HS</v>
          </cell>
        </row>
        <row r="12">
          <cell r="B12" t="str">
            <v>ENEXIS EXCL HS</v>
          </cell>
        </row>
        <row r="13">
          <cell r="B13" t="str">
            <v>HAARLEMMERMEER</v>
          </cell>
        </row>
        <row r="14">
          <cell r="B14" t="str">
            <v>INTERGAS</v>
          </cell>
        </row>
        <row r="15">
          <cell r="B15" t="str">
            <v>LIANDER</v>
          </cell>
        </row>
        <row r="16">
          <cell r="B16" t="str">
            <v>LIANDER HS</v>
          </cell>
        </row>
        <row r="17">
          <cell r="B17" t="str">
            <v>LIANDER EXCL HS</v>
          </cell>
        </row>
        <row r="18">
          <cell r="B18" t="str">
            <v>OBRAGAS</v>
          </cell>
        </row>
        <row r="19">
          <cell r="B19" t="str">
            <v>RENDO</v>
          </cell>
        </row>
        <row r="20">
          <cell r="B20" t="str">
            <v>STEDIN</v>
          </cell>
        </row>
        <row r="21">
          <cell r="B21" t="str">
            <v>WESTLAND</v>
          </cell>
        </row>
        <row r="22">
          <cell r="B22" t="str">
            <v>ZEBRA</v>
          </cell>
        </row>
        <row r="23">
          <cell r="B23" t="str">
            <v>SECTOR EXCL HS</v>
          </cell>
        </row>
        <row r="24">
          <cell r="B24" t="str">
            <v>SECTOR HS</v>
          </cell>
        </row>
        <row r="25">
          <cell r="B25" t="str">
            <v>SECTOR</v>
          </cell>
        </row>
      </sheetData>
      <sheetData sheetId="5"/>
      <sheetData sheetId="6"/>
      <sheetData sheetId="7">
        <row r="6">
          <cell r="C6" t="str">
            <v>CPI</v>
          </cell>
        </row>
        <row r="7">
          <cell r="C7">
            <v>2.5000000000000001E-2</v>
          </cell>
        </row>
        <row r="8">
          <cell r="C8">
            <v>4.7E-2</v>
          </cell>
        </row>
        <row r="9">
          <cell r="C9">
            <v>3.3000000000000002E-2</v>
          </cell>
        </row>
        <row r="10">
          <cell r="C10">
            <v>2.1000000000000001E-2</v>
          </cell>
        </row>
        <row r="11">
          <cell r="C11">
            <v>1.0999999999999999E-2</v>
          </cell>
        </row>
        <row r="12">
          <cell r="C12">
            <v>1.7999999999999999E-2</v>
          </cell>
        </row>
        <row r="13">
          <cell r="C13">
            <v>1.4E-2</v>
          </cell>
        </row>
        <row r="14">
          <cell r="C14">
            <v>1.0999999999999999E-2</v>
          </cell>
        </row>
        <row r="15">
          <cell r="C15">
            <v>3.2000000000000001E-2</v>
          </cell>
        </row>
        <row r="16">
          <cell r="C16">
            <v>3.0000000000000001E-3</v>
          </cell>
        </row>
        <row r="17">
          <cell r="C17">
            <v>1.4999999999999999E-2</v>
          </cell>
        </row>
        <row r="18">
          <cell r="C18">
            <v>2.5999999999999999E-2</v>
          </cell>
        </row>
        <row r="19">
          <cell r="C19">
            <v>2.3E-2</v>
          </cell>
        </row>
        <row r="20">
          <cell r="C20">
            <v>2.8000000000000001E-2</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A - Investeringen"/>
      <sheetName val="Tabel 2B - Desinvesteringen"/>
      <sheetName val="Tabel 2C - Private netten"/>
      <sheetName val="Tabel 3A - Operationele kosten"/>
      <sheetName val="Tabel 3B - Specificaties inkoop"/>
      <sheetName val="Tabel 4A - Omzet transport"/>
      <sheetName val="Tabel 4B - Volumes invoeding"/>
      <sheetName val="Tabel 5A - Omzet PAV"/>
      <sheetName val="Tabel 5B - Bijdrage EAV"/>
      <sheetName val="Tabel 6 - Totale opbrengsten"/>
      <sheetName val="Tabel 7 - Overige opbrengsten"/>
      <sheetName val="Tabel 8A - Meetdomein (des)inv."/>
      <sheetName val="Tabel 8B - Meetdomein overig"/>
    </sheetNames>
    <sheetDataSet>
      <sheetData sheetId="0"/>
      <sheetData sheetId="1"/>
      <sheetData sheetId="2"/>
      <sheetData sheetId="3"/>
      <sheetData sheetId="4"/>
      <sheetData sheetId="5">
        <row r="33">
          <cell r="R33">
            <v>110754495.11999999</v>
          </cell>
        </row>
        <row r="57">
          <cell r="R57">
            <v>2687274.2512000003</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A - Investeringen"/>
      <sheetName val="Tabel 2B - Desinvesteringen"/>
      <sheetName val="Tabel 2C - Private netten"/>
      <sheetName val="Tabel 3A - Operationele kosten"/>
      <sheetName val="Tabel 3B - Specificaties inkoop"/>
      <sheetName val="Tabel 4A - Omzet transport"/>
      <sheetName val="Tabel 4B - Volumes invoeding"/>
      <sheetName val="Tabel 5A - Omzet PAV"/>
      <sheetName val="Tabel 5B - Bijdrage EAV"/>
      <sheetName val="Tabel 6 - Totale opbrengsten"/>
      <sheetName val="Tabel 7 - Overige opbrengsten"/>
      <sheetName val="Tabel 8A - Meetdomein (des)inv."/>
      <sheetName val="Tabel 8B - Meetdomein overig"/>
    </sheetNames>
    <sheetDataSet>
      <sheetData sheetId="0"/>
      <sheetData sheetId="1"/>
      <sheetData sheetId="2"/>
      <sheetData sheetId="3"/>
      <sheetData sheetId="4"/>
      <sheetData sheetId="5">
        <row r="33">
          <cell r="R33">
            <v>110754495.11999999</v>
          </cell>
        </row>
        <row r="57">
          <cell r="R57">
            <v>2687274.2512000003</v>
          </cell>
        </row>
      </sheetData>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A - Bijz mutaties activa"/>
      <sheetName val="Tabel 3 - Operationele Kosten "/>
      <sheetName val="Tabel 4 - Omzet Transportdienst"/>
      <sheetName val="Tabel 5A - Omzet PAV"/>
      <sheetName val="Tabel 5B - Bijdrage EAV"/>
      <sheetName val="Tabel 6 - Opbrengsten"/>
      <sheetName val="Tabel 7 - Volumes invoeding"/>
      <sheetName val="Tabel 8 - Toelichting"/>
    </sheetNames>
    <sheetDataSet>
      <sheetData sheetId="0" refreshError="1"/>
      <sheetData sheetId="1">
        <row r="46">
          <cell r="F46">
            <v>0</v>
          </cell>
          <cell r="J46">
            <v>0</v>
          </cell>
          <cell r="N46">
            <v>0</v>
          </cell>
          <cell r="R46">
            <v>0</v>
          </cell>
          <cell r="V46">
            <v>0</v>
          </cell>
          <cell r="Z46">
            <v>0</v>
          </cell>
          <cell r="AD46">
            <v>0</v>
          </cell>
          <cell r="AH46">
            <v>0</v>
          </cell>
          <cell r="AL4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 - Investeringen"/>
      <sheetName val="Tabel 2A - Bijz mutaties activa"/>
      <sheetName val="Tabel 3 - OPEX Transport"/>
      <sheetName val="Tabel 3A - OPEX Gasaansl"/>
      <sheetName val="Tabel 4 - Omzet transportdienst"/>
      <sheetName val="Tabel 5 - PAV Aansluitingen"/>
      <sheetName val="Tabel 5A - EAV Aansluitingen"/>
      <sheetName val="Tabel 6-Benutte cap grootverbr"/>
      <sheetName val="Tabel 7 - Toelichting"/>
    </sheetNames>
    <sheetDataSet>
      <sheetData sheetId="0" refreshError="1"/>
      <sheetData sheetId="1" refreshError="1"/>
      <sheetData sheetId="2">
        <row r="39">
          <cell r="H39">
            <v>0</v>
          </cell>
          <cell r="L39">
            <v>0</v>
          </cell>
          <cell r="P39">
            <v>0</v>
          </cell>
          <cell r="T39">
            <v>0</v>
          </cell>
          <cell r="X39">
            <v>0</v>
          </cell>
          <cell r="AB39">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cm.nl/nl/publicaties/berekening-x-factor-bij-gewijzigde-x-factorbesluiten-gas-2022-2026?_exception_statuscode=404&amp;arguments_sanitized=%2BLZFmU3mG3vbbQ%3D%3D" TargetMode="External"/><Relationship Id="rId3" Type="http://schemas.openxmlformats.org/officeDocument/2006/relationships/hyperlink" Target="https://www.acm.nl/nl/publicaties/herstel-x-factorberekening-regionale-netbeheerders-gas-2021-2026" TargetMode="External"/><Relationship Id="rId7" Type="http://schemas.openxmlformats.org/officeDocument/2006/relationships/hyperlink" Target="https://www.acm.nl/nl/publicaties/berekening-totale-inkomsten-2023-regionaal-netbeheer-gas" TargetMode="External"/><Relationship Id="rId2" Type="http://schemas.openxmlformats.org/officeDocument/2006/relationships/hyperlink" Target="https://www.ecb.europa.eu/stats/policy_and_exchange_rates/key_ecb_interest_rates/html/index.nl.html" TargetMode="External"/><Relationship Id="rId1" Type="http://schemas.openxmlformats.org/officeDocument/2006/relationships/hyperlink" Target="https://www.dnb.nl/statistieken/data-zoeken/" TargetMode="External"/><Relationship Id="rId6" Type="http://schemas.openxmlformats.org/officeDocument/2006/relationships/hyperlink" Target="https://www.acm.nl/nl/publicaties/de-totale-inkomsten-voor-de-regionale-netbeheerders-gas-voor-2024" TargetMode="External"/><Relationship Id="rId11" Type="http://schemas.openxmlformats.org/officeDocument/2006/relationships/printerSettings" Target="../printerSettings/printerSettings3.bin"/><Relationship Id="rId5" Type="http://schemas.openxmlformats.org/officeDocument/2006/relationships/hyperlink" Target="https://www.acm.nl/nl/publicaties/berekening-x-factor-bij-gewijzigde-x-factorbesluiten-gas-2022-2026?_exception_statuscode=404&amp;arguments_sanitized=%2BLZFmU3mG3vbbQ%3D%3D" TargetMode="External"/><Relationship Id="rId10" Type="http://schemas.openxmlformats.org/officeDocument/2006/relationships/hyperlink" Target="https://www.acm.nl/nl/publicaties/herstel-x-factorberekening-regionale-netbeheerders-gas-2021-2026" TargetMode="External"/><Relationship Id="rId4" Type="http://schemas.openxmlformats.org/officeDocument/2006/relationships/hyperlink" Target="https://www.acm.nl/nl/publicaties/berekening-x-factor-bij-gewijzigde-x-factorbesluiten-gas-2022-2026?_exception_statuscode=404&amp;arguments_sanitized=%2BLZFmU3mG3vbbQ%3D%3D" TargetMode="External"/><Relationship Id="rId9" Type="http://schemas.openxmlformats.org/officeDocument/2006/relationships/hyperlink" Target="https://opendata.cbs.nl/"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A2:D35"/>
  <sheetViews>
    <sheetView showGridLines="0" tabSelected="1" zoomScale="85" zoomScaleNormal="85" workbookViewId="0">
      <pane ySplit="3" topLeftCell="A4" activePane="bottomLeft" state="frozen"/>
      <selection activeCell="Q27" sqref="Q27"/>
      <selection pane="bottomLeft" activeCell="A4" sqref="A4"/>
    </sheetView>
  </sheetViews>
  <sheetFormatPr defaultColWidth="9.140625" defaultRowHeight="12.75" x14ac:dyDescent="0.25"/>
  <cols>
    <col min="1" max="1" width="2.85546875" style="2" customWidth="1"/>
    <col min="2" max="2" width="39.85546875" style="2" customWidth="1"/>
    <col min="3" max="3" width="91.85546875" style="2" customWidth="1"/>
    <col min="4" max="16384" width="9.140625" style="2"/>
  </cols>
  <sheetData>
    <row r="2" spans="1:3" s="10" customFormat="1" ht="18" x14ac:dyDescent="0.25">
      <c r="A2" s="9"/>
      <c r="B2" s="9" t="s">
        <v>574</v>
      </c>
    </row>
    <row r="6" spans="1:3" x14ac:dyDescent="0.25">
      <c r="B6" s="3"/>
    </row>
    <row r="13" spans="1:3" s="6" customFormat="1" x14ac:dyDescent="0.25">
      <c r="B13" s="6" t="s">
        <v>0</v>
      </c>
    </row>
    <row r="15" spans="1:3" x14ac:dyDescent="0.25">
      <c r="B15" s="7" t="s">
        <v>1</v>
      </c>
      <c r="C15" s="8" t="s">
        <v>778</v>
      </c>
    </row>
    <row r="16" spans="1:3" x14ac:dyDescent="0.25">
      <c r="B16" s="7" t="s">
        <v>2</v>
      </c>
      <c r="C16" s="8" t="s">
        <v>574</v>
      </c>
    </row>
    <row r="17" spans="2:3" x14ac:dyDescent="0.25">
      <c r="B17" s="7" t="s">
        <v>3</v>
      </c>
      <c r="C17" s="8"/>
    </row>
    <row r="18" spans="2:3" x14ac:dyDescent="0.25">
      <c r="B18" s="7" t="s">
        <v>4</v>
      </c>
      <c r="C18" s="8" t="s">
        <v>632</v>
      </c>
    </row>
    <row r="19" spans="2:3" x14ac:dyDescent="0.25">
      <c r="B19" s="7" t="s">
        <v>5</v>
      </c>
      <c r="C19" s="8"/>
    </row>
    <row r="20" spans="2:3" x14ac:dyDescent="0.25">
      <c r="B20" s="7" t="s">
        <v>6</v>
      </c>
      <c r="C20" s="8"/>
    </row>
    <row r="21" spans="2:3" x14ac:dyDescent="0.25">
      <c r="B21" s="7" t="s">
        <v>7</v>
      </c>
      <c r="C21" s="8" t="s">
        <v>777</v>
      </c>
    </row>
    <row r="22" spans="2:3" x14ac:dyDescent="0.25">
      <c r="B22" s="7" t="s">
        <v>8</v>
      </c>
      <c r="C22" s="8"/>
    </row>
    <row r="25" spans="2:3" s="6" customFormat="1" x14ac:dyDescent="0.25">
      <c r="B25" s="6" t="s">
        <v>9</v>
      </c>
    </row>
    <row r="27" spans="2:3" x14ac:dyDescent="0.25">
      <c r="B27" s="7" t="s">
        <v>10</v>
      </c>
      <c r="C27" s="8" t="s">
        <v>776</v>
      </c>
    </row>
    <row r="28" spans="2:3" x14ac:dyDescent="0.25">
      <c r="B28" s="7" t="s">
        <v>11</v>
      </c>
      <c r="C28" s="8" t="s">
        <v>776</v>
      </c>
    </row>
    <row r="29" spans="2:3" ht="25.5" x14ac:dyDescent="0.25">
      <c r="B29" s="7" t="s">
        <v>12</v>
      </c>
      <c r="C29" s="8" t="s">
        <v>776</v>
      </c>
    </row>
    <row r="30" spans="2:3" x14ac:dyDescent="0.25">
      <c r="B30" s="7" t="s">
        <v>13</v>
      </c>
      <c r="C30" s="8"/>
    </row>
    <row r="31" spans="2:3" x14ac:dyDescent="0.25">
      <c r="B31" s="7" t="s">
        <v>8</v>
      </c>
      <c r="C31" s="8"/>
    </row>
    <row r="33" spans="2:4" x14ac:dyDescent="0.25">
      <c r="B33" s="27"/>
      <c r="C33" s="27"/>
      <c r="D33" s="5"/>
    </row>
    <row r="35" spans="2:4" s="6" customFormat="1" x14ac:dyDescent="0.25">
      <c r="B35" s="6" t="s">
        <v>14</v>
      </c>
    </row>
  </sheetData>
  <phoneticPr fontId="61"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D556-3AD3-4961-A232-470FD03FF38D}">
  <sheetPr>
    <tabColor rgb="FFE1FFE1"/>
  </sheetPr>
  <dimension ref="A1:U24"/>
  <sheetViews>
    <sheetView showGridLines="0" zoomScale="80" zoomScaleNormal="80" workbookViewId="0">
      <pane xSplit="6" ySplit="9" topLeftCell="G10" activePane="bottomRight" state="frozen"/>
      <selection pane="topRight" activeCell="G1" sqref="G1"/>
      <selection pane="bottomLeft" activeCell="A10" sqref="A10"/>
      <selection pane="bottomRight" activeCell="G10" sqref="G10"/>
    </sheetView>
  </sheetViews>
  <sheetFormatPr defaultColWidth="9.140625" defaultRowHeight="12.75" x14ac:dyDescent="0.25"/>
  <cols>
    <col min="1" max="1" width="4.7109375" style="132" customWidth="1"/>
    <col min="2" max="2" width="71.85546875" style="132" customWidth="1"/>
    <col min="3" max="3" width="1.85546875" style="132" customWidth="1"/>
    <col min="4" max="4" width="2.5703125" style="132" customWidth="1"/>
    <col min="5" max="5" width="2.42578125" style="132" customWidth="1"/>
    <col min="6" max="6" width="13" style="132" customWidth="1"/>
    <col min="7" max="7" width="2.42578125" style="132" customWidth="1"/>
    <col min="8" max="8" width="11.42578125" style="132" customWidth="1"/>
    <col min="9" max="9" width="2.42578125" style="132" customWidth="1"/>
    <col min="10" max="10" width="14.85546875" style="132" bestFit="1" customWidth="1"/>
    <col min="11" max="11" width="2.5703125" style="132" customWidth="1"/>
    <col min="12" max="12" width="14" style="132" customWidth="1"/>
    <col min="13" max="14" width="14.85546875" style="132" bestFit="1" customWidth="1"/>
    <col min="15" max="15" width="14" style="132" customWidth="1"/>
    <col min="16" max="16" width="14.85546875" style="132" bestFit="1" customWidth="1"/>
    <col min="17" max="17" width="14" style="132" customWidth="1"/>
    <col min="18" max="18" width="2.42578125" style="132" customWidth="1"/>
    <col min="19" max="19" width="14" style="132" customWidth="1"/>
    <col min="20" max="20" width="2.42578125" style="132" customWidth="1"/>
    <col min="21" max="21" width="15.7109375" style="132" customWidth="1"/>
    <col min="22" max="22" width="2.42578125" style="132" customWidth="1"/>
    <col min="23" max="16384" width="9.140625" style="132"/>
  </cols>
  <sheetData>
    <row r="1" spans="1:21" s="2" customFormat="1" x14ac:dyDescent="0.25">
      <c r="A1" s="1"/>
    </row>
    <row r="2" spans="1:21" s="19" customFormat="1" ht="18" x14ac:dyDescent="0.25">
      <c r="B2" s="19" t="s">
        <v>542</v>
      </c>
    </row>
    <row r="3" spans="1:21" s="2" customFormat="1" x14ac:dyDescent="0.25"/>
    <row r="4" spans="1:21" s="2" customFormat="1" x14ac:dyDescent="0.25">
      <c r="B4" s="1" t="s">
        <v>30</v>
      </c>
      <c r="C4" s="1"/>
      <c r="D4" s="1"/>
    </row>
    <row r="5" spans="1:21" s="2" customFormat="1" x14ac:dyDescent="0.25">
      <c r="B5" s="2" t="s">
        <v>639</v>
      </c>
      <c r="H5" s="20"/>
    </row>
    <row r="6" spans="1:21" s="2" customFormat="1" x14ac:dyDescent="0.25">
      <c r="B6" s="2" t="s">
        <v>640</v>
      </c>
      <c r="H6" s="20"/>
    </row>
    <row r="7" spans="1:21" s="2" customFormat="1" x14ac:dyDescent="0.25"/>
    <row r="8" spans="1:21" s="6" customFormat="1" x14ac:dyDescent="0.25">
      <c r="B8" s="6" t="s">
        <v>46</v>
      </c>
      <c r="F8" s="6" t="s">
        <v>28</v>
      </c>
      <c r="H8" s="6" t="s">
        <v>29</v>
      </c>
      <c r="J8" s="6" t="s">
        <v>50</v>
      </c>
      <c r="L8" s="6" t="s">
        <v>89</v>
      </c>
      <c r="M8" s="6" t="s">
        <v>66</v>
      </c>
      <c r="N8" s="6" t="s">
        <v>67</v>
      </c>
      <c r="O8" s="6" t="s">
        <v>68</v>
      </c>
      <c r="P8" s="6" t="s">
        <v>69</v>
      </c>
      <c r="Q8" s="6" t="s">
        <v>70</v>
      </c>
      <c r="R8" s="6" t="s">
        <v>47</v>
      </c>
      <c r="U8" s="6" t="s">
        <v>48</v>
      </c>
    </row>
    <row r="9" spans="1:21" s="2" customFormat="1" x14ac:dyDescent="0.25"/>
    <row r="10" spans="1:21" s="2" customFormat="1" x14ac:dyDescent="0.25"/>
    <row r="11" spans="1:21" s="6" customFormat="1" x14ac:dyDescent="0.25">
      <c r="B11" s="6" t="s">
        <v>534</v>
      </c>
    </row>
    <row r="12" spans="1:21" s="2" customFormat="1" x14ac:dyDescent="0.25">
      <c r="K12" s="80"/>
    </row>
    <row r="13" spans="1:21" s="2" customFormat="1" x14ac:dyDescent="0.25">
      <c r="B13" s="1" t="s">
        <v>535</v>
      </c>
      <c r="K13" s="80"/>
    </row>
    <row r="14" spans="1:21" s="2" customFormat="1" x14ac:dyDescent="0.25">
      <c r="B14" s="2" t="s">
        <v>536</v>
      </c>
      <c r="F14" s="219" t="s">
        <v>111</v>
      </c>
      <c r="J14" s="220">
        <f>SUM(L14:Q14)</f>
        <v>1139852881.2750418</v>
      </c>
      <c r="K14" s="221"/>
      <c r="L14" s="222">
        <v>22364849.838650633</v>
      </c>
      <c r="M14" s="222">
        <v>364778627.52034658</v>
      </c>
      <c r="N14" s="222">
        <v>395721843.36583602</v>
      </c>
      <c r="O14" s="222">
        <v>16383453.319744868</v>
      </c>
      <c r="P14" s="222">
        <v>321623425.23223299</v>
      </c>
      <c r="Q14" s="222">
        <v>18980681.998230651</v>
      </c>
      <c r="R14" s="80"/>
      <c r="S14" s="80" t="s">
        <v>698</v>
      </c>
    </row>
    <row r="15" spans="1:21" s="2" customFormat="1" x14ac:dyDescent="0.25">
      <c r="B15" s="2" t="s">
        <v>537</v>
      </c>
      <c r="F15" s="219" t="s">
        <v>142</v>
      </c>
      <c r="J15" s="220">
        <f>SUM(L15:Q15)</f>
        <v>1252813130.7189732</v>
      </c>
      <c r="K15" s="221"/>
      <c r="L15" s="222">
        <v>24576733.487693179</v>
      </c>
      <c r="M15" s="222">
        <v>400891711.64486086</v>
      </c>
      <c r="N15" s="222">
        <v>435056594.5964002</v>
      </c>
      <c r="O15" s="222">
        <v>18002138.507735662</v>
      </c>
      <c r="P15" s="222">
        <v>353464144.33022404</v>
      </c>
      <c r="Q15" s="222">
        <v>20821808.152059022</v>
      </c>
      <c r="R15" s="80"/>
      <c r="S15" s="80" t="s">
        <v>699</v>
      </c>
    </row>
    <row r="16" spans="1:21" s="2" customFormat="1" x14ac:dyDescent="0.25">
      <c r="B16" s="2" t="s">
        <v>538</v>
      </c>
      <c r="F16" s="219" t="s">
        <v>167</v>
      </c>
      <c r="J16" s="220">
        <f>SUM(L16:Q16)</f>
        <v>1264214769.815928</v>
      </c>
      <c r="K16" s="221"/>
      <c r="L16" s="222">
        <v>24795466.415733647</v>
      </c>
      <c r="M16" s="222">
        <v>404499737.04966456</v>
      </c>
      <c r="N16" s="222">
        <v>439146126.5856064</v>
      </c>
      <c r="O16" s="222">
        <v>18160557.326603733</v>
      </c>
      <c r="P16" s="222">
        <v>356645321.62919599</v>
      </c>
      <c r="Q16" s="222">
        <v>20967560.809123434</v>
      </c>
      <c r="R16" s="80"/>
      <c r="S16" s="80" t="s">
        <v>700</v>
      </c>
    </row>
    <row r="17" spans="2:19" s="2" customFormat="1" x14ac:dyDescent="0.25">
      <c r="F17" s="219"/>
    </row>
    <row r="18" spans="2:19" s="2" customFormat="1" x14ac:dyDescent="0.25">
      <c r="B18" s="1" t="s">
        <v>540</v>
      </c>
      <c r="F18" s="219"/>
    </row>
    <row r="19" spans="2:19" s="2" customFormat="1" x14ac:dyDescent="0.25">
      <c r="B19" s="2" t="s">
        <v>681</v>
      </c>
      <c r="F19" s="219" t="s">
        <v>167</v>
      </c>
      <c r="J19" s="220">
        <f>SUM(L19:Q19)</f>
        <v>77293877.722042084</v>
      </c>
      <c r="K19" s="221"/>
      <c r="L19" s="222">
        <v>1527785.7254430794</v>
      </c>
      <c r="M19" s="222">
        <v>24826854.809804186</v>
      </c>
      <c r="N19" s="222">
        <v>26589651.768138319</v>
      </c>
      <c r="O19" s="222">
        <v>1121525.6460361909</v>
      </c>
      <c r="P19" s="222">
        <v>21902676.436737228</v>
      </c>
      <c r="Q19" s="222">
        <v>1325383.3358830751</v>
      </c>
      <c r="R19" s="80"/>
      <c r="S19" s="80" t="s">
        <v>731</v>
      </c>
    </row>
    <row r="20" spans="2:19" s="2" customFormat="1" x14ac:dyDescent="0.25">
      <c r="B20" s="2" t="s">
        <v>682</v>
      </c>
      <c r="F20" s="219" t="s">
        <v>167</v>
      </c>
      <c r="J20" s="220">
        <f>SUM(L20:Q20)</f>
        <v>19542524.041929673</v>
      </c>
      <c r="K20" s="221"/>
      <c r="L20" s="222">
        <v>378316.77429958683</v>
      </c>
      <c r="M20" s="222">
        <v>6192551.1879048133</v>
      </c>
      <c r="N20" s="222">
        <v>6990002.2599942451</v>
      </c>
      <c r="O20" s="222">
        <v>274752.91823165765</v>
      </c>
      <c r="P20" s="222">
        <v>5454945.7408288829</v>
      </c>
      <c r="Q20" s="222">
        <v>251955.16067048386</v>
      </c>
      <c r="R20" s="80"/>
      <c r="S20" s="80" t="s">
        <v>732</v>
      </c>
    </row>
    <row r="21" spans="2:19" s="2" customFormat="1" x14ac:dyDescent="0.25">
      <c r="F21" s="219"/>
    </row>
    <row r="22" spans="2:19" s="2" customFormat="1" x14ac:dyDescent="0.25">
      <c r="B22" s="1" t="s">
        <v>541</v>
      </c>
      <c r="F22" s="219"/>
    </row>
    <row r="23" spans="2:19" s="2" customFormat="1" x14ac:dyDescent="0.25">
      <c r="B23" s="2" t="s">
        <v>681</v>
      </c>
      <c r="F23" s="219" t="s">
        <v>167</v>
      </c>
      <c r="J23" s="220">
        <f>SUM(L23:Q23)</f>
        <v>47565420.140559047</v>
      </c>
      <c r="K23" s="221"/>
      <c r="L23" s="222">
        <v>940171.76745926449</v>
      </c>
      <c r="M23" s="222">
        <v>15278160.976373177</v>
      </c>
      <c r="N23" s="222">
        <v>16362791.903771028</v>
      </c>
      <c r="O23" s="222">
        <v>690166.64531208423</v>
      </c>
      <c r="P23" s="222">
        <v>13478511.858489562</v>
      </c>
      <c r="Q23" s="222">
        <v>815616.98915393639</v>
      </c>
      <c r="R23" s="80"/>
      <c r="S23" s="80" t="s">
        <v>786</v>
      </c>
    </row>
    <row r="24" spans="2:19" s="2" customFormat="1" x14ac:dyDescent="0.25">
      <c r="B24" s="2" t="s">
        <v>682</v>
      </c>
      <c r="F24" s="219" t="s">
        <v>167</v>
      </c>
      <c r="J24" s="220">
        <f>SUM(L24:Q24)</f>
        <v>12026168.641187489</v>
      </c>
      <c r="K24" s="221"/>
      <c r="L24" s="222">
        <v>232810.32264589961</v>
      </c>
      <c r="M24" s="222">
        <v>3810800.7310183467</v>
      </c>
      <c r="N24" s="222">
        <v>4301539.8523041513</v>
      </c>
      <c r="O24" s="222">
        <v>169078.71891178933</v>
      </c>
      <c r="P24" s="222">
        <v>3356889.686663928</v>
      </c>
      <c r="Q24" s="222">
        <v>155049.32964337469</v>
      </c>
      <c r="R24" s="80"/>
      <c r="S24" s="80" t="s">
        <v>787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350D3-7710-44AC-A744-6A184FA7891E}">
  <sheetPr>
    <tabColor rgb="FFE1FFE1"/>
  </sheetPr>
  <dimension ref="B2:V70"/>
  <sheetViews>
    <sheetView showGridLines="0" zoomScale="85" zoomScaleNormal="85" workbookViewId="0">
      <pane xSplit="6" ySplit="9" topLeftCell="G10" activePane="bottomRight" state="frozen"/>
      <selection activeCell="Q27" sqref="Q27"/>
      <selection pane="topRight" activeCell="Q27" sqref="Q27"/>
      <selection pane="bottomLeft" activeCell="Q27" sqref="Q27"/>
      <selection pane="bottomRight" activeCell="G10" sqref="G10"/>
    </sheetView>
  </sheetViews>
  <sheetFormatPr defaultColWidth="9.140625"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3.28515625" style="2" customWidth="1"/>
    <col min="14" max="14" width="14.140625" style="2" bestFit="1" customWidth="1"/>
    <col min="15" max="17" width="13.28515625" style="2" customWidth="1"/>
    <col min="18" max="19" width="2.7109375" style="2" customWidth="1"/>
    <col min="20" max="20" width="24.710937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2:22" s="19" customFormat="1" ht="18" x14ac:dyDescent="0.25">
      <c r="B2" s="19" t="s">
        <v>578</v>
      </c>
    </row>
    <row r="4" spans="2:22" x14ac:dyDescent="0.25">
      <c r="B4" s="1" t="s">
        <v>30</v>
      </c>
      <c r="C4" s="1"/>
      <c r="D4" s="1"/>
    </row>
    <row r="5" spans="2:22" x14ac:dyDescent="0.2">
      <c r="B5" s="76" t="s">
        <v>602</v>
      </c>
      <c r="H5" s="20"/>
    </row>
    <row r="6" spans="2:22" x14ac:dyDescent="0.25">
      <c r="B6" s="2" t="s">
        <v>579</v>
      </c>
      <c r="H6" s="20"/>
    </row>
    <row r="8" spans="2:22" s="6" customFormat="1" x14ac:dyDescent="0.25">
      <c r="B8" s="6" t="s">
        <v>46</v>
      </c>
      <c r="F8" s="6" t="s">
        <v>28</v>
      </c>
      <c r="H8" s="6" t="s">
        <v>29</v>
      </c>
      <c r="J8" s="6" t="s">
        <v>50</v>
      </c>
      <c r="L8" s="6" t="s">
        <v>89</v>
      </c>
      <c r="M8" s="6" t="s">
        <v>66</v>
      </c>
      <c r="N8" s="6" t="s">
        <v>67</v>
      </c>
      <c r="O8" s="6" t="s">
        <v>68</v>
      </c>
      <c r="P8" s="6" t="s">
        <v>69</v>
      </c>
      <c r="Q8" s="6" t="s">
        <v>70</v>
      </c>
      <c r="T8" s="6" t="s">
        <v>47</v>
      </c>
      <c r="V8" s="6" t="s">
        <v>48</v>
      </c>
    </row>
    <row r="11" spans="2:22" s="6" customFormat="1" x14ac:dyDescent="0.25">
      <c r="B11" s="6" t="s">
        <v>580</v>
      </c>
    </row>
    <row r="12" spans="2:22" x14ac:dyDescent="0.25">
      <c r="M12" s="85"/>
      <c r="N12" s="85"/>
      <c r="O12" s="85"/>
      <c r="P12" s="85"/>
      <c r="Q12" s="85"/>
    </row>
    <row r="13" spans="2:22" x14ac:dyDescent="0.25">
      <c r="B13" s="1" t="s">
        <v>581</v>
      </c>
    </row>
    <row r="15" spans="2:22" x14ac:dyDescent="0.25">
      <c r="B15" s="1" t="s">
        <v>582</v>
      </c>
    </row>
    <row r="16" spans="2:22" x14ac:dyDescent="0.25">
      <c r="B16" s="2" t="s">
        <v>583</v>
      </c>
      <c r="F16" s="2" t="s">
        <v>71</v>
      </c>
      <c r="J16" s="108">
        <f>SUM(L16:Q16)</f>
        <v>1291123.2394442032</v>
      </c>
      <c r="L16" s="99">
        <v>16036</v>
      </c>
      <c r="M16" s="99">
        <v>347685.3776790417</v>
      </c>
      <c r="N16" s="99">
        <v>458344.19178082194</v>
      </c>
      <c r="O16" s="99">
        <v>12268.14</v>
      </c>
      <c r="P16" s="99">
        <v>446799.20999103948</v>
      </c>
      <c r="Q16" s="99">
        <v>9990.3199932997923</v>
      </c>
      <c r="T16" s="2" t="s">
        <v>788</v>
      </c>
    </row>
    <row r="17" spans="2:20" x14ac:dyDescent="0.25">
      <c r="B17" s="2" t="s">
        <v>584</v>
      </c>
      <c r="F17" s="2" t="s">
        <v>71</v>
      </c>
      <c r="J17" s="108">
        <f t="shared" ref="J17:J21" si="0">SUM(L17:Q17)</f>
        <v>5644224.0687873596</v>
      </c>
      <c r="L17" s="99">
        <v>118989</v>
      </c>
      <c r="M17" s="99">
        <v>1841210.5407401437</v>
      </c>
      <c r="N17" s="99">
        <v>1975814.5424312914</v>
      </c>
      <c r="O17" s="99">
        <v>87210.8</v>
      </c>
      <c r="P17" s="99">
        <v>1578022.5186379927</v>
      </c>
      <c r="Q17" s="99">
        <v>42976.666977931345</v>
      </c>
      <c r="T17" s="2" t="s">
        <v>788</v>
      </c>
    </row>
    <row r="18" spans="2:20" x14ac:dyDescent="0.25">
      <c r="B18" s="2" t="s">
        <v>585</v>
      </c>
      <c r="F18" s="2" t="s">
        <v>71</v>
      </c>
      <c r="J18" s="108">
        <f t="shared" si="0"/>
        <v>99121.262786333202</v>
      </c>
      <c r="L18" s="99">
        <v>3098</v>
      </c>
      <c r="M18" s="99">
        <v>34806.896816182008</v>
      </c>
      <c r="N18" s="99">
        <v>35413.358921340565</v>
      </c>
      <c r="O18" s="99">
        <v>2202.04</v>
      </c>
      <c r="P18" s="99">
        <v>22934.861418330769</v>
      </c>
      <c r="Q18" s="99">
        <v>666.10563047986909</v>
      </c>
      <c r="T18" s="2" t="s">
        <v>788</v>
      </c>
    </row>
    <row r="19" spans="2:20" x14ac:dyDescent="0.25">
      <c r="B19" s="2" t="s">
        <v>586</v>
      </c>
      <c r="F19" s="2" t="s">
        <v>71</v>
      </c>
      <c r="J19" s="108">
        <f t="shared" si="0"/>
        <v>28369.566988084796</v>
      </c>
      <c r="L19" s="99">
        <v>172</v>
      </c>
      <c r="M19" s="99">
        <v>7693.1298282183125</v>
      </c>
      <c r="N19" s="99">
        <v>11651.317808219177</v>
      </c>
      <c r="O19" s="99">
        <v>616.76</v>
      </c>
      <c r="P19" s="99">
        <v>7882.5821172555043</v>
      </c>
      <c r="Q19" s="99">
        <v>353.77723439180386</v>
      </c>
      <c r="T19" s="2" t="s">
        <v>788</v>
      </c>
    </row>
    <row r="20" spans="2:20" x14ac:dyDescent="0.25">
      <c r="B20" s="2" t="s">
        <v>587</v>
      </c>
      <c r="F20" s="2" t="s">
        <v>71</v>
      </c>
      <c r="J20" s="108">
        <f t="shared" si="0"/>
        <v>58473.277648498151</v>
      </c>
      <c r="L20" s="99">
        <v>1770</v>
      </c>
      <c r="M20" s="99">
        <v>22324.685051607616</v>
      </c>
      <c r="N20" s="99">
        <v>18988.663010467822</v>
      </c>
      <c r="O20" s="99">
        <v>840.58</v>
      </c>
      <c r="P20" s="99">
        <v>14210.092108294933</v>
      </c>
      <c r="Q20" s="99">
        <v>339.25747812777536</v>
      </c>
      <c r="T20" s="2" t="s">
        <v>788</v>
      </c>
    </row>
    <row r="21" spans="2:20" x14ac:dyDescent="0.25">
      <c r="B21" s="2" t="s">
        <v>588</v>
      </c>
      <c r="F21" s="2" t="s">
        <v>71</v>
      </c>
      <c r="J21" s="108">
        <f t="shared" si="0"/>
        <v>22729.963159128118</v>
      </c>
      <c r="L21" s="99">
        <v>577</v>
      </c>
      <c r="M21" s="99">
        <v>7864.3687471239982</v>
      </c>
      <c r="N21" s="99">
        <v>7792.41095890411</v>
      </c>
      <c r="O21" s="99">
        <v>302.29000000000002</v>
      </c>
      <c r="P21" s="99">
        <v>5941.2478814644137</v>
      </c>
      <c r="Q21" s="99">
        <v>252.64557163559556</v>
      </c>
      <c r="T21" s="2" t="s">
        <v>788</v>
      </c>
    </row>
    <row r="23" spans="2:20" x14ac:dyDescent="0.25">
      <c r="B23" s="1" t="s">
        <v>589</v>
      </c>
    </row>
    <row r="24" spans="2:20" x14ac:dyDescent="0.25">
      <c r="B24" s="2" t="s">
        <v>590</v>
      </c>
      <c r="F24" s="2" t="s">
        <v>71</v>
      </c>
      <c r="J24" s="108">
        <f t="shared" ref="J24:J28" si="1">SUM(L24:Q24)</f>
        <v>8850.2228189042653</v>
      </c>
      <c r="L24" s="99">
        <v>226</v>
      </c>
      <c r="M24" s="99">
        <v>2883.5119107479522</v>
      </c>
      <c r="N24" s="99">
        <v>3145.6325000000011</v>
      </c>
      <c r="O24" s="99">
        <v>122.25</v>
      </c>
      <c r="P24" s="99">
        <v>2360.0366666666664</v>
      </c>
      <c r="Q24" s="99">
        <v>112.79174148964563</v>
      </c>
      <c r="T24" s="2" t="s">
        <v>788</v>
      </c>
    </row>
    <row r="25" spans="2:20" x14ac:dyDescent="0.25">
      <c r="B25" s="2" t="s">
        <v>591</v>
      </c>
      <c r="F25" s="2" t="s">
        <v>71</v>
      </c>
      <c r="J25" s="108">
        <f t="shared" si="1"/>
        <v>9525.5688890748552</v>
      </c>
      <c r="L25" s="99">
        <v>168</v>
      </c>
      <c r="M25" s="99">
        <v>2885.5124630298105</v>
      </c>
      <c r="N25" s="99">
        <v>3412.1574999999998</v>
      </c>
      <c r="O25" s="99">
        <v>118.84</v>
      </c>
      <c r="P25" s="99">
        <v>2753.4973333333332</v>
      </c>
      <c r="Q25" s="99">
        <v>187.56159271171305</v>
      </c>
      <c r="T25" s="2" t="s">
        <v>788</v>
      </c>
    </row>
    <row r="26" spans="2:20" x14ac:dyDescent="0.25">
      <c r="B26" s="2" t="s">
        <v>592</v>
      </c>
      <c r="F26" s="2" t="s">
        <v>71</v>
      </c>
      <c r="J26" s="108">
        <f t="shared" si="1"/>
        <v>3930.9456021176029</v>
      </c>
      <c r="L26" s="99">
        <v>50</v>
      </c>
      <c r="M26" s="99">
        <v>1258.0419717872196</v>
      </c>
      <c r="N26" s="99">
        <v>1228.135</v>
      </c>
      <c r="O26" s="99">
        <v>31.17</v>
      </c>
      <c r="P26" s="99">
        <v>1204.7494444444446</v>
      </c>
      <c r="Q26" s="99">
        <v>158.84918588593879</v>
      </c>
      <c r="T26" s="2" t="s">
        <v>788</v>
      </c>
    </row>
    <row r="27" spans="2:20" x14ac:dyDescent="0.25">
      <c r="B27" s="2" t="s">
        <v>593</v>
      </c>
      <c r="F27" s="2" t="s">
        <v>71</v>
      </c>
      <c r="J27" s="108">
        <f t="shared" si="1"/>
        <v>1149.6160272973843</v>
      </c>
      <c r="L27" s="99">
        <v>29</v>
      </c>
      <c r="M27" s="99">
        <v>389.75930712877289</v>
      </c>
      <c r="N27" s="99">
        <v>361.73916666666668</v>
      </c>
      <c r="O27" s="99">
        <v>17.78</v>
      </c>
      <c r="P27" s="99">
        <v>272.995</v>
      </c>
      <c r="Q27" s="99">
        <v>78.342553501944636</v>
      </c>
      <c r="T27" s="2" t="s">
        <v>788</v>
      </c>
    </row>
    <row r="28" spans="2:20" x14ac:dyDescent="0.25">
      <c r="B28" s="2" t="s">
        <v>594</v>
      </c>
      <c r="F28" s="2" t="s">
        <v>71</v>
      </c>
      <c r="J28" s="108">
        <f t="shared" si="1"/>
        <v>485.9099930192192</v>
      </c>
      <c r="L28" s="99">
        <v>10</v>
      </c>
      <c r="M28" s="99">
        <v>175.68812216401685</v>
      </c>
      <c r="N28" s="99">
        <v>75.592500000000015</v>
      </c>
      <c r="O28" s="99">
        <v>3.04</v>
      </c>
      <c r="P28" s="99">
        <v>198.42666666666668</v>
      </c>
      <c r="Q28" s="99">
        <v>23.162704188535638</v>
      </c>
      <c r="T28" s="2" t="s">
        <v>788</v>
      </c>
    </row>
    <row r="30" spans="2:20" x14ac:dyDescent="0.25">
      <c r="B30" s="1" t="s">
        <v>595</v>
      </c>
    </row>
    <row r="32" spans="2:20" x14ac:dyDescent="0.25">
      <c r="B32" s="2" t="s">
        <v>596</v>
      </c>
      <c r="F32" s="2" t="s">
        <v>71</v>
      </c>
      <c r="J32" s="108">
        <f>SUM(L32:Q32)</f>
        <v>8280.5852758514411</v>
      </c>
      <c r="L32" s="99">
        <v>121</v>
      </c>
      <c r="M32" s="99">
        <v>2579.748553758629</v>
      </c>
      <c r="N32" s="99">
        <v>2770.2975000000006</v>
      </c>
      <c r="O32" s="99">
        <v>88.712999999999994</v>
      </c>
      <c r="P32" s="99">
        <v>2036.9535419126325</v>
      </c>
      <c r="Q32" s="99">
        <v>683.87268018018017</v>
      </c>
      <c r="T32" s="2" t="s">
        <v>788</v>
      </c>
    </row>
    <row r="34" spans="2:20" x14ac:dyDescent="0.25">
      <c r="B34" s="1" t="s">
        <v>597</v>
      </c>
    </row>
    <row r="36" spans="2:20" x14ac:dyDescent="0.25">
      <c r="B36" s="2" t="s">
        <v>598</v>
      </c>
      <c r="F36" s="2" t="s">
        <v>71</v>
      </c>
      <c r="J36" s="108">
        <f>SUM(L36:Q36)</f>
        <v>679554.31416666671</v>
      </c>
      <c r="L36" s="99">
        <v>22564</v>
      </c>
      <c r="M36" s="99"/>
      <c r="N36" s="99">
        <v>631815.51416666666</v>
      </c>
      <c r="O36" s="99">
        <v>25174.799999999999</v>
      </c>
      <c r="P36" s="99"/>
      <c r="Q36" s="99"/>
      <c r="T36" s="2" t="s">
        <v>788</v>
      </c>
    </row>
    <row r="37" spans="2:20" x14ac:dyDescent="0.25">
      <c r="B37" s="2" t="s">
        <v>599</v>
      </c>
      <c r="F37" s="2" t="s">
        <v>71</v>
      </c>
      <c r="J37" s="108">
        <f>SUM(L37:Q37)</f>
        <v>123997.04916666666</v>
      </c>
      <c r="L37" s="99">
        <v>6941</v>
      </c>
      <c r="M37" s="99"/>
      <c r="N37" s="99">
        <v>114152.84916666667</v>
      </c>
      <c r="O37" s="99">
        <v>2903.2</v>
      </c>
      <c r="P37" s="99"/>
      <c r="Q37" s="99"/>
      <c r="T37" s="2" t="s">
        <v>788</v>
      </c>
    </row>
    <row r="39" spans="2:20" x14ac:dyDescent="0.25">
      <c r="B39" s="2" t="s">
        <v>600</v>
      </c>
      <c r="F39" s="2" t="s">
        <v>71</v>
      </c>
      <c r="J39" s="108">
        <f>SUM(L39:Q39)</f>
        <v>1707023.0259445279</v>
      </c>
      <c r="L39" s="99"/>
      <c r="M39" s="99">
        <v>752800.60098651855</v>
      </c>
      <c r="N39" s="99"/>
      <c r="O39" s="99"/>
      <c r="P39" s="99">
        <v>645622.89263235836</v>
      </c>
      <c r="Q39" s="99">
        <v>308599.53232565097</v>
      </c>
      <c r="T39" s="2" t="s">
        <v>788</v>
      </c>
    </row>
    <row r="41" spans="2:20" s="6" customFormat="1" x14ac:dyDescent="0.25">
      <c r="B41" s="6" t="s">
        <v>601</v>
      </c>
    </row>
    <row r="43" spans="2:20" x14ac:dyDescent="0.25">
      <c r="B43" s="28" t="s">
        <v>582</v>
      </c>
    </row>
    <row r="44" spans="2:20" x14ac:dyDescent="0.25">
      <c r="B44" s="2" t="s">
        <v>583</v>
      </c>
      <c r="F44" s="2" t="s">
        <v>71</v>
      </c>
      <c r="H44" s="159">
        <v>1.5</v>
      </c>
      <c r="T44" s="2" t="s">
        <v>788</v>
      </c>
    </row>
    <row r="45" spans="2:20" x14ac:dyDescent="0.25">
      <c r="B45" s="2" t="s">
        <v>584</v>
      </c>
      <c r="F45" s="2" t="s">
        <v>71</v>
      </c>
      <c r="H45" s="99">
        <v>3</v>
      </c>
      <c r="T45" s="2" t="s">
        <v>788</v>
      </c>
    </row>
    <row r="46" spans="2:20" x14ac:dyDescent="0.25">
      <c r="B46" s="2" t="s">
        <v>585</v>
      </c>
      <c r="F46" s="2" t="s">
        <v>71</v>
      </c>
      <c r="H46" s="99">
        <v>6</v>
      </c>
      <c r="T46" s="2" t="s">
        <v>788</v>
      </c>
    </row>
    <row r="47" spans="2:20" x14ac:dyDescent="0.25">
      <c r="B47" s="2" t="s">
        <v>586</v>
      </c>
      <c r="F47" s="2" t="s">
        <v>71</v>
      </c>
      <c r="H47" s="99">
        <v>10</v>
      </c>
      <c r="T47" s="2" t="s">
        <v>788</v>
      </c>
    </row>
    <row r="48" spans="2:20" x14ac:dyDescent="0.25">
      <c r="B48" s="2" t="s">
        <v>587</v>
      </c>
      <c r="F48" s="2" t="s">
        <v>71</v>
      </c>
      <c r="H48" s="99">
        <v>16</v>
      </c>
      <c r="T48" s="2" t="s">
        <v>788</v>
      </c>
    </row>
    <row r="49" spans="2:20" x14ac:dyDescent="0.25">
      <c r="B49" s="2" t="s">
        <v>588</v>
      </c>
      <c r="F49" s="2" t="s">
        <v>71</v>
      </c>
      <c r="H49" s="99">
        <v>25</v>
      </c>
      <c r="T49" s="2" t="s">
        <v>788</v>
      </c>
    </row>
    <row r="51" spans="2:20" x14ac:dyDescent="0.25">
      <c r="B51" s="1" t="s">
        <v>589</v>
      </c>
    </row>
    <row r="52" spans="2:20" x14ac:dyDescent="0.25">
      <c r="B52" s="2" t="s">
        <v>590</v>
      </c>
      <c r="F52" s="2" t="s">
        <v>71</v>
      </c>
      <c r="H52" s="99">
        <v>40</v>
      </c>
      <c r="T52" s="2" t="s">
        <v>788</v>
      </c>
    </row>
    <row r="53" spans="2:20" x14ac:dyDescent="0.25">
      <c r="B53" s="2" t="s">
        <v>591</v>
      </c>
      <c r="F53" s="2" t="s">
        <v>71</v>
      </c>
      <c r="H53" s="99">
        <v>65</v>
      </c>
      <c r="T53" s="2" t="s">
        <v>788</v>
      </c>
    </row>
    <row r="54" spans="2:20" x14ac:dyDescent="0.25">
      <c r="B54" s="2" t="s">
        <v>592</v>
      </c>
      <c r="F54" s="2" t="s">
        <v>71</v>
      </c>
      <c r="H54" s="99">
        <v>100</v>
      </c>
      <c r="T54" s="2" t="s">
        <v>788</v>
      </c>
    </row>
    <row r="55" spans="2:20" x14ac:dyDescent="0.25">
      <c r="B55" s="2" t="s">
        <v>593</v>
      </c>
      <c r="F55" s="2" t="s">
        <v>71</v>
      </c>
      <c r="H55" s="99">
        <v>160</v>
      </c>
      <c r="T55" s="2" t="s">
        <v>788</v>
      </c>
    </row>
    <row r="56" spans="2:20" x14ac:dyDescent="0.25">
      <c r="B56" s="2" t="s">
        <v>594</v>
      </c>
      <c r="F56" s="2" t="s">
        <v>71</v>
      </c>
      <c r="H56" s="99">
        <v>250</v>
      </c>
      <c r="T56" s="2" t="s">
        <v>788</v>
      </c>
    </row>
    <row r="58" spans="2:20" s="6" customFormat="1" x14ac:dyDescent="0.25">
      <c r="B58" s="6" t="s">
        <v>605</v>
      </c>
    </row>
    <row r="60" spans="2:20" x14ac:dyDescent="0.25">
      <c r="B60" s="28" t="s">
        <v>198</v>
      </c>
    </row>
    <row r="61" spans="2:20" x14ac:dyDescent="0.25">
      <c r="B61" s="2" t="s">
        <v>606</v>
      </c>
      <c r="F61" s="2" t="s">
        <v>71</v>
      </c>
      <c r="H61" s="99">
        <v>17.99807557038752</v>
      </c>
      <c r="T61" s="2" t="s">
        <v>621</v>
      </c>
    </row>
    <row r="62" spans="2:20" x14ac:dyDescent="0.25">
      <c r="B62" s="2" t="s">
        <v>607</v>
      </c>
      <c r="F62" s="2" t="s">
        <v>71</v>
      </c>
      <c r="H62" s="99">
        <v>26.043085449153235</v>
      </c>
      <c r="T62" s="2" t="s">
        <v>616</v>
      </c>
    </row>
    <row r="64" spans="2:20" x14ac:dyDescent="0.25">
      <c r="B64" s="28" t="s">
        <v>202</v>
      </c>
    </row>
    <row r="65" spans="2:20" x14ac:dyDescent="0.25">
      <c r="B65" s="2" t="s">
        <v>606</v>
      </c>
      <c r="F65" s="2" t="s">
        <v>71</v>
      </c>
      <c r="H65" s="99">
        <v>18</v>
      </c>
      <c r="T65" s="2" t="s">
        <v>617</v>
      </c>
    </row>
    <row r="66" spans="2:20" x14ac:dyDescent="0.25">
      <c r="B66" s="2" t="s">
        <v>607</v>
      </c>
      <c r="F66" s="2" t="s">
        <v>71</v>
      </c>
      <c r="H66" s="99">
        <v>25.909433727611123</v>
      </c>
      <c r="T66" s="2" t="s">
        <v>618</v>
      </c>
    </row>
    <row r="68" spans="2:20" x14ac:dyDescent="0.25">
      <c r="B68" s="28" t="s">
        <v>203</v>
      </c>
    </row>
    <row r="69" spans="2:20" x14ac:dyDescent="0.25">
      <c r="B69" s="2" t="s">
        <v>606</v>
      </c>
      <c r="F69" s="2" t="s">
        <v>71</v>
      </c>
      <c r="H69" s="99">
        <v>747.293089917673</v>
      </c>
      <c r="T69" s="2" t="s">
        <v>619</v>
      </c>
    </row>
    <row r="70" spans="2:20" x14ac:dyDescent="0.25">
      <c r="B70" s="2" t="s">
        <v>608</v>
      </c>
      <c r="F70" s="2" t="s">
        <v>71</v>
      </c>
      <c r="H70" s="99">
        <v>21.965623005145261</v>
      </c>
      <c r="T70" s="2" t="s">
        <v>620</v>
      </c>
    </row>
  </sheetData>
  <phoneticPr fontId="6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AFE8-F1AC-4654-B2C5-8FF88E38D9BD}">
  <sheetPr>
    <tabColor rgb="FFE1FFE1"/>
  </sheetPr>
  <dimension ref="A1:W57"/>
  <sheetViews>
    <sheetView showGridLines="0" zoomScale="80" zoomScaleNormal="80" workbookViewId="0">
      <pane xSplit="6" ySplit="10" topLeftCell="G11" activePane="bottomRight" state="frozen"/>
      <selection pane="topRight" activeCell="G1" sqref="G1"/>
      <selection pane="bottomLeft" activeCell="A12" sqref="A12"/>
      <selection pane="bottomRight" activeCell="G11" sqref="G11"/>
    </sheetView>
  </sheetViews>
  <sheetFormatPr defaultColWidth="9.140625" defaultRowHeight="12.75" x14ac:dyDescent="0.25"/>
  <cols>
    <col min="1" max="1" width="4.7109375" style="101" customWidth="1"/>
    <col min="2" max="2" width="58.140625" style="101" customWidth="1"/>
    <col min="3" max="3" width="1.85546875" style="101" customWidth="1"/>
    <col min="4" max="4" width="2.5703125" style="101" customWidth="1"/>
    <col min="5" max="5" width="2.42578125" style="101" customWidth="1"/>
    <col min="6" max="6" width="13" style="101" customWidth="1"/>
    <col min="7" max="7" width="2.42578125" style="101" customWidth="1"/>
    <col min="8" max="8" width="11.42578125" style="101" customWidth="1"/>
    <col min="9" max="9" width="2.42578125" style="101" customWidth="1"/>
    <col min="10" max="10" width="14" style="101" bestFit="1" customWidth="1"/>
    <col min="11" max="11" width="2.5703125" style="101" customWidth="1"/>
    <col min="12" max="17" width="14" style="101" customWidth="1"/>
    <col min="18" max="18" width="2.42578125" style="101" customWidth="1"/>
    <col min="19" max="19" width="21" style="101" customWidth="1"/>
    <col min="20" max="16384" width="9.140625" style="101"/>
  </cols>
  <sheetData>
    <row r="1" spans="2:21" s="2" customFormat="1" x14ac:dyDescent="0.25"/>
    <row r="2" spans="2:21" s="98" customFormat="1" ht="18" x14ac:dyDescent="0.25">
      <c r="B2" s="19" t="s">
        <v>364</v>
      </c>
    </row>
    <row r="3" spans="2:21" s="2" customFormat="1" x14ac:dyDescent="0.25"/>
    <row r="4" spans="2:21" s="2" customFormat="1" x14ac:dyDescent="0.25">
      <c r="B4" s="1" t="s">
        <v>30</v>
      </c>
      <c r="C4" s="1"/>
      <c r="D4" s="1"/>
    </row>
    <row r="5" spans="2:21" s="2" customFormat="1" x14ac:dyDescent="0.25">
      <c r="B5" s="2" t="s">
        <v>365</v>
      </c>
      <c r="C5" s="1"/>
      <c r="D5" s="1"/>
    </row>
    <row r="6" spans="2:21" s="2" customFormat="1" x14ac:dyDescent="0.25">
      <c r="B6" s="2" t="s">
        <v>456</v>
      </c>
      <c r="H6" s="20"/>
    </row>
    <row r="7" spans="2:21" s="2" customFormat="1" x14ac:dyDescent="0.25">
      <c r="B7" s="71" t="s">
        <v>457</v>
      </c>
      <c r="H7" s="20"/>
    </row>
    <row r="8" spans="2:21" s="2" customFormat="1" x14ac:dyDescent="0.25">
      <c r="B8" s="71"/>
      <c r="H8" s="20"/>
    </row>
    <row r="9" spans="2:21" s="6" customFormat="1" x14ac:dyDescent="0.25">
      <c r="B9" s="6" t="s">
        <v>46</v>
      </c>
      <c r="F9" s="6" t="s">
        <v>28</v>
      </c>
      <c r="H9" s="6" t="s">
        <v>29</v>
      </c>
      <c r="J9" s="6" t="s">
        <v>50</v>
      </c>
      <c r="L9" s="6" t="s">
        <v>89</v>
      </c>
      <c r="M9" s="6" t="s">
        <v>66</v>
      </c>
      <c r="N9" s="6" t="s">
        <v>67</v>
      </c>
      <c r="O9" s="6" t="s">
        <v>68</v>
      </c>
      <c r="P9" s="6" t="s">
        <v>69</v>
      </c>
      <c r="Q9" s="6" t="s">
        <v>70</v>
      </c>
      <c r="S9" s="6" t="s">
        <v>47</v>
      </c>
      <c r="U9" s="6" t="s">
        <v>48</v>
      </c>
    </row>
    <row r="10" spans="2:21" s="2" customFormat="1" x14ac:dyDescent="0.25"/>
    <row r="11" spans="2:21" s="2" customFormat="1" x14ac:dyDescent="0.25"/>
    <row r="12" spans="2:21" s="6" customFormat="1" x14ac:dyDescent="0.25">
      <c r="B12" s="6" t="s">
        <v>366</v>
      </c>
    </row>
    <row r="13" spans="2:21" s="172" customFormat="1" x14ac:dyDescent="0.25"/>
    <row r="14" spans="2:21" s="209" customFormat="1" x14ac:dyDescent="0.2">
      <c r="B14" s="47" t="s">
        <v>426</v>
      </c>
      <c r="C14" s="2"/>
      <c r="D14" s="2"/>
      <c r="E14" s="2"/>
      <c r="F14" s="210"/>
    </row>
    <row r="15" spans="2:21" s="209" customFormat="1" x14ac:dyDescent="0.2">
      <c r="B15" s="203" t="s">
        <v>458</v>
      </c>
      <c r="C15" s="2"/>
      <c r="D15" s="2"/>
      <c r="E15" s="2"/>
      <c r="F15" s="2" t="s">
        <v>243</v>
      </c>
      <c r="L15" s="99">
        <v>0</v>
      </c>
      <c r="M15" s="99">
        <v>0</v>
      </c>
      <c r="N15" s="99">
        <v>68136.289432364487</v>
      </c>
      <c r="O15" s="99">
        <v>0</v>
      </c>
      <c r="P15" s="99">
        <v>0</v>
      </c>
      <c r="Q15" s="99">
        <v>0</v>
      </c>
      <c r="S15" s="2" t="s">
        <v>427</v>
      </c>
    </row>
    <row r="16" spans="2:21" s="209" customFormat="1" x14ac:dyDescent="0.2">
      <c r="B16" s="203" t="s">
        <v>421</v>
      </c>
      <c r="C16" s="2"/>
      <c r="D16" s="2"/>
      <c r="E16" s="2"/>
      <c r="F16" s="2" t="s">
        <v>243</v>
      </c>
      <c r="L16" s="99">
        <v>296</v>
      </c>
      <c r="M16" s="99">
        <v>338341.48364207731</v>
      </c>
      <c r="N16" s="99">
        <v>3777.2212936876767</v>
      </c>
      <c r="O16" s="99">
        <v>0</v>
      </c>
      <c r="P16" s="99">
        <v>43906.519999999975</v>
      </c>
      <c r="Q16" s="99">
        <v>0</v>
      </c>
      <c r="S16" s="2" t="s">
        <v>427</v>
      </c>
    </row>
    <row r="17" spans="1:19" s="209" customFormat="1" x14ac:dyDescent="0.2">
      <c r="B17" s="203" t="s">
        <v>423</v>
      </c>
      <c r="C17" s="2"/>
      <c r="D17" s="2"/>
      <c r="E17" s="2"/>
      <c r="F17" s="2" t="s">
        <v>243</v>
      </c>
      <c r="L17" s="99">
        <v>226</v>
      </c>
      <c r="M17" s="99">
        <v>144761.03999999983</v>
      </c>
      <c r="N17" s="99">
        <v>23283.608117251351</v>
      </c>
      <c r="O17" s="99">
        <v>0</v>
      </c>
      <c r="P17" s="99">
        <v>199891.10999999993</v>
      </c>
      <c r="Q17" s="99">
        <v>0</v>
      </c>
      <c r="S17" s="2" t="s">
        <v>428</v>
      </c>
    </row>
    <row r="18" spans="1:19" s="209" customFormat="1" x14ac:dyDescent="0.25"/>
    <row r="19" spans="1:19" s="209" customFormat="1" x14ac:dyDescent="0.2">
      <c r="B19" s="47" t="s">
        <v>425</v>
      </c>
      <c r="C19" s="2"/>
      <c r="D19" s="2"/>
      <c r="E19" s="2"/>
      <c r="F19" s="210"/>
    </row>
    <row r="20" spans="1:19" s="209" customFormat="1" x14ac:dyDescent="0.2">
      <c r="B20" s="203" t="s">
        <v>458</v>
      </c>
      <c r="C20" s="2"/>
      <c r="D20" s="2"/>
      <c r="E20" s="2"/>
      <c r="F20" s="2" t="s">
        <v>245</v>
      </c>
      <c r="L20" s="99">
        <v>0</v>
      </c>
      <c r="M20" s="99">
        <v>0</v>
      </c>
      <c r="N20" s="99">
        <v>92849.209494752635</v>
      </c>
      <c r="O20" s="99">
        <v>0</v>
      </c>
      <c r="P20" s="99">
        <v>0</v>
      </c>
      <c r="Q20" s="99">
        <v>0</v>
      </c>
      <c r="S20" s="2" t="s">
        <v>429</v>
      </c>
    </row>
    <row r="21" spans="1:19" s="209" customFormat="1" x14ac:dyDescent="0.2">
      <c r="B21" s="203" t="s">
        <v>421</v>
      </c>
      <c r="C21" s="2"/>
      <c r="D21" s="2"/>
      <c r="E21" s="2"/>
      <c r="F21" s="2" t="s">
        <v>245</v>
      </c>
      <c r="L21" s="99">
        <v>0</v>
      </c>
      <c r="M21" s="99">
        <v>361441.53088511043</v>
      </c>
      <c r="N21" s="99">
        <v>6508.8589675875764</v>
      </c>
      <c r="O21" s="99">
        <v>0</v>
      </c>
      <c r="P21" s="99">
        <v>47285.129999999961</v>
      </c>
      <c r="Q21" s="99">
        <v>0</v>
      </c>
      <c r="S21" s="2" t="s">
        <v>429</v>
      </c>
    </row>
    <row r="22" spans="1:19" s="209" customFormat="1" x14ac:dyDescent="0.2">
      <c r="B22" s="203" t="s">
        <v>423</v>
      </c>
      <c r="C22" s="2"/>
      <c r="D22" s="2"/>
      <c r="E22" s="2"/>
      <c r="F22" s="2" t="s">
        <v>245</v>
      </c>
      <c r="L22" s="99">
        <v>0</v>
      </c>
      <c r="M22" s="99">
        <v>231231.12999999998</v>
      </c>
      <c r="N22" s="99">
        <v>35900.116539833398</v>
      </c>
      <c r="O22" s="99">
        <v>192.68</v>
      </c>
      <c r="P22" s="99">
        <v>195001.82000000004</v>
      </c>
      <c r="Q22" s="99">
        <v>0</v>
      </c>
      <c r="S22" s="2" t="s">
        <v>430</v>
      </c>
    </row>
    <row r="23" spans="1:19" s="209" customFormat="1" x14ac:dyDescent="0.25"/>
    <row r="24" spans="1:19" s="209" customFormat="1" x14ac:dyDescent="0.2">
      <c r="B24" s="47" t="s">
        <v>424</v>
      </c>
      <c r="C24" s="2"/>
      <c r="D24" s="2"/>
      <c r="E24" s="2"/>
      <c r="F24" s="210"/>
    </row>
    <row r="25" spans="1:19" s="209" customFormat="1" x14ac:dyDescent="0.2">
      <c r="B25" s="203" t="s">
        <v>458</v>
      </c>
      <c r="C25" s="2"/>
      <c r="D25" s="2"/>
      <c r="E25" s="2"/>
      <c r="F25" s="2" t="s">
        <v>97</v>
      </c>
      <c r="L25" s="99">
        <v>0</v>
      </c>
      <c r="M25" s="99">
        <v>0</v>
      </c>
      <c r="N25" s="99">
        <v>338993.16779187752</v>
      </c>
      <c r="O25" s="99">
        <v>1102.6199999999999</v>
      </c>
      <c r="P25" s="99">
        <v>92621.01999999999</v>
      </c>
      <c r="Q25" s="99">
        <v>0</v>
      </c>
      <c r="S25" s="2" t="s">
        <v>431</v>
      </c>
    </row>
    <row r="26" spans="1:19" s="209" customFormat="1" x14ac:dyDescent="0.2">
      <c r="B26" s="203" t="s">
        <v>421</v>
      </c>
      <c r="C26" s="2"/>
      <c r="D26" s="2"/>
      <c r="E26" s="2"/>
      <c r="F26" s="2" t="s">
        <v>97</v>
      </c>
      <c r="L26" s="99">
        <v>0</v>
      </c>
      <c r="M26" s="99">
        <v>283505.3120024883</v>
      </c>
      <c r="N26" s="99">
        <v>6453.9323930081655</v>
      </c>
      <c r="O26" s="99">
        <v>0</v>
      </c>
      <c r="P26" s="99">
        <v>53221.710000000006</v>
      </c>
      <c r="Q26" s="99">
        <v>0</v>
      </c>
      <c r="S26" s="2" t="s">
        <v>431</v>
      </c>
    </row>
    <row r="27" spans="1:19" s="209" customFormat="1" x14ac:dyDescent="0.2">
      <c r="B27" s="203" t="s">
        <v>423</v>
      </c>
      <c r="C27" s="2"/>
      <c r="D27" s="2"/>
      <c r="E27" s="2"/>
      <c r="F27" s="2" t="s">
        <v>97</v>
      </c>
      <c r="L27" s="99">
        <v>0</v>
      </c>
      <c r="M27" s="99">
        <v>106459.13000000048</v>
      </c>
      <c r="N27" s="99">
        <v>111990.89633615169</v>
      </c>
      <c r="O27" s="99">
        <v>56.71</v>
      </c>
      <c r="P27" s="99">
        <v>151533.64000000019</v>
      </c>
      <c r="Q27" s="99">
        <v>0</v>
      </c>
      <c r="S27" s="2" t="s">
        <v>432</v>
      </c>
    </row>
    <row r="28" spans="1:19" s="209" customFormat="1" x14ac:dyDescent="0.25"/>
    <row r="29" spans="1:19" s="2" customFormat="1" x14ac:dyDescent="0.25">
      <c r="B29" s="1" t="s">
        <v>419</v>
      </c>
      <c r="M29" s="85"/>
      <c r="N29" s="85"/>
      <c r="O29" s="85"/>
      <c r="P29" s="85"/>
      <c r="Q29" s="85"/>
    </row>
    <row r="30" spans="1:19" s="2" customFormat="1" x14ac:dyDescent="0.25">
      <c r="A30" s="211"/>
      <c r="B30" s="2" t="s">
        <v>367</v>
      </c>
      <c r="F30" s="2" t="s">
        <v>106</v>
      </c>
      <c r="L30" s="99">
        <v>387578.53175849176</v>
      </c>
      <c r="M30" s="99">
        <v>6967906.6656788541</v>
      </c>
      <c r="N30" s="99">
        <v>7257609.7463143384</v>
      </c>
      <c r="O30" s="99">
        <v>294041.30620461947</v>
      </c>
      <c r="P30" s="99">
        <v>6073955.0590023557</v>
      </c>
      <c r="Q30" s="99">
        <v>1034437.6159310647</v>
      </c>
      <c r="S30" s="2" t="s">
        <v>459</v>
      </c>
    </row>
    <row r="31" spans="1:19" s="2" customFormat="1" x14ac:dyDescent="0.25"/>
    <row r="32" spans="1:19" s="2" customFormat="1" x14ac:dyDescent="0.2">
      <c r="B32" s="47" t="s">
        <v>371</v>
      </c>
      <c r="F32" s="210"/>
    </row>
    <row r="33" spans="1:21" s="2" customFormat="1" x14ac:dyDescent="0.25">
      <c r="B33" s="2" t="s">
        <v>366</v>
      </c>
      <c r="F33" s="2" t="s">
        <v>111</v>
      </c>
      <c r="L33" s="185"/>
      <c r="M33" s="185"/>
      <c r="N33" s="185"/>
      <c r="O33" s="185"/>
      <c r="P33" s="185"/>
      <c r="Q33" s="99">
        <v>-3496040.34</v>
      </c>
      <c r="S33" s="2" t="s">
        <v>625</v>
      </c>
      <c r="U33" s="228"/>
    </row>
    <row r="34" spans="1:21" s="2" customFormat="1" x14ac:dyDescent="0.25"/>
    <row r="35" spans="1:21" s="2" customFormat="1" x14ac:dyDescent="0.2">
      <c r="B35" s="47" t="s">
        <v>445</v>
      </c>
      <c r="F35" s="210"/>
      <c r="J35" s="92"/>
      <c r="L35" s="100"/>
      <c r="M35" s="100"/>
      <c r="N35" s="100"/>
      <c r="O35" s="100"/>
      <c r="P35" s="100"/>
      <c r="Q35" s="100"/>
    </row>
    <row r="36" spans="1:21" s="2" customFormat="1" x14ac:dyDescent="0.25">
      <c r="B36" s="2" t="s">
        <v>366</v>
      </c>
      <c r="F36" s="2" t="s">
        <v>142</v>
      </c>
      <c r="L36" s="99">
        <v>-527128</v>
      </c>
      <c r="M36" s="99">
        <v>53944470.940000005</v>
      </c>
      <c r="N36" s="99">
        <v>9923816.8874238413</v>
      </c>
      <c r="O36" s="99">
        <v>-33012.199999999997</v>
      </c>
      <c r="P36" s="99">
        <v>27624837.66</v>
      </c>
      <c r="Q36" s="99">
        <v>7966766.8799999999</v>
      </c>
      <c r="S36" s="2" t="s">
        <v>460</v>
      </c>
    </row>
    <row r="37" spans="1:21" s="2" customFormat="1" x14ac:dyDescent="0.2">
      <c r="B37" s="203" t="s">
        <v>458</v>
      </c>
      <c r="F37" s="2" t="s">
        <v>142</v>
      </c>
      <c r="L37" s="99">
        <v>187446</v>
      </c>
      <c r="M37" s="99">
        <v>3714978.15</v>
      </c>
      <c r="N37" s="99">
        <v>2659428.231909751</v>
      </c>
      <c r="O37" s="99">
        <v>107350.49</v>
      </c>
      <c r="P37" s="99">
        <v>1690785.2813404892</v>
      </c>
      <c r="Q37" s="99">
        <v>0</v>
      </c>
      <c r="S37" s="2" t="s">
        <v>461</v>
      </c>
    </row>
    <row r="38" spans="1:21" s="2" customFormat="1" x14ac:dyDescent="0.2">
      <c r="B38" s="203" t="s">
        <v>421</v>
      </c>
      <c r="F38" s="2" t="s">
        <v>142</v>
      </c>
      <c r="L38" s="99">
        <v>0</v>
      </c>
      <c r="M38" s="99">
        <v>323609.23864227638</v>
      </c>
      <c r="N38" s="99">
        <v>921.25319335855374</v>
      </c>
      <c r="O38" s="99">
        <v>0</v>
      </c>
      <c r="P38" s="99">
        <v>10035.700000000001</v>
      </c>
      <c r="Q38" s="99">
        <v>0</v>
      </c>
      <c r="S38" s="2" t="s">
        <v>461</v>
      </c>
    </row>
    <row r="39" spans="1:21" s="2" customFormat="1" x14ac:dyDescent="0.2">
      <c r="B39" s="203" t="s">
        <v>423</v>
      </c>
      <c r="F39" s="2" t="s">
        <v>142</v>
      </c>
      <c r="J39" s="124"/>
      <c r="L39" s="99">
        <v>0</v>
      </c>
      <c r="M39" s="99">
        <v>1431315.1700000002</v>
      </c>
      <c r="N39" s="99">
        <v>339140.6049114482</v>
      </c>
      <c r="O39" s="99">
        <v>235.04</v>
      </c>
      <c r="P39" s="99">
        <v>548581.23000000569</v>
      </c>
      <c r="Q39" s="99">
        <v>0</v>
      </c>
      <c r="S39" s="2" t="s">
        <v>462</v>
      </c>
    </row>
    <row r="40" spans="1:21" s="2" customFormat="1" x14ac:dyDescent="0.2">
      <c r="B40" s="203" t="s">
        <v>630</v>
      </c>
      <c r="F40" s="2" t="s">
        <v>142</v>
      </c>
      <c r="J40" s="124"/>
      <c r="L40" s="185"/>
      <c r="M40" s="185"/>
      <c r="N40" s="185"/>
      <c r="O40" s="99">
        <v>167787.32417213498</v>
      </c>
      <c r="P40" s="185"/>
      <c r="Q40" s="185"/>
      <c r="S40" s="235" t="s">
        <v>628</v>
      </c>
    </row>
    <row r="41" spans="1:21" s="2" customFormat="1" x14ac:dyDescent="0.2">
      <c r="B41" s="90"/>
      <c r="F41" s="169"/>
      <c r="J41" s="92"/>
      <c r="L41" s="100"/>
      <c r="M41" s="100"/>
      <c r="N41" s="100"/>
      <c r="O41" s="100"/>
      <c r="P41" s="100"/>
      <c r="Q41" s="100"/>
    </row>
    <row r="42" spans="1:21" s="2" customFormat="1" x14ac:dyDescent="0.25">
      <c r="B42" s="90" t="s">
        <v>641</v>
      </c>
      <c r="F42" s="2" t="s">
        <v>142</v>
      </c>
      <c r="L42" s="99">
        <v>1236397.0118933599</v>
      </c>
      <c r="M42" s="99">
        <v>28089567.840129435</v>
      </c>
      <c r="N42" s="99">
        <v>47996742.370781742</v>
      </c>
      <c r="O42" s="185"/>
      <c r="P42" s="99">
        <v>11652260.800443053</v>
      </c>
      <c r="Q42" s="99">
        <v>4300138.2099988796</v>
      </c>
      <c r="S42" s="2" t="s">
        <v>702</v>
      </c>
    </row>
    <row r="43" spans="1:21" s="2" customFormat="1" x14ac:dyDescent="0.25">
      <c r="B43" s="90"/>
      <c r="J43" s="170"/>
      <c r="K43" s="80"/>
      <c r="L43" s="171"/>
      <c r="M43" s="171"/>
      <c r="N43" s="171"/>
      <c r="O43" s="171"/>
      <c r="P43" s="171"/>
      <c r="Q43" s="171"/>
    </row>
    <row r="44" spans="1:21" s="6" customFormat="1" x14ac:dyDescent="0.25">
      <c r="B44" s="6" t="s">
        <v>368</v>
      </c>
    </row>
    <row r="45" spans="1:21" s="80" customFormat="1" ht="12" customHeight="1" x14ac:dyDescent="0.2">
      <c r="A45" s="2"/>
      <c r="B45" s="90"/>
      <c r="F45" s="169"/>
      <c r="J45" s="92"/>
      <c r="K45" s="2"/>
      <c r="L45" s="100"/>
      <c r="M45" s="100"/>
      <c r="N45" s="100"/>
      <c r="O45" s="100"/>
      <c r="P45" s="100"/>
      <c r="Q45" s="100"/>
      <c r="S45" s="2"/>
    </row>
    <row r="46" spans="1:21" s="80" customFormat="1" x14ac:dyDescent="0.25">
      <c r="A46" s="211"/>
      <c r="B46" s="90" t="s">
        <v>369</v>
      </c>
      <c r="F46" s="2" t="s">
        <v>71</v>
      </c>
      <c r="J46" s="92"/>
      <c r="K46" s="2"/>
      <c r="L46" s="99">
        <v>16401680.494385676</v>
      </c>
      <c r="M46" s="99">
        <v>266533758.56356135</v>
      </c>
      <c r="N46" s="99">
        <v>285455588.10709691</v>
      </c>
      <c r="O46" s="99">
        <v>12040239.024494292</v>
      </c>
      <c r="P46" s="99">
        <v>235138144.63941851</v>
      </c>
      <c r="Q46" s="99">
        <v>14228771.512728186</v>
      </c>
      <c r="S46" s="2" t="s">
        <v>464</v>
      </c>
    </row>
    <row r="47" spans="1:21" s="80" customFormat="1" x14ac:dyDescent="0.25">
      <c r="A47" s="211"/>
      <c r="B47" s="90" t="s">
        <v>622</v>
      </c>
      <c r="F47" s="2" t="s">
        <v>71</v>
      </c>
      <c r="J47" s="92"/>
      <c r="K47" s="92"/>
      <c r="L47" s="99">
        <v>16378191.921518842</v>
      </c>
      <c r="M47" s="99">
        <v>266309125.89958686</v>
      </c>
      <c r="N47" s="99">
        <v>285253178.05322069</v>
      </c>
      <c r="O47" s="99">
        <v>11960708.825466996</v>
      </c>
      <c r="P47" s="99">
        <v>235054769.69438812</v>
      </c>
      <c r="Q47" s="99">
        <v>14216353.026773611</v>
      </c>
      <c r="R47" s="92"/>
      <c r="S47" s="173" t="s">
        <v>623</v>
      </c>
    </row>
    <row r="48" spans="1:21" s="80" customFormat="1" x14ac:dyDescent="0.25">
      <c r="A48" s="211"/>
      <c r="B48" s="90"/>
      <c r="F48" s="2"/>
      <c r="J48" s="92"/>
      <c r="K48" s="92"/>
      <c r="L48" s="92"/>
      <c r="M48" s="92"/>
      <c r="N48" s="92"/>
      <c r="O48" s="92"/>
      <c r="P48" s="92"/>
      <c r="Q48" s="92"/>
      <c r="R48" s="92"/>
      <c r="S48" s="212"/>
    </row>
    <row r="49" spans="1:23" s="211" customFormat="1" x14ac:dyDescent="0.25">
      <c r="B49" s="2" t="s">
        <v>437</v>
      </c>
      <c r="F49" s="211" t="s">
        <v>73</v>
      </c>
      <c r="H49" s="136">
        <v>-7.5913637800173461E-4</v>
      </c>
      <c r="S49" s="2" t="s">
        <v>436</v>
      </c>
    </row>
    <row r="50" spans="1:23" s="211" customFormat="1" x14ac:dyDescent="0.25">
      <c r="B50" s="2"/>
      <c r="W50" s="2"/>
    </row>
    <row r="51" spans="1:23" s="173" customFormat="1" ht="12" customHeight="1" x14ac:dyDescent="0.25">
      <c r="B51" s="209" t="s">
        <v>465</v>
      </c>
      <c r="F51" s="173" t="s">
        <v>73</v>
      </c>
      <c r="H51" s="174">
        <v>0.75</v>
      </c>
      <c r="J51" s="92"/>
      <c r="V51" s="115"/>
    </row>
    <row r="52" spans="1:23" s="212" customFormat="1" x14ac:dyDescent="0.25"/>
    <row r="53" spans="1:23" s="212" customFormat="1" x14ac:dyDescent="0.25">
      <c r="A53" s="172"/>
      <c r="B53" s="212" t="s">
        <v>466</v>
      </c>
      <c r="F53" s="212" t="s">
        <v>73</v>
      </c>
      <c r="H53" s="213">
        <v>3.48003665199971E-2</v>
      </c>
    </row>
    <row r="54" spans="1:23" s="172" customFormat="1" x14ac:dyDescent="0.25">
      <c r="J54" s="92"/>
    </row>
    <row r="55" spans="1:23" s="172" customFormat="1" x14ac:dyDescent="0.25"/>
    <row r="56" spans="1:23" s="172" customFormat="1" x14ac:dyDescent="0.25"/>
    <row r="57" spans="1:23" s="172" customFormat="1" x14ac:dyDescent="0.25"/>
  </sheetData>
  <phoneticPr fontId="61" type="noConversion"/>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CD56-8395-46F8-8F5F-2075D305BC90}">
  <sheetPr>
    <tabColor rgb="FFE1FFE1"/>
  </sheetPr>
  <dimension ref="A1:Y54"/>
  <sheetViews>
    <sheetView showGridLines="0" zoomScale="80" zoomScaleNormal="80" workbookViewId="0">
      <pane xSplit="6" ySplit="12" topLeftCell="G13" activePane="bottomRight" state="frozen"/>
      <selection activeCell="Q27" sqref="Q27"/>
      <selection pane="topRight" activeCell="Q27" sqref="Q27"/>
      <selection pane="bottomLeft" activeCell="Q27" sqref="Q27"/>
      <selection pane="bottomRight" activeCell="G13" sqref="G13"/>
    </sheetView>
  </sheetViews>
  <sheetFormatPr defaultColWidth="9.140625" defaultRowHeight="12.75" x14ac:dyDescent="0.25"/>
  <cols>
    <col min="1" max="1" width="4.7109375" style="132" customWidth="1"/>
    <col min="2" max="2" width="58.140625" style="132" customWidth="1"/>
    <col min="3" max="3" width="1.85546875" style="132" customWidth="1"/>
    <col min="4" max="4" width="2.5703125" style="132" customWidth="1"/>
    <col min="5" max="5" width="2.42578125" style="132" customWidth="1"/>
    <col min="6" max="6" width="13" style="132" customWidth="1"/>
    <col min="7" max="7" width="2.42578125" style="132" customWidth="1"/>
    <col min="8" max="8" width="11.42578125" style="132" customWidth="1"/>
    <col min="9" max="9" width="2.42578125" style="132" customWidth="1"/>
    <col min="10" max="10" width="14" style="132" bestFit="1" customWidth="1"/>
    <col min="11" max="11" width="2.5703125" style="132" customWidth="1"/>
    <col min="12" max="12" width="14" style="132" customWidth="1"/>
    <col min="13" max="14" width="14.85546875" style="132" bestFit="1" customWidth="1"/>
    <col min="15" max="15" width="14" style="132" customWidth="1"/>
    <col min="16" max="16" width="14.85546875" style="132" bestFit="1" customWidth="1"/>
    <col min="17" max="17" width="14" style="132" customWidth="1"/>
    <col min="18" max="18" width="2.42578125" style="132" customWidth="1"/>
    <col min="19" max="19" width="14" style="132" customWidth="1"/>
    <col min="20" max="20" width="2.42578125" style="132" customWidth="1"/>
    <col min="21" max="21" width="15.7109375" style="132" customWidth="1"/>
    <col min="22" max="22" width="2.42578125" style="132" customWidth="1"/>
    <col min="23" max="16384" width="9.140625" style="132"/>
  </cols>
  <sheetData>
    <row r="1" spans="2:25" s="2" customFormat="1" x14ac:dyDescent="0.25"/>
    <row r="2" spans="2:25" s="98" customFormat="1" ht="18" x14ac:dyDescent="0.25">
      <c r="B2" s="19" t="s">
        <v>642</v>
      </c>
    </row>
    <row r="3" spans="2:25" s="2" customFormat="1" x14ac:dyDescent="0.25"/>
    <row r="4" spans="2:25" s="2" customFormat="1" x14ac:dyDescent="0.25">
      <c r="B4" s="1" t="s">
        <v>30</v>
      </c>
      <c r="C4" s="1"/>
      <c r="D4" s="1"/>
    </row>
    <row r="5" spans="2:25" s="2" customFormat="1" x14ac:dyDescent="0.2">
      <c r="B5" s="41" t="s">
        <v>643</v>
      </c>
      <c r="C5" s="1"/>
      <c r="D5" s="1"/>
    </row>
    <row r="6" spans="2:25" s="2" customFormat="1" x14ac:dyDescent="0.2">
      <c r="B6" s="41" t="s">
        <v>644</v>
      </c>
      <c r="C6" s="1"/>
      <c r="D6" s="1"/>
    </row>
    <row r="7" spans="2:25" s="2" customFormat="1" x14ac:dyDescent="0.2">
      <c r="B7" s="41"/>
      <c r="C7" s="1"/>
      <c r="D7" s="1"/>
    </row>
    <row r="8" spans="2:25" s="2" customFormat="1" x14ac:dyDescent="0.25">
      <c r="B8" s="4" t="s">
        <v>169</v>
      </c>
      <c r="C8" s="1"/>
      <c r="D8" s="1"/>
    </row>
    <row r="9" spans="2:25" s="2" customFormat="1" x14ac:dyDescent="0.2">
      <c r="B9" s="41" t="s">
        <v>415</v>
      </c>
      <c r="C9" s="1"/>
      <c r="D9" s="1"/>
    </row>
    <row r="10" spans="2:25" s="2" customFormat="1" x14ac:dyDescent="0.25"/>
    <row r="11" spans="2:25" s="6" customFormat="1" x14ac:dyDescent="0.25">
      <c r="B11" s="6" t="s">
        <v>46</v>
      </c>
      <c r="F11" s="6" t="s">
        <v>28</v>
      </c>
      <c r="H11" s="6" t="s">
        <v>29</v>
      </c>
      <c r="J11" s="6" t="s">
        <v>50</v>
      </c>
      <c r="L11" s="6" t="s">
        <v>89</v>
      </c>
      <c r="M11" s="6" t="s">
        <v>66</v>
      </c>
      <c r="N11" s="6" t="s">
        <v>67</v>
      </c>
      <c r="O11" s="6" t="s">
        <v>68</v>
      </c>
      <c r="P11" s="6" t="s">
        <v>69</v>
      </c>
      <c r="Q11" s="6" t="s">
        <v>70</v>
      </c>
      <c r="S11" s="6" t="s">
        <v>65</v>
      </c>
      <c r="U11" s="6" t="s">
        <v>252</v>
      </c>
      <c r="W11" s="6" t="s">
        <v>47</v>
      </c>
      <c r="Y11" s="6" t="s">
        <v>48</v>
      </c>
    </row>
    <row r="12" spans="2:25" s="2" customFormat="1" x14ac:dyDescent="0.25"/>
    <row r="13" spans="2:25" s="2" customFormat="1" x14ac:dyDescent="0.25"/>
    <row r="14" spans="2:25" s="6" customFormat="1" x14ac:dyDescent="0.25">
      <c r="B14" s="6" t="s">
        <v>241</v>
      </c>
    </row>
    <row r="16" spans="2:25" x14ac:dyDescent="0.25">
      <c r="B16" s="133" t="s">
        <v>253</v>
      </c>
    </row>
    <row r="17" spans="2:23" x14ac:dyDescent="0.2">
      <c r="B17" s="134" t="s">
        <v>242</v>
      </c>
      <c r="F17" s="134" t="s">
        <v>243</v>
      </c>
      <c r="K17" s="2"/>
      <c r="L17" s="67">
        <v>30652480.316061754</v>
      </c>
      <c r="M17" s="67">
        <v>394254915.4142642</v>
      </c>
      <c r="N17" s="67">
        <v>474872325.14985597</v>
      </c>
      <c r="O17" s="67">
        <v>13550831.825132813</v>
      </c>
      <c r="P17" s="67">
        <v>523512609.75456166</v>
      </c>
      <c r="Q17" s="67">
        <v>4445816.9122776175</v>
      </c>
      <c r="R17" s="2"/>
      <c r="S17" s="67">
        <v>23909206.87880842</v>
      </c>
      <c r="T17" s="2"/>
      <c r="W17" s="2" t="s">
        <v>278</v>
      </c>
    </row>
    <row r="18" spans="2:23" x14ac:dyDescent="0.2">
      <c r="B18" s="134" t="s">
        <v>244</v>
      </c>
      <c r="F18" s="134" t="s">
        <v>245</v>
      </c>
      <c r="K18" s="2"/>
      <c r="L18" s="67">
        <v>32381728.118142974</v>
      </c>
      <c r="M18" s="67">
        <v>430824188.62226701</v>
      </c>
      <c r="N18" s="67">
        <v>498196289.91242325</v>
      </c>
      <c r="O18" s="67">
        <v>13877279.674869154</v>
      </c>
      <c r="P18" s="67">
        <v>553547665.17372274</v>
      </c>
      <c r="Q18" s="67">
        <v>5306249.0338292299</v>
      </c>
      <c r="R18" s="2"/>
      <c r="S18" s="67">
        <v>26571132.509465653</v>
      </c>
      <c r="T18" s="2"/>
      <c r="W18" s="2" t="s">
        <v>279</v>
      </c>
    </row>
    <row r="19" spans="2:23" x14ac:dyDescent="0.2">
      <c r="B19" s="132" t="s">
        <v>246</v>
      </c>
      <c r="F19" s="134" t="s">
        <v>97</v>
      </c>
      <c r="K19" s="2"/>
      <c r="L19" s="67">
        <v>33655137.099942259</v>
      </c>
      <c r="M19" s="67">
        <v>470682349.42935896</v>
      </c>
      <c r="N19" s="67">
        <v>515359430.54450917</v>
      </c>
      <c r="O19" s="67">
        <v>14509438.926430915</v>
      </c>
      <c r="P19" s="67">
        <v>584621308.46684813</v>
      </c>
      <c r="Q19" s="67">
        <v>6144622.2314581117</v>
      </c>
      <c r="R19" s="2"/>
      <c r="S19" s="67">
        <v>27870432.564941615</v>
      </c>
      <c r="T19" s="2"/>
      <c r="W19" s="2" t="s">
        <v>280</v>
      </c>
    </row>
    <row r="20" spans="2:23" x14ac:dyDescent="0.25">
      <c r="W20" s="2"/>
    </row>
    <row r="21" spans="2:23" x14ac:dyDescent="0.25">
      <c r="B21" s="133" t="s">
        <v>254</v>
      </c>
    </row>
    <row r="22" spans="2:23" x14ac:dyDescent="0.2">
      <c r="B22" s="134" t="s">
        <v>242</v>
      </c>
      <c r="F22" s="134" t="s">
        <v>243</v>
      </c>
      <c r="K22" s="2"/>
      <c r="L22" s="67">
        <v>88606458.440240785</v>
      </c>
      <c r="M22" s="67">
        <v>2031930430.9568429</v>
      </c>
      <c r="N22" s="67">
        <v>2192572173.8942842</v>
      </c>
      <c r="O22" s="67">
        <v>134235076.96486095</v>
      </c>
      <c r="P22" s="67">
        <v>1599840013.6930697</v>
      </c>
      <c r="Q22" s="67">
        <v>114950789.67042841</v>
      </c>
      <c r="R22" s="2"/>
      <c r="S22" s="67">
        <v>133331815.58543745</v>
      </c>
      <c r="T22" s="2"/>
      <c r="U22" s="67">
        <v>136082375.25258124</v>
      </c>
      <c r="W22" s="2" t="s">
        <v>281</v>
      </c>
    </row>
    <row r="23" spans="2:23" x14ac:dyDescent="0.2">
      <c r="B23" s="134" t="s">
        <v>244</v>
      </c>
      <c r="F23" s="134" t="s">
        <v>245</v>
      </c>
      <c r="K23" s="2"/>
      <c r="L23" s="67">
        <v>87159418.324196801</v>
      </c>
      <c r="M23" s="67">
        <v>2125583728.4493718</v>
      </c>
      <c r="N23" s="67">
        <v>2208864039.1738081</v>
      </c>
      <c r="O23" s="67">
        <v>131656865.26070504</v>
      </c>
      <c r="P23" s="67">
        <v>1642805785.3970008</v>
      </c>
      <c r="Q23" s="67">
        <v>114564740.14767645</v>
      </c>
      <c r="R23" s="2"/>
      <c r="S23" s="67">
        <v>137813406.4031584</v>
      </c>
      <c r="T23" s="2"/>
      <c r="U23" s="67">
        <v>133674859.88588828</v>
      </c>
      <c r="W23" s="2" t="s">
        <v>282</v>
      </c>
    </row>
    <row r="24" spans="2:23" x14ac:dyDescent="0.2">
      <c r="B24" s="132" t="s">
        <v>246</v>
      </c>
      <c r="F24" s="134" t="s">
        <v>97</v>
      </c>
      <c r="K24" s="2"/>
      <c r="L24" s="67">
        <v>85929787.491672069</v>
      </c>
      <c r="M24" s="67">
        <v>2227267699.5519772</v>
      </c>
      <c r="N24" s="67">
        <v>2242584564.1130085</v>
      </c>
      <c r="O24" s="67">
        <v>130593520.99825928</v>
      </c>
      <c r="P24" s="67">
        <v>1670805630.1382911</v>
      </c>
      <c r="Q24" s="67">
        <v>112196988.28063172</v>
      </c>
      <c r="R24" s="2"/>
      <c r="S24" s="67">
        <v>139065836.12812001</v>
      </c>
      <c r="T24" s="2"/>
      <c r="U24" s="181"/>
      <c r="W24" s="2" t="s">
        <v>283</v>
      </c>
    </row>
    <row r="26" spans="2:23" s="6" customFormat="1" x14ac:dyDescent="0.25">
      <c r="B26" s="6" t="s">
        <v>194</v>
      </c>
    </row>
    <row r="28" spans="2:23" x14ac:dyDescent="0.25">
      <c r="B28" s="1" t="s">
        <v>247</v>
      </c>
    </row>
    <row r="29" spans="2:23" x14ac:dyDescent="0.25">
      <c r="B29" s="2" t="s">
        <v>255</v>
      </c>
      <c r="F29" s="132" t="s">
        <v>73</v>
      </c>
      <c r="H29" s="136">
        <v>3.4000000000000002E-2</v>
      </c>
      <c r="W29" s="2" t="s">
        <v>284</v>
      </c>
    </row>
    <row r="30" spans="2:23" x14ac:dyDescent="0.25">
      <c r="B30" s="2" t="s">
        <v>256</v>
      </c>
      <c r="F30" s="132" t="s">
        <v>73</v>
      </c>
      <c r="H30" s="136">
        <v>3.6999999999999998E-2</v>
      </c>
      <c r="W30" s="2" t="s">
        <v>285</v>
      </c>
    </row>
    <row r="31" spans="2:23" x14ac:dyDescent="0.25">
      <c r="B31" s="2"/>
    </row>
    <row r="32" spans="2:23" x14ac:dyDescent="0.25">
      <c r="B32" s="1" t="s">
        <v>248</v>
      </c>
    </row>
    <row r="33" spans="1:23" x14ac:dyDescent="0.25">
      <c r="B33" s="2" t="s">
        <v>505</v>
      </c>
      <c r="F33" s="132" t="s">
        <v>73</v>
      </c>
      <c r="H33" s="136">
        <v>0.05</v>
      </c>
      <c r="W33" s="216" t="s">
        <v>506</v>
      </c>
    </row>
    <row r="34" spans="1:23" x14ac:dyDescent="0.25">
      <c r="B34" s="2"/>
      <c r="H34" s="217"/>
    </row>
    <row r="35" spans="1:23" x14ac:dyDescent="0.25">
      <c r="B35" s="1" t="s">
        <v>257</v>
      </c>
    </row>
    <row r="36" spans="1:23" x14ac:dyDescent="0.25">
      <c r="B36" s="2" t="s">
        <v>249</v>
      </c>
      <c r="F36" s="132" t="s">
        <v>73</v>
      </c>
      <c r="H36" s="136">
        <v>-3.6868648042002516E-2</v>
      </c>
      <c r="W36" s="2" t="s">
        <v>291</v>
      </c>
    </row>
    <row r="37" spans="1:23" x14ac:dyDescent="0.25">
      <c r="B37" s="2" t="s">
        <v>250</v>
      </c>
      <c r="F37" s="132" t="s">
        <v>73</v>
      </c>
      <c r="H37" s="136">
        <v>-3.1175556579387642E-2</v>
      </c>
      <c r="W37" s="2" t="s">
        <v>292</v>
      </c>
    </row>
    <row r="38" spans="1:23" x14ac:dyDescent="0.25">
      <c r="B38" s="2"/>
      <c r="H38" s="208"/>
    </row>
    <row r="39" spans="1:23" x14ac:dyDescent="0.25">
      <c r="B39" s="1" t="s">
        <v>258</v>
      </c>
      <c r="H39" s="208"/>
    </row>
    <row r="40" spans="1:23" x14ac:dyDescent="0.25">
      <c r="B40" s="2" t="s">
        <v>249</v>
      </c>
      <c r="F40" s="132" t="s">
        <v>73</v>
      </c>
      <c r="H40" s="136">
        <v>-7.5913637800173461E-4</v>
      </c>
      <c r="W40" s="2" t="s">
        <v>293</v>
      </c>
    </row>
    <row r="41" spans="1:23" x14ac:dyDescent="0.25">
      <c r="B41" s="2" t="s">
        <v>250</v>
      </c>
      <c r="F41" s="132" t="s">
        <v>73</v>
      </c>
      <c r="H41" s="136">
        <v>2.5444272186812E-3</v>
      </c>
      <c r="W41" s="2" t="s">
        <v>294</v>
      </c>
    </row>
    <row r="42" spans="1:23" x14ac:dyDescent="0.25">
      <c r="B42" s="2"/>
    </row>
    <row r="43" spans="1:23" s="2" customFormat="1" x14ac:dyDescent="0.25">
      <c r="A43" s="132"/>
      <c r="B43" s="2" t="s">
        <v>251</v>
      </c>
      <c r="F43" s="2" t="s">
        <v>73</v>
      </c>
      <c r="H43" s="136">
        <v>1.7999999999999999E-2</v>
      </c>
      <c r="W43" s="2" t="s">
        <v>286</v>
      </c>
    </row>
    <row r="44" spans="1:23" x14ac:dyDescent="0.25">
      <c r="B44" s="2"/>
    </row>
    <row r="45" spans="1:23" x14ac:dyDescent="0.25">
      <c r="B45" s="1" t="s">
        <v>207</v>
      </c>
    </row>
    <row r="46" spans="1:23" x14ac:dyDescent="0.25">
      <c r="B46" s="90" t="s">
        <v>261</v>
      </c>
      <c r="F46" s="132" t="s">
        <v>71</v>
      </c>
      <c r="J46" s="108">
        <f>SUM(L46:Q46)</f>
        <v>264524640.82615989</v>
      </c>
      <c r="K46" s="2"/>
      <c r="L46" s="99">
        <v>5120838.4661773751</v>
      </c>
      <c r="M46" s="99">
        <v>83821433.468037471</v>
      </c>
      <c r="N46" s="99">
        <v>94615610.206328645</v>
      </c>
      <c r="O46" s="99">
        <v>3719013.8211027142</v>
      </c>
      <c r="P46" s="99">
        <v>73837318.031333953</v>
      </c>
      <c r="Q46" s="99">
        <v>3410426.8331797407</v>
      </c>
      <c r="W46" s="2" t="s">
        <v>289</v>
      </c>
    </row>
    <row r="47" spans="1:23" x14ac:dyDescent="0.25">
      <c r="B47" s="90" t="s">
        <v>260</v>
      </c>
      <c r="F47" s="132" t="s">
        <v>71</v>
      </c>
      <c r="J47" s="108">
        <f>SUM(L47:Q47)</f>
        <v>280366757.95199353</v>
      </c>
      <c r="K47" s="2"/>
      <c r="L47" s="99">
        <v>5505982.2846343154</v>
      </c>
      <c r="M47" s="99">
        <v>89278102.858918875</v>
      </c>
      <c r="N47" s="99">
        <v>99477334.853988722</v>
      </c>
      <c r="O47" s="99">
        <v>3971361.9924819255</v>
      </c>
      <c r="P47" s="99">
        <v>78559150.739823759</v>
      </c>
      <c r="Q47" s="99">
        <v>3574825.2221459462</v>
      </c>
      <c r="W47" s="2" t="s">
        <v>290</v>
      </c>
    </row>
    <row r="48" spans="1:23" ht="12" customHeight="1" x14ac:dyDescent="0.25">
      <c r="B48" s="90" t="s">
        <v>259</v>
      </c>
      <c r="F48" s="132" t="s">
        <v>71</v>
      </c>
      <c r="J48" s="108">
        <f>SUM(L48:Q48)</f>
        <v>829798182.34168494</v>
      </c>
      <c r="K48" s="2"/>
      <c r="L48" s="99">
        <v>16401680.494385676</v>
      </c>
      <c r="M48" s="99">
        <v>266533758.56356135</v>
      </c>
      <c r="N48" s="99">
        <v>285455588.10709691</v>
      </c>
      <c r="O48" s="99">
        <v>12040239.024494292</v>
      </c>
      <c r="P48" s="99">
        <v>235138144.63941851</v>
      </c>
      <c r="Q48" s="99">
        <v>14228771.512728186</v>
      </c>
      <c r="W48" s="2" t="s">
        <v>288</v>
      </c>
    </row>
    <row r="54" spans="21:21" x14ac:dyDescent="0.25">
      <c r="U54" s="147" t="s">
        <v>287</v>
      </c>
    </row>
  </sheetData>
  <phoneticPr fontId="61"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8B803-1F1D-45C6-B26C-35CCBC874DEC}">
  <sheetPr>
    <tabColor rgb="FFE1FFE1"/>
  </sheetPr>
  <dimension ref="A1:U38"/>
  <sheetViews>
    <sheetView showGridLines="0" zoomScale="85" zoomScaleNormal="85" workbookViewId="0">
      <pane xSplit="6" ySplit="16" topLeftCell="G17" activePane="bottomRight" state="frozen"/>
      <selection activeCell="Q27" sqref="Q27"/>
      <selection pane="topRight" activeCell="Q27" sqref="Q27"/>
      <selection pane="bottomLeft" activeCell="Q27" sqref="Q27"/>
      <selection pane="bottomRight" activeCell="G17" sqref="G17"/>
    </sheetView>
  </sheetViews>
  <sheetFormatPr defaultColWidth="9.140625" defaultRowHeight="12.75" x14ac:dyDescent="0.25"/>
  <cols>
    <col min="1" max="1" width="4.7109375" style="101" customWidth="1"/>
    <col min="2" max="2" width="58.140625" style="101" customWidth="1"/>
    <col min="3" max="3" width="1.85546875" style="101" customWidth="1"/>
    <col min="4" max="4" width="2.5703125" style="101" customWidth="1"/>
    <col min="5" max="5" width="2.42578125" style="101" customWidth="1"/>
    <col min="6" max="6" width="13" style="101" customWidth="1"/>
    <col min="7" max="7" width="2.42578125" style="101" customWidth="1"/>
    <col min="8" max="8" width="11.42578125" style="101" customWidth="1"/>
    <col min="9" max="9" width="2.42578125" style="101" customWidth="1"/>
    <col min="10" max="10" width="14" style="101" bestFit="1" customWidth="1"/>
    <col min="11" max="11" width="2.5703125" style="101" customWidth="1"/>
    <col min="12" max="17" width="14" style="101" customWidth="1"/>
    <col min="18" max="18" width="2.42578125" style="101" customWidth="1"/>
    <col min="19" max="16384" width="9.140625" style="101"/>
  </cols>
  <sheetData>
    <row r="1" spans="2:21" s="2" customFormat="1" x14ac:dyDescent="0.25"/>
    <row r="2" spans="2:21" s="98" customFormat="1" ht="18" x14ac:dyDescent="0.25">
      <c r="B2" s="19" t="s">
        <v>182</v>
      </c>
    </row>
    <row r="3" spans="2:21" s="2" customFormat="1" x14ac:dyDescent="0.25"/>
    <row r="4" spans="2:21" s="2" customFormat="1" x14ac:dyDescent="0.25">
      <c r="B4" s="1" t="s">
        <v>30</v>
      </c>
      <c r="C4" s="1"/>
      <c r="D4" s="1"/>
    </row>
    <row r="5" spans="2:21" s="2" customFormat="1" x14ac:dyDescent="0.25">
      <c r="B5" s="2" t="s">
        <v>645</v>
      </c>
      <c r="C5" s="1"/>
      <c r="D5" s="1"/>
    </row>
    <row r="6" spans="2:21" s="2" customFormat="1" x14ac:dyDescent="0.25">
      <c r="B6" s="2" t="s">
        <v>646</v>
      </c>
      <c r="H6" s="20"/>
    </row>
    <row r="7" spans="2:21" s="2" customFormat="1" x14ac:dyDescent="0.25">
      <c r="B7" s="64"/>
      <c r="H7" s="20"/>
    </row>
    <row r="8" spans="2:21" s="2" customFormat="1" x14ac:dyDescent="0.25">
      <c r="B8" s="2" t="s">
        <v>647</v>
      </c>
      <c r="H8" s="20"/>
    </row>
    <row r="9" spans="2:21" s="2" customFormat="1" x14ac:dyDescent="0.25">
      <c r="B9" s="64"/>
      <c r="H9" s="20"/>
    </row>
    <row r="10" spans="2:21" s="2" customFormat="1" x14ac:dyDescent="0.25">
      <c r="B10" s="64" t="s">
        <v>305</v>
      </c>
      <c r="H10" s="20"/>
    </row>
    <row r="11" spans="2:21" s="2" customFormat="1" x14ac:dyDescent="0.25">
      <c r="B11" s="64" t="s">
        <v>360</v>
      </c>
      <c r="H11" s="20"/>
    </row>
    <row r="12" spans="2:21" s="2" customFormat="1" x14ac:dyDescent="0.25">
      <c r="B12" s="64" t="s">
        <v>307</v>
      </c>
      <c r="H12" s="20"/>
    </row>
    <row r="13" spans="2:21" s="2" customFormat="1" x14ac:dyDescent="0.25">
      <c r="B13" s="64" t="s">
        <v>306</v>
      </c>
      <c r="H13" s="20"/>
    </row>
    <row r="14" spans="2:21" s="2" customFormat="1" x14ac:dyDescent="0.25">
      <c r="B14" s="64"/>
      <c r="H14" s="20"/>
    </row>
    <row r="15" spans="2:21" s="6" customFormat="1" x14ac:dyDescent="0.25">
      <c r="B15" s="6" t="s">
        <v>46</v>
      </c>
      <c r="F15" s="6" t="s">
        <v>28</v>
      </c>
      <c r="H15" s="6" t="s">
        <v>29</v>
      </c>
      <c r="J15" s="6" t="s">
        <v>50</v>
      </c>
      <c r="L15" s="6" t="s">
        <v>89</v>
      </c>
      <c r="M15" s="6" t="s">
        <v>66</v>
      </c>
      <c r="N15" s="6" t="s">
        <v>67</v>
      </c>
      <c r="O15" s="6" t="s">
        <v>68</v>
      </c>
      <c r="P15" s="6" t="s">
        <v>69</v>
      </c>
      <c r="Q15" s="6" t="s">
        <v>70</v>
      </c>
      <c r="S15" s="6" t="s">
        <v>47</v>
      </c>
      <c r="U15" s="6" t="s">
        <v>48</v>
      </c>
    </row>
    <row r="16" spans="2:21" s="2" customFormat="1" x14ac:dyDescent="0.25"/>
    <row r="17" spans="1:19" s="2" customFormat="1" x14ac:dyDescent="0.25"/>
    <row r="18" spans="1:19" s="6" customFormat="1" x14ac:dyDescent="0.25">
      <c r="B18" s="6" t="s">
        <v>217</v>
      </c>
    </row>
    <row r="19" spans="1:19" s="2" customFormat="1" x14ac:dyDescent="0.25"/>
    <row r="20" spans="1:19" s="2" customFormat="1" x14ac:dyDescent="0.25">
      <c r="B20" s="2" t="s">
        <v>198</v>
      </c>
      <c r="F20" s="2" t="s">
        <v>71</v>
      </c>
      <c r="J20" s="117">
        <f>SUM(L20:Q20)</f>
        <v>25</v>
      </c>
      <c r="L20" s="99">
        <v>0</v>
      </c>
      <c r="M20" s="99">
        <v>0</v>
      </c>
      <c r="N20" s="99">
        <v>0</v>
      </c>
      <c r="O20" s="99">
        <v>0</v>
      </c>
      <c r="P20" s="99">
        <v>25</v>
      </c>
      <c r="Q20" s="99">
        <v>0</v>
      </c>
      <c r="S20" s="2" t="s">
        <v>446</v>
      </c>
    </row>
    <row r="21" spans="1:19" s="2" customFormat="1" x14ac:dyDescent="0.25">
      <c r="B21" s="2" t="s">
        <v>230</v>
      </c>
      <c r="F21" s="2" t="s">
        <v>71</v>
      </c>
      <c r="J21" s="117">
        <f t="shared" ref="J21:J22" si="0">SUM(L21:Q21)</f>
        <v>23.333333333333332</v>
      </c>
      <c r="L21" s="99">
        <v>0</v>
      </c>
      <c r="M21" s="99">
        <v>0</v>
      </c>
      <c r="N21" s="99">
        <v>23.333333333333332</v>
      </c>
      <c r="O21" s="99">
        <v>0</v>
      </c>
      <c r="P21" s="99">
        <v>0</v>
      </c>
      <c r="Q21" s="99">
        <v>0</v>
      </c>
      <c r="S21" s="2" t="s">
        <v>447</v>
      </c>
    </row>
    <row r="22" spans="1:19" s="2" customFormat="1" x14ac:dyDescent="0.25">
      <c r="B22" s="2" t="s">
        <v>231</v>
      </c>
      <c r="F22" s="2" t="s">
        <v>71</v>
      </c>
      <c r="J22" s="117">
        <f t="shared" si="0"/>
        <v>28435.309574131996</v>
      </c>
      <c r="L22" s="99">
        <v>1069.3333333333333</v>
      </c>
      <c r="M22" s="99">
        <v>10226.555555555555</v>
      </c>
      <c r="N22" s="99">
        <v>9187.3333333333339</v>
      </c>
      <c r="O22" s="99">
        <v>3620.6666666666665</v>
      </c>
      <c r="P22" s="99">
        <v>3766.0606245853473</v>
      </c>
      <c r="Q22" s="99">
        <v>565.36006065775757</v>
      </c>
      <c r="S22" s="2" t="s">
        <v>448</v>
      </c>
    </row>
    <row r="23" spans="1:19" s="2" customFormat="1" x14ac:dyDescent="0.25">
      <c r="L23" s="116"/>
      <c r="M23" s="116"/>
      <c r="N23" s="116"/>
      <c r="O23" s="116"/>
      <c r="P23" s="116"/>
      <c r="Q23" s="116"/>
      <c r="R23" s="116"/>
    </row>
    <row r="24" spans="1:19" s="6" customFormat="1" x14ac:dyDescent="0.25">
      <c r="B24" s="6" t="s">
        <v>520</v>
      </c>
    </row>
    <row r="26" spans="1:19" x14ac:dyDescent="0.2">
      <c r="B26" s="2" t="s">
        <v>198</v>
      </c>
      <c r="F26" s="101" t="s">
        <v>71</v>
      </c>
      <c r="J26" s="117">
        <f>SUM(L26:Q26)</f>
        <v>25</v>
      </c>
      <c r="L26" s="99">
        <v>0</v>
      </c>
      <c r="M26" s="99">
        <v>0</v>
      </c>
      <c r="N26" s="99">
        <v>0</v>
      </c>
      <c r="O26" s="99">
        <v>0</v>
      </c>
      <c r="P26" s="99">
        <v>25</v>
      </c>
      <c r="Q26" s="99">
        <v>0</v>
      </c>
      <c r="S26" s="123" t="s">
        <v>514</v>
      </c>
    </row>
    <row r="27" spans="1:19" x14ac:dyDescent="0.2">
      <c r="B27" s="2" t="s">
        <v>230</v>
      </c>
      <c r="F27" s="101" t="s">
        <v>71</v>
      </c>
      <c r="J27" s="117">
        <f t="shared" ref="J27:J28" si="1">SUM(L27:Q27)</f>
        <v>0</v>
      </c>
      <c r="L27" s="99">
        <v>0</v>
      </c>
      <c r="M27" s="99">
        <v>0</v>
      </c>
      <c r="N27" s="99">
        <v>0</v>
      </c>
      <c r="O27" s="99">
        <v>0</v>
      </c>
      <c r="P27" s="99">
        <v>0</v>
      </c>
      <c r="Q27" s="99">
        <v>0</v>
      </c>
      <c r="S27" s="123" t="s">
        <v>515</v>
      </c>
    </row>
    <row r="28" spans="1:19" x14ac:dyDescent="0.2">
      <c r="B28" s="2" t="s">
        <v>231</v>
      </c>
      <c r="F28" s="101" t="s">
        <v>71</v>
      </c>
      <c r="J28" s="117">
        <f t="shared" si="1"/>
        <v>49281.75571650554</v>
      </c>
      <c r="L28" s="99">
        <v>4230</v>
      </c>
      <c r="M28" s="99">
        <v>19230.272349999999</v>
      </c>
      <c r="N28" s="99">
        <v>15118</v>
      </c>
      <c r="O28" s="99">
        <v>5003</v>
      </c>
      <c r="P28" s="99">
        <v>4907.0798976400338</v>
      </c>
      <c r="Q28" s="99">
        <v>793.40346886551038</v>
      </c>
      <c r="S28" s="123" t="s">
        <v>516</v>
      </c>
    </row>
    <row r="30" spans="1:19" s="6" customFormat="1" x14ac:dyDescent="0.25">
      <c r="B30" s="6" t="s">
        <v>521</v>
      </c>
    </row>
    <row r="32" spans="1:19" s="2" customFormat="1" x14ac:dyDescent="0.25">
      <c r="A32" s="101"/>
      <c r="B32" s="2" t="s">
        <v>198</v>
      </c>
      <c r="F32" s="101" t="s">
        <v>201</v>
      </c>
      <c r="H32" s="113">
        <v>29.102711507316609</v>
      </c>
      <c r="L32" s="116"/>
      <c r="M32" s="116"/>
      <c r="N32" s="116"/>
      <c r="O32" s="116"/>
      <c r="P32" s="116"/>
      <c r="Q32" s="116"/>
      <c r="R32" s="116"/>
      <c r="S32" s="218" t="s">
        <v>517</v>
      </c>
    </row>
    <row r="33" spans="1:19" s="2" customFormat="1" x14ac:dyDescent="0.25">
      <c r="A33" s="101"/>
      <c r="B33" s="2" t="s">
        <v>230</v>
      </c>
      <c r="F33" s="101" t="s">
        <v>201</v>
      </c>
      <c r="H33" s="113">
        <v>28.953357948496151</v>
      </c>
      <c r="L33" s="116"/>
      <c r="M33" s="116"/>
      <c r="N33" s="116"/>
      <c r="O33" s="116"/>
      <c r="P33" s="116"/>
      <c r="Q33" s="116"/>
      <c r="R33" s="116"/>
      <c r="S33" s="218" t="s">
        <v>518</v>
      </c>
    </row>
    <row r="34" spans="1:19" s="2" customFormat="1" x14ac:dyDescent="0.25">
      <c r="A34" s="101"/>
      <c r="B34" s="2" t="s">
        <v>232</v>
      </c>
      <c r="F34" s="101" t="s">
        <v>201</v>
      </c>
      <c r="H34" s="113">
        <v>24.546215564408261</v>
      </c>
      <c r="L34" s="116"/>
      <c r="M34" s="116"/>
      <c r="N34" s="116"/>
      <c r="O34" s="116"/>
      <c r="P34" s="116"/>
      <c r="Q34" s="116"/>
      <c r="R34" s="116"/>
      <c r="S34" s="218" t="s">
        <v>519</v>
      </c>
    </row>
    <row r="36" spans="1:19" s="6" customFormat="1" x14ac:dyDescent="0.25">
      <c r="B36" s="6" t="s">
        <v>204</v>
      </c>
    </row>
    <row r="38" spans="1:19" x14ac:dyDescent="0.25">
      <c r="B38" s="2" t="s">
        <v>204</v>
      </c>
      <c r="F38" s="218" t="s">
        <v>142</v>
      </c>
      <c r="J38" s="117">
        <f t="shared" ref="J38" si="2">SUM(L38:Q38)</f>
        <v>-39915.914659045935</v>
      </c>
      <c r="L38" s="99">
        <v>-1302.7506879572629</v>
      </c>
      <c r="M38" s="99">
        <v>-15083.914607379684</v>
      </c>
      <c r="N38" s="99">
        <v>-12489.711156663892</v>
      </c>
      <c r="O38" s="99">
        <v>-4840.1668176388775</v>
      </c>
      <c r="P38" s="99">
        <v>-5909.5139756060207</v>
      </c>
      <c r="Q38" s="99">
        <v>-289.85741380019647</v>
      </c>
      <c r="S38" s="218" t="s">
        <v>522</v>
      </c>
    </row>
  </sheetData>
  <phoneticPr fontId="6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B18E2-825B-4453-A438-A8331D0EC598}">
  <sheetPr>
    <tabColor rgb="FFE1FFE1"/>
  </sheetPr>
  <dimension ref="B2:U115"/>
  <sheetViews>
    <sheetView showGridLines="0" zoomScale="85" zoomScaleNormal="85" workbookViewId="0">
      <pane xSplit="6" ySplit="8" topLeftCell="G9" activePane="bottomRight" state="frozen"/>
      <selection activeCell="R103" sqref="Q90:R103"/>
      <selection pane="topRight" activeCell="R103" sqref="Q90:R103"/>
      <selection pane="bottomLeft" activeCell="R103" sqref="Q90:R103"/>
      <selection pane="bottomRight" activeCell="G9" sqref="G9"/>
    </sheetView>
  </sheetViews>
  <sheetFormatPr defaultColWidth="9.140625" defaultRowHeight="12.75" customHeight="1" x14ac:dyDescent="0.25"/>
  <cols>
    <col min="1" max="1" width="4" style="2" customWidth="1"/>
    <col min="2" max="2" width="27.28515625" style="2" customWidth="1"/>
    <col min="3" max="3" width="16.7109375" style="2" customWidth="1"/>
    <col min="4" max="4" width="15" style="2" bestFit="1" customWidth="1"/>
    <col min="5" max="5" width="42" style="2" bestFit="1" customWidth="1"/>
    <col min="6" max="6" width="9.5703125" style="2" customWidth="1"/>
    <col min="7" max="7" width="21.85546875" style="2" customWidth="1"/>
    <col min="8" max="8" width="14.140625" style="2" customWidth="1"/>
    <col min="9" max="9" width="12.5703125" style="2" customWidth="1"/>
    <col min="10" max="10" width="19.85546875" style="2" customWidth="1"/>
    <col min="11" max="11" width="16.85546875" style="2" customWidth="1"/>
    <col min="12" max="12" width="12.5703125" style="32" customWidth="1"/>
    <col min="13" max="14" width="13" style="32" bestFit="1" customWidth="1"/>
    <col min="15" max="15" width="18.42578125" style="32" customWidth="1"/>
    <col min="16" max="16" width="13" style="32" bestFit="1" customWidth="1"/>
    <col min="17" max="17" width="20.7109375" style="32" bestFit="1" customWidth="1"/>
    <col min="18" max="18" width="19.140625" style="2" customWidth="1"/>
    <col min="19" max="19" width="21.140625" style="2" customWidth="1"/>
    <col min="20" max="20" width="2.7109375" style="2" customWidth="1"/>
    <col min="21" max="34" width="13.7109375" style="2" customWidth="1"/>
    <col min="35" max="16384" width="9.140625" style="2"/>
  </cols>
  <sheetData>
    <row r="2" spans="2:17" s="19" customFormat="1" ht="18" x14ac:dyDescent="0.25">
      <c r="B2" s="19" t="s">
        <v>356</v>
      </c>
      <c r="L2" s="31"/>
      <c r="M2" s="31"/>
      <c r="N2" s="31"/>
      <c r="O2" s="31"/>
      <c r="P2" s="31"/>
      <c r="Q2" s="31"/>
    </row>
    <row r="4" spans="2:17" ht="12.75" customHeight="1" x14ac:dyDescent="0.25">
      <c r="B4" s="1" t="s">
        <v>102</v>
      </c>
      <c r="C4" s="1"/>
      <c r="D4" s="1"/>
      <c r="J4"/>
    </row>
    <row r="5" spans="2:17" ht="12.75" customHeight="1" x14ac:dyDescent="0.2">
      <c r="B5" s="238" t="s">
        <v>357</v>
      </c>
      <c r="C5" s="72"/>
      <c r="D5" s="72"/>
      <c r="E5" s="72"/>
      <c r="F5" s="72"/>
      <c r="H5" s="20"/>
      <c r="Q5" s="29"/>
    </row>
    <row r="6" spans="2:17" ht="12" customHeight="1" x14ac:dyDescent="0.2">
      <c r="Q6" s="84"/>
    </row>
    <row r="7" spans="2:17" s="6" customFormat="1" ht="12.75" customHeight="1" x14ac:dyDescent="0.25">
      <c r="B7" s="6" t="s">
        <v>46</v>
      </c>
      <c r="F7" s="6" t="s">
        <v>28</v>
      </c>
      <c r="H7" s="6" t="s">
        <v>29</v>
      </c>
      <c r="L7" s="33"/>
      <c r="M7" s="33"/>
      <c r="N7" s="33"/>
      <c r="O7" s="33"/>
      <c r="P7" s="33"/>
      <c r="Q7" s="33"/>
    </row>
    <row r="9" spans="2:17" x14ac:dyDescent="0.25">
      <c r="L9" s="2"/>
      <c r="M9" s="2"/>
      <c r="N9" s="2"/>
      <c r="O9" s="2"/>
      <c r="P9" s="2"/>
      <c r="Q9" s="2"/>
    </row>
    <row r="10" spans="2:17" s="6" customFormat="1" x14ac:dyDescent="0.25">
      <c r="B10" s="6" t="s">
        <v>330</v>
      </c>
    </row>
    <row r="11" spans="2:17" x14ac:dyDescent="0.25">
      <c r="L11" s="2"/>
      <c r="M11" s="2"/>
      <c r="N11" s="2"/>
      <c r="O11" s="2"/>
      <c r="P11" s="2"/>
      <c r="Q11" s="2"/>
    </row>
    <row r="12" spans="2:17" x14ac:dyDescent="0.25">
      <c r="B12" s="28" t="s">
        <v>330</v>
      </c>
      <c r="L12" s="2"/>
      <c r="M12" s="2"/>
      <c r="N12" s="2"/>
      <c r="O12" s="2"/>
      <c r="P12" s="2"/>
      <c r="Q12" s="2"/>
    </row>
    <row r="13" spans="2:17" x14ac:dyDescent="0.25">
      <c r="B13" s="2">
        <v>2004</v>
      </c>
      <c r="H13" s="153">
        <f>Parameters!O25</f>
        <v>1.0921157604180827</v>
      </c>
      <c r="L13" s="2"/>
      <c r="M13" s="2"/>
      <c r="N13" s="2"/>
      <c r="O13" s="2"/>
      <c r="P13" s="2"/>
      <c r="Q13" s="2"/>
    </row>
    <row r="14" spans="2:17" x14ac:dyDescent="0.25">
      <c r="B14" s="2">
        <v>2005</v>
      </c>
      <c r="H14" s="153">
        <f>Parameters!O26</f>
        <v>1.0802331952701116</v>
      </c>
      <c r="L14" s="2"/>
      <c r="M14" s="2"/>
      <c r="N14" s="2"/>
      <c r="O14" s="2"/>
      <c r="P14" s="2"/>
      <c r="Q14" s="2"/>
    </row>
    <row r="15" spans="2:17" x14ac:dyDescent="0.25">
      <c r="B15" s="2">
        <v>2006</v>
      </c>
      <c r="H15" s="153">
        <f>Parameters!O27</f>
        <v>1.0611328047839999</v>
      </c>
      <c r="L15" s="2"/>
      <c r="M15" s="2"/>
      <c r="N15" s="2"/>
      <c r="O15" s="2"/>
      <c r="P15" s="2"/>
      <c r="Q15" s="2"/>
    </row>
    <row r="16" spans="2:17" x14ac:dyDescent="0.25">
      <c r="B16" s="2">
        <v>2007</v>
      </c>
      <c r="H16" s="153">
        <f>Parameters!O28</f>
        <v>1.0464820559999997</v>
      </c>
      <c r="L16" s="2"/>
      <c r="M16" s="2"/>
      <c r="N16" s="2"/>
      <c r="O16" s="2"/>
      <c r="P16" s="2"/>
      <c r="Q16" s="2"/>
    </row>
    <row r="17" spans="2:21" x14ac:dyDescent="0.25">
      <c r="B17" s="2">
        <v>2008</v>
      </c>
      <c r="H17" s="153">
        <f>Parameters!O29</f>
        <v>1.035096</v>
      </c>
      <c r="L17" s="2"/>
      <c r="M17" s="2"/>
      <c r="N17" s="2"/>
      <c r="O17" s="2"/>
      <c r="P17" s="2"/>
      <c r="Q17" s="2"/>
    </row>
    <row r="18" spans="2:21" x14ac:dyDescent="0.25">
      <c r="B18" s="2">
        <v>2009</v>
      </c>
      <c r="H18" s="153">
        <f>Parameters!O30</f>
        <v>1.0029999999999999</v>
      </c>
      <c r="L18" s="2"/>
      <c r="M18" s="2"/>
      <c r="N18" s="2"/>
      <c r="O18" s="2"/>
      <c r="P18" s="2"/>
      <c r="Q18" s="2"/>
    </row>
    <row r="19" spans="2:21" x14ac:dyDescent="0.25">
      <c r="B19" s="2">
        <v>2010</v>
      </c>
      <c r="H19" s="153">
        <f>Parameters!O31</f>
        <v>1</v>
      </c>
      <c r="L19" s="2"/>
      <c r="M19" s="2"/>
      <c r="N19" s="2"/>
      <c r="O19" s="2"/>
      <c r="P19" s="2"/>
      <c r="Q19" s="2"/>
    </row>
    <row r="20" spans="2:21" x14ac:dyDescent="0.25">
      <c r="L20" s="2"/>
      <c r="M20" s="2"/>
      <c r="N20" s="2"/>
      <c r="O20" s="2"/>
      <c r="P20" s="2"/>
      <c r="Q20" s="2"/>
    </row>
    <row r="21" spans="2:21" s="6" customFormat="1" x14ac:dyDescent="0.25">
      <c r="U21" s="6" t="s">
        <v>417</v>
      </c>
    </row>
    <row r="22" spans="2:21" s="115" customFormat="1" ht="15" x14ac:dyDescent="0.25"/>
    <row r="23" spans="2:21" s="47" customFormat="1" x14ac:dyDescent="0.25">
      <c r="B23" s="154" t="s">
        <v>331</v>
      </c>
      <c r="C23" s="154"/>
      <c r="D23" s="154"/>
      <c r="E23" s="154"/>
      <c r="F23" s="154"/>
      <c r="G23" s="154"/>
      <c r="H23" s="155" t="s">
        <v>332</v>
      </c>
      <c r="I23" s="154"/>
      <c r="J23" s="154"/>
      <c r="K23" s="154"/>
      <c r="L23" s="154"/>
      <c r="M23" s="154"/>
      <c r="N23" s="154"/>
      <c r="O23" s="154"/>
      <c r="P23" s="156" t="s">
        <v>333</v>
      </c>
      <c r="Q23" s="154"/>
      <c r="R23" s="154"/>
      <c r="S23" s="154"/>
    </row>
    <row r="24" spans="2:21" s="47" customFormat="1" ht="39.75" customHeight="1" x14ac:dyDescent="0.25">
      <c r="B24" s="157" t="s">
        <v>334</v>
      </c>
      <c r="C24" s="157" t="s">
        <v>335</v>
      </c>
      <c r="D24" s="157" t="s">
        <v>336</v>
      </c>
      <c r="E24" s="157" t="s">
        <v>337</v>
      </c>
      <c r="F24" s="157" t="s">
        <v>338</v>
      </c>
      <c r="G24" s="158" t="s">
        <v>339</v>
      </c>
      <c r="H24" s="157" t="s">
        <v>333</v>
      </c>
      <c r="I24" s="157" t="s">
        <v>340</v>
      </c>
      <c r="J24" s="157" t="s">
        <v>341</v>
      </c>
      <c r="K24" s="158" t="s">
        <v>342</v>
      </c>
      <c r="L24" s="158" t="s">
        <v>343</v>
      </c>
      <c r="M24" s="158" t="s">
        <v>344</v>
      </c>
      <c r="N24" s="158" t="s">
        <v>345</v>
      </c>
      <c r="O24" s="158" t="s">
        <v>346</v>
      </c>
      <c r="P24" s="158" t="s">
        <v>347</v>
      </c>
      <c r="Q24" s="158" t="s">
        <v>348</v>
      </c>
      <c r="R24" s="158" t="s">
        <v>349</v>
      </c>
      <c r="S24" s="157" t="s">
        <v>350</v>
      </c>
    </row>
    <row r="25" spans="2:21" x14ac:dyDescent="0.25">
      <c r="B25" s="99" t="s">
        <v>358</v>
      </c>
      <c r="C25" s="99" t="s">
        <v>189</v>
      </c>
      <c r="D25" s="99" t="s">
        <v>351</v>
      </c>
      <c r="E25" s="99" t="s">
        <v>523</v>
      </c>
      <c r="F25" s="99" t="s">
        <v>333</v>
      </c>
      <c r="G25" s="108" t="str">
        <f t="shared" ref="G25:G93" si="0">C25&amp;" "&amp;F25</f>
        <v>Desinvesteringen TD</v>
      </c>
      <c r="H25" s="108">
        <f>IF($F25=H$24,1,0)</f>
        <v>1</v>
      </c>
      <c r="I25" s="108">
        <f>IF($F25=I$24,1,0)</f>
        <v>0</v>
      </c>
      <c r="J25" s="99">
        <v>45</v>
      </c>
      <c r="K25" s="99">
        <v>2009</v>
      </c>
      <c r="L25" s="99">
        <v>885</v>
      </c>
      <c r="M25" s="159">
        <v>0.5</v>
      </c>
      <c r="N25" s="160">
        <f t="shared" ref="N25:N94" si="1">IF(OR(J25=0,J25+K25+M25&lt;2011),0,MIN(J25,J25+M25+K25-2011))</f>
        <v>43.5</v>
      </c>
      <c r="O25" s="161">
        <f t="shared" ref="O25:O94" si="2">MAX(2011,K25)</f>
        <v>2011</v>
      </c>
      <c r="P25" s="162">
        <f t="shared" ref="P25:P94" si="3">IF(K25&lt;2011,IF(F25=$P$23,VLOOKUP(K25,$B$13:$H$19,7),1),0)</f>
        <v>1.0029999999999999</v>
      </c>
      <c r="Q25" s="163">
        <f t="shared" ref="Q25:Q99" si="4">IF(K25&lt;2011,L25-(J25-N25)*L25/J25,L25)</f>
        <v>855.5</v>
      </c>
      <c r="R25" s="163">
        <f t="shared" ref="R25:R99" si="5">Q25*P25</f>
        <v>858.06649999999991</v>
      </c>
      <c r="S25" s="99"/>
      <c r="U25" s="228" t="s">
        <v>729</v>
      </c>
    </row>
    <row r="26" spans="2:21" x14ac:dyDescent="0.25">
      <c r="B26" s="99" t="s">
        <v>358</v>
      </c>
      <c r="C26" s="99" t="s">
        <v>189</v>
      </c>
      <c r="D26" s="99" t="s">
        <v>351</v>
      </c>
      <c r="E26" s="99" t="s">
        <v>523</v>
      </c>
      <c r="F26" s="99" t="s">
        <v>333</v>
      </c>
      <c r="G26" s="108" t="str">
        <f t="shared" ref="G26:G27" si="6">C26&amp;" "&amp;F26</f>
        <v>Desinvesteringen TD</v>
      </c>
      <c r="H26" s="108">
        <f t="shared" ref="H26:I27" si="7">IF($F26=H$24,1,0)</f>
        <v>1</v>
      </c>
      <c r="I26" s="108">
        <f t="shared" si="7"/>
        <v>0</v>
      </c>
      <c r="J26" s="99">
        <v>45</v>
      </c>
      <c r="K26" s="99">
        <v>2015</v>
      </c>
      <c r="L26" s="99">
        <v>18791</v>
      </c>
      <c r="M26" s="159">
        <v>0.5</v>
      </c>
      <c r="N26" s="160">
        <f t="shared" si="1"/>
        <v>45</v>
      </c>
      <c r="O26" s="161">
        <f t="shared" si="2"/>
        <v>2015</v>
      </c>
      <c r="P26" s="162">
        <f t="shared" si="3"/>
        <v>0</v>
      </c>
      <c r="Q26" s="163">
        <f t="shared" si="4"/>
        <v>18791</v>
      </c>
      <c r="R26" s="163">
        <f t="shared" si="5"/>
        <v>0</v>
      </c>
      <c r="S26" s="99"/>
    </row>
    <row r="27" spans="2:21" x14ac:dyDescent="0.25">
      <c r="B27" s="99" t="s">
        <v>358</v>
      </c>
      <c r="C27" s="99" t="s">
        <v>189</v>
      </c>
      <c r="D27" s="99" t="s">
        <v>351</v>
      </c>
      <c r="E27" s="99" t="s">
        <v>523</v>
      </c>
      <c r="F27" s="99" t="s">
        <v>340</v>
      </c>
      <c r="G27" s="108" t="str">
        <f t="shared" si="6"/>
        <v>Desinvesteringen AD</v>
      </c>
      <c r="H27" s="108">
        <f t="shared" si="7"/>
        <v>0</v>
      </c>
      <c r="I27" s="108">
        <f t="shared" si="7"/>
        <v>1</v>
      </c>
      <c r="J27" s="99">
        <v>39</v>
      </c>
      <c r="K27" s="99">
        <v>2009</v>
      </c>
      <c r="L27" s="99">
        <v>18849</v>
      </c>
      <c r="M27" s="159">
        <v>0.5</v>
      </c>
      <c r="N27" s="160">
        <f t="shared" si="1"/>
        <v>37.5</v>
      </c>
      <c r="O27" s="161">
        <f t="shared" si="2"/>
        <v>2011</v>
      </c>
      <c r="P27" s="162">
        <f t="shared" si="3"/>
        <v>1</v>
      </c>
      <c r="Q27" s="163">
        <f t="shared" si="4"/>
        <v>18124.038461538461</v>
      </c>
      <c r="R27" s="163">
        <f t="shared" si="5"/>
        <v>18124.038461538461</v>
      </c>
      <c r="S27" s="99"/>
    </row>
    <row r="28" spans="2:21" x14ac:dyDescent="0.25">
      <c r="B28" s="99" t="s">
        <v>358</v>
      </c>
      <c r="C28" s="99" t="s">
        <v>189</v>
      </c>
      <c r="D28" s="99" t="s">
        <v>351</v>
      </c>
      <c r="E28" s="99" t="s">
        <v>523</v>
      </c>
      <c r="F28" s="99" t="s">
        <v>340</v>
      </c>
      <c r="G28" s="108" t="str">
        <f t="shared" si="0"/>
        <v>Desinvesteringen AD</v>
      </c>
      <c r="H28" s="108">
        <f t="shared" ref="H28:I94" si="8">IF($F28=H$24,1,0)</f>
        <v>0</v>
      </c>
      <c r="I28" s="108">
        <f t="shared" si="8"/>
        <v>1</v>
      </c>
      <c r="J28" s="99">
        <v>39</v>
      </c>
      <c r="K28" s="99">
        <v>2010</v>
      </c>
      <c r="L28" s="99">
        <v>33648</v>
      </c>
      <c r="M28" s="159">
        <v>0.5</v>
      </c>
      <c r="N28" s="160">
        <f t="shared" si="1"/>
        <v>38.5</v>
      </c>
      <c r="O28" s="161">
        <f t="shared" si="2"/>
        <v>2011</v>
      </c>
      <c r="P28" s="162">
        <f t="shared" si="3"/>
        <v>1</v>
      </c>
      <c r="Q28" s="163">
        <f t="shared" si="4"/>
        <v>33216.615384615383</v>
      </c>
      <c r="R28" s="163">
        <f t="shared" si="5"/>
        <v>33216.615384615383</v>
      </c>
      <c r="S28" s="99"/>
    </row>
    <row r="29" spans="2:21" x14ac:dyDescent="0.25">
      <c r="B29" s="99" t="s">
        <v>358</v>
      </c>
      <c r="C29" s="99" t="s">
        <v>189</v>
      </c>
      <c r="D29" s="99" t="s">
        <v>351</v>
      </c>
      <c r="E29" s="99" t="s">
        <v>523</v>
      </c>
      <c r="F29" s="99" t="s">
        <v>340</v>
      </c>
      <c r="G29" s="108" t="str">
        <f t="shared" si="0"/>
        <v>Desinvesteringen AD</v>
      </c>
      <c r="H29" s="108">
        <f t="shared" si="8"/>
        <v>0</v>
      </c>
      <c r="I29" s="108">
        <f t="shared" si="8"/>
        <v>1</v>
      </c>
      <c r="J29" s="99">
        <v>39</v>
      </c>
      <c r="K29" s="99">
        <v>2011</v>
      </c>
      <c r="L29" s="99">
        <v>9794</v>
      </c>
      <c r="M29" s="159">
        <v>0.5</v>
      </c>
      <c r="N29" s="160">
        <f t="shared" si="1"/>
        <v>39</v>
      </c>
      <c r="O29" s="161">
        <f t="shared" si="2"/>
        <v>2011</v>
      </c>
      <c r="P29" s="162">
        <f t="shared" si="3"/>
        <v>0</v>
      </c>
      <c r="Q29" s="163">
        <f t="shared" si="4"/>
        <v>9794</v>
      </c>
      <c r="R29" s="163">
        <f t="shared" si="5"/>
        <v>0</v>
      </c>
      <c r="S29" s="99"/>
    </row>
    <row r="30" spans="2:21" x14ac:dyDescent="0.25">
      <c r="B30" s="99" t="s">
        <v>358</v>
      </c>
      <c r="C30" s="99" t="s">
        <v>189</v>
      </c>
      <c r="D30" s="99" t="s">
        <v>351</v>
      </c>
      <c r="E30" s="99" t="s">
        <v>523</v>
      </c>
      <c r="F30" s="99" t="s">
        <v>340</v>
      </c>
      <c r="G30" s="108" t="str">
        <f t="shared" si="0"/>
        <v>Desinvesteringen AD</v>
      </c>
      <c r="H30" s="108">
        <f t="shared" si="8"/>
        <v>0</v>
      </c>
      <c r="I30" s="108">
        <f t="shared" si="8"/>
        <v>1</v>
      </c>
      <c r="J30" s="99">
        <v>39</v>
      </c>
      <c r="K30" s="99">
        <v>2012</v>
      </c>
      <c r="L30" s="99">
        <v>20697</v>
      </c>
      <c r="M30" s="159">
        <v>0.5</v>
      </c>
      <c r="N30" s="160">
        <f t="shared" si="1"/>
        <v>39</v>
      </c>
      <c r="O30" s="161">
        <f t="shared" si="2"/>
        <v>2012</v>
      </c>
      <c r="P30" s="162">
        <f t="shared" si="3"/>
        <v>0</v>
      </c>
      <c r="Q30" s="163">
        <f t="shared" si="4"/>
        <v>20697</v>
      </c>
      <c r="R30" s="163">
        <f t="shared" si="5"/>
        <v>0</v>
      </c>
      <c r="S30" s="99"/>
    </row>
    <row r="31" spans="2:21" x14ac:dyDescent="0.25">
      <c r="B31" s="99" t="s">
        <v>358</v>
      </c>
      <c r="C31" s="99" t="s">
        <v>189</v>
      </c>
      <c r="D31" s="99" t="s">
        <v>351</v>
      </c>
      <c r="E31" s="99" t="s">
        <v>523</v>
      </c>
      <c r="F31" s="99" t="s">
        <v>340</v>
      </c>
      <c r="G31" s="108" t="str">
        <f t="shared" si="0"/>
        <v>Desinvesteringen AD</v>
      </c>
      <c r="H31" s="108">
        <f t="shared" si="8"/>
        <v>0</v>
      </c>
      <c r="I31" s="108">
        <f t="shared" si="8"/>
        <v>1</v>
      </c>
      <c r="J31" s="99">
        <v>39</v>
      </c>
      <c r="K31" s="99">
        <v>2013</v>
      </c>
      <c r="L31" s="99">
        <v>30108</v>
      </c>
      <c r="M31" s="159">
        <v>0.5</v>
      </c>
      <c r="N31" s="160">
        <f t="shared" si="1"/>
        <v>39</v>
      </c>
      <c r="O31" s="161">
        <f t="shared" si="2"/>
        <v>2013</v>
      </c>
      <c r="P31" s="162">
        <f t="shared" si="3"/>
        <v>0</v>
      </c>
      <c r="Q31" s="163">
        <f t="shared" si="4"/>
        <v>30108</v>
      </c>
      <c r="R31" s="163">
        <f t="shared" si="5"/>
        <v>0</v>
      </c>
      <c r="S31" s="99"/>
    </row>
    <row r="32" spans="2:21" x14ac:dyDescent="0.25">
      <c r="B32" s="99" t="s">
        <v>358</v>
      </c>
      <c r="C32" s="99" t="s">
        <v>189</v>
      </c>
      <c r="D32" s="99" t="s">
        <v>351</v>
      </c>
      <c r="E32" s="99" t="s">
        <v>523</v>
      </c>
      <c r="F32" s="99" t="s">
        <v>340</v>
      </c>
      <c r="G32" s="108" t="str">
        <f t="shared" si="0"/>
        <v>Desinvesteringen AD</v>
      </c>
      <c r="H32" s="108">
        <f t="shared" si="8"/>
        <v>0</v>
      </c>
      <c r="I32" s="108">
        <f t="shared" si="8"/>
        <v>1</v>
      </c>
      <c r="J32" s="99">
        <v>39</v>
      </c>
      <c r="K32" s="99">
        <v>2014</v>
      </c>
      <c r="L32" s="99">
        <v>27639</v>
      </c>
      <c r="M32" s="159">
        <v>0.5</v>
      </c>
      <c r="N32" s="160">
        <f t="shared" si="1"/>
        <v>39</v>
      </c>
      <c r="O32" s="161">
        <f t="shared" si="2"/>
        <v>2014</v>
      </c>
      <c r="P32" s="162">
        <f t="shared" si="3"/>
        <v>0</v>
      </c>
      <c r="Q32" s="163">
        <f t="shared" si="4"/>
        <v>27639</v>
      </c>
      <c r="R32" s="163">
        <f t="shared" si="5"/>
        <v>0</v>
      </c>
      <c r="S32" s="99"/>
    </row>
    <row r="33" spans="2:19" x14ac:dyDescent="0.25">
      <c r="B33" s="99" t="s">
        <v>358</v>
      </c>
      <c r="C33" s="99" t="s">
        <v>189</v>
      </c>
      <c r="D33" s="99" t="s">
        <v>351</v>
      </c>
      <c r="E33" s="99" t="s">
        <v>523</v>
      </c>
      <c r="F33" s="99" t="s">
        <v>340</v>
      </c>
      <c r="G33" s="108" t="str">
        <f t="shared" si="0"/>
        <v>Desinvesteringen AD</v>
      </c>
      <c r="H33" s="108">
        <f t="shared" si="8"/>
        <v>0</v>
      </c>
      <c r="I33" s="108">
        <f t="shared" si="8"/>
        <v>1</v>
      </c>
      <c r="J33" s="99">
        <v>39</v>
      </c>
      <c r="K33" s="99">
        <v>2015</v>
      </c>
      <c r="L33" s="99">
        <v>24348</v>
      </c>
      <c r="M33" s="159">
        <v>0.5</v>
      </c>
      <c r="N33" s="160">
        <f t="shared" si="1"/>
        <v>39</v>
      </c>
      <c r="O33" s="161">
        <f t="shared" si="2"/>
        <v>2015</v>
      </c>
      <c r="P33" s="162">
        <f t="shared" si="3"/>
        <v>0</v>
      </c>
      <c r="Q33" s="163">
        <f t="shared" si="4"/>
        <v>24348</v>
      </c>
      <c r="R33" s="163">
        <f t="shared" si="5"/>
        <v>0</v>
      </c>
      <c r="S33" s="99"/>
    </row>
    <row r="34" spans="2:19" x14ac:dyDescent="0.25">
      <c r="B34" s="99" t="s">
        <v>358</v>
      </c>
      <c r="C34" s="99" t="s">
        <v>189</v>
      </c>
      <c r="D34" s="99" t="s">
        <v>351</v>
      </c>
      <c r="E34" s="99" t="s">
        <v>523</v>
      </c>
      <c r="F34" s="99" t="s">
        <v>340</v>
      </c>
      <c r="G34" s="108" t="str">
        <f t="shared" si="0"/>
        <v>Desinvesteringen AD</v>
      </c>
      <c r="H34" s="108">
        <f t="shared" si="8"/>
        <v>0</v>
      </c>
      <c r="I34" s="108">
        <f t="shared" si="8"/>
        <v>1</v>
      </c>
      <c r="J34" s="99">
        <v>39</v>
      </c>
      <c r="K34" s="99">
        <v>2016</v>
      </c>
      <c r="L34" s="99">
        <v>10992</v>
      </c>
      <c r="M34" s="159">
        <v>0.5</v>
      </c>
      <c r="N34" s="160">
        <f t="shared" si="1"/>
        <v>39</v>
      </c>
      <c r="O34" s="161">
        <f t="shared" si="2"/>
        <v>2016</v>
      </c>
      <c r="P34" s="162">
        <f t="shared" si="3"/>
        <v>0</v>
      </c>
      <c r="Q34" s="163">
        <f t="shared" si="4"/>
        <v>10992</v>
      </c>
      <c r="R34" s="163">
        <f t="shared" si="5"/>
        <v>0</v>
      </c>
      <c r="S34" s="99"/>
    </row>
    <row r="35" spans="2:19" x14ac:dyDescent="0.25">
      <c r="B35" s="99" t="s">
        <v>358</v>
      </c>
      <c r="C35" s="99" t="s">
        <v>189</v>
      </c>
      <c r="D35" s="99" t="s">
        <v>351</v>
      </c>
      <c r="E35" s="99" t="s">
        <v>523</v>
      </c>
      <c r="F35" s="99" t="s">
        <v>340</v>
      </c>
      <c r="G35" s="108" t="str">
        <f t="shared" si="0"/>
        <v>Desinvesteringen AD</v>
      </c>
      <c r="H35" s="108">
        <f t="shared" si="8"/>
        <v>0</v>
      </c>
      <c r="I35" s="108">
        <f t="shared" si="8"/>
        <v>1</v>
      </c>
      <c r="J35" s="99">
        <v>39</v>
      </c>
      <c r="K35" s="99">
        <v>2017</v>
      </c>
      <c r="L35" s="99">
        <v>26338</v>
      </c>
      <c r="M35" s="159">
        <v>0.5</v>
      </c>
      <c r="N35" s="160">
        <f t="shared" si="1"/>
        <v>39</v>
      </c>
      <c r="O35" s="161">
        <f t="shared" si="2"/>
        <v>2017</v>
      </c>
      <c r="P35" s="162">
        <f t="shared" si="3"/>
        <v>0</v>
      </c>
      <c r="Q35" s="163">
        <f t="shared" si="4"/>
        <v>26338</v>
      </c>
      <c r="R35" s="163">
        <f t="shared" si="5"/>
        <v>0</v>
      </c>
      <c r="S35" s="99"/>
    </row>
    <row r="36" spans="2:19" x14ac:dyDescent="0.25">
      <c r="B36" s="99" t="s">
        <v>358</v>
      </c>
      <c r="C36" s="99" t="s">
        <v>189</v>
      </c>
      <c r="D36" s="99" t="s">
        <v>351</v>
      </c>
      <c r="E36" s="99" t="s">
        <v>523</v>
      </c>
      <c r="F36" s="99" t="s">
        <v>340</v>
      </c>
      <c r="G36" s="108" t="str">
        <f t="shared" si="0"/>
        <v>Desinvesteringen AD</v>
      </c>
      <c r="H36" s="108">
        <f t="shared" si="8"/>
        <v>0</v>
      </c>
      <c r="I36" s="108">
        <f t="shared" si="8"/>
        <v>1</v>
      </c>
      <c r="J36" s="99">
        <v>39</v>
      </c>
      <c r="K36" s="99">
        <v>2018</v>
      </c>
      <c r="L36" s="99">
        <v>20380</v>
      </c>
      <c r="M36" s="159">
        <v>0.5</v>
      </c>
      <c r="N36" s="160">
        <f t="shared" si="1"/>
        <v>39</v>
      </c>
      <c r="O36" s="161">
        <f t="shared" si="2"/>
        <v>2018</v>
      </c>
      <c r="P36" s="162">
        <f t="shared" si="3"/>
        <v>0</v>
      </c>
      <c r="Q36" s="163">
        <f t="shared" si="4"/>
        <v>20380</v>
      </c>
      <c r="R36" s="163">
        <f t="shared" si="5"/>
        <v>0</v>
      </c>
      <c r="S36" s="99"/>
    </row>
    <row r="37" spans="2:19" x14ac:dyDescent="0.25">
      <c r="B37" s="99" t="s">
        <v>358</v>
      </c>
      <c r="C37" s="99" t="s">
        <v>189</v>
      </c>
      <c r="D37" s="99" t="s">
        <v>351</v>
      </c>
      <c r="E37" s="99" t="s">
        <v>523</v>
      </c>
      <c r="F37" s="99" t="s">
        <v>340</v>
      </c>
      <c r="G37" s="108" t="str">
        <f t="shared" si="0"/>
        <v>Desinvesteringen AD</v>
      </c>
      <c r="H37" s="108">
        <f t="shared" si="8"/>
        <v>0</v>
      </c>
      <c r="I37" s="108">
        <f t="shared" si="8"/>
        <v>1</v>
      </c>
      <c r="J37" s="99">
        <v>39</v>
      </c>
      <c r="K37" s="99">
        <v>2019</v>
      </c>
      <c r="L37" s="99">
        <v>14658</v>
      </c>
      <c r="M37" s="159">
        <v>0.5</v>
      </c>
      <c r="N37" s="160">
        <f t="shared" si="1"/>
        <v>39</v>
      </c>
      <c r="O37" s="161">
        <f t="shared" si="2"/>
        <v>2019</v>
      </c>
      <c r="P37" s="162">
        <f t="shared" si="3"/>
        <v>0</v>
      </c>
      <c r="Q37" s="163">
        <f t="shared" si="4"/>
        <v>14658</v>
      </c>
      <c r="R37" s="163">
        <f t="shared" si="5"/>
        <v>0</v>
      </c>
      <c r="S37" s="99"/>
    </row>
    <row r="38" spans="2:19" x14ac:dyDescent="0.25">
      <c r="B38" s="99" t="s">
        <v>358</v>
      </c>
      <c r="C38" s="99" t="s">
        <v>189</v>
      </c>
      <c r="D38" s="99" t="s">
        <v>351</v>
      </c>
      <c r="E38" s="99" t="s">
        <v>523</v>
      </c>
      <c r="F38" s="99" t="s">
        <v>340</v>
      </c>
      <c r="G38" s="108" t="str">
        <f t="shared" si="0"/>
        <v>Desinvesteringen AD</v>
      </c>
      <c r="H38" s="108">
        <f t="shared" si="8"/>
        <v>0</v>
      </c>
      <c r="I38" s="108">
        <f t="shared" si="8"/>
        <v>1</v>
      </c>
      <c r="J38" s="99">
        <v>39</v>
      </c>
      <c r="K38" s="99">
        <v>2020</v>
      </c>
      <c r="L38" s="99">
        <v>4588</v>
      </c>
      <c r="M38" s="159">
        <v>0.5</v>
      </c>
      <c r="N38" s="160">
        <f t="shared" si="1"/>
        <v>39</v>
      </c>
      <c r="O38" s="161">
        <f t="shared" si="2"/>
        <v>2020</v>
      </c>
      <c r="P38" s="162">
        <f t="shared" si="3"/>
        <v>0</v>
      </c>
      <c r="Q38" s="163">
        <f t="shared" si="4"/>
        <v>4588</v>
      </c>
      <c r="R38" s="163">
        <f t="shared" si="5"/>
        <v>0</v>
      </c>
      <c r="S38" s="99"/>
    </row>
    <row r="39" spans="2:19" x14ac:dyDescent="0.25">
      <c r="B39" s="99" t="s">
        <v>358</v>
      </c>
      <c r="C39" s="99" t="s">
        <v>189</v>
      </c>
      <c r="D39" s="99" t="s">
        <v>351</v>
      </c>
      <c r="E39" s="99" t="s">
        <v>523</v>
      </c>
      <c r="F39" s="99" t="s">
        <v>340</v>
      </c>
      <c r="G39" s="108" t="str">
        <f t="shared" si="0"/>
        <v>Desinvesteringen AD</v>
      </c>
      <c r="H39" s="108">
        <f t="shared" si="8"/>
        <v>0</v>
      </c>
      <c r="I39" s="108">
        <f t="shared" si="8"/>
        <v>1</v>
      </c>
      <c r="J39" s="99">
        <v>39</v>
      </c>
      <c r="K39" s="99">
        <v>2021</v>
      </c>
      <c r="L39" s="99">
        <v>9487</v>
      </c>
      <c r="M39" s="159">
        <v>0.5</v>
      </c>
      <c r="N39" s="160">
        <f t="shared" si="1"/>
        <v>39</v>
      </c>
      <c r="O39" s="161">
        <f t="shared" si="2"/>
        <v>2021</v>
      </c>
      <c r="P39" s="162">
        <f t="shared" si="3"/>
        <v>0</v>
      </c>
      <c r="Q39" s="163">
        <f t="shared" si="4"/>
        <v>9487</v>
      </c>
      <c r="R39" s="163">
        <f t="shared" si="5"/>
        <v>0</v>
      </c>
      <c r="S39" s="99"/>
    </row>
    <row r="40" spans="2:19" x14ac:dyDescent="0.25">
      <c r="B40" s="99" t="s">
        <v>358</v>
      </c>
      <c r="C40" s="99" t="s">
        <v>189</v>
      </c>
      <c r="D40" s="99" t="s">
        <v>351</v>
      </c>
      <c r="E40" s="99" t="s">
        <v>523</v>
      </c>
      <c r="F40" s="99" t="s">
        <v>340</v>
      </c>
      <c r="G40" s="108" t="str">
        <f t="shared" ref="G40" si="9">C40&amp;" "&amp;F40</f>
        <v>Desinvesteringen AD</v>
      </c>
      <c r="H40" s="108">
        <f t="shared" si="8"/>
        <v>0</v>
      </c>
      <c r="I40" s="108">
        <f t="shared" si="8"/>
        <v>1</v>
      </c>
      <c r="J40" s="99">
        <v>39</v>
      </c>
      <c r="K40" s="99">
        <v>2022</v>
      </c>
      <c r="L40" s="99">
        <v>13369</v>
      </c>
      <c r="M40" s="159">
        <v>0.5</v>
      </c>
      <c r="N40" s="160">
        <f t="shared" ref="N40" si="10">IF(OR(J40=0,J40+K40+M40&lt;2011),0,MIN(J40,J40+M40+K40-2011))</f>
        <v>39</v>
      </c>
      <c r="O40" s="161">
        <f t="shared" ref="O40" si="11">MAX(2011,K40)</f>
        <v>2022</v>
      </c>
      <c r="P40" s="162">
        <f t="shared" ref="P40" si="12">IF(K40&lt;2011,IF(F40=$P$23,VLOOKUP(K40,$B$13:$H$19,7),1),0)</f>
        <v>0</v>
      </c>
      <c r="Q40" s="163">
        <f t="shared" ref="Q40" si="13">IF(K40&lt;2011,L40-(J40-N40)*L40/J40,L40)</f>
        <v>13369</v>
      </c>
      <c r="R40" s="163">
        <f t="shared" ref="R40" si="14">Q40*P40</f>
        <v>0</v>
      </c>
      <c r="S40" s="99"/>
    </row>
    <row r="41" spans="2:19" x14ac:dyDescent="0.25">
      <c r="B41" s="99" t="s">
        <v>524</v>
      </c>
      <c r="C41" s="99" t="s">
        <v>189</v>
      </c>
      <c r="D41" s="99" t="s">
        <v>351</v>
      </c>
      <c r="E41" s="99" t="s">
        <v>523</v>
      </c>
      <c r="F41" s="99" t="s">
        <v>333</v>
      </c>
      <c r="G41" s="108" t="str">
        <f t="shared" ref="G41:G74" si="15">C41&amp;" "&amp;F41</f>
        <v>Desinvesteringen TD</v>
      </c>
      <c r="H41" s="108">
        <f t="shared" si="8"/>
        <v>1</v>
      </c>
      <c r="I41" s="108">
        <f t="shared" si="8"/>
        <v>0</v>
      </c>
      <c r="J41" s="99">
        <v>45</v>
      </c>
      <c r="K41" s="99">
        <v>2005</v>
      </c>
      <c r="L41" s="99">
        <v>3584.1193035899528</v>
      </c>
      <c r="M41" s="159">
        <v>0.5</v>
      </c>
      <c r="N41" s="160">
        <f t="shared" ref="N41:N88" si="16">IF(OR(J41=0,J41+K41+M41&lt;2011),0,MIN(J41,J41+M41+K41-2011))</f>
        <v>39.5</v>
      </c>
      <c r="O41" s="161">
        <f t="shared" ref="O41:O88" si="17">MAX(2011,K41)</f>
        <v>2011</v>
      </c>
      <c r="P41" s="162">
        <f t="shared" ref="P41:P88" si="18">IF(K41&lt;2011,IF(F41=$P$23,VLOOKUP(K41,$B$13:$H$19,7),1),0)</f>
        <v>1.0802331952701116</v>
      </c>
      <c r="Q41" s="163">
        <f t="shared" ref="Q41:Q88" si="19">IF(K41&lt;2011,L41-(J41-N41)*L41/J41,L41)</f>
        <v>3146.0602775956254</v>
      </c>
      <c r="R41" s="163">
        <f t="shared" ref="R41:R88" si="20">Q41*P41</f>
        <v>3398.4787461794967</v>
      </c>
      <c r="S41" s="99"/>
    </row>
    <row r="42" spans="2:19" x14ac:dyDescent="0.25">
      <c r="B42" s="99" t="s">
        <v>524</v>
      </c>
      <c r="C42" s="99" t="s">
        <v>189</v>
      </c>
      <c r="D42" s="99" t="s">
        <v>351</v>
      </c>
      <c r="E42" s="99" t="s">
        <v>523</v>
      </c>
      <c r="F42" s="99" t="s">
        <v>333</v>
      </c>
      <c r="G42" s="108" t="str">
        <f t="shared" si="15"/>
        <v>Desinvesteringen TD</v>
      </c>
      <c r="H42" s="108">
        <f t="shared" si="8"/>
        <v>1</v>
      </c>
      <c r="I42" s="108">
        <f t="shared" si="8"/>
        <v>0</v>
      </c>
      <c r="J42" s="99">
        <v>55</v>
      </c>
      <c r="K42" s="99">
        <v>2005</v>
      </c>
      <c r="L42" s="99">
        <v>6078.0361720097717</v>
      </c>
      <c r="M42" s="159">
        <v>0.5</v>
      </c>
      <c r="N42" s="160">
        <f t="shared" si="16"/>
        <v>49.5</v>
      </c>
      <c r="O42" s="161">
        <f t="shared" si="17"/>
        <v>2011</v>
      </c>
      <c r="P42" s="162">
        <f t="shared" si="18"/>
        <v>1.0802331952701116</v>
      </c>
      <c r="Q42" s="163">
        <f t="shared" si="19"/>
        <v>5470.2325548087947</v>
      </c>
      <c r="R42" s="163">
        <f t="shared" si="20"/>
        <v>5909.1267915516901</v>
      </c>
      <c r="S42" s="99"/>
    </row>
    <row r="43" spans="2:19" x14ac:dyDescent="0.25">
      <c r="B43" s="99" t="s">
        <v>524</v>
      </c>
      <c r="C43" s="99" t="s">
        <v>189</v>
      </c>
      <c r="D43" s="99" t="s">
        <v>351</v>
      </c>
      <c r="E43" s="99" t="s">
        <v>523</v>
      </c>
      <c r="F43" s="99" t="s">
        <v>333</v>
      </c>
      <c r="G43" s="108" t="str">
        <f t="shared" si="15"/>
        <v>Desinvesteringen TD</v>
      </c>
      <c r="H43" s="108">
        <f t="shared" si="8"/>
        <v>1</v>
      </c>
      <c r="I43" s="108">
        <f t="shared" si="8"/>
        <v>0</v>
      </c>
      <c r="J43" s="99">
        <v>45</v>
      </c>
      <c r="K43" s="99">
        <v>2006</v>
      </c>
      <c r="L43" s="99">
        <v>12642.173904976105</v>
      </c>
      <c r="M43" s="159">
        <v>0.5</v>
      </c>
      <c r="N43" s="160">
        <f t="shared" si="16"/>
        <v>40.5</v>
      </c>
      <c r="O43" s="161">
        <f t="shared" si="17"/>
        <v>2011</v>
      </c>
      <c r="P43" s="162">
        <f t="shared" si="18"/>
        <v>1.0611328047839999</v>
      </c>
      <c r="Q43" s="163">
        <f t="shared" si="19"/>
        <v>11377.956514478496</v>
      </c>
      <c r="R43" s="163">
        <f t="shared" si="20"/>
        <v>12073.522908918949</v>
      </c>
      <c r="S43" s="99"/>
    </row>
    <row r="44" spans="2:19" x14ac:dyDescent="0.25">
      <c r="B44" s="99" t="s">
        <v>524</v>
      </c>
      <c r="C44" s="99" t="s">
        <v>189</v>
      </c>
      <c r="D44" s="99" t="s">
        <v>351</v>
      </c>
      <c r="E44" s="99" t="s">
        <v>523</v>
      </c>
      <c r="F44" s="99" t="s">
        <v>333</v>
      </c>
      <c r="G44" s="108" t="str">
        <f t="shared" si="15"/>
        <v>Desinvesteringen TD</v>
      </c>
      <c r="H44" s="108">
        <f t="shared" si="8"/>
        <v>1</v>
      </c>
      <c r="I44" s="108">
        <f t="shared" si="8"/>
        <v>0</v>
      </c>
      <c r="J44" s="99">
        <v>55</v>
      </c>
      <c r="K44" s="99">
        <v>2006</v>
      </c>
      <c r="L44" s="99">
        <v>5540.3778554634155</v>
      </c>
      <c r="M44" s="159">
        <v>0.5</v>
      </c>
      <c r="N44" s="160">
        <f t="shared" si="16"/>
        <v>50.5</v>
      </c>
      <c r="O44" s="161">
        <f t="shared" si="17"/>
        <v>2011</v>
      </c>
      <c r="P44" s="162">
        <f t="shared" si="18"/>
        <v>1.0611328047839999</v>
      </c>
      <c r="Q44" s="163">
        <f t="shared" si="19"/>
        <v>5087.0742127436815</v>
      </c>
      <c r="R44" s="163">
        <f t="shared" si="20"/>
        <v>5398.0613275130609</v>
      </c>
      <c r="S44" s="99"/>
    </row>
    <row r="45" spans="2:19" x14ac:dyDescent="0.25">
      <c r="B45" s="99" t="s">
        <v>524</v>
      </c>
      <c r="C45" s="99" t="s">
        <v>189</v>
      </c>
      <c r="D45" s="99" t="s">
        <v>351</v>
      </c>
      <c r="E45" s="99" t="s">
        <v>523</v>
      </c>
      <c r="F45" s="99" t="s">
        <v>333</v>
      </c>
      <c r="G45" s="108" t="str">
        <f t="shared" si="15"/>
        <v>Desinvesteringen TD</v>
      </c>
      <c r="H45" s="108">
        <f t="shared" si="8"/>
        <v>1</v>
      </c>
      <c r="I45" s="108">
        <f t="shared" si="8"/>
        <v>0</v>
      </c>
      <c r="J45" s="99">
        <v>45</v>
      </c>
      <c r="K45" s="99">
        <v>2007</v>
      </c>
      <c r="L45" s="99">
        <v>16993.033882105872</v>
      </c>
      <c r="M45" s="159">
        <v>0.5</v>
      </c>
      <c r="N45" s="160">
        <f t="shared" si="16"/>
        <v>41.5</v>
      </c>
      <c r="O45" s="161">
        <f t="shared" si="17"/>
        <v>2011</v>
      </c>
      <c r="P45" s="162">
        <f t="shared" si="18"/>
        <v>1.0464820559999997</v>
      </c>
      <c r="Q45" s="163">
        <f t="shared" si="19"/>
        <v>15671.353469053192</v>
      </c>
      <c r="R45" s="163">
        <f t="shared" si="20"/>
        <v>16399.790198597511</v>
      </c>
      <c r="S45" s="99"/>
    </row>
    <row r="46" spans="2:19" x14ac:dyDescent="0.25">
      <c r="B46" s="99" t="s">
        <v>524</v>
      </c>
      <c r="C46" s="99" t="s">
        <v>189</v>
      </c>
      <c r="D46" s="99" t="s">
        <v>351</v>
      </c>
      <c r="E46" s="99" t="s">
        <v>523</v>
      </c>
      <c r="F46" s="99" t="s">
        <v>333</v>
      </c>
      <c r="G46" s="108" t="str">
        <f t="shared" si="15"/>
        <v>Desinvesteringen TD</v>
      </c>
      <c r="H46" s="108">
        <f t="shared" si="8"/>
        <v>1</v>
      </c>
      <c r="I46" s="108">
        <f t="shared" si="8"/>
        <v>0</v>
      </c>
      <c r="J46" s="99">
        <v>55</v>
      </c>
      <c r="K46" s="99">
        <v>2007</v>
      </c>
      <c r="L46" s="99">
        <v>6936.2021718441283</v>
      </c>
      <c r="M46" s="159">
        <v>0.5</v>
      </c>
      <c r="N46" s="160">
        <f t="shared" si="16"/>
        <v>51.5</v>
      </c>
      <c r="O46" s="161">
        <f t="shared" si="17"/>
        <v>2011</v>
      </c>
      <c r="P46" s="162">
        <f t="shared" si="18"/>
        <v>1.0464820559999997</v>
      </c>
      <c r="Q46" s="163">
        <f t="shared" si="19"/>
        <v>6494.80748818132</v>
      </c>
      <c r="R46" s="163">
        <f t="shared" si="20"/>
        <v>6796.6994935561816</v>
      </c>
      <c r="S46" s="99"/>
    </row>
    <row r="47" spans="2:19" x14ac:dyDescent="0.25">
      <c r="B47" s="99" t="s">
        <v>524</v>
      </c>
      <c r="C47" s="99" t="s">
        <v>189</v>
      </c>
      <c r="D47" s="99" t="s">
        <v>351</v>
      </c>
      <c r="E47" s="99" t="s">
        <v>523</v>
      </c>
      <c r="F47" s="99" t="s">
        <v>333</v>
      </c>
      <c r="G47" s="108" t="str">
        <f t="shared" si="15"/>
        <v>Desinvesteringen TD</v>
      </c>
      <c r="H47" s="108">
        <f t="shared" si="8"/>
        <v>1</v>
      </c>
      <c r="I47" s="108">
        <f t="shared" si="8"/>
        <v>0</v>
      </c>
      <c r="J47" s="99">
        <v>45</v>
      </c>
      <c r="K47" s="99">
        <v>2008</v>
      </c>
      <c r="L47" s="99">
        <v>99832.068586004869</v>
      </c>
      <c r="M47" s="159">
        <v>0.5</v>
      </c>
      <c r="N47" s="160">
        <f t="shared" si="16"/>
        <v>42.5</v>
      </c>
      <c r="O47" s="161">
        <f t="shared" si="17"/>
        <v>2011</v>
      </c>
      <c r="P47" s="162">
        <f t="shared" si="18"/>
        <v>1.035096</v>
      </c>
      <c r="Q47" s="163">
        <f t="shared" si="19"/>
        <v>94285.842553449038</v>
      </c>
      <c r="R47" s="163">
        <f t="shared" si="20"/>
        <v>97594.898483704892</v>
      </c>
      <c r="S47" s="99"/>
    </row>
    <row r="48" spans="2:19" x14ac:dyDescent="0.25">
      <c r="B48" s="99" t="s">
        <v>524</v>
      </c>
      <c r="C48" s="99" t="s">
        <v>189</v>
      </c>
      <c r="D48" s="99" t="s">
        <v>351</v>
      </c>
      <c r="E48" s="99" t="s">
        <v>523</v>
      </c>
      <c r="F48" s="99" t="s">
        <v>333</v>
      </c>
      <c r="G48" s="108" t="str">
        <f t="shared" si="15"/>
        <v>Desinvesteringen TD</v>
      </c>
      <c r="H48" s="108">
        <f t="shared" si="8"/>
        <v>1</v>
      </c>
      <c r="I48" s="108">
        <f t="shared" si="8"/>
        <v>0</v>
      </c>
      <c r="J48" s="99">
        <v>55</v>
      </c>
      <c r="K48" s="99">
        <v>2008</v>
      </c>
      <c r="L48" s="99">
        <v>5557.2026564148036</v>
      </c>
      <c r="M48" s="159">
        <v>0.5</v>
      </c>
      <c r="N48" s="160">
        <f t="shared" si="16"/>
        <v>52.5</v>
      </c>
      <c r="O48" s="161">
        <f t="shared" si="17"/>
        <v>2011</v>
      </c>
      <c r="P48" s="162">
        <f t="shared" si="18"/>
        <v>1.035096</v>
      </c>
      <c r="Q48" s="163">
        <f t="shared" si="19"/>
        <v>5304.602535668676</v>
      </c>
      <c r="R48" s="163">
        <f t="shared" si="20"/>
        <v>5490.7728662605041</v>
      </c>
      <c r="S48" s="99"/>
    </row>
    <row r="49" spans="2:19" x14ac:dyDescent="0.25">
      <c r="B49" s="99" t="s">
        <v>524</v>
      </c>
      <c r="C49" s="99" t="s">
        <v>189</v>
      </c>
      <c r="D49" s="99" t="s">
        <v>351</v>
      </c>
      <c r="E49" s="99" t="s">
        <v>523</v>
      </c>
      <c r="F49" s="99" t="s">
        <v>333</v>
      </c>
      <c r="G49" s="108" t="str">
        <f t="shared" si="15"/>
        <v>Desinvesteringen TD</v>
      </c>
      <c r="H49" s="108">
        <f t="shared" si="8"/>
        <v>1</v>
      </c>
      <c r="I49" s="108">
        <f t="shared" si="8"/>
        <v>0</v>
      </c>
      <c r="J49" s="99">
        <v>45</v>
      </c>
      <c r="K49" s="99">
        <v>2009</v>
      </c>
      <c r="L49" s="99">
        <v>47630.774647253274</v>
      </c>
      <c r="M49" s="159">
        <v>0.5</v>
      </c>
      <c r="N49" s="160">
        <f t="shared" si="16"/>
        <v>43.5</v>
      </c>
      <c r="O49" s="161">
        <f t="shared" si="17"/>
        <v>2011</v>
      </c>
      <c r="P49" s="162">
        <f t="shared" si="18"/>
        <v>1.0029999999999999</v>
      </c>
      <c r="Q49" s="163">
        <f t="shared" si="19"/>
        <v>46043.082159011501</v>
      </c>
      <c r="R49" s="163">
        <f t="shared" si="20"/>
        <v>46181.211405488531</v>
      </c>
      <c r="S49" s="99"/>
    </row>
    <row r="50" spans="2:19" x14ac:dyDescent="0.25">
      <c r="B50" s="99" t="s">
        <v>524</v>
      </c>
      <c r="C50" s="99" t="s">
        <v>189</v>
      </c>
      <c r="D50" s="99" t="s">
        <v>351</v>
      </c>
      <c r="E50" s="99" t="s">
        <v>523</v>
      </c>
      <c r="F50" s="99" t="s">
        <v>333</v>
      </c>
      <c r="G50" s="108" t="str">
        <f t="shared" si="15"/>
        <v>Desinvesteringen TD</v>
      </c>
      <c r="H50" s="108">
        <f t="shared" si="8"/>
        <v>1</v>
      </c>
      <c r="I50" s="108">
        <f t="shared" si="8"/>
        <v>0</v>
      </c>
      <c r="J50" s="99">
        <v>55</v>
      </c>
      <c r="K50" s="99">
        <v>2009</v>
      </c>
      <c r="L50" s="99">
        <v>323.48076157589412</v>
      </c>
      <c r="M50" s="159">
        <v>0.5</v>
      </c>
      <c r="N50" s="160">
        <f t="shared" si="16"/>
        <v>53.5</v>
      </c>
      <c r="O50" s="161">
        <f t="shared" si="17"/>
        <v>2011</v>
      </c>
      <c r="P50" s="162">
        <f t="shared" si="18"/>
        <v>1.0029999999999999</v>
      </c>
      <c r="Q50" s="163">
        <f t="shared" si="19"/>
        <v>314.65855898746065</v>
      </c>
      <c r="R50" s="163">
        <f t="shared" si="20"/>
        <v>315.60253466442299</v>
      </c>
      <c r="S50" s="99"/>
    </row>
    <row r="51" spans="2:19" x14ac:dyDescent="0.25">
      <c r="B51" s="99" t="s">
        <v>524</v>
      </c>
      <c r="C51" s="99" t="s">
        <v>189</v>
      </c>
      <c r="D51" s="99" t="s">
        <v>351</v>
      </c>
      <c r="E51" s="99" t="s">
        <v>523</v>
      </c>
      <c r="F51" s="99" t="s">
        <v>333</v>
      </c>
      <c r="G51" s="108" t="str">
        <f t="shared" si="15"/>
        <v>Desinvesteringen TD</v>
      </c>
      <c r="H51" s="108">
        <f t="shared" si="8"/>
        <v>1</v>
      </c>
      <c r="I51" s="108">
        <f t="shared" si="8"/>
        <v>0</v>
      </c>
      <c r="J51" s="99">
        <v>45</v>
      </c>
      <c r="K51" s="99">
        <v>2010</v>
      </c>
      <c r="L51" s="99">
        <v>72490.289843961596</v>
      </c>
      <c r="M51" s="159">
        <v>0.5</v>
      </c>
      <c r="N51" s="160">
        <f t="shared" si="16"/>
        <v>44.5</v>
      </c>
      <c r="O51" s="161">
        <f t="shared" si="17"/>
        <v>2011</v>
      </c>
      <c r="P51" s="162">
        <f t="shared" si="18"/>
        <v>1</v>
      </c>
      <c r="Q51" s="163">
        <f t="shared" si="19"/>
        <v>71684.842179028696</v>
      </c>
      <c r="R51" s="163">
        <f t="shared" si="20"/>
        <v>71684.842179028696</v>
      </c>
      <c r="S51" s="99"/>
    </row>
    <row r="52" spans="2:19" x14ac:dyDescent="0.25">
      <c r="B52" s="99" t="s">
        <v>524</v>
      </c>
      <c r="C52" s="99" t="s">
        <v>189</v>
      </c>
      <c r="D52" s="99" t="s">
        <v>351</v>
      </c>
      <c r="E52" s="99" t="s">
        <v>523</v>
      </c>
      <c r="F52" s="99" t="s">
        <v>333</v>
      </c>
      <c r="G52" s="108" t="str">
        <f t="shared" si="15"/>
        <v>Desinvesteringen TD</v>
      </c>
      <c r="H52" s="108">
        <f t="shared" si="8"/>
        <v>1</v>
      </c>
      <c r="I52" s="108">
        <f t="shared" si="8"/>
        <v>0</v>
      </c>
      <c r="J52" s="99">
        <v>55</v>
      </c>
      <c r="K52" s="99">
        <v>2010</v>
      </c>
      <c r="L52" s="99">
        <v>20130.094181261051</v>
      </c>
      <c r="M52" s="159">
        <v>0.5</v>
      </c>
      <c r="N52" s="160">
        <f t="shared" si="16"/>
        <v>54.5</v>
      </c>
      <c r="O52" s="161">
        <f t="shared" si="17"/>
        <v>2011</v>
      </c>
      <c r="P52" s="162">
        <f t="shared" si="18"/>
        <v>1</v>
      </c>
      <c r="Q52" s="163">
        <f t="shared" si="19"/>
        <v>19947.09332506777</v>
      </c>
      <c r="R52" s="163">
        <f t="shared" si="20"/>
        <v>19947.09332506777</v>
      </c>
      <c r="S52" s="99"/>
    </row>
    <row r="53" spans="2:19" x14ac:dyDescent="0.25">
      <c r="B53" s="99" t="s">
        <v>524</v>
      </c>
      <c r="C53" s="99" t="s">
        <v>189</v>
      </c>
      <c r="D53" s="99" t="s">
        <v>351</v>
      </c>
      <c r="E53" s="99" t="s">
        <v>523</v>
      </c>
      <c r="F53" s="99" t="s">
        <v>333</v>
      </c>
      <c r="G53" s="108" t="str">
        <f t="shared" si="15"/>
        <v>Desinvesteringen TD</v>
      </c>
      <c r="H53" s="108">
        <f t="shared" si="8"/>
        <v>1</v>
      </c>
      <c r="I53" s="108">
        <f t="shared" si="8"/>
        <v>0</v>
      </c>
      <c r="J53" s="99">
        <v>45</v>
      </c>
      <c r="K53" s="99">
        <v>2011</v>
      </c>
      <c r="L53" s="99">
        <v>90115.48191063691</v>
      </c>
      <c r="M53" s="159">
        <v>0.5</v>
      </c>
      <c r="N53" s="160">
        <f t="shared" si="16"/>
        <v>45</v>
      </c>
      <c r="O53" s="161">
        <f t="shared" si="17"/>
        <v>2011</v>
      </c>
      <c r="P53" s="162">
        <f t="shared" si="18"/>
        <v>0</v>
      </c>
      <c r="Q53" s="163">
        <f t="shared" si="19"/>
        <v>90115.48191063691</v>
      </c>
      <c r="R53" s="163">
        <f t="shared" si="20"/>
        <v>0</v>
      </c>
      <c r="S53" s="99"/>
    </row>
    <row r="54" spans="2:19" x14ac:dyDescent="0.25">
      <c r="B54" s="99" t="s">
        <v>524</v>
      </c>
      <c r="C54" s="99" t="s">
        <v>189</v>
      </c>
      <c r="D54" s="99" t="s">
        <v>351</v>
      </c>
      <c r="E54" s="99" t="s">
        <v>523</v>
      </c>
      <c r="F54" s="99" t="s">
        <v>333</v>
      </c>
      <c r="G54" s="108" t="str">
        <f t="shared" si="15"/>
        <v>Desinvesteringen TD</v>
      </c>
      <c r="H54" s="108">
        <f t="shared" si="8"/>
        <v>1</v>
      </c>
      <c r="I54" s="108">
        <f t="shared" si="8"/>
        <v>0</v>
      </c>
      <c r="J54" s="99">
        <v>55</v>
      </c>
      <c r="K54" s="99">
        <v>2011</v>
      </c>
      <c r="L54" s="99">
        <v>69625.470424141968</v>
      </c>
      <c r="M54" s="159">
        <v>0.5</v>
      </c>
      <c r="N54" s="160">
        <f t="shared" si="16"/>
        <v>55</v>
      </c>
      <c r="O54" s="161">
        <f t="shared" si="17"/>
        <v>2011</v>
      </c>
      <c r="P54" s="162">
        <f t="shared" si="18"/>
        <v>0</v>
      </c>
      <c r="Q54" s="163">
        <f t="shared" si="19"/>
        <v>69625.470424141968</v>
      </c>
      <c r="R54" s="163">
        <f t="shared" si="20"/>
        <v>0</v>
      </c>
      <c r="S54" s="99"/>
    </row>
    <row r="55" spans="2:19" x14ac:dyDescent="0.25">
      <c r="B55" s="99" t="s">
        <v>524</v>
      </c>
      <c r="C55" s="99" t="s">
        <v>189</v>
      </c>
      <c r="D55" s="99" t="s">
        <v>351</v>
      </c>
      <c r="E55" s="99" t="s">
        <v>523</v>
      </c>
      <c r="F55" s="99" t="s">
        <v>333</v>
      </c>
      <c r="G55" s="108" t="str">
        <f t="shared" si="15"/>
        <v>Desinvesteringen TD</v>
      </c>
      <c r="H55" s="108">
        <f t="shared" si="8"/>
        <v>1</v>
      </c>
      <c r="I55" s="108">
        <f t="shared" si="8"/>
        <v>0</v>
      </c>
      <c r="J55" s="99">
        <v>45</v>
      </c>
      <c r="K55" s="99">
        <v>2012</v>
      </c>
      <c r="L55" s="99">
        <v>41646.616556047164</v>
      </c>
      <c r="M55" s="159">
        <v>0.5</v>
      </c>
      <c r="N55" s="160">
        <f t="shared" si="16"/>
        <v>45</v>
      </c>
      <c r="O55" s="161">
        <f t="shared" si="17"/>
        <v>2012</v>
      </c>
      <c r="P55" s="162">
        <f t="shared" si="18"/>
        <v>0</v>
      </c>
      <c r="Q55" s="163">
        <f t="shared" si="19"/>
        <v>41646.616556047164</v>
      </c>
      <c r="R55" s="163">
        <f t="shared" si="20"/>
        <v>0</v>
      </c>
      <c r="S55" s="99"/>
    </row>
    <row r="56" spans="2:19" x14ac:dyDescent="0.25">
      <c r="B56" s="99" t="s">
        <v>524</v>
      </c>
      <c r="C56" s="99" t="s">
        <v>189</v>
      </c>
      <c r="D56" s="99" t="s">
        <v>351</v>
      </c>
      <c r="E56" s="99" t="s">
        <v>523</v>
      </c>
      <c r="F56" s="99" t="s">
        <v>333</v>
      </c>
      <c r="G56" s="108" t="str">
        <f t="shared" si="15"/>
        <v>Desinvesteringen TD</v>
      </c>
      <c r="H56" s="108">
        <f t="shared" si="8"/>
        <v>1</v>
      </c>
      <c r="I56" s="108">
        <f t="shared" si="8"/>
        <v>0</v>
      </c>
      <c r="J56" s="99">
        <v>55</v>
      </c>
      <c r="K56" s="99">
        <v>2012</v>
      </c>
      <c r="L56" s="99">
        <v>13603.296200792956</v>
      </c>
      <c r="M56" s="159">
        <v>0.5</v>
      </c>
      <c r="N56" s="160">
        <f t="shared" si="16"/>
        <v>55</v>
      </c>
      <c r="O56" s="161">
        <f t="shared" si="17"/>
        <v>2012</v>
      </c>
      <c r="P56" s="162">
        <f t="shared" si="18"/>
        <v>0</v>
      </c>
      <c r="Q56" s="163">
        <f t="shared" si="19"/>
        <v>13603.296200792956</v>
      </c>
      <c r="R56" s="163">
        <f t="shared" si="20"/>
        <v>0</v>
      </c>
      <c r="S56" s="99"/>
    </row>
    <row r="57" spans="2:19" x14ac:dyDescent="0.25">
      <c r="B57" s="99" t="s">
        <v>524</v>
      </c>
      <c r="C57" s="99" t="s">
        <v>189</v>
      </c>
      <c r="D57" s="99" t="s">
        <v>351</v>
      </c>
      <c r="E57" s="99" t="s">
        <v>523</v>
      </c>
      <c r="F57" s="99" t="s">
        <v>333</v>
      </c>
      <c r="G57" s="108" t="str">
        <f t="shared" si="15"/>
        <v>Desinvesteringen TD</v>
      </c>
      <c r="H57" s="108">
        <f t="shared" si="8"/>
        <v>1</v>
      </c>
      <c r="I57" s="108">
        <f t="shared" si="8"/>
        <v>0</v>
      </c>
      <c r="J57" s="99">
        <v>45</v>
      </c>
      <c r="K57" s="99">
        <v>2013</v>
      </c>
      <c r="L57" s="99">
        <v>116849.74045543134</v>
      </c>
      <c r="M57" s="159">
        <v>0.5</v>
      </c>
      <c r="N57" s="160">
        <f t="shared" si="16"/>
        <v>45</v>
      </c>
      <c r="O57" s="161">
        <f t="shared" si="17"/>
        <v>2013</v>
      </c>
      <c r="P57" s="162">
        <f t="shared" si="18"/>
        <v>0</v>
      </c>
      <c r="Q57" s="163">
        <f t="shared" si="19"/>
        <v>116849.74045543134</v>
      </c>
      <c r="R57" s="163">
        <f t="shared" si="20"/>
        <v>0</v>
      </c>
      <c r="S57" s="99"/>
    </row>
    <row r="58" spans="2:19" x14ac:dyDescent="0.25">
      <c r="B58" s="99" t="s">
        <v>524</v>
      </c>
      <c r="C58" s="99" t="s">
        <v>189</v>
      </c>
      <c r="D58" s="99" t="s">
        <v>351</v>
      </c>
      <c r="E58" s="99" t="s">
        <v>523</v>
      </c>
      <c r="F58" s="99" t="s">
        <v>333</v>
      </c>
      <c r="G58" s="108" t="str">
        <f t="shared" si="15"/>
        <v>Desinvesteringen TD</v>
      </c>
      <c r="H58" s="108">
        <f t="shared" si="8"/>
        <v>1</v>
      </c>
      <c r="I58" s="108">
        <f t="shared" si="8"/>
        <v>0</v>
      </c>
      <c r="J58" s="99">
        <v>55</v>
      </c>
      <c r="K58" s="99">
        <v>2013</v>
      </c>
      <c r="L58" s="99">
        <v>3973.116161457805</v>
      </c>
      <c r="M58" s="159">
        <v>0.5</v>
      </c>
      <c r="N58" s="160">
        <f t="shared" si="16"/>
        <v>55</v>
      </c>
      <c r="O58" s="161">
        <f t="shared" si="17"/>
        <v>2013</v>
      </c>
      <c r="P58" s="162">
        <f t="shared" si="18"/>
        <v>0</v>
      </c>
      <c r="Q58" s="163">
        <f t="shared" si="19"/>
        <v>3973.116161457805</v>
      </c>
      <c r="R58" s="163">
        <f t="shared" si="20"/>
        <v>0</v>
      </c>
      <c r="S58" s="99"/>
    </row>
    <row r="59" spans="2:19" x14ac:dyDescent="0.25">
      <c r="B59" s="99" t="s">
        <v>524</v>
      </c>
      <c r="C59" s="99" t="s">
        <v>189</v>
      </c>
      <c r="D59" s="99" t="s">
        <v>351</v>
      </c>
      <c r="E59" s="99" t="s">
        <v>523</v>
      </c>
      <c r="F59" s="99" t="s">
        <v>333</v>
      </c>
      <c r="G59" s="108" t="str">
        <f t="shared" si="15"/>
        <v>Desinvesteringen TD</v>
      </c>
      <c r="H59" s="108">
        <f t="shared" si="8"/>
        <v>1</v>
      </c>
      <c r="I59" s="108">
        <f t="shared" si="8"/>
        <v>0</v>
      </c>
      <c r="J59" s="99">
        <v>45</v>
      </c>
      <c r="K59" s="99">
        <v>2014</v>
      </c>
      <c r="L59" s="99">
        <v>54867.864449021246</v>
      </c>
      <c r="M59" s="159">
        <v>0.5</v>
      </c>
      <c r="N59" s="160">
        <f t="shared" si="16"/>
        <v>45</v>
      </c>
      <c r="O59" s="161">
        <f t="shared" si="17"/>
        <v>2014</v>
      </c>
      <c r="P59" s="162">
        <f t="shared" si="18"/>
        <v>0</v>
      </c>
      <c r="Q59" s="163">
        <f t="shared" si="19"/>
        <v>54867.864449021246</v>
      </c>
      <c r="R59" s="163">
        <f t="shared" si="20"/>
        <v>0</v>
      </c>
      <c r="S59" s="99"/>
    </row>
    <row r="60" spans="2:19" x14ac:dyDescent="0.25">
      <c r="B60" s="99" t="s">
        <v>524</v>
      </c>
      <c r="C60" s="99" t="s">
        <v>189</v>
      </c>
      <c r="D60" s="99" t="s">
        <v>351</v>
      </c>
      <c r="E60" s="99" t="s">
        <v>523</v>
      </c>
      <c r="F60" s="99" t="s">
        <v>333</v>
      </c>
      <c r="G60" s="108" t="str">
        <f t="shared" si="15"/>
        <v>Desinvesteringen TD</v>
      </c>
      <c r="H60" s="108">
        <f t="shared" si="8"/>
        <v>1</v>
      </c>
      <c r="I60" s="108">
        <f t="shared" si="8"/>
        <v>0</v>
      </c>
      <c r="J60" s="99">
        <v>55</v>
      </c>
      <c r="K60" s="99">
        <v>2014</v>
      </c>
      <c r="L60" s="99">
        <v>71529.967207448877</v>
      </c>
      <c r="M60" s="159">
        <v>0.5</v>
      </c>
      <c r="N60" s="160">
        <f t="shared" si="16"/>
        <v>55</v>
      </c>
      <c r="O60" s="161">
        <f t="shared" si="17"/>
        <v>2014</v>
      </c>
      <c r="P60" s="162">
        <f t="shared" si="18"/>
        <v>0</v>
      </c>
      <c r="Q60" s="163">
        <f t="shared" si="19"/>
        <v>71529.967207448877</v>
      </c>
      <c r="R60" s="163">
        <f t="shared" si="20"/>
        <v>0</v>
      </c>
      <c r="S60" s="99"/>
    </row>
    <row r="61" spans="2:19" x14ac:dyDescent="0.25">
      <c r="B61" s="99" t="s">
        <v>524</v>
      </c>
      <c r="C61" s="99" t="s">
        <v>189</v>
      </c>
      <c r="D61" s="99" t="s">
        <v>351</v>
      </c>
      <c r="E61" s="99" t="s">
        <v>523</v>
      </c>
      <c r="F61" s="99" t="s">
        <v>333</v>
      </c>
      <c r="G61" s="108" t="str">
        <f t="shared" si="15"/>
        <v>Desinvesteringen TD</v>
      </c>
      <c r="H61" s="108">
        <f t="shared" si="8"/>
        <v>1</v>
      </c>
      <c r="I61" s="108">
        <f t="shared" si="8"/>
        <v>0</v>
      </c>
      <c r="J61" s="99">
        <v>45</v>
      </c>
      <c r="K61" s="99">
        <v>2015</v>
      </c>
      <c r="L61" s="99">
        <v>15872.004096963847</v>
      </c>
      <c r="M61" s="159">
        <v>0.5</v>
      </c>
      <c r="N61" s="160">
        <f t="shared" si="16"/>
        <v>45</v>
      </c>
      <c r="O61" s="161">
        <f t="shared" si="17"/>
        <v>2015</v>
      </c>
      <c r="P61" s="162">
        <f t="shared" si="18"/>
        <v>0</v>
      </c>
      <c r="Q61" s="163">
        <f t="shared" si="19"/>
        <v>15872.004096963847</v>
      </c>
      <c r="R61" s="163">
        <f t="shared" si="20"/>
        <v>0</v>
      </c>
      <c r="S61" s="99"/>
    </row>
    <row r="62" spans="2:19" x14ac:dyDescent="0.25">
      <c r="B62" s="99" t="s">
        <v>524</v>
      </c>
      <c r="C62" s="99" t="s">
        <v>189</v>
      </c>
      <c r="D62" s="99" t="s">
        <v>351</v>
      </c>
      <c r="E62" s="99" t="s">
        <v>523</v>
      </c>
      <c r="F62" s="99" t="s">
        <v>333</v>
      </c>
      <c r="G62" s="108" t="str">
        <f t="shared" si="15"/>
        <v>Desinvesteringen TD</v>
      </c>
      <c r="H62" s="108">
        <f t="shared" si="8"/>
        <v>1</v>
      </c>
      <c r="I62" s="108">
        <f t="shared" si="8"/>
        <v>0</v>
      </c>
      <c r="J62" s="99">
        <v>55</v>
      </c>
      <c r="K62" s="99">
        <v>2015</v>
      </c>
      <c r="L62" s="99">
        <v>4727.7579375450896</v>
      </c>
      <c r="M62" s="159">
        <v>0.5</v>
      </c>
      <c r="N62" s="160">
        <f t="shared" si="16"/>
        <v>55</v>
      </c>
      <c r="O62" s="161">
        <f t="shared" si="17"/>
        <v>2015</v>
      </c>
      <c r="P62" s="162">
        <f t="shared" si="18"/>
        <v>0</v>
      </c>
      <c r="Q62" s="163">
        <f t="shared" si="19"/>
        <v>4727.7579375450896</v>
      </c>
      <c r="R62" s="163">
        <f t="shared" si="20"/>
        <v>0</v>
      </c>
      <c r="S62" s="99"/>
    </row>
    <row r="63" spans="2:19" x14ac:dyDescent="0.25">
      <c r="B63" s="99" t="s">
        <v>524</v>
      </c>
      <c r="C63" s="99" t="s">
        <v>189</v>
      </c>
      <c r="D63" s="99" t="s">
        <v>351</v>
      </c>
      <c r="E63" s="99" t="s">
        <v>523</v>
      </c>
      <c r="F63" s="99" t="s">
        <v>333</v>
      </c>
      <c r="G63" s="108" t="str">
        <f t="shared" si="15"/>
        <v>Desinvesteringen TD</v>
      </c>
      <c r="H63" s="108">
        <f t="shared" si="8"/>
        <v>1</v>
      </c>
      <c r="I63" s="108">
        <f t="shared" si="8"/>
        <v>0</v>
      </c>
      <c r="J63" s="99">
        <v>45</v>
      </c>
      <c r="K63" s="99">
        <v>2016</v>
      </c>
      <c r="L63" s="99">
        <v>107425.78348884654</v>
      </c>
      <c r="M63" s="159">
        <v>0.5</v>
      </c>
      <c r="N63" s="160">
        <f t="shared" si="16"/>
        <v>45</v>
      </c>
      <c r="O63" s="161">
        <f t="shared" si="17"/>
        <v>2016</v>
      </c>
      <c r="P63" s="162">
        <f t="shared" si="18"/>
        <v>0</v>
      </c>
      <c r="Q63" s="163">
        <f t="shared" si="19"/>
        <v>107425.78348884654</v>
      </c>
      <c r="R63" s="163">
        <f t="shared" si="20"/>
        <v>0</v>
      </c>
      <c r="S63" s="99"/>
    </row>
    <row r="64" spans="2:19" x14ac:dyDescent="0.25">
      <c r="B64" s="99" t="s">
        <v>524</v>
      </c>
      <c r="C64" s="99" t="s">
        <v>189</v>
      </c>
      <c r="D64" s="99" t="s">
        <v>351</v>
      </c>
      <c r="E64" s="99" t="s">
        <v>523</v>
      </c>
      <c r="F64" s="99" t="s">
        <v>333</v>
      </c>
      <c r="G64" s="108" t="str">
        <f t="shared" si="15"/>
        <v>Desinvesteringen TD</v>
      </c>
      <c r="H64" s="108">
        <f t="shared" si="8"/>
        <v>1</v>
      </c>
      <c r="I64" s="108">
        <f t="shared" si="8"/>
        <v>0</v>
      </c>
      <c r="J64" s="99">
        <v>55</v>
      </c>
      <c r="K64" s="99">
        <v>2016</v>
      </c>
      <c r="L64" s="99">
        <v>65427.374265348721</v>
      </c>
      <c r="M64" s="159">
        <v>0.5</v>
      </c>
      <c r="N64" s="160">
        <f t="shared" si="16"/>
        <v>55</v>
      </c>
      <c r="O64" s="161">
        <f t="shared" si="17"/>
        <v>2016</v>
      </c>
      <c r="P64" s="162">
        <f t="shared" si="18"/>
        <v>0</v>
      </c>
      <c r="Q64" s="163">
        <f t="shared" si="19"/>
        <v>65427.374265348721</v>
      </c>
      <c r="R64" s="163">
        <f t="shared" si="20"/>
        <v>0</v>
      </c>
      <c r="S64" s="99"/>
    </row>
    <row r="65" spans="2:19" x14ac:dyDescent="0.25">
      <c r="B65" s="99" t="s">
        <v>524</v>
      </c>
      <c r="C65" s="99" t="s">
        <v>189</v>
      </c>
      <c r="D65" s="99" t="s">
        <v>351</v>
      </c>
      <c r="E65" s="99" t="s">
        <v>523</v>
      </c>
      <c r="F65" s="99" t="s">
        <v>333</v>
      </c>
      <c r="G65" s="108" t="str">
        <f t="shared" si="15"/>
        <v>Desinvesteringen TD</v>
      </c>
      <c r="H65" s="108">
        <f t="shared" si="8"/>
        <v>1</v>
      </c>
      <c r="I65" s="108">
        <f t="shared" si="8"/>
        <v>0</v>
      </c>
      <c r="J65" s="99">
        <v>45</v>
      </c>
      <c r="K65" s="99">
        <v>2017</v>
      </c>
      <c r="L65" s="99">
        <v>20307.214148166273</v>
      </c>
      <c r="M65" s="159">
        <v>0.5</v>
      </c>
      <c r="N65" s="160">
        <f t="shared" si="16"/>
        <v>45</v>
      </c>
      <c r="O65" s="161">
        <f t="shared" si="17"/>
        <v>2017</v>
      </c>
      <c r="P65" s="162">
        <f t="shared" si="18"/>
        <v>0</v>
      </c>
      <c r="Q65" s="163">
        <f t="shared" si="19"/>
        <v>20307.214148166273</v>
      </c>
      <c r="R65" s="163">
        <f t="shared" si="20"/>
        <v>0</v>
      </c>
      <c r="S65" s="99"/>
    </row>
    <row r="66" spans="2:19" x14ac:dyDescent="0.25">
      <c r="B66" s="99" t="s">
        <v>524</v>
      </c>
      <c r="C66" s="99" t="s">
        <v>189</v>
      </c>
      <c r="D66" s="99" t="s">
        <v>351</v>
      </c>
      <c r="E66" s="99" t="s">
        <v>523</v>
      </c>
      <c r="F66" s="99" t="s">
        <v>333</v>
      </c>
      <c r="G66" s="108" t="str">
        <f t="shared" si="15"/>
        <v>Desinvesteringen TD</v>
      </c>
      <c r="H66" s="108">
        <f t="shared" si="8"/>
        <v>1</v>
      </c>
      <c r="I66" s="108">
        <f t="shared" si="8"/>
        <v>0</v>
      </c>
      <c r="J66" s="99">
        <v>55</v>
      </c>
      <c r="K66" s="99">
        <v>2017</v>
      </c>
      <c r="L66" s="99">
        <v>16858.050865258276</v>
      </c>
      <c r="M66" s="159">
        <v>0.5</v>
      </c>
      <c r="N66" s="160">
        <f t="shared" si="16"/>
        <v>55</v>
      </c>
      <c r="O66" s="161">
        <f t="shared" si="17"/>
        <v>2017</v>
      </c>
      <c r="P66" s="162">
        <f t="shared" si="18"/>
        <v>0</v>
      </c>
      <c r="Q66" s="163">
        <f t="shared" si="19"/>
        <v>16858.050865258276</v>
      </c>
      <c r="R66" s="163">
        <f t="shared" si="20"/>
        <v>0</v>
      </c>
      <c r="S66" s="99"/>
    </row>
    <row r="67" spans="2:19" x14ac:dyDescent="0.25">
      <c r="B67" s="99" t="s">
        <v>524</v>
      </c>
      <c r="C67" s="99" t="s">
        <v>189</v>
      </c>
      <c r="D67" s="99" t="s">
        <v>351</v>
      </c>
      <c r="E67" s="99" t="s">
        <v>523</v>
      </c>
      <c r="F67" s="99" t="s">
        <v>333</v>
      </c>
      <c r="G67" s="108" t="str">
        <f t="shared" si="15"/>
        <v>Desinvesteringen TD</v>
      </c>
      <c r="H67" s="108">
        <f t="shared" si="8"/>
        <v>1</v>
      </c>
      <c r="I67" s="108">
        <f t="shared" si="8"/>
        <v>0</v>
      </c>
      <c r="J67" s="99">
        <v>45</v>
      </c>
      <c r="K67" s="99">
        <v>2018</v>
      </c>
      <c r="L67" s="99">
        <v>34243.528935395472</v>
      </c>
      <c r="M67" s="159">
        <v>0.5</v>
      </c>
      <c r="N67" s="160">
        <f t="shared" si="16"/>
        <v>45</v>
      </c>
      <c r="O67" s="161">
        <f t="shared" si="17"/>
        <v>2018</v>
      </c>
      <c r="P67" s="162">
        <f t="shared" si="18"/>
        <v>0</v>
      </c>
      <c r="Q67" s="163">
        <f t="shared" si="19"/>
        <v>34243.528935395472</v>
      </c>
      <c r="R67" s="163">
        <f t="shared" si="20"/>
        <v>0</v>
      </c>
      <c r="S67" s="99"/>
    </row>
    <row r="68" spans="2:19" x14ac:dyDescent="0.25">
      <c r="B68" s="99" t="s">
        <v>524</v>
      </c>
      <c r="C68" s="99" t="s">
        <v>189</v>
      </c>
      <c r="D68" s="99" t="s">
        <v>351</v>
      </c>
      <c r="E68" s="99" t="s">
        <v>523</v>
      </c>
      <c r="F68" s="99" t="s">
        <v>333</v>
      </c>
      <c r="G68" s="108" t="str">
        <f t="shared" si="15"/>
        <v>Desinvesteringen TD</v>
      </c>
      <c r="H68" s="108">
        <f t="shared" si="8"/>
        <v>1</v>
      </c>
      <c r="I68" s="108">
        <f t="shared" si="8"/>
        <v>0</v>
      </c>
      <c r="J68" s="99">
        <v>55</v>
      </c>
      <c r="K68" s="99">
        <v>2018</v>
      </c>
      <c r="L68" s="99">
        <v>22246.22175855111</v>
      </c>
      <c r="M68" s="159">
        <v>0.5</v>
      </c>
      <c r="N68" s="160">
        <f t="shared" si="16"/>
        <v>55</v>
      </c>
      <c r="O68" s="161">
        <f t="shared" si="17"/>
        <v>2018</v>
      </c>
      <c r="P68" s="162">
        <f t="shared" si="18"/>
        <v>0</v>
      </c>
      <c r="Q68" s="163">
        <f t="shared" si="19"/>
        <v>22246.22175855111</v>
      </c>
      <c r="R68" s="163">
        <f t="shared" si="20"/>
        <v>0</v>
      </c>
      <c r="S68" s="99"/>
    </row>
    <row r="69" spans="2:19" x14ac:dyDescent="0.25">
      <c r="B69" s="99" t="s">
        <v>524</v>
      </c>
      <c r="C69" s="99" t="s">
        <v>189</v>
      </c>
      <c r="D69" s="99" t="s">
        <v>351</v>
      </c>
      <c r="E69" s="99" t="s">
        <v>523</v>
      </c>
      <c r="F69" s="99" t="s">
        <v>333</v>
      </c>
      <c r="G69" s="108" t="str">
        <f t="shared" si="15"/>
        <v>Desinvesteringen TD</v>
      </c>
      <c r="H69" s="108">
        <f t="shared" si="8"/>
        <v>1</v>
      </c>
      <c r="I69" s="108">
        <f t="shared" si="8"/>
        <v>0</v>
      </c>
      <c r="J69" s="99">
        <v>45</v>
      </c>
      <c r="K69" s="99">
        <v>2019</v>
      </c>
      <c r="L69" s="99">
        <v>13258.418194439808</v>
      </c>
      <c r="M69" s="159">
        <v>0.5</v>
      </c>
      <c r="N69" s="160">
        <f t="shared" si="16"/>
        <v>45</v>
      </c>
      <c r="O69" s="161">
        <f t="shared" si="17"/>
        <v>2019</v>
      </c>
      <c r="P69" s="162">
        <f t="shared" si="18"/>
        <v>0</v>
      </c>
      <c r="Q69" s="163">
        <f t="shared" si="19"/>
        <v>13258.418194439808</v>
      </c>
      <c r="R69" s="163">
        <f t="shared" si="20"/>
        <v>0</v>
      </c>
      <c r="S69" s="99"/>
    </row>
    <row r="70" spans="2:19" x14ac:dyDescent="0.25">
      <c r="B70" s="99" t="s">
        <v>524</v>
      </c>
      <c r="C70" s="99" t="s">
        <v>189</v>
      </c>
      <c r="D70" s="99" t="s">
        <v>351</v>
      </c>
      <c r="E70" s="99" t="s">
        <v>523</v>
      </c>
      <c r="F70" s="99" t="s">
        <v>333</v>
      </c>
      <c r="G70" s="108" t="str">
        <f t="shared" si="15"/>
        <v>Desinvesteringen TD</v>
      </c>
      <c r="H70" s="108">
        <f t="shared" si="8"/>
        <v>1</v>
      </c>
      <c r="I70" s="108">
        <f t="shared" si="8"/>
        <v>0</v>
      </c>
      <c r="J70" s="99">
        <v>55</v>
      </c>
      <c r="K70" s="99">
        <v>2019</v>
      </c>
      <c r="L70" s="99">
        <v>5993.7000423576455</v>
      </c>
      <c r="M70" s="159">
        <v>0.5</v>
      </c>
      <c r="N70" s="160">
        <f t="shared" si="16"/>
        <v>55</v>
      </c>
      <c r="O70" s="161">
        <f t="shared" si="17"/>
        <v>2019</v>
      </c>
      <c r="P70" s="162">
        <f t="shared" si="18"/>
        <v>0</v>
      </c>
      <c r="Q70" s="163">
        <f t="shared" si="19"/>
        <v>5993.7000423576455</v>
      </c>
      <c r="R70" s="163">
        <f t="shared" si="20"/>
        <v>0</v>
      </c>
      <c r="S70" s="99"/>
    </row>
    <row r="71" spans="2:19" x14ac:dyDescent="0.25">
      <c r="B71" s="99" t="s">
        <v>524</v>
      </c>
      <c r="C71" s="99" t="s">
        <v>189</v>
      </c>
      <c r="D71" s="99" t="s">
        <v>351</v>
      </c>
      <c r="E71" s="99" t="s">
        <v>523</v>
      </c>
      <c r="F71" s="99" t="s">
        <v>333</v>
      </c>
      <c r="G71" s="108" t="str">
        <f t="shared" si="15"/>
        <v>Desinvesteringen TD</v>
      </c>
      <c r="H71" s="108">
        <f t="shared" si="8"/>
        <v>1</v>
      </c>
      <c r="I71" s="108">
        <f t="shared" si="8"/>
        <v>0</v>
      </c>
      <c r="J71" s="99">
        <v>45</v>
      </c>
      <c r="K71" s="99">
        <v>2020</v>
      </c>
      <c r="L71" s="99">
        <v>9304.1931661140425</v>
      </c>
      <c r="M71" s="159">
        <v>0.5</v>
      </c>
      <c r="N71" s="160">
        <f t="shared" si="16"/>
        <v>45</v>
      </c>
      <c r="O71" s="161">
        <f t="shared" si="17"/>
        <v>2020</v>
      </c>
      <c r="P71" s="162">
        <f t="shared" si="18"/>
        <v>0</v>
      </c>
      <c r="Q71" s="163">
        <f t="shared" si="19"/>
        <v>9304.1931661140425</v>
      </c>
      <c r="R71" s="163">
        <f t="shared" si="20"/>
        <v>0</v>
      </c>
      <c r="S71" s="99"/>
    </row>
    <row r="72" spans="2:19" x14ac:dyDescent="0.25">
      <c r="B72" s="99" t="s">
        <v>524</v>
      </c>
      <c r="C72" s="99" t="s">
        <v>189</v>
      </c>
      <c r="D72" s="99" t="s">
        <v>351</v>
      </c>
      <c r="E72" s="99" t="s">
        <v>523</v>
      </c>
      <c r="F72" s="99" t="s">
        <v>333</v>
      </c>
      <c r="G72" s="108" t="str">
        <f t="shared" si="15"/>
        <v>Desinvesteringen TD</v>
      </c>
      <c r="H72" s="108">
        <f t="shared" si="8"/>
        <v>1</v>
      </c>
      <c r="I72" s="108">
        <f t="shared" si="8"/>
        <v>0</v>
      </c>
      <c r="J72" s="99">
        <v>55</v>
      </c>
      <c r="K72" s="99">
        <v>2020</v>
      </c>
      <c r="L72" s="99">
        <v>16773.850510967877</v>
      </c>
      <c r="M72" s="159">
        <v>0.5</v>
      </c>
      <c r="N72" s="160">
        <f t="shared" si="16"/>
        <v>55</v>
      </c>
      <c r="O72" s="161">
        <f t="shared" si="17"/>
        <v>2020</v>
      </c>
      <c r="P72" s="162">
        <f t="shared" si="18"/>
        <v>0</v>
      </c>
      <c r="Q72" s="163">
        <f t="shared" si="19"/>
        <v>16773.850510967877</v>
      </c>
      <c r="R72" s="163">
        <f t="shared" si="20"/>
        <v>0</v>
      </c>
      <c r="S72" s="99"/>
    </row>
    <row r="73" spans="2:19" x14ac:dyDescent="0.25">
      <c r="B73" s="99" t="s">
        <v>524</v>
      </c>
      <c r="C73" s="99" t="s">
        <v>189</v>
      </c>
      <c r="D73" s="99" t="s">
        <v>351</v>
      </c>
      <c r="E73" s="99" t="s">
        <v>523</v>
      </c>
      <c r="F73" s="99" t="s">
        <v>333</v>
      </c>
      <c r="G73" s="108" t="str">
        <f t="shared" si="15"/>
        <v>Desinvesteringen TD</v>
      </c>
      <c r="H73" s="108">
        <f t="shared" si="8"/>
        <v>1</v>
      </c>
      <c r="I73" s="108">
        <f t="shared" si="8"/>
        <v>0</v>
      </c>
      <c r="J73" s="99">
        <v>45</v>
      </c>
      <c r="K73" s="99">
        <v>2021</v>
      </c>
      <c r="L73" s="99">
        <v>58380.41475494115</v>
      </c>
      <c r="M73" s="159">
        <v>0.5</v>
      </c>
      <c r="N73" s="160">
        <f t="shared" si="16"/>
        <v>45</v>
      </c>
      <c r="O73" s="161">
        <f t="shared" si="17"/>
        <v>2021</v>
      </c>
      <c r="P73" s="162">
        <f t="shared" si="18"/>
        <v>0</v>
      </c>
      <c r="Q73" s="163">
        <f t="shared" si="19"/>
        <v>58380.41475494115</v>
      </c>
      <c r="R73" s="163">
        <f t="shared" si="20"/>
        <v>0</v>
      </c>
      <c r="S73" s="99"/>
    </row>
    <row r="74" spans="2:19" x14ac:dyDescent="0.25">
      <c r="B74" s="99" t="s">
        <v>524</v>
      </c>
      <c r="C74" s="99" t="s">
        <v>189</v>
      </c>
      <c r="D74" s="99" t="s">
        <v>351</v>
      </c>
      <c r="E74" s="99" t="s">
        <v>523</v>
      </c>
      <c r="F74" s="99" t="s">
        <v>333</v>
      </c>
      <c r="G74" s="108" t="str">
        <f t="shared" si="15"/>
        <v>Desinvesteringen TD</v>
      </c>
      <c r="H74" s="108">
        <f t="shared" si="8"/>
        <v>1</v>
      </c>
      <c r="I74" s="108">
        <f t="shared" si="8"/>
        <v>0</v>
      </c>
      <c r="J74" s="99">
        <v>55</v>
      </c>
      <c r="K74" s="99">
        <v>2021</v>
      </c>
      <c r="L74" s="99">
        <v>44772.852837426297</v>
      </c>
      <c r="M74" s="159">
        <v>0.5</v>
      </c>
      <c r="N74" s="160">
        <f t="shared" si="16"/>
        <v>55</v>
      </c>
      <c r="O74" s="161">
        <f t="shared" si="17"/>
        <v>2021</v>
      </c>
      <c r="P74" s="162">
        <f t="shared" si="18"/>
        <v>0</v>
      </c>
      <c r="Q74" s="163">
        <f t="shared" si="19"/>
        <v>44772.852837426297</v>
      </c>
      <c r="R74" s="163">
        <f t="shared" si="20"/>
        <v>0</v>
      </c>
      <c r="S74" s="99"/>
    </row>
    <row r="75" spans="2:19" x14ac:dyDescent="0.25">
      <c r="B75" s="99" t="s">
        <v>524</v>
      </c>
      <c r="C75" s="99" t="s">
        <v>189</v>
      </c>
      <c r="D75" s="99" t="s">
        <v>351</v>
      </c>
      <c r="E75" s="99" t="s">
        <v>523</v>
      </c>
      <c r="F75" s="99" t="s">
        <v>340</v>
      </c>
      <c r="G75" s="108" t="str">
        <f t="shared" ref="G75:G87" si="21">C75&amp;" "&amp;F75</f>
        <v>Desinvesteringen AD</v>
      </c>
      <c r="H75" s="108">
        <f t="shared" si="8"/>
        <v>0</v>
      </c>
      <c r="I75" s="108">
        <f t="shared" si="8"/>
        <v>1</v>
      </c>
      <c r="J75" s="99">
        <v>39</v>
      </c>
      <c r="K75" s="99">
        <v>2009</v>
      </c>
      <c r="L75" s="99">
        <v>34468.806732565288</v>
      </c>
      <c r="M75" s="159">
        <v>0.5</v>
      </c>
      <c r="N75" s="160">
        <f t="shared" si="16"/>
        <v>37.5</v>
      </c>
      <c r="O75" s="161">
        <f t="shared" si="17"/>
        <v>2011</v>
      </c>
      <c r="P75" s="162">
        <f t="shared" si="18"/>
        <v>1</v>
      </c>
      <c r="Q75" s="163">
        <f t="shared" si="19"/>
        <v>33143.083396697395</v>
      </c>
      <c r="R75" s="163">
        <f t="shared" si="20"/>
        <v>33143.083396697395</v>
      </c>
      <c r="S75" s="99"/>
    </row>
    <row r="76" spans="2:19" x14ac:dyDescent="0.25">
      <c r="B76" s="99" t="s">
        <v>524</v>
      </c>
      <c r="C76" s="99" t="s">
        <v>189</v>
      </c>
      <c r="D76" s="99" t="s">
        <v>351</v>
      </c>
      <c r="E76" s="99" t="s">
        <v>523</v>
      </c>
      <c r="F76" s="99" t="s">
        <v>340</v>
      </c>
      <c r="G76" s="108" t="str">
        <f t="shared" si="21"/>
        <v>Desinvesteringen AD</v>
      </c>
      <c r="H76" s="108">
        <f t="shared" si="8"/>
        <v>0</v>
      </c>
      <c r="I76" s="108">
        <f t="shared" si="8"/>
        <v>1</v>
      </c>
      <c r="J76" s="99">
        <v>39</v>
      </c>
      <c r="K76" s="99">
        <v>2010</v>
      </c>
      <c r="L76" s="99">
        <v>1677524.4236124195</v>
      </c>
      <c r="M76" s="159">
        <v>0.5</v>
      </c>
      <c r="N76" s="160">
        <f t="shared" si="16"/>
        <v>38.5</v>
      </c>
      <c r="O76" s="161">
        <f t="shared" si="17"/>
        <v>2011</v>
      </c>
      <c r="P76" s="162">
        <f t="shared" si="18"/>
        <v>1</v>
      </c>
      <c r="Q76" s="163">
        <f t="shared" si="19"/>
        <v>1656017.7002327731</v>
      </c>
      <c r="R76" s="163">
        <f t="shared" si="20"/>
        <v>1656017.7002327731</v>
      </c>
      <c r="S76" s="99"/>
    </row>
    <row r="77" spans="2:19" x14ac:dyDescent="0.25">
      <c r="B77" s="99" t="s">
        <v>524</v>
      </c>
      <c r="C77" s="99" t="s">
        <v>189</v>
      </c>
      <c r="D77" s="99" t="s">
        <v>351</v>
      </c>
      <c r="E77" s="99" t="s">
        <v>523</v>
      </c>
      <c r="F77" s="99" t="s">
        <v>340</v>
      </c>
      <c r="G77" s="108" t="str">
        <f t="shared" si="21"/>
        <v>Desinvesteringen AD</v>
      </c>
      <c r="H77" s="108">
        <f t="shared" si="8"/>
        <v>0</v>
      </c>
      <c r="I77" s="108">
        <f t="shared" si="8"/>
        <v>1</v>
      </c>
      <c r="J77" s="99">
        <v>39</v>
      </c>
      <c r="K77" s="99">
        <v>2011</v>
      </c>
      <c r="L77" s="99">
        <v>84066.664713222941</v>
      </c>
      <c r="M77" s="159">
        <v>0.5</v>
      </c>
      <c r="N77" s="160">
        <f t="shared" si="16"/>
        <v>39</v>
      </c>
      <c r="O77" s="161">
        <f t="shared" si="17"/>
        <v>2011</v>
      </c>
      <c r="P77" s="162">
        <f t="shared" si="18"/>
        <v>0</v>
      </c>
      <c r="Q77" s="163">
        <f t="shared" si="19"/>
        <v>84066.664713222941</v>
      </c>
      <c r="R77" s="163">
        <f t="shared" si="20"/>
        <v>0</v>
      </c>
      <c r="S77" s="99"/>
    </row>
    <row r="78" spans="2:19" x14ac:dyDescent="0.25">
      <c r="B78" s="99" t="s">
        <v>524</v>
      </c>
      <c r="C78" s="99" t="s">
        <v>189</v>
      </c>
      <c r="D78" s="99" t="s">
        <v>351</v>
      </c>
      <c r="E78" s="99" t="s">
        <v>523</v>
      </c>
      <c r="F78" s="99" t="s">
        <v>340</v>
      </c>
      <c r="G78" s="108" t="str">
        <f t="shared" si="21"/>
        <v>Desinvesteringen AD</v>
      </c>
      <c r="H78" s="108">
        <f t="shared" si="8"/>
        <v>0</v>
      </c>
      <c r="I78" s="108">
        <f t="shared" si="8"/>
        <v>1</v>
      </c>
      <c r="J78" s="99">
        <v>39</v>
      </c>
      <c r="K78" s="99">
        <v>2012</v>
      </c>
      <c r="L78" s="99">
        <v>95764.156637990949</v>
      </c>
      <c r="M78" s="159">
        <v>0.5</v>
      </c>
      <c r="N78" s="160">
        <f t="shared" si="16"/>
        <v>39</v>
      </c>
      <c r="O78" s="161">
        <f t="shared" si="17"/>
        <v>2012</v>
      </c>
      <c r="P78" s="162">
        <f t="shared" si="18"/>
        <v>0</v>
      </c>
      <c r="Q78" s="163">
        <f t="shared" si="19"/>
        <v>95764.156637990949</v>
      </c>
      <c r="R78" s="163">
        <f t="shared" si="20"/>
        <v>0</v>
      </c>
      <c r="S78" s="99"/>
    </row>
    <row r="79" spans="2:19" x14ac:dyDescent="0.25">
      <c r="B79" s="99" t="s">
        <v>524</v>
      </c>
      <c r="C79" s="99" t="s">
        <v>189</v>
      </c>
      <c r="D79" s="99" t="s">
        <v>351</v>
      </c>
      <c r="E79" s="99" t="s">
        <v>523</v>
      </c>
      <c r="F79" s="99" t="s">
        <v>340</v>
      </c>
      <c r="G79" s="108" t="str">
        <f t="shared" si="21"/>
        <v>Desinvesteringen AD</v>
      </c>
      <c r="H79" s="108">
        <f t="shared" si="8"/>
        <v>0</v>
      </c>
      <c r="I79" s="108">
        <f t="shared" si="8"/>
        <v>1</v>
      </c>
      <c r="J79" s="99">
        <v>39</v>
      </c>
      <c r="K79" s="99">
        <v>2013</v>
      </c>
      <c r="L79" s="99">
        <v>63190.668956197456</v>
      </c>
      <c r="M79" s="159">
        <v>0.5</v>
      </c>
      <c r="N79" s="160">
        <f t="shared" si="16"/>
        <v>39</v>
      </c>
      <c r="O79" s="161">
        <f t="shared" si="17"/>
        <v>2013</v>
      </c>
      <c r="P79" s="162">
        <f t="shared" si="18"/>
        <v>0</v>
      </c>
      <c r="Q79" s="163">
        <f t="shared" si="19"/>
        <v>63190.668956197456</v>
      </c>
      <c r="R79" s="163">
        <f t="shared" si="20"/>
        <v>0</v>
      </c>
      <c r="S79" s="99"/>
    </row>
    <row r="80" spans="2:19" x14ac:dyDescent="0.25">
      <c r="B80" s="99" t="s">
        <v>524</v>
      </c>
      <c r="C80" s="99" t="s">
        <v>189</v>
      </c>
      <c r="D80" s="99" t="s">
        <v>351</v>
      </c>
      <c r="E80" s="99" t="s">
        <v>523</v>
      </c>
      <c r="F80" s="99" t="s">
        <v>340</v>
      </c>
      <c r="G80" s="108" t="str">
        <f t="shared" si="21"/>
        <v>Desinvesteringen AD</v>
      </c>
      <c r="H80" s="108">
        <f t="shared" si="8"/>
        <v>0</v>
      </c>
      <c r="I80" s="108">
        <f t="shared" si="8"/>
        <v>1</v>
      </c>
      <c r="J80" s="99">
        <v>39</v>
      </c>
      <c r="K80" s="99">
        <v>2014</v>
      </c>
      <c r="L80" s="99">
        <v>80379.090371359198</v>
      </c>
      <c r="M80" s="159">
        <v>0.5</v>
      </c>
      <c r="N80" s="160">
        <f t="shared" si="16"/>
        <v>39</v>
      </c>
      <c r="O80" s="161">
        <f t="shared" si="17"/>
        <v>2014</v>
      </c>
      <c r="P80" s="162">
        <f t="shared" si="18"/>
        <v>0</v>
      </c>
      <c r="Q80" s="163">
        <f t="shared" si="19"/>
        <v>80379.090371359198</v>
      </c>
      <c r="R80" s="163">
        <f t="shared" si="20"/>
        <v>0</v>
      </c>
      <c r="S80" s="99"/>
    </row>
    <row r="81" spans="2:19" x14ac:dyDescent="0.25">
      <c r="B81" s="99" t="s">
        <v>524</v>
      </c>
      <c r="C81" s="99" t="s">
        <v>189</v>
      </c>
      <c r="D81" s="99" t="s">
        <v>351</v>
      </c>
      <c r="E81" s="99" t="s">
        <v>523</v>
      </c>
      <c r="F81" s="99" t="s">
        <v>340</v>
      </c>
      <c r="G81" s="108" t="str">
        <f t="shared" si="21"/>
        <v>Desinvesteringen AD</v>
      </c>
      <c r="H81" s="108">
        <f t="shared" si="8"/>
        <v>0</v>
      </c>
      <c r="I81" s="108">
        <f t="shared" si="8"/>
        <v>1</v>
      </c>
      <c r="J81" s="99">
        <v>39</v>
      </c>
      <c r="K81" s="99">
        <v>2015</v>
      </c>
      <c r="L81" s="99">
        <v>123446.78110332545</v>
      </c>
      <c r="M81" s="159">
        <v>0.5</v>
      </c>
      <c r="N81" s="160">
        <f t="shared" si="16"/>
        <v>39</v>
      </c>
      <c r="O81" s="161">
        <f t="shared" si="17"/>
        <v>2015</v>
      </c>
      <c r="P81" s="162">
        <f t="shared" si="18"/>
        <v>0</v>
      </c>
      <c r="Q81" s="163">
        <f t="shared" si="19"/>
        <v>123446.78110332545</v>
      </c>
      <c r="R81" s="163">
        <f t="shared" si="20"/>
        <v>0</v>
      </c>
      <c r="S81" s="99"/>
    </row>
    <row r="82" spans="2:19" x14ac:dyDescent="0.25">
      <c r="B82" s="99" t="s">
        <v>524</v>
      </c>
      <c r="C82" s="99" t="s">
        <v>189</v>
      </c>
      <c r="D82" s="99" t="s">
        <v>351</v>
      </c>
      <c r="E82" s="99" t="s">
        <v>523</v>
      </c>
      <c r="F82" s="99" t="s">
        <v>340</v>
      </c>
      <c r="G82" s="108" t="str">
        <f t="shared" si="21"/>
        <v>Desinvesteringen AD</v>
      </c>
      <c r="H82" s="108">
        <f t="shared" si="8"/>
        <v>0</v>
      </c>
      <c r="I82" s="108">
        <f t="shared" si="8"/>
        <v>1</v>
      </c>
      <c r="J82" s="99">
        <v>39</v>
      </c>
      <c r="K82" s="99">
        <v>2016</v>
      </c>
      <c r="L82" s="99">
        <v>126754.29047623104</v>
      </c>
      <c r="M82" s="159">
        <v>0.5</v>
      </c>
      <c r="N82" s="160">
        <f t="shared" si="16"/>
        <v>39</v>
      </c>
      <c r="O82" s="161">
        <f t="shared" si="17"/>
        <v>2016</v>
      </c>
      <c r="P82" s="162">
        <f t="shared" si="18"/>
        <v>0</v>
      </c>
      <c r="Q82" s="163">
        <f t="shared" si="19"/>
        <v>126754.29047623104</v>
      </c>
      <c r="R82" s="163">
        <f t="shared" si="20"/>
        <v>0</v>
      </c>
      <c r="S82" s="99"/>
    </row>
    <row r="83" spans="2:19" x14ac:dyDescent="0.25">
      <c r="B83" s="99" t="s">
        <v>524</v>
      </c>
      <c r="C83" s="99" t="s">
        <v>189</v>
      </c>
      <c r="D83" s="99" t="s">
        <v>351</v>
      </c>
      <c r="E83" s="99" t="s">
        <v>523</v>
      </c>
      <c r="F83" s="99" t="s">
        <v>340</v>
      </c>
      <c r="G83" s="108" t="str">
        <f t="shared" si="21"/>
        <v>Desinvesteringen AD</v>
      </c>
      <c r="H83" s="108">
        <f t="shared" si="8"/>
        <v>0</v>
      </c>
      <c r="I83" s="108">
        <f t="shared" si="8"/>
        <v>1</v>
      </c>
      <c r="J83" s="99">
        <v>39</v>
      </c>
      <c r="K83" s="99">
        <v>2017</v>
      </c>
      <c r="L83" s="99">
        <v>158038.64563516979</v>
      </c>
      <c r="M83" s="159">
        <v>0.5</v>
      </c>
      <c r="N83" s="160">
        <f t="shared" si="16"/>
        <v>39</v>
      </c>
      <c r="O83" s="161">
        <f t="shared" si="17"/>
        <v>2017</v>
      </c>
      <c r="P83" s="162">
        <f t="shared" si="18"/>
        <v>0</v>
      </c>
      <c r="Q83" s="163">
        <f t="shared" si="19"/>
        <v>158038.64563516979</v>
      </c>
      <c r="R83" s="163">
        <f t="shared" si="20"/>
        <v>0</v>
      </c>
      <c r="S83" s="99"/>
    </row>
    <row r="84" spans="2:19" x14ac:dyDescent="0.25">
      <c r="B84" s="99" t="s">
        <v>524</v>
      </c>
      <c r="C84" s="99" t="s">
        <v>189</v>
      </c>
      <c r="D84" s="99" t="s">
        <v>351</v>
      </c>
      <c r="E84" s="99" t="s">
        <v>523</v>
      </c>
      <c r="F84" s="99" t="s">
        <v>340</v>
      </c>
      <c r="G84" s="108" t="str">
        <f t="shared" si="21"/>
        <v>Desinvesteringen AD</v>
      </c>
      <c r="H84" s="108">
        <f t="shared" si="8"/>
        <v>0</v>
      </c>
      <c r="I84" s="108">
        <f t="shared" si="8"/>
        <v>1</v>
      </c>
      <c r="J84" s="99">
        <v>39</v>
      </c>
      <c r="K84" s="99">
        <v>2018</v>
      </c>
      <c r="L84" s="99">
        <v>349017.3203873951</v>
      </c>
      <c r="M84" s="159">
        <v>0.5</v>
      </c>
      <c r="N84" s="160">
        <f t="shared" si="16"/>
        <v>39</v>
      </c>
      <c r="O84" s="161">
        <f t="shared" si="17"/>
        <v>2018</v>
      </c>
      <c r="P84" s="162">
        <f t="shared" si="18"/>
        <v>0</v>
      </c>
      <c r="Q84" s="163">
        <f t="shared" si="19"/>
        <v>349017.3203873951</v>
      </c>
      <c r="R84" s="163">
        <f t="shared" si="20"/>
        <v>0</v>
      </c>
      <c r="S84" s="99"/>
    </row>
    <row r="85" spans="2:19" x14ac:dyDescent="0.25">
      <c r="B85" s="99" t="s">
        <v>524</v>
      </c>
      <c r="C85" s="99" t="s">
        <v>189</v>
      </c>
      <c r="D85" s="99" t="s">
        <v>351</v>
      </c>
      <c r="E85" s="99" t="s">
        <v>523</v>
      </c>
      <c r="F85" s="99" t="s">
        <v>340</v>
      </c>
      <c r="G85" s="108" t="str">
        <f t="shared" si="21"/>
        <v>Desinvesteringen AD</v>
      </c>
      <c r="H85" s="108">
        <f t="shared" si="8"/>
        <v>0</v>
      </c>
      <c r="I85" s="108">
        <f t="shared" si="8"/>
        <v>1</v>
      </c>
      <c r="J85" s="99">
        <v>39</v>
      </c>
      <c r="K85" s="99">
        <v>2019</v>
      </c>
      <c r="L85" s="99">
        <v>150381.80148701477</v>
      </c>
      <c r="M85" s="159">
        <v>0.5</v>
      </c>
      <c r="N85" s="160">
        <f t="shared" si="16"/>
        <v>39</v>
      </c>
      <c r="O85" s="161">
        <f t="shared" si="17"/>
        <v>2019</v>
      </c>
      <c r="P85" s="162">
        <f t="shared" si="18"/>
        <v>0</v>
      </c>
      <c r="Q85" s="163">
        <f t="shared" si="19"/>
        <v>150381.80148701477</v>
      </c>
      <c r="R85" s="163">
        <f t="shared" si="20"/>
        <v>0</v>
      </c>
      <c r="S85" s="99"/>
    </row>
    <row r="86" spans="2:19" x14ac:dyDescent="0.25">
      <c r="B86" s="99" t="s">
        <v>524</v>
      </c>
      <c r="C86" s="99" t="s">
        <v>189</v>
      </c>
      <c r="D86" s="99" t="s">
        <v>351</v>
      </c>
      <c r="E86" s="99" t="s">
        <v>523</v>
      </c>
      <c r="F86" s="99" t="s">
        <v>340</v>
      </c>
      <c r="G86" s="108" t="str">
        <f t="shared" si="21"/>
        <v>Desinvesteringen AD</v>
      </c>
      <c r="H86" s="108">
        <f t="shared" si="8"/>
        <v>0</v>
      </c>
      <c r="I86" s="108">
        <f t="shared" si="8"/>
        <v>1</v>
      </c>
      <c r="J86" s="99">
        <v>39</v>
      </c>
      <c r="K86" s="99">
        <v>2020</v>
      </c>
      <c r="L86" s="99">
        <v>106840.44873768749</v>
      </c>
      <c r="M86" s="159">
        <v>0.5</v>
      </c>
      <c r="N86" s="160">
        <f t="shared" si="16"/>
        <v>39</v>
      </c>
      <c r="O86" s="161">
        <f t="shared" si="17"/>
        <v>2020</v>
      </c>
      <c r="P86" s="162">
        <f t="shared" si="18"/>
        <v>0</v>
      </c>
      <c r="Q86" s="163">
        <f t="shared" si="19"/>
        <v>106840.44873768749</v>
      </c>
      <c r="R86" s="163">
        <f t="shared" si="20"/>
        <v>0</v>
      </c>
      <c r="S86" s="99"/>
    </row>
    <row r="87" spans="2:19" x14ac:dyDescent="0.25">
      <c r="B87" s="99" t="s">
        <v>524</v>
      </c>
      <c r="C87" s="99" t="s">
        <v>189</v>
      </c>
      <c r="D87" s="99" t="s">
        <v>351</v>
      </c>
      <c r="E87" s="99" t="s">
        <v>523</v>
      </c>
      <c r="F87" s="99" t="s">
        <v>340</v>
      </c>
      <c r="G87" s="108" t="str">
        <f t="shared" si="21"/>
        <v>Desinvesteringen AD</v>
      </c>
      <c r="H87" s="108">
        <f t="shared" si="8"/>
        <v>0</v>
      </c>
      <c r="I87" s="108">
        <f t="shared" si="8"/>
        <v>1</v>
      </c>
      <c r="J87" s="99">
        <v>39</v>
      </c>
      <c r="K87" s="99">
        <v>2021</v>
      </c>
      <c r="L87" s="99">
        <v>51916.937910242435</v>
      </c>
      <c r="M87" s="159">
        <v>0.5</v>
      </c>
      <c r="N87" s="160">
        <f t="shared" si="16"/>
        <v>39</v>
      </c>
      <c r="O87" s="161">
        <f t="shared" si="17"/>
        <v>2021</v>
      </c>
      <c r="P87" s="162">
        <f t="shared" si="18"/>
        <v>0</v>
      </c>
      <c r="Q87" s="163">
        <f t="shared" si="19"/>
        <v>51916.937910242435</v>
      </c>
      <c r="R87" s="163">
        <f t="shared" si="20"/>
        <v>0</v>
      </c>
      <c r="S87" s="99"/>
    </row>
    <row r="88" spans="2:19" x14ac:dyDescent="0.25">
      <c r="B88" s="99" t="s">
        <v>68</v>
      </c>
      <c r="C88" s="99" t="s">
        <v>189</v>
      </c>
      <c r="D88" s="99" t="s">
        <v>351</v>
      </c>
      <c r="E88" s="99" t="s">
        <v>523</v>
      </c>
      <c r="F88" s="99" t="s">
        <v>340</v>
      </c>
      <c r="G88" s="108" t="str">
        <f t="shared" si="0"/>
        <v>Desinvesteringen AD</v>
      </c>
      <c r="H88" s="108">
        <f t="shared" si="8"/>
        <v>0</v>
      </c>
      <c r="I88" s="108">
        <f t="shared" si="8"/>
        <v>1</v>
      </c>
      <c r="J88" s="99">
        <v>39</v>
      </c>
      <c r="K88" s="99">
        <v>2009</v>
      </c>
      <c r="L88" s="99">
        <v>9813.0499999999993</v>
      </c>
      <c r="M88" s="159">
        <v>0.5</v>
      </c>
      <c r="N88" s="160">
        <f t="shared" si="16"/>
        <v>37.5</v>
      </c>
      <c r="O88" s="161">
        <f t="shared" si="17"/>
        <v>2011</v>
      </c>
      <c r="P88" s="162">
        <f t="shared" si="18"/>
        <v>1</v>
      </c>
      <c r="Q88" s="163">
        <f t="shared" si="19"/>
        <v>9435.625</v>
      </c>
      <c r="R88" s="163">
        <f t="shared" si="20"/>
        <v>9435.625</v>
      </c>
      <c r="S88" s="99"/>
    </row>
    <row r="89" spans="2:19" x14ac:dyDescent="0.25">
      <c r="B89" s="99" t="s">
        <v>68</v>
      </c>
      <c r="C89" s="99" t="s">
        <v>189</v>
      </c>
      <c r="D89" s="99" t="s">
        <v>351</v>
      </c>
      <c r="E89" s="99" t="s">
        <v>523</v>
      </c>
      <c r="F89" s="99" t="s">
        <v>340</v>
      </c>
      <c r="G89" s="108" t="str">
        <f t="shared" si="0"/>
        <v>Desinvesteringen AD</v>
      </c>
      <c r="H89" s="108">
        <f t="shared" si="8"/>
        <v>0</v>
      </c>
      <c r="I89" s="108">
        <f>IF($F89=I$24,1,0)</f>
        <v>1</v>
      </c>
      <c r="J89" s="99">
        <v>39</v>
      </c>
      <c r="K89" s="99">
        <v>2010</v>
      </c>
      <c r="L89" s="99">
        <v>15169.26</v>
      </c>
      <c r="M89" s="159">
        <v>0.5</v>
      </c>
      <c r="N89" s="160">
        <f t="shared" si="1"/>
        <v>38.5</v>
      </c>
      <c r="O89" s="161">
        <f t="shared" si="2"/>
        <v>2011</v>
      </c>
      <c r="P89" s="162">
        <f t="shared" si="3"/>
        <v>1</v>
      </c>
      <c r="Q89" s="163">
        <f t="shared" si="4"/>
        <v>14974.782307692309</v>
      </c>
      <c r="R89" s="163">
        <f t="shared" si="5"/>
        <v>14974.782307692309</v>
      </c>
      <c r="S89" s="99"/>
    </row>
    <row r="90" spans="2:19" x14ac:dyDescent="0.25">
      <c r="B90" s="99" t="s">
        <v>68</v>
      </c>
      <c r="C90" s="99" t="s">
        <v>189</v>
      </c>
      <c r="D90" s="99" t="s">
        <v>351</v>
      </c>
      <c r="E90" s="99" t="s">
        <v>523</v>
      </c>
      <c r="F90" s="99" t="s">
        <v>340</v>
      </c>
      <c r="G90" s="108" t="str">
        <f t="shared" si="0"/>
        <v>Desinvesteringen AD</v>
      </c>
      <c r="H90" s="108">
        <f t="shared" si="8"/>
        <v>0</v>
      </c>
      <c r="I90" s="108">
        <f t="shared" si="8"/>
        <v>1</v>
      </c>
      <c r="J90" s="99">
        <v>39</v>
      </c>
      <c r="K90" s="99">
        <v>2011</v>
      </c>
      <c r="L90" s="99">
        <v>7254.24</v>
      </c>
      <c r="M90" s="159">
        <v>0.5</v>
      </c>
      <c r="N90" s="160">
        <f t="shared" si="1"/>
        <v>39</v>
      </c>
      <c r="O90" s="161">
        <f t="shared" si="2"/>
        <v>2011</v>
      </c>
      <c r="P90" s="162">
        <f t="shared" si="3"/>
        <v>0</v>
      </c>
      <c r="Q90" s="163">
        <f t="shared" si="4"/>
        <v>7254.24</v>
      </c>
      <c r="R90" s="163">
        <f t="shared" si="5"/>
        <v>0</v>
      </c>
      <c r="S90" s="99"/>
    </row>
    <row r="91" spans="2:19" x14ac:dyDescent="0.25">
      <c r="B91" s="99" t="s">
        <v>68</v>
      </c>
      <c r="C91" s="99" t="s">
        <v>189</v>
      </c>
      <c r="D91" s="99" t="s">
        <v>351</v>
      </c>
      <c r="E91" s="99" t="s">
        <v>523</v>
      </c>
      <c r="F91" s="99" t="s">
        <v>340</v>
      </c>
      <c r="G91" s="108" t="str">
        <f t="shared" si="0"/>
        <v>Desinvesteringen AD</v>
      </c>
      <c r="H91" s="108">
        <f t="shared" si="8"/>
        <v>0</v>
      </c>
      <c r="I91" s="108">
        <f t="shared" si="8"/>
        <v>1</v>
      </c>
      <c r="J91" s="99">
        <v>39</v>
      </c>
      <c r="K91" s="99">
        <v>2012</v>
      </c>
      <c r="L91" s="99">
        <v>6024.32</v>
      </c>
      <c r="M91" s="159">
        <v>0.5</v>
      </c>
      <c r="N91" s="160">
        <f t="shared" si="1"/>
        <v>39</v>
      </c>
      <c r="O91" s="161">
        <f t="shared" si="2"/>
        <v>2012</v>
      </c>
      <c r="P91" s="162">
        <f t="shared" si="3"/>
        <v>0</v>
      </c>
      <c r="Q91" s="163">
        <f t="shared" si="4"/>
        <v>6024.32</v>
      </c>
      <c r="R91" s="163">
        <f t="shared" si="5"/>
        <v>0</v>
      </c>
      <c r="S91" s="99"/>
    </row>
    <row r="92" spans="2:19" x14ac:dyDescent="0.25">
      <c r="B92" s="99" t="s">
        <v>68</v>
      </c>
      <c r="C92" s="99" t="s">
        <v>189</v>
      </c>
      <c r="D92" s="99" t="s">
        <v>351</v>
      </c>
      <c r="E92" s="99" t="s">
        <v>523</v>
      </c>
      <c r="F92" s="99" t="s">
        <v>340</v>
      </c>
      <c r="G92" s="108" t="str">
        <f t="shared" si="0"/>
        <v>Desinvesteringen AD</v>
      </c>
      <c r="H92" s="108">
        <f t="shared" ref="H92" si="22">IF($F92=H$24,1,0)</f>
        <v>0</v>
      </c>
      <c r="I92" s="108">
        <f t="shared" ref="I92:I101" si="23">IF($F92=I$24,1,0)</f>
        <v>1</v>
      </c>
      <c r="J92" s="99">
        <v>39</v>
      </c>
      <c r="K92" s="99">
        <v>2013</v>
      </c>
      <c r="L92" s="99">
        <v>936.42</v>
      </c>
      <c r="M92" s="159">
        <v>0.5</v>
      </c>
      <c r="N92" s="160">
        <f t="shared" si="1"/>
        <v>39</v>
      </c>
      <c r="O92" s="161">
        <f t="shared" si="2"/>
        <v>2013</v>
      </c>
      <c r="P92" s="162">
        <f t="shared" si="3"/>
        <v>0</v>
      </c>
      <c r="Q92" s="163">
        <f t="shared" si="4"/>
        <v>936.42</v>
      </c>
      <c r="R92" s="163">
        <f t="shared" si="5"/>
        <v>0</v>
      </c>
      <c r="S92" s="99"/>
    </row>
    <row r="93" spans="2:19" x14ac:dyDescent="0.25">
      <c r="B93" s="99" t="s">
        <v>68</v>
      </c>
      <c r="C93" s="99" t="s">
        <v>189</v>
      </c>
      <c r="D93" s="99" t="s">
        <v>351</v>
      </c>
      <c r="E93" s="99" t="s">
        <v>523</v>
      </c>
      <c r="F93" s="99" t="s">
        <v>340</v>
      </c>
      <c r="G93" s="108" t="str">
        <f t="shared" si="0"/>
        <v>Desinvesteringen AD</v>
      </c>
      <c r="H93" s="108">
        <f t="shared" si="8"/>
        <v>0</v>
      </c>
      <c r="I93" s="108">
        <f t="shared" si="23"/>
        <v>1</v>
      </c>
      <c r="J93" s="99">
        <v>39</v>
      </c>
      <c r="K93" s="99">
        <v>2014</v>
      </c>
      <c r="L93" s="99">
        <v>637.34</v>
      </c>
      <c r="M93" s="159">
        <v>0.5</v>
      </c>
      <c r="N93" s="160">
        <f t="shared" si="1"/>
        <v>39</v>
      </c>
      <c r="O93" s="161">
        <f t="shared" si="2"/>
        <v>2014</v>
      </c>
      <c r="P93" s="162">
        <f t="shared" si="3"/>
        <v>0</v>
      </c>
      <c r="Q93" s="163">
        <f t="shared" si="4"/>
        <v>637.34</v>
      </c>
      <c r="R93" s="163">
        <f t="shared" si="5"/>
        <v>0</v>
      </c>
      <c r="S93" s="99"/>
    </row>
    <row r="94" spans="2:19" ht="12.75" customHeight="1" x14ac:dyDescent="0.25">
      <c r="B94" s="99" t="s">
        <v>68</v>
      </c>
      <c r="C94" s="99" t="s">
        <v>189</v>
      </c>
      <c r="D94" s="99" t="s">
        <v>351</v>
      </c>
      <c r="E94" s="99" t="s">
        <v>523</v>
      </c>
      <c r="F94" s="99" t="s">
        <v>340</v>
      </c>
      <c r="G94" s="108" t="str">
        <f t="shared" ref="G94:G100" si="24">C94&amp;" "&amp;F94</f>
        <v>Desinvesteringen AD</v>
      </c>
      <c r="H94" s="108">
        <f t="shared" si="8"/>
        <v>0</v>
      </c>
      <c r="I94" s="108">
        <f t="shared" si="23"/>
        <v>1</v>
      </c>
      <c r="J94" s="99">
        <v>39</v>
      </c>
      <c r="K94" s="99">
        <v>2015</v>
      </c>
      <c r="L94" s="99">
        <v>6231.89</v>
      </c>
      <c r="M94" s="159">
        <v>0.5</v>
      </c>
      <c r="N94" s="160">
        <f t="shared" si="1"/>
        <v>39</v>
      </c>
      <c r="O94" s="161">
        <f t="shared" si="2"/>
        <v>2015</v>
      </c>
      <c r="P94" s="162">
        <f t="shared" si="3"/>
        <v>0</v>
      </c>
      <c r="Q94" s="163">
        <f t="shared" si="4"/>
        <v>6231.89</v>
      </c>
      <c r="R94" s="163">
        <f t="shared" si="5"/>
        <v>0</v>
      </c>
      <c r="S94" s="99"/>
    </row>
    <row r="95" spans="2:19" ht="12.75" customHeight="1" x14ac:dyDescent="0.25">
      <c r="B95" s="99" t="s">
        <v>68</v>
      </c>
      <c r="C95" s="99" t="s">
        <v>189</v>
      </c>
      <c r="D95" s="99" t="s">
        <v>351</v>
      </c>
      <c r="E95" s="99" t="s">
        <v>523</v>
      </c>
      <c r="F95" s="99" t="s">
        <v>340</v>
      </c>
      <c r="G95" s="108" t="str">
        <f t="shared" si="24"/>
        <v>Desinvesteringen AD</v>
      </c>
      <c r="H95" s="108">
        <f t="shared" ref="H95:I110" si="25">IF($F95=H$24,1,0)</f>
        <v>0</v>
      </c>
      <c r="I95" s="108">
        <f t="shared" si="23"/>
        <v>1</v>
      </c>
      <c r="J95" s="99">
        <v>39</v>
      </c>
      <c r="K95" s="99">
        <v>2016</v>
      </c>
      <c r="L95" s="99">
        <v>8160.17</v>
      </c>
      <c r="M95" s="159">
        <v>0.5</v>
      </c>
      <c r="N95" s="160">
        <f t="shared" ref="N95:N108" si="26">IF(OR(J95=0,J95+K95+M95&lt;2011),0,MIN(J95,J95+M95+K95-2011))</f>
        <v>39</v>
      </c>
      <c r="O95" s="161">
        <f t="shared" ref="O95:O108" si="27">MAX(2011,K95)</f>
        <v>2016</v>
      </c>
      <c r="P95" s="162">
        <f t="shared" ref="P95:P108" si="28">IF(K95&lt;2011,IF(F95=$P$23,VLOOKUP(K95,$B$13:$H$19,7),1),0)</f>
        <v>0</v>
      </c>
      <c r="Q95" s="163">
        <f t="shared" si="4"/>
        <v>8160.17</v>
      </c>
      <c r="R95" s="163">
        <f t="shared" si="5"/>
        <v>0</v>
      </c>
      <c r="S95" s="99"/>
    </row>
    <row r="96" spans="2:19" ht="12.75" customHeight="1" x14ac:dyDescent="0.25">
      <c r="B96" s="99" t="s">
        <v>68</v>
      </c>
      <c r="C96" s="99" t="s">
        <v>189</v>
      </c>
      <c r="D96" s="99" t="s">
        <v>351</v>
      </c>
      <c r="E96" s="99" t="s">
        <v>523</v>
      </c>
      <c r="F96" s="99" t="s">
        <v>340</v>
      </c>
      <c r="G96" s="108" t="str">
        <f t="shared" si="24"/>
        <v>Desinvesteringen AD</v>
      </c>
      <c r="H96" s="108">
        <f t="shared" si="25"/>
        <v>0</v>
      </c>
      <c r="I96" s="108">
        <f t="shared" si="23"/>
        <v>1</v>
      </c>
      <c r="J96" s="99">
        <v>39</v>
      </c>
      <c r="K96" s="99">
        <v>2017</v>
      </c>
      <c r="L96" s="99">
        <v>2742.55</v>
      </c>
      <c r="M96" s="159">
        <v>0.5</v>
      </c>
      <c r="N96" s="160">
        <f t="shared" si="26"/>
        <v>39</v>
      </c>
      <c r="O96" s="161">
        <f t="shared" si="27"/>
        <v>2017</v>
      </c>
      <c r="P96" s="162">
        <f t="shared" si="28"/>
        <v>0</v>
      </c>
      <c r="Q96" s="163">
        <f t="shared" si="4"/>
        <v>2742.55</v>
      </c>
      <c r="R96" s="163">
        <f t="shared" si="5"/>
        <v>0</v>
      </c>
      <c r="S96" s="99"/>
    </row>
    <row r="97" spans="2:19" ht="12.75" customHeight="1" x14ac:dyDescent="0.25">
      <c r="B97" s="99" t="s">
        <v>68</v>
      </c>
      <c r="C97" s="99" t="s">
        <v>189</v>
      </c>
      <c r="D97" s="99" t="s">
        <v>351</v>
      </c>
      <c r="E97" s="99" t="s">
        <v>523</v>
      </c>
      <c r="F97" s="99" t="s">
        <v>340</v>
      </c>
      <c r="G97" s="108" t="str">
        <f t="shared" si="24"/>
        <v>Desinvesteringen AD</v>
      </c>
      <c r="H97" s="108">
        <f t="shared" si="25"/>
        <v>0</v>
      </c>
      <c r="I97" s="108">
        <f t="shared" si="23"/>
        <v>1</v>
      </c>
      <c r="J97" s="99">
        <v>39</v>
      </c>
      <c r="K97" s="99">
        <v>2018</v>
      </c>
      <c r="L97" s="99">
        <v>14781.1</v>
      </c>
      <c r="M97" s="159">
        <v>0.5</v>
      </c>
      <c r="N97" s="160">
        <f t="shared" si="26"/>
        <v>39</v>
      </c>
      <c r="O97" s="161">
        <f t="shared" si="27"/>
        <v>2018</v>
      </c>
      <c r="P97" s="162">
        <f t="shared" si="28"/>
        <v>0</v>
      </c>
      <c r="Q97" s="163">
        <f t="shared" si="4"/>
        <v>14781.1</v>
      </c>
      <c r="R97" s="163">
        <f t="shared" si="5"/>
        <v>0</v>
      </c>
      <c r="S97" s="99"/>
    </row>
    <row r="98" spans="2:19" ht="12.75" customHeight="1" x14ac:dyDescent="0.25">
      <c r="B98" s="99" t="s">
        <v>68</v>
      </c>
      <c r="C98" s="99" t="s">
        <v>189</v>
      </c>
      <c r="D98" s="99" t="s">
        <v>351</v>
      </c>
      <c r="E98" s="99" t="s">
        <v>523</v>
      </c>
      <c r="F98" s="99" t="s">
        <v>340</v>
      </c>
      <c r="G98" s="108" t="str">
        <f t="shared" si="24"/>
        <v>Desinvesteringen AD</v>
      </c>
      <c r="H98" s="108">
        <f t="shared" si="25"/>
        <v>0</v>
      </c>
      <c r="I98" s="108">
        <f t="shared" si="23"/>
        <v>1</v>
      </c>
      <c r="J98" s="99">
        <v>39</v>
      </c>
      <c r="K98" s="99">
        <v>2019</v>
      </c>
      <c r="L98" s="99">
        <v>3429.61</v>
      </c>
      <c r="M98" s="159">
        <v>0.5</v>
      </c>
      <c r="N98" s="160">
        <f t="shared" si="26"/>
        <v>39</v>
      </c>
      <c r="O98" s="161">
        <f t="shared" si="27"/>
        <v>2019</v>
      </c>
      <c r="P98" s="162">
        <f t="shared" si="28"/>
        <v>0</v>
      </c>
      <c r="Q98" s="163">
        <f t="shared" si="4"/>
        <v>3429.61</v>
      </c>
      <c r="R98" s="163">
        <f t="shared" si="5"/>
        <v>0</v>
      </c>
      <c r="S98" s="99"/>
    </row>
    <row r="99" spans="2:19" ht="12.75" customHeight="1" x14ac:dyDescent="0.25">
      <c r="B99" s="99" t="s">
        <v>68</v>
      </c>
      <c r="C99" s="99" t="s">
        <v>189</v>
      </c>
      <c r="D99" s="99" t="s">
        <v>351</v>
      </c>
      <c r="E99" s="99" t="s">
        <v>523</v>
      </c>
      <c r="F99" s="99" t="s">
        <v>340</v>
      </c>
      <c r="G99" s="108" t="str">
        <f t="shared" si="24"/>
        <v>Desinvesteringen AD</v>
      </c>
      <c r="H99" s="108">
        <f t="shared" si="25"/>
        <v>0</v>
      </c>
      <c r="I99" s="108">
        <f t="shared" si="23"/>
        <v>1</v>
      </c>
      <c r="J99" s="99">
        <v>39</v>
      </c>
      <c r="K99" s="99">
        <v>2020</v>
      </c>
      <c r="L99" s="99">
        <v>17117.5</v>
      </c>
      <c r="M99" s="159">
        <v>0.5</v>
      </c>
      <c r="N99" s="160">
        <f t="shared" si="26"/>
        <v>39</v>
      </c>
      <c r="O99" s="161">
        <f t="shared" si="27"/>
        <v>2020</v>
      </c>
      <c r="P99" s="162">
        <f t="shared" si="28"/>
        <v>0</v>
      </c>
      <c r="Q99" s="163">
        <f t="shared" si="4"/>
        <v>17117.5</v>
      </c>
      <c r="R99" s="163">
        <f t="shared" si="5"/>
        <v>0</v>
      </c>
      <c r="S99" s="99"/>
    </row>
    <row r="100" spans="2:19" ht="12.75" customHeight="1" x14ac:dyDescent="0.25">
      <c r="B100" s="99" t="s">
        <v>68</v>
      </c>
      <c r="C100" s="99" t="s">
        <v>189</v>
      </c>
      <c r="D100" s="99" t="s">
        <v>351</v>
      </c>
      <c r="E100" s="99" t="s">
        <v>523</v>
      </c>
      <c r="F100" s="99" t="s">
        <v>340</v>
      </c>
      <c r="G100" s="108" t="str">
        <f t="shared" si="24"/>
        <v>Desinvesteringen AD</v>
      </c>
      <c r="H100" s="108">
        <f t="shared" si="25"/>
        <v>0</v>
      </c>
      <c r="I100" s="108">
        <f t="shared" si="23"/>
        <v>1</v>
      </c>
      <c r="J100" s="99">
        <v>39</v>
      </c>
      <c r="K100" s="99">
        <v>2021</v>
      </c>
      <c r="L100" s="99">
        <v>16069.69</v>
      </c>
      <c r="M100" s="159">
        <v>0.5</v>
      </c>
      <c r="N100" s="160">
        <f t="shared" si="26"/>
        <v>39</v>
      </c>
      <c r="O100" s="161">
        <f t="shared" si="27"/>
        <v>2021</v>
      </c>
      <c r="P100" s="162">
        <f t="shared" si="28"/>
        <v>0</v>
      </c>
      <c r="Q100" s="163">
        <f t="shared" ref="Q100" si="29">IF(K100&lt;2011,L100-(J100-N100)*L100/J100,L100)</f>
        <v>16069.69</v>
      </c>
      <c r="R100" s="163">
        <f t="shared" ref="R100" si="30">Q100*P100</f>
        <v>0</v>
      </c>
      <c r="S100" s="99"/>
    </row>
    <row r="101" spans="2:19" ht="12.75" customHeight="1" x14ac:dyDescent="0.25">
      <c r="B101" s="99" t="s">
        <v>68</v>
      </c>
      <c r="C101" s="99" t="s">
        <v>189</v>
      </c>
      <c r="D101" s="99" t="s">
        <v>351</v>
      </c>
      <c r="E101" s="99" t="s">
        <v>523</v>
      </c>
      <c r="F101" s="99" t="s">
        <v>340</v>
      </c>
      <c r="G101" s="108" t="str">
        <f t="shared" ref="G101:G114" si="31">C101&amp;" "&amp;F101</f>
        <v>Desinvesteringen AD</v>
      </c>
      <c r="H101" s="108">
        <f t="shared" si="25"/>
        <v>0</v>
      </c>
      <c r="I101" s="108">
        <f t="shared" si="23"/>
        <v>1</v>
      </c>
      <c r="J101" s="99">
        <v>39</v>
      </c>
      <c r="K101" s="99">
        <v>2022</v>
      </c>
      <c r="L101" s="99">
        <v>1528.61</v>
      </c>
      <c r="M101" s="159">
        <v>0.5</v>
      </c>
      <c r="N101" s="160">
        <f t="shared" si="26"/>
        <v>39</v>
      </c>
      <c r="O101" s="161">
        <f t="shared" si="27"/>
        <v>2022</v>
      </c>
      <c r="P101" s="162">
        <f t="shared" si="28"/>
        <v>0</v>
      </c>
      <c r="Q101" s="163">
        <f t="shared" ref="Q101:Q114" si="32">IF(K101&lt;2011,L101-(J101-N101)*L101/J101,L101)</f>
        <v>1528.61</v>
      </c>
      <c r="R101" s="163">
        <f t="shared" ref="R101:R114" si="33">Q101*P101</f>
        <v>0</v>
      </c>
      <c r="S101" s="99"/>
    </row>
    <row r="102" spans="2:19" x14ac:dyDescent="0.25">
      <c r="B102" s="99" t="s">
        <v>525</v>
      </c>
      <c r="C102" s="99" t="s">
        <v>189</v>
      </c>
      <c r="D102" s="99" t="s">
        <v>351</v>
      </c>
      <c r="E102" s="99" t="s">
        <v>523</v>
      </c>
      <c r="F102" s="99" t="s">
        <v>340</v>
      </c>
      <c r="G102" s="108" t="str">
        <f t="shared" si="31"/>
        <v>Desinvesteringen AD</v>
      </c>
      <c r="H102" s="108">
        <f t="shared" si="25"/>
        <v>0</v>
      </c>
      <c r="I102" s="108">
        <f t="shared" si="25"/>
        <v>1</v>
      </c>
      <c r="J102" s="99">
        <v>39</v>
      </c>
      <c r="K102" s="99">
        <v>2009</v>
      </c>
      <c r="L102" s="99">
        <v>-21.998944781563154</v>
      </c>
      <c r="M102" s="159">
        <v>0.5</v>
      </c>
      <c r="N102" s="160">
        <f t="shared" si="26"/>
        <v>37.5</v>
      </c>
      <c r="O102" s="161">
        <f t="shared" si="27"/>
        <v>2011</v>
      </c>
      <c r="P102" s="162">
        <f t="shared" si="28"/>
        <v>1</v>
      </c>
      <c r="Q102" s="163">
        <f t="shared" si="32"/>
        <v>-21.152831520733802</v>
      </c>
      <c r="R102" s="163">
        <f t="shared" si="33"/>
        <v>-21.152831520733802</v>
      </c>
      <c r="S102" s="99"/>
    </row>
    <row r="103" spans="2:19" x14ac:dyDescent="0.25">
      <c r="B103" s="99" t="s">
        <v>525</v>
      </c>
      <c r="C103" s="99" t="s">
        <v>189</v>
      </c>
      <c r="D103" s="99" t="s">
        <v>351</v>
      </c>
      <c r="E103" s="99" t="s">
        <v>523</v>
      </c>
      <c r="F103" s="99" t="s">
        <v>340</v>
      </c>
      <c r="G103" s="108" t="str">
        <f t="shared" si="31"/>
        <v>Desinvesteringen AD</v>
      </c>
      <c r="H103" s="108">
        <f t="shared" si="25"/>
        <v>0</v>
      </c>
      <c r="I103" s="108">
        <f>IF($F103=I$24,1,0)</f>
        <v>1</v>
      </c>
      <c r="J103" s="99">
        <v>39</v>
      </c>
      <c r="K103" s="99">
        <v>2010</v>
      </c>
      <c r="L103" s="99">
        <v>35523.395834309136</v>
      </c>
      <c r="M103" s="159">
        <v>0.5</v>
      </c>
      <c r="N103" s="160">
        <f t="shared" si="26"/>
        <v>38.5</v>
      </c>
      <c r="O103" s="161">
        <f t="shared" si="27"/>
        <v>2011</v>
      </c>
      <c r="P103" s="162">
        <f t="shared" si="28"/>
        <v>1</v>
      </c>
      <c r="Q103" s="163">
        <f t="shared" si="32"/>
        <v>35067.967682587223</v>
      </c>
      <c r="R103" s="163">
        <f t="shared" si="33"/>
        <v>35067.967682587223</v>
      </c>
      <c r="S103" s="99"/>
    </row>
    <row r="104" spans="2:19" x14ac:dyDescent="0.25">
      <c r="B104" s="99" t="s">
        <v>525</v>
      </c>
      <c r="C104" s="99" t="s">
        <v>189</v>
      </c>
      <c r="D104" s="99" t="s">
        <v>351</v>
      </c>
      <c r="E104" s="99" t="s">
        <v>523</v>
      </c>
      <c r="F104" s="99" t="s">
        <v>340</v>
      </c>
      <c r="G104" s="108" t="str">
        <f t="shared" si="31"/>
        <v>Desinvesteringen AD</v>
      </c>
      <c r="H104" s="108">
        <f t="shared" si="25"/>
        <v>0</v>
      </c>
      <c r="I104" s="108">
        <f t="shared" si="25"/>
        <v>1</v>
      </c>
      <c r="J104" s="99">
        <v>39</v>
      </c>
      <c r="K104" s="99">
        <v>2011</v>
      </c>
      <c r="L104" s="99">
        <v>370726.00814211433</v>
      </c>
      <c r="M104" s="159">
        <v>0.5</v>
      </c>
      <c r="N104" s="160">
        <f t="shared" si="26"/>
        <v>39</v>
      </c>
      <c r="O104" s="161">
        <f t="shared" si="27"/>
        <v>2011</v>
      </c>
      <c r="P104" s="162">
        <f t="shared" si="28"/>
        <v>0</v>
      </c>
      <c r="Q104" s="163">
        <f t="shared" si="32"/>
        <v>370726.00814211433</v>
      </c>
      <c r="R104" s="163">
        <f t="shared" si="33"/>
        <v>0</v>
      </c>
      <c r="S104" s="99"/>
    </row>
    <row r="105" spans="2:19" x14ac:dyDescent="0.25">
      <c r="B105" s="99" t="s">
        <v>525</v>
      </c>
      <c r="C105" s="99" t="s">
        <v>189</v>
      </c>
      <c r="D105" s="99" t="s">
        <v>351</v>
      </c>
      <c r="E105" s="99" t="s">
        <v>523</v>
      </c>
      <c r="F105" s="99" t="s">
        <v>340</v>
      </c>
      <c r="G105" s="108" t="str">
        <f t="shared" si="31"/>
        <v>Desinvesteringen AD</v>
      </c>
      <c r="H105" s="108">
        <f t="shared" si="25"/>
        <v>0</v>
      </c>
      <c r="I105" s="108">
        <f t="shared" si="25"/>
        <v>1</v>
      </c>
      <c r="J105" s="99">
        <v>39</v>
      </c>
      <c r="K105" s="99">
        <v>2012</v>
      </c>
      <c r="L105" s="99">
        <v>14636.291359061381</v>
      </c>
      <c r="M105" s="159">
        <v>0.5</v>
      </c>
      <c r="N105" s="160">
        <f t="shared" si="26"/>
        <v>39</v>
      </c>
      <c r="O105" s="161">
        <f t="shared" si="27"/>
        <v>2012</v>
      </c>
      <c r="P105" s="162">
        <f t="shared" si="28"/>
        <v>0</v>
      </c>
      <c r="Q105" s="163">
        <f t="shared" si="32"/>
        <v>14636.291359061381</v>
      </c>
      <c r="R105" s="163">
        <f t="shared" si="33"/>
        <v>0</v>
      </c>
      <c r="S105" s="99"/>
    </row>
    <row r="106" spans="2:19" x14ac:dyDescent="0.25">
      <c r="B106" s="99" t="s">
        <v>525</v>
      </c>
      <c r="C106" s="99" t="s">
        <v>189</v>
      </c>
      <c r="D106" s="99" t="s">
        <v>351</v>
      </c>
      <c r="E106" s="99" t="s">
        <v>523</v>
      </c>
      <c r="F106" s="99" t="s">
        <v>340</v>
      </c>
      <c r="G106" s="108" t="str">
        <f t="shared" si="31"/>
        <v>Desinvesteringen AD</v>
      </c>
      <c r="H106" s="108">
        <f t="shared" si="25"/>
        <v>0</v>
      </c>
      <c r="I106" s="108">
        <f t="shared" si="25"/>
        <v>1</v>
      </c>
      <c r="J106" s="99">
        <v>39</v>
      </c>
      <c r="K106" s="99">
        <v>2013</v>
      </c>
      <c r="L106" s="99">
        <v>30383.726196561605</v>
      </c>
      <c r="M106" s="159">
        <v>0.5</v>
      </c>
      <c r="N106" s="160">
        <f t="shared" si="26"/>
        <v>39</v>
      </c>
      <c r="O106" s="161">
        <f t="shared" si="27"/>
        <v>2013</v>
      </c>
      <c r="P106" s="162">
        <f t="shared" si="28"/>
        <v>0</v>
      </c>
      <c r="Q106" s="163">
        <f t="shared" si="32"/>
        <v>30383.726196561605</v>
      </c>
      <c r="R106" s="163">
        <f t="shared" si="33"/>
        <v>0</v>
      </c>
      <c r="S106" s="99"/>
    </row>
    <row r="107" spans="2:19" x14ac:dyDescent="0.25">
      <c r="B107" s="99" t="s">
        <v>525</v>
      </c>
      <c r="C107" s="99" t="s">
        <v>189</v>
      </c>
      <c r="D107" s="99" t="s">
        <v>351</v>
      </c>
      <c r="E107" s="99" t="s">
        <v>523</v>
      </c>
      <c r="F107" s="99" t="s">
        <v>340</v>
      </c>
      <c r="G107" s="108" t="str">
        <f t="shared" si="31"/>
        <v>Desinvesteringen AD</v>
      </c>
      <c r="H107" s="108">
        <f t="shared" si="25"/>
        <v>0</v>
      </c>
      <c r="I107" s="108">
        <f t="shared" si="25"/>
        <v>1</v>
      </c>
      <c r="J107" s="99">
        <v>39</v>
      </c>
      <c r="K107" s="99">
        <v>2014</v>
      </c>
      <c r="L107" s="99">
        <v>28981.870397111918</v>
      </c>
      <c r="M107" s="159">
        <v>0.5</v>
      </c>
      <c r="N107" s="160">
        <f t="shared" si="26"/>
        <v>39</v>
      </c>
      <c r="O107" s="161">
        <f t="shared" si="27"/>
        <v>2014</v>
      </c>
      <c r="P107" s="162">
        <f t="shared" si="28"/>
        <v>0</v>
      </c>
      <c r="Q107" s="163">
        <f t="shared" si="32"/>
        <v>28981.870397111918</v>
      </c>
      <c r="R107" s="163">
        <f t="shared" si="33"/>
        <v>0</v>
      </c>
      <c r="S107" s="99"/>
    </row>
    <row r="108" spans="2:19" ht="12.75" customHeight="1" x14ac:dyDescent="0.25">
      <c r="B108" s="99" t="s">
        <v>525</v>
      </c>
      <c r="C108" s="99" t="s">
        <v>189</v>
      </c>
      <c r="D108" s="99" t="s">
        <v>351</v>
      </c>
      <c r="E108" s="99" t="s">
        <v>523</v>
      </c>
      <c r="F108" s="99" t="s">
        <v>340</v>
      </c>
      <c r="G108" s="108" t="str">
        <f t="shared" si="31"/>
        <v>Desinvesteringen AD</v>
      </c>
      <c r="H108" s="108">
        <f t="shared" si="25"/>
        <v>0</v>
      </c>
      <c r="I108" s="108">
        <f t="shared" si="25"/>
        <v>1</v>
      </c>
      <c r="J108" s="99">
        <v>39</v>
      </c>
      <c r="K108" s="99">
        <v>2015</v>
      </c>
      <c r="L108" s="99">
        <v>-5102.6134199862863</v>
      </c>
      <c r="M108" s="159">
        <v>0.5</v>
      </c>
      <c r="N108" s="160">
        <f t="shared" si="26"/>
        <v>39</v>
      </c>
      <c r="O108" s="161">
        <f t="shared" si="27"/>
        <v>2015</v>
      </c>
      <c r="P108" s="162">
        <f t="shared" si="28"/>
        <v>0</v>
      </c>
      <c r="Q108" s="163">
        <f t="shared" si="32"/>
        <v>-5102.6134199862863</v>
      </c>
      <c r="R108" s="163">
        <f t="shared" si="33"/>
        <v>0</v>
      </c>
      <c r="S108" s="99"/>
    </row>
    <row r="109" spans="2:19" ht="12.75" customHeight="1" x14ac:dyDescent="0.25">
      <c r="B109" s="99" t="s">
        <v>525</v>
      </c>
      <c r="C109" s="99" t="s">
        <v>189</v>
      </c>
      <c r="D109" s="99" t="s">
        <v>351</v>
      </c>
      <c r="E109" s="99" t="s">
        <v>523</v>
      </c>
      <c r="F109" s="99" t="s">
        <v>340</v>
      </c>
      <c r="G109" s="108" t="str">
        <f t="shared" si="31"/>
        <v>Desinvesteringen AD</v>
      </c>
      <c r="H109" s="108">
        <f t="shared" si="25"/>
        <v>0</v>
      </c>
      <c r="I109" s="108">
        <f t="shared" si="25"/>
        <v>1</v>
      </c>
      <c r="J109" s="99">
        <v>39</v>
      </c>
      <c r="K109" s="99">
        <v>2016</v>
      </c>
      <c r="L109" s="99">
        <v>5277.7416512214786</v>
      </c>
      <c r="M109" s="159">
        <v>0.5</v>
      </c>
      <c r="N109" s="160">
        <f t="shared" ref="N109:N115" si="34">IF(OR(J109=0,J109+K109+M109&lt;2011),0,MIN(J109,J109+M109+K109-2011))</f>
        <v>39</v>
      </c>
      <c r="O109" s="161">
        <f t="shared" ref="O109:O115" si="35">MAX(2011,K109)</f>
        <v>2016</v>
      </c>
      <c r="P109" s="162">
        <f t="shared" ref="P109:P115" si="36">IF(K109&lt;2011,IF(F109=$P$23,VLOOKUP(K109,$B$13:$H$19,7),1),0)</f>
        <v>0</v>
      </c>
      <c r="Q109" s="163">
        <f t="shared" si="32"/>
        <v>5277.7416512214786</v>
      </c>
      <c r="R109" s="163">
        <f t="shared" si="33"/>
        <v>0</v>
      </c>
      <c r="S109" s="99"/>
    </row>
    <row r="110" spans="2:19" ht="12.75" customHeight="1" x14ac:dyDescent="0.25">
      <c r="B110" s="99" t="s">
        <v>525</v>
      </c>
      <c r="C110" s="99" t="s">
        <v>189</v>
      </c>
      <c r="D110" s="99" t="s">
        <v>351</v>
      </c>
      <c r="E110" s="99" t="s">
        <v>523</v>
      </c>
      <c r="F110" s="99" t="s">
        <v>340</v>
      </c>
      <c r="G110" s="108" t="str">
        <f t="shared" si="31"/>
        <v>Desinvesteringen AD</v>
      </c>
      <c r="H110" s="108">
        <f t="shared" si="25"/>
        <v>0</v>
      </c>
      <c r="I110" s="108">
        <f t="shared" si="25"/>
        <v>1</v>
      </c>
      <c r="J110" s="99">
        <v>39</v>
      </c>
      <c r="K110" s="99">
        <v>2017</v>
      </c>
      <c r="L110" s="99">
        <v>1998.4472196023303</v>
      </c>
      <c r="M110" s="159">
        <v>0.5</v>
      </c>
      <c r="N110" s="160">
        <f t="shared" si="34"/>
        <v>39</v>
      </c>
      <c r="O110" s="161">
        <f t="shared" si="35"/>
        <v>2017</v>
      </c>
      <c r="P110" s="162">
        <f t="shared" si="36"/>
        <v>0</v>
      </c>
      <c r="Q110" s="163">
        <f t="shared" si="32"/>
        <v>1998.4472196023303</v>
      </c>
      <c r="R110" s="163">
        <f t="shared" si="33"/>
        <v>0</v>
      </c>
      <c r="S110" s="99"/>
    </row>
    <row r="111" spans="2:19" ht="12.75" customHeight="1" x14ac:dyDescent="0.25">
      <c r="B111" s="99" t="s">
        <v>525</v>
      </c>
      <c r="C111" s="99" t="s">
        <v>189</v>
      </c>
      <c r="D111" s="99" t="s">
        <v>351</v>
      </c>
      <c r="E111" s="99" t="s">
        <v>523</v>
      </c>
      <c r="F111" s="99" t="s">
        <v>340</v>
      </c>
      <c r="G111" s="108" t="str">
        <f t="shared" si="31"/>
        <v>Desinvesteringen AD</v>
      </c>
      <c r="H111" s="108">
        <f t="shared" ref="H111:I115" si="37">IF($F111=H$24,1,0)</f>
        <v>0</v>
      </c>
      <c r="I111" s="108">
        <f t="shared" si="37"/>
        <v>1</v>
      </c>
      <c r="J111" s="99">
        <v>39</v>
      </c>
      <c r="K111" s="99">
        <v>2018</v>
      </c>
      <c r="L111" s="99">
        <v>55230.430375216922</v>
      </c>
      <c r="M111" s="159">
        <v>0.5</v>
      </c>
      <c r="N111" s="160">
        <f t="shared" si="34"/>
        <v>39</v>
      </c>
      <c r="O111" s="161">
        <f t="shared" si="35"/>
        <v>2018</v>
      </c>
      <c r="P111" s="162">
        <f t="shared" si="36"/>
        <v>0</v>
      </c>
      <c r="Q111" s="163">
        <f t="shared" si="32"/>
        <v>55230.430375216922</v>
      </c>
      <c r="R111" s="163">
        <f t="shared" si="33"/>
        <v>0</v>
      </c>
      <c r="S111" s="99"/>
    </row>
    <row r="112" spans="2:19" ht="12.75" customHeight="1" x14ac:dyDescent="0.25">
      <c r="B112" s="99" t="s">
        <v>525</v>
      </c>
      <c r="C112" s="99" t="s">
        <v>189</v>
      </c>
      <c r="D112" s="99" t="s">
        <v>351</v>
      </c>
      <c r="E112" s="99" t="s">
        <v>523</v>
      </c>
      <c r="F112" s="99" t="s">
        <v>340</v>
      </c>
      <c r="G112" s="108" t="str">
        <f t="shared" si="31"/>
        <v>Desinvesteringen AD</v>
      </c>
      <c r="H112" s="108">
        <f t="shared" si="37"/>
        <v>0</v>
      </c>
      <c r="I112" s="108">
        <f t="shared" si="37"/>
        <v>1</v>
      </c>
      <c r="J112" s="99">
        <v>39</v>
      </c>
      <c r="K112" s="99">
        <v>2019</v>
      </c>
      <c r="L112" s="99">
        <v>77147.142320029758</v>
      </c>
      <c r="M112" s="159">
        <v>0.5</v>
      </c>
      <c r="N112" s="160">
        <f t="shared" si="34"/>
        <v>39</v>
      </c>
      <c r="O112" s="161">
        <f t="shared" si="35"/>
        <v>2019</v>
      </c>
      <c r="P112" s="162">
        <f t="shared" si="36"/>
        <v>0</v>
      </c>
      <c r="Q112" s="163">
        <f t="shared" si="32"/>
        <v>77147.142320029758</v>
      </c>
      <c r="R112" s="163">
        <f t="shared" si="33"/>
        <v>0</v>
      </c>
      <c r="S112" s="99"/>
    </row>
    <row r="113" spans="2:19" ht="12.75" customHeight="1" x14ac:dyDescent="0.25">
      <c r="B113" s="99" t="s">
        <v>525</v>
      </c>
      <c r="C113" s="99" t="s">
        <v>189</v>
      </c>
      <c r="D113" s="99" t="s">
        <v>351</v>
      </c>
      <c r="E113" s="99" t="s">
        <v>523</v>
      </c>
      <c r="F113" s="99" t="s">
        <v>340</v>
      </c>
      <c r="G113" s="108" t="str">
        <f t="shared" si="31"/>
        <v>Desinvesteringen AD</v>
      </c>
      <c r="H113" s="108">
        <f t="shared" si="37"/>
        <v>0</v>
      </c>
      <c r="I113" s="108">
        <f t="shared" si="37"/>
        <v>1</v>
      </c>
      <c r="J113" s="99">
        <v>39</v>
      </c>
      <c r="K113" s="99">
        <v>2020</v>
      </c>
      <c r="L113" s="99">
        <v>69151.017194130865</v>
      </c>
      <c r="M113" s="159">
        <v>0.5</v>
      </c>
      <c r="N113" s="160">
        <f t="shared" si="34"/>
        <v>39</v>
      </c>
      <c r="O113" s="161">
        <f t="shared" si="35"/>
        <v>2020</v>
      </c>
      <c r="P113" s="162">
        <f t="shared" si="36"/>
        <v>0</v>
      </c>
      <c r="Q113" s="163">
        <f t="shared" si="32"/>
        <v>69151.017194130865</v>
      </c>
      <c r="R113" s="163">
        <f t="shared" si="33"/>
        <v>0</v>
      </c>
      <c r="S113" s="99"/>
    </row>
    <row r="114" spans="2:19" ht="12.75" customHeight="1" x14ac:dyDescent="0.25">
      <c r="B114" s="99" t="s">
        <v>525</v>
      </c>
      <c r="C114" s="99" t="s">
        <v>189</v>
      </c>
      <c r="D114" s="99" t="s">
        <v>351</v>
      </c>
      <c r="E114" s="99" t="s">
        <v>523</v>
      </c>
      <c r="F114" s="99" t="s">
        <v>340</v>
      </c>
      <c r="G114" s="108" t="str">
        <f t="shared" si="31"/>
        <v>Desinvesteringen AD</v>
      </c>
      <c r="H114" s="108">
        <f t="shared" si="37"/>
        <v>0</v>
      </c>
      <c r="I114" s="108">
        <f t="shared" si="37"/>
        <v>1</v>
      </c>
      <c r="J114" s="99">
        <v>39</v>
      </c>
      <c r="K114" s="99">
        <v>2021</v>
      </c>
      <c r="L114" s="99">
        <v>68360.204411950486</v>
      </c>
      <c r="M114" s="159">
        <v>0.5</v>
      </c>
      <c r="N114" s="160">
        <f t="shared" si="34"/>
        <v>39</v>
      </c>
      <c r="O114" s="161">
        <f t="shared" si="35"/>
        <v>2021</v>
      </c>
      <c r="P114" s="162">
        <f t="shared" si="36"/>
        <v>0</v>
      </c>
      <c r="Q114" s="163">
        <f t="shared" si="32"/>
        <v>68360.204411950486</v>
      </c>
      <c r="R114" s="163">
        <f t="shared" si="33"/>
        <v>0</v>
      </c>
      <c r="S114" s="99"/>
    </row>
    <row r="115" spans="2:19" ht="12.75" customHeight="1" x14ac:dyDescent="0.25">
      <c r="B115" s="99" t="s">
        <v>525</v>
      </c>
      <c r="C115" s="99" t="s">
        <v>189</v>
      </c>
      <c r="D115" s="99" t="s">
        <v>351</v>
      </c>
      <c r="E115" s="99" t="s">
        <v>523</v>
      </c>
      <c r="F115" s="99" t="s">
        <v>340</v>
      </c>
      <c r="G115" s="108" t="str">
        <f t="shared" ref="G115" si="38">C115&amp;" "&amp;F115</f>
        <v>Desinvesteringen AD</v>
      </c>
      <c r="H115" s="108">
        <f t="shared" si="37"/>
        <v>0</v>
      </c>
      <c r="I115" s="108">
        <f t="shared" si="37"/>
        <v>1</v>
      </c>
      <c r="J115" s="99">
        <v>39</v>
      </c>
      <c r="K115" s="99">
        <v>2022</v>
      </c>
      <c r="L115" s="99">
        <v>43396.315010570826</v>
      </c>
      <c r="M115" s="159">
        <v>0.5</v>
      </c>
      <c r="N115" s="160">
        <f t="shared" si="34"/>
        <v>39</v>
      </c>
      <c r="O115" s="161">
        <f t="shared" si="35"/>
        <v>2022</v>
      </c>
      <c r="P115" s="162">
        <f t="shared" si="36"/>
        <v>0</v>
      </c>
      <c r="Q115" s="163">
        <f t="shared" ref="Q115" si="39">IF(K115&lt;2011,L115-(J115-N115)*L115/J115,L115)</f>
        <v>43396.315010570826</v>
      </c>
      <c r="R115" s="163">
        <f t="shared" ref="R115" si="40">Q115*P115</f>
        <v>0</v>
      </c>
      <c r="S115" s="99"/>
    </row>
  </sheetData>
  <phoneticPr fontId="61"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243E7-B747-457C-B6E7-4E84A601C31F}">
  <sheetPr>
    <tabColor rgb="FFE1FFE1"/>
  </sheetPr>
  <dimension ref="A1:U32"/>
  <sheetViews>
    <sheetView showGridLines="0" zoomScale="85" zoomScaleNormal="85" workbookViewId="0">
      <pane xSplit="6" ySplit="12" topLeftCell="G13" activePane="bottomRight" state="frozen"/>
      <selection activeCell="R103" sqref="Q90:R103"/>
      <selection pane="topRight" activeCell="R103" sqref="Q90:R103"/>
      <selection pane="bottomLeft" activeCell="R103" sqref="Q90:R103"/>
      <selection pane="bottomRight" activeCell="G13" sqref="G13"/>
    </sheetView>
  </sheetViews>
  <sheetFormatPr defaultColWidth="9.140625" defaultRowHeight="12.75" x14ac:dyDescent="0.25"/>
  <cols>
    <col min="1" max="1" width="4.7109375" style="101" customWidth="1"/>
    <col min="2" max="2" width="80" style="101" customWidth="1"/>
    <col min="3" max="3" width="1.85546875" style="101" customWidth="1"/>
    <col min="4" max="4" width="2.5703125" style="101" customWidth="1"/>
    <col min="5" max="5" width="2.42578125" style="101" customWidth="1"/>
    <col min="6" max="6" width="13" style="101" customWidth="1"/>
    <col min="7" max="7" width="2.42578125" style="101" customWidth="1"/>
    <col min="8" max="8" width="11.42578125" style="101" customWidth="1"/>
    <col min="9" max="9" width="2.42578125" style="101" customWidth="1"/>
    <col min="10" max="10" width="14" style="101" bestFit="1" customWidth="1"/>
    <col min="11" max="11" width="2.5703125" style="101" customWidth="1"/>
    <col min="12" max="17" width="14" style="101" customWidth="1"/>
    <col min="18" max="16384" width="9.140625" style="101"/>
  </cols>
  <sheetData>
    <row r="1" spans="2:21" s="2" customFormat="1" x14ac:dyDescent="0.25"/>
    <row r="2" spans="2:21" s="19" customFormat="1" ht="18" x14ac:dyDescent="0.25">
      <c r="B2" s="19" t="s">
        <v>733</v>
      </c>
    </row>
    <row r="3" spans="2:21" s="2" customFormat="1" x14ac:dyDescent="0.25"/>
    <row r="4" spans="2:21" s="2" customFormat="1" x14ac:dyDescent="0.25">
      <c r="B4" s="1" t="s">
        <v>30</v>
      </c>
      <c r="C4" s="1"/>
      <c r="D4" s="1"/>
    </row>
    <row r="5" spans="2:21" s="2" customFormat="1" x14ac:dyDescent="0.25">
      <c r="B5" s="2" t="s">
        <v>228</v>
      </c>
      <c r="H5" s="20"/>
    </row>
    <row r="6" spans="2:21" s="2" customFormat="1" x14ac:dyDescent="0.25">
      <c r="H6" s="20"/>
    </row>
    <row r="7" spans="2:21" s="2" customFormat="1" x14ac:dyDescent="0.25">
      <c r="B7" s="2" t="s">
        <v>526</v>
      </c>
      <c r="H7" s="20"/>
    </row>
    <row r="8" spans="2:21" s="2" customFormat="1" x14ac:dyDescent="0.25">
      <c r="B8" s="2" t="s">
        <v>216</v>
      </c>
      <c r="H8" s="20"/>
    </row>
    <row r="9" spans="2:21" s="2" customFormat="1" x14ac:dyDescent="0.25">
      <c r="B9" s="2" t="s">
        <v>186</v>
      </c>
      <c r="H9" s="20"/>
    </row>
    <row r="10" spans="2:21" s="2" customFormat="1" x14ac:dyDescent="0.25"/>
    <row r="11" spans="2:21" s="6" customFormat="1" x14ac:dyDescent="0.25">
      <c r="B11" s="6" t="s">
        <v>46</v>
      </c>
      <c r="F11" s="6" t="s">
        <v>28</v>
      </c>
      <c r="H11" s="6" t="s">
        <v>29</v>
      </c>
      <c r="J11" s="6" t="s">
        <v>50</v>
      </c>
      <c r="L11" s="6" t="s">
        <v>89</v>
      </c>
      <c r="M11" s="6" t="s">
        <v>66</v>
      </c>
      <c r="N11" s="6" t="s">
        <v>67</v>
      </c>
      <c r="O11" s="6" t="s">
        <v>68</v>
      </c>
      <c r="P11" s="6" t="s">
        <v>69</v>
      </c>
      <c r="Q11" s="6" t="s">
        <v>70</v>
      </c>
      <c r="S11" s="6" t="s">
        <v>47</v>
      </c>
      <c r="U11" s="6" t="s">
        <v>48</v>
      </c>
    </row>
    <row r="12" spans="2:21" s="2" customFormat="1" x14ac:dyDescent="0.25"/>
    <row r="13" spans="2:21" s="2" customFormat="1" x14ac:dyDescent="0.25"/>
    <row r="14" spans="2:21" s="6" customFormat="1" x14ac:dyDescent="0.25">
      <c r="B14" s="6" t="s">
        <v>189</v>
      </c>
    </row>
    <row r="15" spans="2:21" s="2" customFormat="1" x14ac:dyDescent="0.25"/>
    <row r="16" spans="2:21" s="2" customFormat="1" x14ac:dyDescent="0.25">
      <c r="B16" s="1" t="s">
        <v>225</v>
      </c>
    </row>
    <row r="17" spans="1:19" s="2" customFormat="1" x14ac:dyDescent="0.25">
      <c r="B17" s="2" t="s">
        <v>165</v>
      </c>
      <c r="F17" s="2" t="s">
        <v>187</v>
      </c>
      <c r="L17" s="99">
        <v>15490.305004419772</v>
      </c>
      <c r="M17" s="99">
        <v>0</v>
      </c>
      <c r="N17" s="99">
        <v>951006.90913859254</v>
      </c>
      <c r="O17" s="99">
        <v>0</v>
      </c>
      <c r="P17" s="99">
        <v>0</v>
      </c>
      <c r="Q17" s="99">
        <v>0</v>
      </c>
      <c r="S17" s="2" t="s">
        <v>314</v>
      </c>
    </row>
    <row r="18" spans="1:19" s="2" customFormat="1" x14ac:dyDescent="0.25">
      <c r="B18" s="2" t="s">
        <v>134</v>
      </c>
      <c r="F18" s="2" t="s">
        <v>187</v>
      </c>
      <c r="L18" s="99">
        <v>197573.01711176615</v>
      </c>
      <c r="M18" s="99">
        <v>0</v>
      </c>
      <c r="N18" s="99">
        <v>2238248.8327949201</v>
      </c>
      <c r="O18" s="99">
        <v>83867.688045710354</v>
      </c>
      <c r="P18" s="99">
        <v>597079.81353998184</v>
      </c>
      <c r="Q18" s="99">
        <v>0</v>
      </c>
      <c r="S18" s="2" t="s">
        <v>314</v>
      </c>
    </row>
    <row r="19" spans="1:19" s="2" customFormat="1" x14ac:dyDescent="0.25"/>
    <row r="20" spans="1:19" s="6" customFormat="1" x14ac:dyDescent="0.25">
      <c r="B20" s="6" t="s">
        <v>190</v>
      </c>
    </row>
    <row r="21" spans="1:19" s="2" customFormat="1" x14ac:dyDescent="0.25">
      <c r="L21" s="85"/>
      <c r="M21" s="85"/>
      <c r="N21" s="85"/>
      <c r="O21" s="85"/>
      <c r="P21" s="85"/>
      <c r="Q21" s="85"/>
    </row>
    <row r="22" spans="1:19" s="2" customFormat="1" x14ac:dyDescent="0.25">
      <c r="B22" s="1" t="s">
        <v>226</v>
      </c>
      <c r="L22" s="85"/>
      <c r="M22" s="85"/>
      <c r="N22" s="85"/>
      <c r="O22" s="85"/>
      <c r="P22" s="85"/>
      <c r="Q22" s="85"/>
    </row>
    <row r="23" spans="1:19" s="2" customFormat="1" x14ac:dyDescent="0.25">
      <c r="B23" s="2" t="s">
        <v>165</v>
      </c>
      <c r="F23" s="2" t="s">
        <v>529</v>
      </c>
      <c r="L23" s="99">
        <v>0</v>
      </c>
      <c r="M23" s="99">
        <v>0</v>
      </c>
      <c r="N23" s="99">
        <v>0</v>
      </c>
      <c r="O23" s="99">
        <v>0</v>
      </c>
      <c r="P23" s="99">
        <v>0</v>
      </c>
      <c r="Q23" s="99">
        <v>0</v>
      </c>
      <c r="S23" s="2" t="s">
        <v>527</v>
      </c>
    </row>
    <row r="24" spans="1:19" s="2" customFormat="1" x14ac:dyDescent="0.25">
      <c r="B24" s="2" t="s">
        <v>134</v>
      </c>
      <c r="F24" s="2" t="s">
        <v>529</v>
      </c>
      <c r="L24" s="99">
        <v>0</v>
      </c>
      <c r="M24" s="99">
        <v>0</v>
      </c>
      <c r="N24" s="99">
        <v>0</v>
      </c>
      <c r="O24" s="99">
        <v>0</v>
      </c>
      <c r="P24" s="99">
        <v>0</v>
      </c>
      <c r="Q24" s="99">
        <v>0</v>
      </c>
      <c r="S24" s="2" t="s">
        <v>528</v>
      </c>
    </row>
    <row r="25" spans="1:19" s="2" customFormat="1" x14ac:dyDescent="0.25"/>
    <row r="26" spans="1:19" s="2" customFormat="1" x14ac:dyDescent="0.25">
      <c r="B26" s="1" t="s">
        <v>188</v>
      </c>
    </row>
    <row r="27" spans="1:19" s="2" customFormat="1" x14ac:dyDescent="0.25">
      <c r="B27" s="2" t="s">
        <v>237</v>
      </c>
      <c r="F27" s="2" t="s">
        <v>529</v>
      </c>
      <c r="L27" s="99">
        <v>19638</v>
      </c>
      <c r="M27" s="99">
        <v>0</v>
      </c>
      <c r="N27" s="99">
        <v>1177056.3599999999</v>
      </c>
      <c r="O27" s="99">
        <v>22953.81</v>
      </c>
      <c r="P27" s="99">
        <v>0</v>
      </c>
      <c r="Q27" s="99">
        <v>17704.769999999997</v>
      </c>
      <c r="S27" s="2" t="s">
        <v>503</v>
      </c>
    </row>
    <row r="28" spans="1:19" s="2" customFormat="1" x14ac:dyDescent="0.25"/>
    <row r="29" spans="1:19" s="6" customFormat="1" x14ac:dyDescent="0.25">
      <c r="B29" s="6" t="s">
        <v>191</v>
      </c>
    </row>
    <row r="31" spans="1:19" s="2" customFormat="1" x14ac:dyDescent="0.25">
      <c r="A31" s="101"/>
      <c r="B31" s="2" t="s">
        <v>192</v>
      </c>
      <c r="F31" s="2" t="s">
        <v>193</v>
      </c>
      <c r="H31" s="113">
        <v>1.149628433713165</v>
      </c>
      <c r="S31" s="2" t="s">
        <v>313</v>
      </c>
    </row>
    <row r="32" spans="1:19" x14ac:dyDescent="0.25">
      <c r="B32" s="2" t="s">
        <v>530</v>
      </c>
      <c r="F32" s="2" t="s">
        <v>193</v>
      </c>
      <c r="H32" s="113">
        <v>1.0345798797298151</v>
      </c>
      <c r="S32" s="2" t="s">
        <v>683</v>
      </c>
    </row>
  </sheetData>
  <phoneticPr fontId="6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7534-0847-4C26-A09F-CC96126FC10D}">
  <sheetPr>
    <tabColor rgb="FFE1FFE1"/>
  </sheetPr>
  <dimension ref="A2:V31"/>
  <sheetViews>
    <sheetView showGridLines="0" zoomScale="80" zoomScaleNormal="80" workbookViewId="0">
      <pane xSplit="6" ySplit="11" topLeftCell="G12" activePane="bottomRight" state="frozen"/>
      <selection activeCell="T16" sqref="T16"/>
      <selection pane="topRight" activeCell="T16" sqref="T16"/>
      <selection pane="bottomLeft" activeCell="T16" sqref="T16"/>
      <selection pane="bottomRight" activeCell="G12" sqref="G12"/>
    </sheetView>
  </sheetViews>
  <sheetFormatPr defaultColWidth="9.140625" defaultRowHeight="12.75" x14ac:dyDescent="0.25"/>
  <cols>
    <col min="1" max="1" width="4" style="2" customWidth="1"/>
    <col min="2" max="2" width="96.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3.28515625" style="2" customWidth="1"/>
    <col min="18" max="19" width="2.7109375" style="2" customWidth="1"/>
    <col min="20" max="20" width="24.710937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2:22" s="19" customFormat="1" ht="18" x14ac:dyDescent="0.25">
      <c r="B2" s="19" t="s">
        <v>147</v>
      </c>
    </row>
    <row r="4" spans="2:22" x14ac:dyDescent="0.25">
      <c r="B4" s="1" t="s">
        <v>30</v>
      </c>
      <c r="C4" s="1"/>
      <c r="D4" s="1"/>
    </row>
    <row r="5" spans="2:22" x14ac:dyDescent="0.25">
      <c r="B5" s="2" t="s">
        <v>414</v>
      </c>
      <c r="H5" s="20"/>
    </row>
    <row r="7" spans="2:22" x14ac:dyDescent="0.25">
      <c r="B7" s="4" t="s">
        <v>169</v>
      </c>
    </row>
    <row r="8" spans="2:22" ht="28.5" customHeight="1" x14ac:dyDescent="0.25">
      <c r="B8" s="261" t="s">
        <v>648</v>
      </c>
      <c r="C8" s="261"/>
      <c r="D8" s="261"/>
      <c r="E8" s="261"/>
      <c r="F8" s="261"/>
      <c r="G8" s="261"/>
      <c r="H8" s="261"/>
      <c r="I8" s="261"/>
      <c r="J8" s="261"/>
      <c r="K8" s="261"/>
      <c r="L8" s="261"/>
      <c r="M8" s="238"/>
    </row>
    <row r="9" spans="2:22" ht="15" customHeight="1" x14ac:dyDescent="0.25"/>
    <row r="10" spans="2:22" s="6" customFormat="1" x14ac:dyDescent="0.25">
      <c r="B10" s="6" t="s">
        <v>46</v>
      </c>
      <c r="F10" s="6" t="s">
        <v>28</v>
      </c>
      <c r="H10" s="6" t="s">
        <v>29</v>
      </c>
      <c r="J10" s="6" t="s">
        <v>50</v>
      </c>
      <c r="L10" s="6" t="s">
        <v>89</v>
      </c>
      <c r="M10" s="6" t="s">
        <v>66</v>
      </c>
      <c r="N10" s="6" t="s">
        <v>67</v>
      </c>
      <c r="O10" s="6" t="s">
        <v>68</v>
      </c>
      <c r="P10" s="6" t="s">
        <v>69</v>
      </c>
      <c r="Q10" s="6" t="s">
        <v>70</v>
      </c>
      <c r="T10" s="6" t="s">
        <v>47</v>
      </c>
      <c r="V10" s="6" t="s">
        <v>48</v>
      </c>
    </row>
    <row r="13" spans="2:22" s="6" customFormat="1" x14ac:dyDescent="0.25">
      <c r="B13" s="6" t="s">
        <v>148</v>
      </c>
      <c r="L13" s="96"/>
      <c r="M13" s="96"/>
      <c r="N13" s="96"/>
      <c r="O13" s="96"/>
      <c r="P13" s="96"/>
      <c r="Q13" s="96"/>
    </row>
    <row r="14" spans="2:22" x14ac:dyDescent="0.25">
      <c r="L14" s="85"/>
      <c r="M14" s="85"/>
      <c r="N14" s="85"/>
      <c r="O14" s="85"/>
      <c r="P14" s="85"/>
      <c r="Q14" s="85"/>
    </row>
    <row r="15" spans="2:22" x14ac:dyDescent="0.25">
      <c r="B15" s="47" t="s">
        <v>149</v>
      </c>
      <c r="L15" s="85"/>
      <c r="M15" s="85"/>
      <c r="N15" s="85"/>
      <c r="O15" s="85"/>
      <c r="P15" s="85"/>
      <c r="Q15" s="85"/>
    </row>
    <row r="16" spans="2:22" x14ac:dyDescent="0.2">
      <c r="B16" s="90" t="s">
        <v>158</v>
      </c>
      <c r="F16" s="91" t="s">
        <v>71</v>
      </c>
      <c r="J16" s="40">
        <f>SUM(L16:Q16)</f>
        <v>959</v>
      </c>
      <c r="L16" s="99">
        <v>42</v>
      </c>
      <c r="M16" s="99">
        <v>0</v>
      </c>
      <c r="N16" s="99">
        <v>166</v>
      </c>
      <c r="O16" s="99">
        <v>10</v>
      </c>
      <c r="P16" s="99">
        <v>709</v>
      </c>
      <c r="Q16" s="99">
        <v>32</v>
      </c>
      <c r="T16" s="2" t="s">
        <v>503</v>
      </c>
    </row>
    <row r="17" spans="1:20" x14ac:dyDescent="0.2">
      <c r="B17" s="90" t="s">
        <v>159</v>
      </c>
      <c r="F17" s="210" t="s">
        <v>142</v>
      </c>
      <c r="J17" s="40">
        <f>SUM(L17:Q17)</f>
        <v>1763947.8170279386</v>
      </c>
      <c r="L17" s="99">
        <v>63995</v>
      </c>
      <c r="M17" s="99">
        <v>0</v>
      </c>
      <c r="N17" s="99">
        <v>166238.33765503002</v>
      </c>
      <c r="O17" s="99">
        <v>7282.85</v>
      </c>
      <c r="P17" s="99">
        <v>1519693.5493729084</v>
      </c>
      <c r="Q17" s="99">
        <v>6738.079999999999</v>
      </c>
      <c r="T17" s="2" t="s">
        <v>503</v>
      </c>
    </row>
    <row r="18" spans="1:20" x14ac:dyDescent="0.25">
      <c r="B18" s="47"/>
      <c r="C18" s="80"/>
      <c r="D18" s="80"/>
      <c r="E18" s="80"/>
      <c r="F18" s="80"/>
      <c r="G18" s="80"/>
      <c r="H18" s="80"/>
      <c r="I18" s="80"/>
      <c r="L18" s="85"/>
      <c r="M18" s="85"/>
      <c r="N18" s="85"/>
      <c r="O18" s="85"/>
      <c r="P18" s="85"/>
      <c r="Q18" s="85"/>
      <c r="S18" s="80"/>
    </row>
    <row r="19" spans="1:20" x14ac:dyDescent="0.25">
      <c r="B19" s="47" t="s">
        <v>150</v>
      </c>
      <c r="L19" s="85"/>
      <c r="M19" s="85"/>
      <c r="N19" s="85"/>
      <c r="O19" s="85"/>
      <c r="P19" s="85"/>
      <c r="Q19" s="85"/>
    </row>
    <row r="20" spans="1:20" x14ac:dyDescent="0.2">
      <c r="B20" s="90" t="s">
        <v>158</v>
      </c>
      <c r="F20" s="91" t="s">
        <v>71</v>
      </c>
      <c r="J20" s="40">
        <f>SUM(L20:Q20)</f>
        <v>904</v>
      </c>
      <c r="L20" s="99">
        <v>0</v>
      </c>
      <c r="M20" s="99">
        <v>0</v>
      </c>
      <c r="N20" s="99">
        <v>112</v>
      </c>
      <c r="O20" s="99">
        <v>1</v>
      </c>
      <c r="P20" s="99">
        <v>791</v>
      </c>
      <c r="Q20" s="99">
        <v>0</v>
      </c>
      <c r="T20" s="2" t="s">
        <v>503</v>
      </c>
    </row>
    <row r="21" spans="1:20" x14ac:dyDescent="0.2">
      <c r="B21" s="90" t="s">
        <v>159</v>
      </c>
      <c r="F21" s="210" t="s">
        <v>142</v>
      </c>
      <c r="J21" s="40">
        <f t="shared" ref="J21" si="0">SUM(L21:Q21)</f>
        <v>419177.96142473165</v>
      </c>
      <c r="L21" s="99">
        <v>0</v>
      </c>
      <c r="M21" s="99">
        <v>0</v>
      </c>
      <c r="N21" s="99">
        <v>62170.840797639161</v>
      </c>
      <c r="O21" s="99">
        <v>130.72</v>
      </c>
      <c r="P21" s="99">
        <v>356876.40062709252</v>
      </c>
      <c r="Q21" s="99">
        <v>0</v>
      </c>
      <c r="T21" s="2" t="s">
        <v>503</v>
      </c>
    </row>
    <row r="23" spans="1:20" s="6" customFormat="1" x14ac:dyDescent="0.25">
      <c r="B23" s="6" t="s">
        <v>168</v>
      </c>
      <c r="L23" s="96"/>
      <c r="M23" s="96"/>
      <c r="N23" s="96"/>
      <c r="O23" s="96"/>
      <c r="P23" s="96"/>
      <c r="Q23" s="96"/>
    </row>
    <row r="25" spans="1:20" x14ac:dyDescent="0.2">
      <c r="B25" s="2" t="s">
        <v>299</v>
      </c>
      <c r="F25" s="148" t="s">
        <v>106</v>
      </c>
      <c r="J25" s="40">
        <f t="shared" ref="J25" si="1">SUM(L25:Q25)</f>
        <v>480517.05016735999</v>
      </c>
      <c r="L25" s="99">
        <v>51201.018277919997</v>
      </c>
      <c r="M25" s="99">
        <v>0</v>
      </c>
      <c r="N25" s="99">
        <v>429316.03188944003</v>
      </c>
      <c r="O25" s="99">
        <v>0</v>
      </c>
      <c r="P25" s="99">
        <v>0</v>
      </c>
      <c r="Q25" s="99">
        <v>0</v>
      </c>
      <c r="T25" s="2" t="s">
        <v>309</v>
      </c>
    </row>
    <row r="26" spans="1:20" x14ac:dyDescent="0.2">
      <c r="F26" s="148"/>
    </row>
    <row r="27" spans="1:20" s="132" customFormat="1" ht="12" customHeight="1" x14ac:dyDescent="0.25">
      <c r="A27" s="2"/>
      <c r="B27" s="90" t="s">
        <v>300</v>
      </c>
      <c r="F27" s="132" t="s">
        <v>71</v>
      </c>
      <c r="J27" s="108">
        <f>SUM(L27:Q27)</f>
        <v>829798182.34168494</v>
      </c>
      <c r="K27" s="2"/>
      <c r="L27" s="99">
        <v>16401680.494385676</v>
      </c>
      <c r="M27" s="99">
        <v>266533758.56356135</v>
      </c>
      <c r="N27" s="99">
        <v>285455588.10709691</v>
      </c>
      <c r="O27" s="99">
        <v>12040239.024494292</v>
      </c>
      <c r="P27" s="99">
        <v>235138144.63941851</v>
      </c>
      <c r="Q27" s="99">
        <v>14228771.512728186</v>
      </c>
      <c r="T27" s="2" t="s">
        <v>288</v>
      </c>
    </row>
    <row r="29" spans="1:20" s="6" customFormat="1" x14ac:dyDescent="0.25">
      <c r="B29" s="6" t="s">
        <v>495</v>
      </c>
      <c r="L29" s="96"/>
      <c r="M29" s="96"/>
      <c r="N29" s="96"/>
      <c r="O29" s="96"/>
      <c r="P29" s="96"/>
      <c r="Q29" s="96"/>
    </row>
    <row r="31" spans="1:20" x14ac:dyDescent="0.25">
      <c r="B31" s="2" t="s">
        <v>496</v>
      </c>
      <c r="F31" s="2" t="s">
        <v>142</v>
      </c>
      <c r="J31" s="108">
        <f>SUM(L31:Q31)</f>
        <v>17642857.687051609</v>
      </c>
      <c r="L31" s="99">
        <v>393921.27045591816</v>
      </c>
      <c r="M31" s="99">
        <v>5356376.4892118825</v>
      </c>
      <c r="N31" s="99">
        <v>7039812.5343119223</v>
      </c>
      <c r="O31" s="99">
        <v>360459.27892950643</v>
      </c>
      <c r="P31" s="99">
        <v>4430722.3328737915</v>
      </c>
      <c r="Q31" s="99">
        <v>61565.781268589002</v>
      </c>
      <c r="T31" s="2" t="s">
        <v>707</v>
      </c>
    </row>
  </sheetData>
  <mergeCells count="1">
    <mergeCell ref="B8:L8"/>
  </mergeCells>
  <phoneticPr fontId="61"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1E08-9C5A-4715-A1D4-7B13D58894AA}">
  <sheetPr>
    <tabColor rgb="FFE1FFE1"/>
  </sheetPr>
  <dimension ref="B2:V24"/>
  <sheetViews>
    <sheetView showGridLines="0" zoomScale="85" zoomScaleNormal="85" workbookViewId="0">
      <pane xSplit="6" ySplit="8" topLeftCell="G9" activePane="bottomRight" state="frozen"/>
      <selection activeCell="T16" sqref="T16"/>
      <selection pane="topRight" activeCell="T16" sqref="T16"/>
      <selection pane="bottomLeft" activeCell="T16" sqref="T16"/>
      <selection pane="bottomRight" activeCell="G9" sqref="G9"/>
    </sheetView>
  </sheetViews>
  <sheetFormatPr defaultColWidth="9.140625" defaultRowHeight="12.75" x14ac:dyDescent="0.25"/>
  <cols>
    <col min="1" max="1" width="4" style="2" customWidth="1"/>
    <col min="2" max="2" width="76.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3.28515625" style="2" customWidth="1"/>
    <col min="18" max="19" width="2.7109375" style="2" customWidth="1"/>
    <col min="20" max="20" width="24.710937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2:22" s="19" customFormat="1" ht="18" x14ac:dyDescent="0.25">
      <c r="B2" s="19" t="s">
        <v>504</v>
      </c>
    </row>
    <row r="4" spans="2:22" x14ac:dyDescent="0.25">
      <c r="B4" s="1" t="s">
        <v>30</v>
      </c>
      <c r="C4" s="1"/>
      <c r="D4" s="1"/>
    </row>
    <row r="5" spans="2:22" x14ac:dyDescent="0.25">
      <c r="B5" s="2" t="s">
        <v>170</v>
      </c>
      <c r="H5" s="20"/>
    </row>
    <row r="7" spans="2:22" s="6" customFormat="1" x14ac:dyDescent="0.25">
      <c r="B7" s="6" t="s">
        <v>46</v>
      </c>
      <c r="F7" s="6" t="s">
        <v>28</v>
      </c>
      <c r="H7" s="6" t="s">
        <v>29</v>
      </c>
      <c r="J7" s="6" t="s">
        <v>50</v>
      </c>
      <c r="L7" s="6" t="s">
        <v>89</v>
      </c>
      <c r="M7" s="6" t="s">
        <v>66</v>
      </c>
      <c r="N7" s="6" t="s">
        <v>67</v>
      </c>
      <c r="O7" s="6" t="s">
        <v>68</v>
      </c>
      <c r="P7" s="6" t="s">
        <v>69</v>
      </c>
      <c r="Q7" s="6" t="s">
        <v>70</v>
      </c>
      <c r="T7" s="6" t="s">
        <v>47</v>
      </c>
      <c r="V7" s="6" t="s">
        <v>48</v>
      </c>
    </row>
    <row r="10" spans="2:22" s="6" customFormat="1" x14ac:dyDescent="0.25">
      <c r="B10" s="6" t="s">
        <v>148</v>
      </c>
      <c r="L10" s="96"/>
      <c r="M10" s="96"/>
      <c r="N10" s="96"/>
      <c r="O10" s="96"/>
      <c r="P10" s="96"/>
      <c r="Q10" s="96"/>
    </row>
    <row r="11" spans="2:22" x14ac:dyDescent="0.25">
      <c r="L11" s="85"/>
      <c r="M11" s="85"/>
      <c r="N11" s="85"/>
      <c r="O11" s="85"/>
      <c r="P11" s="85"/>
      <c r="Q11" s="85"/>
    </row>
    <row r="12" spans="2:22" x14ac:dyDescent="0.25">
      <c r="B12" s="47" t="s">
        <v>171</v>
      </c>
      <c r="L12" s="85"/>
      <c r="M12" s="85"/>
      <c r="N12" s="85"/>
      <c r="O12" s="85"/>
      <c r="P12" s="85"/>
      <c r="Q12" s="85"/>
    </row>
    <row r="13" spans="2:22" x14ac:dyDescent="0.2">
      <c r="B13" s="90" t="s">
        <v>173</v>
      </c>
      <c r="F13" s="91" t="s">
        <v>71</v>
      </c>
      <c r="J13" s="40">
        <f>SUM(L13:Q13)</f>
        <v>78</v>
      </c>
      <c r="L13" s="99">
        <v>0</v>
      </c>
      <c r="M13" s="99">
        <v>0</v>
      </c>
      <c r="N13" s="99">
        <v>18</v>
      </c>
      <c r="O13" s="99">
        <v>0</v>
      </c>
      <c r="P13" s="99">
        <v>60</v>
      </c>
      <c r="Q13" s="99">
        <v>0</v>
      </c>
      <c r="T13" s="2" t="s">
        <v>503</v>
      </c>
    </row>
    <row r="14" spans="2:22" x14ac:dyDescent="0.2">
      <c r="B14" s="90" t="s">
        <v>174</v>
      </c>
      <c r="F14" s="215" t="s">
        <v>142</v>
      </c>
      <c r="J14" s="40">
        <f>SUM(L14:Q14)</f>
        <v>532250.99890616699</v>
      </c>
      <c r="L14" s="99">
        <v>0</v>
      </c>
      <c r="M14" s="99">
        <v>0</v>
      </c>
      <c r="N14" s="99">
        <v>228360.70999999996</v>
      </c>
      <c r="O14" s="99">
        <v>0</v>
      </c>
      <c r="P14" s="99">
        <v>303890.28890616697</v>
      </c>
      <c r="Q14" s="99">
        <v>0</v>
      </c>
      <c r="T14" s="2" t="s">
        <v>503</v>
      </c>
    </row>
    <row r="15" spans="2:22" x14ac:dyDescent="0.2">
      <c r="B15" s="90"/>
      <c r="F15" s="111"/>
    </row>
    <row r="16" spans="2:22" x14ac:dyDescent="0.2">
      <c r="B16" s="90" t="s">
        <v>175</v>
      </c>
      <c r="F16" s="91" t="s">
        <v>71</v>
      </c>
      <c r="J16" s="40">
        <f>SUM(L16:Q16)</f>
        <v>477</v>
      </c>
      <c r="L16" s="99">
        <v>0</v>
      </c>
      <c r="M16" s="99">
        <v>0</v>
      </c>
      <c r="N16" s="99">
        <v>257</v>
      </c>
      <c r="O16" s="99">
        <v>0</v>
      </c>
      <c r="P16" s="99">
        <v>220</v>
      </c>
      <c r="Q16" s="99">
        <v>0</v>
      </c>
      <c r="T16" s="2" t="s">
        <v>503</v>
      </c>
    </row>
    <row r="17" spans="2:20" x14ac:dyDescent="0.2">
      <c r="B17" s="90" t="s">
        <v>214</v>
      </c>
      <c r="C17" s="80"/>
      <c r="D17" s="80"/>
      <c r="E17" s="80"/>
      <c r="F17" s="215" t="s">
        <v>142</v>
      </c>
      <c r="G17" s="80"/>
      <c r="H17" s="80"/>
      <c r="I17" s="80"/>
      <c r="J17" s="40">
        <f>SUM(L17:Q17)</f>
        <v>63404.441093833462</v>
      </c>
      <c r="K17" s="80"/>
      <c r="L17" s="99">
        <v>0</v>
      </c>
      <c r="M17" s="99">
        <v>0</v>
      </c>
      <c r="N17" s="99">
        <v>29502.289999999997</v>
      </c>
      <c r="O17" s="99">
        <v>0</v>
      </c>
      <c r="P17" s="99">
        <v>33902.151093833461</v>
      </c>
      <c r="Q17" s="99">
        <v>0</v>
      </c>
      <c r="S17" s="80"/>
      <c r="T17" s="2" t="s">
        <v>503</v>
      </c>
    </row>
    <row r="18" spans="2:20" x14ac:dyDescent="0.25">
      <c r="B18" s="47"/>
      <c r="C18" s="80"/>
      <c r="D18" s="80"/>
      <c r="E18" s="80"/>
      <c r="F18" s="80"/>
      <c r="G18" s="80"/>
      <c r="H18" s="80"/>
      <c r="I18" s="80"/>
      <c r="L18" s="85"/>
      <c r="M18" s="85"/>
      <c r="N18" s="85"/>
      <c r="O18" s="85"/>
      <c r="P18" s="85"/>
      <c r="Q18" s="85"/>
      <c r="S18" s="80"/>
    </row>
    <row r="19" spans="2:20" x14ac:dyDescent="0.25">
      <c r="B19" s="47" t="s">
        <v>172</v>
      </c>
      <c r="L19" s="85"/>
      <c r="M19" s="85"/>
      <c r="N19" s="85"/>
      <c r="O19" s="85"/>
      <c r="P19" s="85"/>
      <c r="Q19" s="85"/>
    </row>
    <row r="20" spans="2:20" x14ac:dyDescent="0.2">
      <c r="B20" s="90" t="s">
        <v>173</v>
      </c>
      <c r="F20" s="91" t="s">
        <v>71</v>
      </c>
      <c r="J20" s="40">
        <f>SUM(L20:Q20)</f>
        <v>75</v>
      </c>
      <c r="L20" s="99">
        <v>0</v>
      </c>
      <c r="M20" s="99">
        <v>0</v>
      </c>
      <c r="N20" s="99">
        <v>13</v>
      </c>
      <c r="O20" s="99">
        <v>0</v>
      </c>
      <c r="P20" s="99">
        <v>0</v>
      </c>
      <c r="Q20" s="99">
        <v>62</v>
      </c>
      <c r="T20" s="2" t="s">
        <v>503</v>
      </c>
    </row>
    <row r="21" spans="2:20" x14ac:dyDescent="0.2">
      <c r="B21" s="90" t="s">
        <v>174</v>
      </c>
      <c r="F21" s="215" t="s">
        <v>142</v>
      </c>
      <c r="J21" s="40">
        <f t="shared" ref="J21" si="0">SUM(L21:Q21)</f>
        <v>335703.89</v>
      </c>
      <c r="L21" s="99">
        <v>0</v>
      </c>
      <c r="M21" s="99">
        <v>0</v>
      </c>
      <c r="N21" s="99">
        <v>188359.87</v>
      </c>
      <c r="O21" s="99">
        <v>0</v>
      </c>
      <c r="P21" s="99">
        <v>0</v>
      </c>
      <c r="Q21" s="99">
        <v>147344.02000000005</v>
      </c>
      <c r="T21" s="2" t="s">
        <v>503</v>
      </c>
    </row>
    <row r="22" spans="2:20" x14ac:dyDescent="0.2">
      <c r="B22" s="90"/>
      <c r="F22" s="111"/>
    </row>
    <row r="23" spans="2:20" x14ac:dyDescent="0.2">
      <c r="B23" s="90" t="s">
        <v>175</v>
      </c>
      <c r="F23" s="91" t="s">
        <v>71</v>
      </c>
      <c r="J23" s="40">
        <f>SUM(L23:Q23)</f>
        <v>31</v>
      </c>
      <c r="L23" s="99">
        <v>0</v>
      </c>
      <c r="M23" s="99">
        <v>0</v>
      </c>
      <c r="N23" s="99">
        <v>31</v>
      </c>
      <c r="O23" s="99">
        <v>0</v>
      </c>
      <c r="P23" s="99">
        <v>0</v>
      </c>
      <c r="Q23" s="99">
        <v>0</v>
      </c>
      <c r="T23" s="2" t="s">
        <v>503</v>
      </c>
    </row>
    <row r="24" spans="2:20" x14ac:dyDescent="0.2">
      <c r="B24" s="90" t="s">
        <v>214</v>
      </c>
      <c r="C24" s="80"/>
      <c r="D24" s="80"/>
      <c r="E24" s="80"/>
      <c r="F24" s="215" t="s">
        <v>142</v>
      </c>
      <c r="J24" s="40">
        <f t="shared" ref="J24" si="1">SUM(L24:Q24)</f>
        <v>4247.4799999999996</v>
      </c>
      <c r="L24" s="99">
        <v>0</v>
      </c>
      <c r="M24" s="99">
        <v>0</v>
      </c>
      <c r="N24" s="99">
        <v>4247.4799999999996</v>
      </c>
      <c r="O24" s="99">
        <v>0</v>
      </c>
      <c r="P24" s="99">
        <v>0</v>
      </c>
      <c r="Q24" s="99">
        <v>0</v>
      </c>
      <c r="T24" s="2" t="s">
        <v>503</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1FFE1"/>
  </sheetPr>
  <dimension ref="A2:V32"/>
  <sheetViews>
    <sheetView showGridLines="0" zoomScale="85" zoomScaleNormal="85" workbookViewId="0">
      <pane xSplit="6" ySplit="15" topLeftCell="G16" activePane="bottomRight" state="frozen"/>
      <selection activeCell="Q27" sqref="Q27"/>
      <selection pane="topRight" activeCell="Q27" sqref="Q27"/>
      <selection pane="bottomLeft" activeCell="Q27" sqref="Q27"/>
      <selection pane="bottomRight" activeCell="G16" sqref="G16"/>
    </sheetView>
  </sheetViews>
  <sheetFormatPr defaultColWidth="9.140625" defaultRowHeight="12.75" customHeight="1"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32" customWidth="1"/>
    <col min="13" max="14" width="13" style="32" bestFit="1" customWidth="1"/>
    <col min="15" max="15" width="12.5703125" style="32" customWidth="1"/>
    <col min="16" max="16" width="13" style="32" bestFit="1" customWidth="1"/>
    <col min="17" max="17" width="12.5703125" style="32" customWidth="1"/>
    <col min="18" max="19" width="2.7109375" style="2" customWidth="1"/>
    <col min="20" max="20" width="13.7109375" style="2" customWidth="1"/>
    <col min="21" max="21" width="2.7109375" style="2" customWidth="1"/>
    <col min="22" max="35" width="13.7109375" style="2" customWidth="1"/>
    <col min="36" max="16384" width="9.140625" style="2"/>
  </cols>
  <sheetData>
    <row r="2" spans="1:22" s="19" customFormat="1" ht="18" x14ac:dyDescent="0.25">
      <c r="B2" s="19" t="s">
        <v>101</v>
      </c>
      <c r="L2" s="31"/>
      <c r="M2" s="31"/>
      <c r="N2" s="31"/>
      <c r="O2" s="31"/>
      <c r="P2" s="31"/>
      <c r="Q2" s="31"/>
    </row>
    <row r="4" spans="1:22" ht="12.75" customHeight="1" x14ac:dyDescent="0.25">
      <c r="B4" s="1" t="s">
        <v>102</v>
      </c>
      <c r="C4" s="1"/>
      <c r="D4" s="1"/>
      <c r="J4"/>
    </row>
    <row r="5" spans="1:22" ht="12.75" customHeight="1" x14ac:dyDescent="0.2">
      <c r="B5" s="29" t="s">
        <v>91</v>
      </c>
      <c r="C5" s="3"/>
      <c r="D5" s="3"/>
      <c r="H5" s="20"/>
      <c r="Q5" s="29"/>
    </row>
    <row r="6" spans="1:22" ht="12.75" customHeight="1" x14ac:dyDescent="0.2">
      <c r="B6" s="78" t="s">
        <v>114</v>
      </c>
      <c r="C6" s="3"/>
      <c r="D6" s="3"/>
      <c r="H6" s="20"/>
      <c r="Q6" s="78"/>
    </row>
    <row r="7" spans="1:22" ht="12.75" customHeight="1" x14ac:dyDescent="0.2">
      <c r="B7" s="226" t="s">
        <v>559</v>
      </c>
      <c r="C7" s="3"/>
      <c r="D7" s="3"/>
      <c r="H7" s="20"/>
      <c r="Q7" s="78"/>
    </row>
    <row r="8" spans="1:22" ht="12.75" customHeight="1" x14ac:dyDescent="0.2">
      <c r="B8" s="29" t="s">
        <v>92</v>
      </c>
      <c r="C8" s="3"/>
      <c r="D8" s="3"/>
      <c r="H8" s="20"/>
      <c r="Q8" s="29"/>
    </row>
    <row r="9" spans="1:22" ht="12.75" customHeight="1" x14ac:dyDescent="0.2">
      <c r="B9" s="29" t="s">
        <v>93</v>
      </c>
      <c r="C9" s="3"/>
      <c r="D9" s="3"/>
      <c r="H9" s="20"/>
      <c r="Q9" s="29"/>
    </row>
    <row r="10" spans="1:22" ht="12.75" customHeight="1" x14ac:dyDescent="0.2">
      <c r="B10" s="89" t="s">
        <v>146</v>
      </c>
      <c r="C10" s="3"/>
      <c r="D10" s="3"/>
      <c r="H10" s="20"/>
      <c r="Q10" s="84"/>
    </row>
    <row r="11" spans="1:22" s="29" customFormat="1" ht="12.75" customHeight="1" x14ac:dyDescent="0.2">
      <c r="B11" s="75" t="s">
        <v>560</v>
      </c>
      <c r="Q11" s="79"/>
    </row>
    <row r="12" spans="1:22" s="29" customFormat="1" ht="12.75" customHeight="1" x14ac:dyDescent="0.2">
      <c r="A12" s="2"/>
      <c r="B12" s="227" t="s">
        <v>561</v>
      </c>
      <c r="Q12" s="79"/>
    </row>
    <row r="13" spans="1:22" ht="12.75" customHeight="1" x14ac:dyDescent="0.2">
      <c r="Q13" s="84"/>
    </row>
    <row r="14" spans="1:22" s="6" customFormat="1" ht="12.75" customHeight="1" x14ac:dyDescent="0.25">
      <c r="B14" s="6" t="s">
        <v>46</v>
      </c>
      <c r="F14" s="6" t="s">
        <v>28</v>
      </c>
      <c r="H14" s="6" t="s">
        <v>29</v>
      </c>
      <c r="J14" s="6" t="s">
        <v>50</v>
      </c>
      <c r="L14" s="33" t="s">
        <v>89</v>
      </c>
      <c r="M14" s="33" t="s">
        <v>66</v>
      </c>
      <c r="N14" s="33" t="s">
        <v>67</v>
      </c>
      <c r="O14" s="33" t="s">
        <v>68</v>
      </c>
      <c r="P14" s="33" t="s">
        <v>69</v>
      </c>
      <c r="Q14" s="33" t="s">
        <v>70</v>
      </c>
      <c r="T14" s="6" t="s">
        <v>47</v>
      </c>
      <c r="V14" s="6" t="s">
        <v>48</v>
      </c>
    </row>
    <row r="16" spans="1:22" x14ac:dyDescent="0.25">
      <c r="L16" s="2"/>
      <c r="M16" s="2"/>
      <c r="N16" s="2"/>
      <c r="O16" s="2"/>
      <c r="P16" s="2"/>
      <c r="Q16" s="2"/>
    </row>
    <row r="17" spans="2:20" s="6" customFormat="1" x14ac:dyDescent="0.25">
      <c r="B17" s="6" t="s">
        <v>240</v>
      </c>
    </row>
    <row r="19" spans="2:20" ht="12.75" customHeight="1" x14ac:dyDescent="0.25">
      <c r="B19" s="2" t="s">
        <v>115</v>
      </c>
      <c r="F19" s="2" t="s">
        <v>97</v>
      </c>
      <c r="J19" s="85"/>
      <c r="L19" s="67">
        <v>411570.22000000003</v>
      </c>
      <c r="M19" s="67">
        <v>6661906.4299997473</v>
      </c>
      <c r="N19" s="67">
        <v>9287762.9469170291</v>
      </c>
      <c r="O19" s="67">
        <v>194478.21000000002</v>
      </c>
      <c r="P19" s="67">
        <v>5870595.3378073797</v>
      </c>
      <c r="Q19" s="67">
        <v>673511.5</v>
      </c>
      <c r="T19" s="2" t="s">
        <v>315</v>
      </c>
    </row>
    <row r="21" spans="2:20" ht="12.75" customHeight="1" x14ac:dyDescent="0.25">
      <c r="B21" s="2" t="s">
        <v>127</v>
      </c>
      <c r="F21" s="2" t="s">
        <v>106</v>
      </c>
      <c r="H21" s="67">
        <v>24119144.337028138</v>
      </c>
      <c r="T21" s="2" t="s">
        <v>316</v>
      </c>
    </row>
    <row r="23" spans="2:20" ht="12.75" customHeight="1" x14ac:dyDescent="0.25">
      <c r="B23" s="2" t="s">
        <v>139</v>
      </c>
      <c r="F23" s="2" t="s">
        <v>73</v>
      </c>
      <c r="H23" s="68">
        <v>2.5444272186812E-3</v>
      </c>
      <c r="T23" s="2" t="s">
        <v>317</v>
      </c>
    </row>
    <row r="24" spans="2:20" ht="12.75" customHeight="1" x14ac:dyDescent="0.25">
      <c r="B24" s="2" t="s">
        <v>140</v>
      </c>
      <c r="F24" s="2" t="s">
        <v>73</v>
      </c>
      <c r="H24" s="68">
        <v>-3.1175556579387642E-2</v>
      </c>
      <c r="T24" s="2" t="s">
        <v>318</v>
      </c>
    </row>
    <row r="25" spans="2:20" ht="12.75" customHeight="1" x14ac:dyDescent="0.25">
      <c r="H25" s="83"/>
    </row>
    <row r="26" spans="2:20" ht="12.75" customHeight="1" x14ac:dyDescent="0.25">
      <c r="B26" s="2" t="s">
        <v>136</v>
      </c>
      <c r="F26" s="2" t="s">
        <v>73</v>
      </c>
      <c r="H26" s="68">
        <v>1.7999999999999999E-2</v>
      </c>
      <c r="T26" s="2" t="s">
        <v>319</v>
      </c>
    </row>
    <row r="28" spans="2:20" ht="12.75" customHeight="1" x14ac:dyDescent="0.25">
      <c r="B28" s="2" t="s">
        <v>126</v>
      </c>
      <c r="F28" s="2" t="s">
        <v>106</v>
      </c>
      <c r="L28" s="67">
        <v>5508016.3787032366</v>
      </c>
      <c r="M28" s="67">
        <v>90159029.908431798</v>
      </c>
      <c r="N28" s="67">
        <v>101769336.04517412</v>
      </c>
      <c r="O28" s="67">
        <v>4000202.1494243168</v>
      </c>
      <c r="P28" s="67">
        <v>79420032.434590772</v>
      </c>
      <c r="Q28" s="67">
        <v>3668283.4226453337</v>
      </c>
      <c r="T28" s="2" t="s">
        <v>320</v>
      </c>
    </row>
    <row r="29" spans="2:20" ht="12.75" customHeight="1" x14ac:dyDescent="0.25">
      <c r="B29" s="2" t="s">
        <v>117</v>
      </c>
      <c r="F29" s="2" t="s">
        <v>118</v>
      </c>
      <c r="L29" s="67">
        <v>6543330.1912928689</v>
      </c>
      <c r="M29" s="67">
        <v>107105764.0094399</v>
      </c>
      <c r="N29" s="67">
        <v>120898400.31466901</v>
      </c>
      <c r="O29" s="67">
        <v>4752099.7934586955</v>
      </c>
      <c r="P29" s="67">
        <v>94348211.823049098</v>
      </c>
      <c r="Q29" s="67">
        <v>4357791.992489568</v>
      </c>
      <c r="T29" s="2" t="s">
        <v>321</v>
      </c>
    </row>
    <row r="31" spans="2:20" ht="12.75" customHeight="1" x14ac:dyDescent="0.25">
      <c r="B31" s="2" t="s">
        <v>128</v>
      </c>
      <c r="F31" s="2" t="s">
        <v>106</v>
      </c>
      <c r="J31" s="85"/>
      <c r="L31" s="67">
        <v>17509659.581804149</v>
      </c>
      <c r="M31" s="67">
        <v>285208457.58122259</v>
      </c>
      <c r="N31" s="67">
        <v>305251081.66104859</v>
      </c>
      <c r="O31" s="67">
        <v>12863116.073261615</v>
      </c>
      <c r="P31" s="67">
        <v>251539922.51591069</v>
      </c>
      <c r="Q31" s="67">
        <v>15888170.388429981</v>
      </c>
      <c r="T31" s="2" t="s">
        <v>322</v>
      </c>
    </row>
    <row r="32" spans="2:20" ht="12.75" customHeight="1" x14ac:dyDescent="0.25">
      <c r="B32" s="2" t="s">
        <v>119</v>
      </c>
      <c r="F32" s="2" t="s">
        <v>118</v>
      </c>
      <c r="J32" s="85"/>
      <c r="L32" s="67">
        <v>16935960.356919076</v>
      </c>
      <c r="M32" s="67">
        <v>275938826.4471187</v>
      </c>
      <c r="N32" s="67">
        <v>295307092.08325708</v>
      </c>
      <c r="O32" s="67">
        <v>12442728.574689055</v>
      </c>
      <c r="P32" s="67">
        <v>243356366.79163417</v>
      </c>
      <c r="Q32" s="67">
        <v>15445955.019264191</v>
      </c>
      <c r="T32" s="2" t="s">
        <v>323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Q27" sqref="Q27"/>
      <selection pane="bottomLeft" activeCell="A4" sqref="A4"/>
    </sheetView>
  </sheetViews>
  <sheetFormatPr defaultColWidth="9.140625" defaultRowHeight="12.75" x14ac:dyDescent="0.25"/>
  <cols>
    <col min="1" max="7" width="9.140625" style="2" customWidth="1"/>
    <col min="8" max="16384" width="9.140625" style="2"/>
  </cols>
  <sheetData>
    <row r="2" spans="2:18" s="10" customFormat="1" ht="18" x14ac:dyDescent="0.25">
      <c r="B2" s="9" t="s">
        <v>54</v>
      </c>
    </row>
    <row r="4" spans="2:18" s="6" customFormat="1" x14ac:dyDescent="0.25">
      <c r="B4" s="6" t="s">
        <v>15</v>
      </c>
    </row>
    <row r="6" spans="2:18" x14ac:dyDescent="0.2">
      <c r="B6" s="41" t="s">
        <v>575</v>
      </c>
    </row>
    <row r="7" spans="2:18" x14ac:dyDescent="0.2">
      <c r="B7" s="230" t="s">
        <v>576</v>
      </c>
    </row>
    <row r="8" spans="2:18" x14ac:dyDescent="0.2">
      <c r="B8" s="41" t="s">
        <v>577</v>
      </c>
    </row>
    <row r="9" spans="2:18" x14ac:dyDescent="0.2">
      <c r="B9" s="41"/>
    </row>
    <row r="10" spans="2:18" s="6" customFormat="1" x14ac:dyDescent="0.25">
      <c r="B10" s="6" t="s">
        <v>61</v>
      </c>
    </row>
    <row r="12" spans="2:18" s="58" customFormat="1" ht="15" x14ac:dyDescent="0.25"/>
    <row r="13" spans="2:18" s="58" customFormat="1" ht="15" x14ac:dyDescent="0.25">
      <c r="B13" s="59"/>
      <c r="C13" s="59"/>
      <c r="D13" s="59"/>
      <c r="E13" s="59"/>
      <c r="F13" s="59"/>
      <c r="G13" s="59"/>
      <c r="H13" s="59"/>
      <c r="I13" s="59"/>
      <c r="J13" s="59"/>
      <c r="K13" s="59"/>
      <c r="L13" s="59"/>
      <c r="M13" s="59"/>
      <c r="N13" s="59"/>
      <c r="O13" s="59"/>
      <c r="P13" s="59"/>
      <c r="Q13" s="59"/>
      <c r="R13" s="59"/>
    </row>
    <row r="14" spans="2:18" s="58" customFormat="1" ht="15" x14ac:dyDescent="0.25">
      <c r="B14" s="59"/>
      <c r="C14" s="59"/>
      <c r="D14" s="59"/>
      <c r="E14" s="59"/>
      <c r="F14" s="59"/>
      <c r="G14" s="59"/>
      <c r="H14" s="59"/>
      <c r="I14" s="59"/>
      <c r="J14" s="59"/>
      <c r="K14" s="59"/>
      <c r="L14" s="59"/>
      <c r="M14" s="59"/>
      <c r="N14" s="59"/>
      <c r="O14" s="59"/>
      <c r="P14" s="59"/>
      <c r="Q14" s="59"/>
      <c r="R14" s="59"/>
    </row>
    <row r="15" spans="2:18" s="58" customFormat="1" ht="15" x14ac:dyDescent="0.25">
      <c r="B15" s="59"/>
      <c r="C15" s="59"/>
      <c r="D15" s="59"/>
      <c r="E15" s="59"/>
      <c r="F15" s="59"/>
      <c r="G15" s="59"/>
      <c r="H15" s="59"/>
      <c r="I15" s="59"/>
      <c r="J15" s="59"/>
      <c r="K15" s="59"/>
      <c r="L15" s="59"/>
      <c r="M15" s="59"/>
      <c r="N15" s="59"/>
      <c r="O15" s="59"/>
      <c r="P15" s="59"/>
      <c r="Q15" s="59"/>
      <c r="R15" s="59"/>
    </row>
    <row r="16" spans="2:18" s="58" customFormat="1" ht="15" x14ac:dyDescent="0.25">
      <c r="B16" s="59"/>
      <c r="C16" s="59"/>
      <c r="D16" s="59"/>
      <c r="E16" s="59"/>
      <c r="F16" s="59"/>
      <c r="G16" s="59"/>
      <c r="H16" s="59"/>
      <c r="I16" s="59"/>
      <c r="J16" s="59"/>
      <c r="K16" s="59"/>
      <c r="L16" s="59"/>
      <c r="M16" s="59"/>
      <c r="N16" s="59"/>
      <c r="O16" s="59"/>
      <c r="P16" s="59"/>
      <c r="Q16" s="59"/>
      <c r="R16" s="59"/>
    </row>
    <row r="17" spans="2:18" s="58" customFormat="1" ht="15" x14ac:dyDescent="0.25">
      <c r="B17" s="59"/>
      <c r="C17" s="59"/>
      <c r="D17" s="59"/>
      <c r="E17" s="59"/>
      <c r="F17" s="59"/>
      <c r="G17" s="59"/>
      <c r="H17" s="59"/>
      <c r="I17" s="59"/>
      <c r="J17" s="59"/>
      <c r="K17" s="59"/>
      <c r="L17" s="59"/>
      <c r="M17" s="59"/>
      <c r="N17" s="59"/>
      <c r="O17" s="59"/>
      <c r="P17" s="59"/>
      <c r="Q17" s="59"/>
      <c r="R17" s="59"/>
    </row>
    <row r="18" spans="2:18" s="58" customFormat="1" ht="15" x14ac:dyDescent="0.25">
      <c r="B18" s="59"/>
      <c r="C18" s="59"/>
      <c r="D18" s="59"/>
      <c r="E18" s="59"/>
      <c r="F18" s="59"/>
      <c r="G18" s="59"/>
      <c r="H18" s="59"/>
      <c r="I18" s="59"/>
      <c r="J18" s="59"/>
      <c r="K18" s="59"/>
      <c r="L18" s="59"/>
      <c r="M18" s="59"/>
      <c r="N18" s="59"/>
      <c r="O18" s="59"/>
      <c r="P18" s="59"/>
      <c r="Q18" s="59"/>
      <c r="R18" s="59"/>
    </row>
    <row r="19" spans="2:18" s="58" customFormat="1" ht="15" x14ac:dyDescent="0.25">
      <c r="B19" s="59"/>
      <c r="C19" s="59"/>
      <c r="D19" s="59"/>
      <c r="E19" s="59"/>
      <c r="F19" s="59"/>
      <c r="G19" s="59"/>
      <c r="H19" s="59"/>
      <c r="I19" s="59"/>
      <c r="J19" s="59"/>
      <c r="K19" s="59"/>
      <c r="L19" s="59"/>
      <c r="M19" s="59"/>
      <c r="N19" s="59"/>
      <c r="O19" s="59"/>
      <c r="P19" s="59"/>
      <c r="Q19" s="59"/>
      <c r="R19" s="59"/>
    </row>
    <row r="20" spans="2:18" s="58" customFormat="1" ht="15" x14ac:dyDescent="0.25">
      <c r="B20" s="59"/>
      <c r="C20" s="59"/>
      <c r="D20" s="59"/>
      <c r="E20" s="59"/>
      <c r="F20" s="59"/>
      <c r="G20" s="59"/>
      <c r="H20" s="59"/>
      <c r="I20" s="59"/>
      <c r="J20" s="59"/>
      <c r="K20" s="59"/>
      <c r="L20" s="59"/>
      <c r="M20" s="59"/>
      <c r="N20" s="59"/>
      <c r="O20" s="59"/>
      <c r="P20" s="59"/>
      <c r="Q20" s="59"/>
      <c r="R20" s="59"/>
    </row>
    <row r="21" spans="2:18" s="58" customFormat="1" ht="15" x14ac:dyDescent="0.25">
      <c r="B21" s="59"/>
      <c r="C21" s="59"/>
      <c r="D21" s="59"/>
      <c r="E21" s="59"/>
      <c r="F21" s="59"/>
      <c r="G21" s="59"/>
      <c r="H21" s="59"/>
      <c r="I21" s="59"/>
      <c r="J21" s="59"/>
      <c r="K21" s="59"/>
      <c r="L21" s="59"/>
      <c r="M21" s="59"/>
      <c r="N21" s="59"/>
      <c r="O21" s="59"/>
      <c r="P21" s="59"/>
      <c r="Q21" s="59"/>
      <c r="R21" s="59"/>
    </row>
    <row r="22" spans="2:18" s="58" customFormat="1" ht="15" x14ac:dyDescent="0.25">
      <c r="B22" s="59"/>
      <c r="C22" s="59"/>
      <c r="D22" s="59"/>
      <c r="E22" s="59"/>
      <c r="F22" s="59"/>
      <c r="G22" s="59"/>
      <c r="H22" s="59"/>
      <c r="I22" s="59"/>
      <c r="J22" s="59"/>
      <c r="K22" s="59"/>
      <c r="L22" s="59"/>
      <c r="M22" s="59"/>
      <c r="N22" s="59"/>
      <c r="O22" s="59"/>
      <c r="P22" s="59"/>
      <c r="Q22" s="59"/>
      <c r="R22" s="59"/>
    </row>
    <row r="23" spans="2:18" s="58" customFormat="1" ht="15" x14ac:dyDescent="0.25">
      <c r="B23" s="59"/>
      <c r="C23" s="59"/>
      <c r="D23" s="59"/>
      <c r="E23" s="59"/>
      <c r="F23" s="59"/>
      <c r="G23" s="59"/>
      <c r="H23" s="59"/>
      <c r="I23" s="59"/>
      <c r="J23" s="59"/>
      <c r="K23" s="59"/>
      <c r="L23" s="59"/>
      <c r="M23" s="59"/>
      <c r="N23" s="59"/>
      <c r="O23" s="59"/>
      <c r="P23" s="59"/>
      <c r="Q23" s="59"/>
      <c r="R23" s="59"/>
    </row>
    <row r="24" spans="2:18" s="58" customFormat="1" ht="15" x14ac:dyDescent="0.25">
      <c r="B24" s="59"/>
      <c r="C24" s="59"/>
      <c r="D24" s="59"/>
      <c r="E24" s="59"/>
      <c r="F24" s="59"/>
      <c r="G24" s="59"/>
      <c r="H24" s="59"/>
      <c r="I24" s="59"/>
      <c r="J24" s="59"/>
      <c r="K24" s="59"/>
      <c r="L24" s="59"/>
      <c r="M24" s="59"/>
      <c r="N24" s="59"/>
      <c r="O24" s="59"/>
      <c r="P24" s="59"/>
      <c r="Q24" s="59"/>
      <c r="R24" s="59"/>
    </row>
    <row r="26" spans="2:18" s="6" customFormat="1" x14ac:dyDescent="0.25">
      <c r="B26" s="6" t="s">
        <v>16</v>
      </c>
    </row>
    <row r="28" spans="2:18" x14ac:dyDescent="0.25">
      <c r="B28" s="1" t="s">
        <v>39</v>
      </c>
      <c r="D28" s="1" t="s">
        <v>17</v>
      </c>
      <c r="F28" s="5"/>
    </row>
    <row r="30" spans="2:18" x14ac:dyDescent="0.25">
      <c r="B30" s="63">
        <v>123</v>
      </c>
      <c r="D30" s="2" t="s">
        <v>100</v>
      </c>
    </row>
    <row r="31" spans="2:18" x14ac:dyDescent="0.25">
      <c r="B31" s="11">
        <f>B30</f>
        <v>123</v>
      </c>
      <c r="D31" s="2" t="s">
        <v>18</v>
      </c>
    </row>
    <row r="32" spans="2:18" x14ac:dyDescent="0.25">
      <c r="B32" s="12">
        <f>B31+B30</f>
        <v>246</v>
      </c>
      <c r="D32" s="2" t="s">
        <v>19</v>
      </c>
    </row>
    <row r="33" spans="2:7" x14ac:dyDescent="0.25">
      <c r="B33" s="13">
        <f>B31+B32</f>
        <v>369</v>
      </c>
      <c r="D33" s="2" t="s">
        <v>55</v>
      </c>
      <c r="E33" s="5"/>
      <c r="F33" s="5"/>
    </row>
    <row r="34" spans="2:7" x14ac:dyDescent="0.25">
      <c r="B34" s="14"/>
      <c r="D34" s="3" t="s">
        <v>20</v>
      </c>
      <c r="E34" s="5"/>
    </row>
    <row r="36" spans="2:7" x14ac:dyDescent="0.25">
      <c r="B36" s="4" t="s">
        <v>21</v>
      </c>
    </row>
    <row r="37" spans="2:7" x14ac:dyDescent="0.25">
      <c r="B37" s="66">
        <f>B33+16</f>
        <v>385</v>
      </c>
      <c r="D37" s="2" t="s">
        <v>22</v>
      </c>
    </row>
    <row r="38" spans="2:7" x14ac:dyDescent="0.25">
      <c r="B38" s="15">
        <f>B31*PI()</f>
        <v>386.41589639154455</v>
      </c>
      <c r="C38" s="16"/>
      <c r="D38" s="2" t="s">
        <v>23</v>
      </c>
    </row>
    <row r="39" spans="2:7" x14ac:dyDescent="0.25">
      <c r="B39" s="16"/>
      <c r="C39" s="16"/>
    </row>
    <row r="40" spans="2:7" x14ac:dyDescent="0.25">
      <c r="B40" s="62" t="s">
        <v>24</v>
      </c>
      <c r="C40" s="17"/>
    </row>
    <row r="41" spans="2:7" x14ac:dyDescent="0.25">
      <c r="B41" s="65">
        <v>123</v>
      </c>
      <c r="C41" s="17"/>
      <c r="D41" s="2" t="s">
        <v>98</v>
      </c>
      <c r="G41" s="5"/>
    </row>
    <row r="42" spans="2:7" x14ac:dyDescent="0.25">
      <c r="B42" s="69">
        <v>124</v>
      </c>
      <c r="C42" s="17"/>
      <c r="D42" s="2" t="s">
        <v>99</v>
      </c>
    </row>
    <row r="43" spans="2:7" x14ac:dyDescent="0.25">
      <c r="B43" s="70">
        <f>B41-B42</f>
        <v>-1</v>
      </c>
      <c r="C43" s="18"/>
      <c r="D43" s="2" t="s">
        <v>107</v>
      </c>
    </row>
    <row r="46" spans="2:7" x14ac:dyDescent="0.25">
      <c r="B46" s="1" t="s">
        <v>34</v>
      </c>
    </row>
    <row r="47" spans="2:7" x14ac:dyDescent="0.25">
      <c r="B47" s="1"/>
    </row>
    <row r="48" spans="2:7" x14ac:dyDescent="0.25">
      <c r="B48" s="4" t="s">
        <v>40</v>
      </c>
    </row>
    <row r="49" spans="2:4" x14ac:dyDescent="0.25">
      <c r="B49" s="23" t="s">
        <v>33</v>
      </c>
      <c r="D49" s="3" t="s">
        <v>43</v>
      </c>
    </row>
    <row r="50" spans="2:4" x14ac:dyDescent="0.25">
      <c r="B50" s="21" t="s">
        <v>31</v>
      </c>
      <c r="D50" s="3" t="s">
        <v>35</v>
      </c>
    </row>
    <row r="51" spans="2:4" x14ac:dyDescent="0.25">
      <c r="B51" s="22" t="s">
        <v>32</v>
      </c>
      <c r="D51" s="3" t="s">
        <v>36</v>
      </c>
    </row>
    <row r="52" spans="2:4" x14ac:dyDescent="0.25">
      <c r="B52" s="15" t="s">
        <v>32</v>
      </c>
      <c r="D52" s="3" t="s">
        <v>38</v>
      </c>
    </row>
    <row r="53" spans="2:4" x14ac:dyDescent="0.25">
      <c r="D53" s="3"/>
    </row>
    <row r="54" spans="2:4" x14ac:dyDescent="0.25">
      <c r="B54" s="4" t="s">
        <v>42</v>
      </c>
      <c r="D54" s="3"/>
    </row>
    <row r="55" spans="2:4" x14ac:dyDescent="0.25">
      <c r="B55" s="24" t="s">
        <v>37</v>
      </c>
      <c r="D55" s="3" t="s">
        <v>44</v>
      </c>
    </row>
    <row r="56" spans="2:4" x14ac:dyDescent="0.25">
      <c r="B56" s="25" t="s">
        <v>41</v>
      </c>
      <c r="D56" s="3" t="s">
        <v>45</v>
      </c>
    </row>
  </sheetData>
  <pageMargins left="0.75" right="0.75" top="1" bottom="1" header="0.5" footer="0.5"/>
  <pageSetup paperSize="9"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
  <sheetViews>
    <sheetView showGridLines="0" zoomScale="85" zoomScaleNormal="85" workbookViewId="0"/>
  </sheetViews>
  <sheetFormatPr defaultColWidth="9.140625" defaultRowHeight="12.75" x14ac:dyDescent="0.25"/>
  <cols>
    <col min="1" max="16384" width="9.140625" style="24"/>
  </cols>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sheetPr>
  <dimension ref="A2:AD75"/>
  <sheetViews>
    <sheetView showGridLines="0" zoomScale="85" zoomScaleNormal="85" workbookViewId="0">
      <pane xSplit="6" ySplit="13" topLeftCell="G14" activePane="bottomRight" state="frozen"/>
      <selection pane="topRight" activeCell="G1" sqref="G1"/>
      <selection pane="bottomLeft" activeCell="A10" sqref="A10"/>
      <selection pane="bottomRight" activeCell="G14" sqref="G14"/>
    </sheetView>
  </sheetViews>
  <sheetFormatPr defaultColWidth="9.140625" defaultRowHeight="12.75" x14ac:dyDescent="0.25"/>
  <cols>
    <col min="1" max="1" width="4" style="2" customWidth="1"/>
    <col min="2" max="2" width="48" style="2" customWidth="1"/>
    <col min="3" max="4" width="4.5703125" style="2" customWidth="1"/>
    <col min="5" max="5" width="3.28515625" style="2" customWidth="1"/>
    <col min="6" max="6" width="12.42578125" style="2" customWidth="1"/>
    <col min="7" max="7" width="2.7109375" style="2" customWidth="1"/>
    <col min="8" max="8" width="13.7109375" style="2" customWidth="1"/>
    <col min="9" max="29" width="11.7109375" style="2" customWidth="1"/>
    <col min="30" max="16384" width="9.140625" style="2"/>
  </cols>
  <sheetData>
    <row r="2" spans="2:30" s="19" customFormat="1" ht="18" x14ac:dyDescent="0.25">
      <c r="B2" s="19" t="s">
        <v>649</v>
      </c>
    </row>
    <row r="4" spans="2:30" ht="12" customHeight="1" x14ac:dyDescent="0.25">
      <c r="B4" s="1" t="s">
        <v>59</v>
      </c>
      <c r="C4" s="1"/>
      <c r="D4" s="1"/>
    </row>
    <row r="5" spans="2:30" ht="12" customHeight="1" x14ac:dyDescent="0.25">
      <c r="B5" s="2" t="s">
        <v>393</v>
      </c>
      <c r="H5" s="20"/>
    </row>
    <row r="6" spans="2:30" ht="12" customHeight="1" x14ac:dyDescent="0.25">
      <c r="B6" s="2" t="s">
        <v>650</v>
      </c>
      <c r="H6" s="20"/>
    </row>
    <row r="7" spans="2:30" ht="12" customHeight="1" x14ac:dyDescent="0.25">
      <c r="H7" s="20"/>
    </row>
    <row r="8" spans="2:30" ht="12" customHeight="1" x14ac:dyDescent="0.25">
      <c r="B8" s="2" t="s">
        <v>651</v>
      </c>
      <c r="H8" s="20"/>
    </row>
    <row r="9" spans="2:30" ht="12" customHeight="1" x14ac:dyDescent="0.25">
      <c r="B9" s="2" t="s">
        <v>652</v>
      </c>
      <c r="H9" s="20"/>
    </row>
    <row r="10" spans="2:30" ht="12" customHeight="1" x14ac:dyDescent="0.25">
      <c r="B10" s="2" t="s">
        <v>653</v>
      </c>
      <c r="H10" s="20"/>
    </row>
    <row r="11" spans="2:30" ht="12" customHeight="1" x14ac:dyDescent="0.25"/>
    <row r="12" spans="2:30" s="6" customFormat="1" ht="12" customHeight="1" x14ac:dyDescent="0.25">
      <c r="B12" s="6" t="s">
        <v>46</v>
      </c>
      <c r="F12" s="6" t="s">
        <v>28</v>
      </c>
      <c r="H12" s="6" t="s">
        <v>29</v>
      </c>
      <c r="L12" s="52"/>
      <c r="M12" s="52"/>
      <c r="N12" s="52"/>
      <c r="O12" s="60"/>
    </row>
    <row r="13" spans="2:30" ht="12" customHeight="1" x14ac:dyDescent="0.25"/>
    <row r="14" spans="2:30" ht="12" customHeight="1" x14ac:dyDescent="0.25"/>
    <row r="15" spans="2:30" s="6" customFormat="1" ht="12" customHeight="1" x14ac:dyDescent="0.25">
      <c r="B15" s="6" t="s">
        <v>388</v>
      </c>
      <c r="I15" s="6">
        <v>2004</v>
      </c>
      <c r="J15" s="6">
        <v>2005</v>
      </c>
      <c r="K15" s="6">
        <v>2006</v>
      </c>
      <c r="L15" s="6">
        <v>2007</v>
      </c>
      <c r="M15" s="6">
        <v>2008</v>
      </c>
      <c r="N15" s="6">
        <v>2009</v>
      </c>
      <c r="O15" s="6">
        <v>2010</v>
      </c>
      <c r="P15" s="6">
        <v>2011</v>
      </c>
      <c r="Q15" s="6">
        <v>2012</v>
      </c>
      <c r="R15" s="6">
        <v>2013</v>
      </c>
      <c r="S15" s="6">
        <v>2014</v>
      </c>
      <c r="T15" s="6">
        <v>2015</v>
      </c>
      <c r="U15" s="6">
        <v>2016</v>
      </c>
      <c r="V15" s="6">
        <v>2017</v>
      </c>
      <c r="W15" s="6">
        <v>2018</v>
      </c>
      <c r="X15" s="6">
        <v>2019</v>
      </c>
      <c r="Y15" s="6">
        <v>2020</v>
      </c>
      <c r="Z15" s="6">
        <v>2021</v>
      </c>
      <c r="AA15" s="6">
        <v>2022</v>
      </c>
      <c r="AB15" s="6">
        <v>2023</v>
      </c>
      <c r="AC15" s="6">
        <v>2024</v>
      </c>
      <c r="AD15" s="6" t="s">
        <v>444</v>
      </c>
    </row>
    <row r="16" spans="2:30" ht="12" customHeight="1" x14ac:dyDescent="0.25"/>
    <row r="17" spans="1:30" s="115" customFormat="1" ht="12" customHeight="1" x14ac:dyDescent="0.25">
      <c r="A17" s="2"/>
      <c r="B17" s="2" t="s">
        <v>352</v>
      </c>
      <c r="I17" s="164">
        <f>'Input parameters'!L19</f>
        <v>2.1000000000000001E-2</v>
      </c>
      <c r="J17" s="164">
        <f>'Input parameters'!M19</f>
        <v>1.0999999999999999E-2</v>
      </c>
      <c r="K17" s="164">
        <f>'Input parameters'!N19</f>
        <v>1.7999999999999999E-2</v>
      </c>
      <c r="L17" s="164">
        <f>'Input parameters'!O19</f>
        <v>1.4E-2</v>
      </c>
      <c r="M17" s="164">
        <f>'Input parameters'!P19</f>
        <v>1.0999999999999999E-2</v>
      </c>
      <c r="N17" s="164">
        <f>'Input parameters'!Q19</f>
        <v>3.2000000000000001E-2</v>
      </c>
      <c r="O17" s="164">
        <f>'Input parameters'!R19</f>
        <v>3.0000000000000001E-3</v>
      </c>
      <c r="P17" s="164">
        <f>'Input parameters'!S19</f>
        <v>1.4999999999999999E-2</v>
      </c>
      <c r="Q17" s="164">
        <f>'Input parameters'!T19</f>
        <v>2.5999999999999999E-2</v>
      </c>
      <c r="R17" s="164">
        <f>'Input parameters'!U19</f>
        <v>2.3E-2</v>
      </c>
      <c r="S17" s="164">
        <f>'Input parameters'!V19</f>
        <v>2.8000000000000001E-2</v>
      </c>
      <c r="T17" s="164">
        <f>'Input parameters'!W19</f>
        <v>0.01</v>
      </c>
      <c r="U17" s="164">
        <f>'Input parameters'!X19</f>
        <v>8.0000000000000002E-3</v>
      </c>
      <c r="V17" s="164">
        <f>'Input parameters'!Y19</f>
        <v>2E-3</v>
      </c>
      <c r="W17" s="164">
        <f>'Input parameters'!Z19</f>
        <v>1.4E-2</v>
      </c>
      <c r="X17" s="164">
        <f>'Input parameters'!AA19</f>
        <v>2.1000000000000001E-2</v>
      </c>
      <c r="Y17" s="164">
        <f>'Input parameters'!AB19</f>
        <v>2.8000000000000001E-2</v>
      </c>
      <c r="Z17" s="164">
        <f>'Input parameters'!AC19</f>
        <v>7.0000000000000001E-3</v>
      </c>
      <c r="AA17" s="164">
        <f>'Input parameters'!AD19</f>
        <v>2.4E-2</v>
      </c>
      <c r="AB17" s="164">
        <f>'Input parameters'!AE19</f>
        <v>0.12</v>
      </c>
      <c r="AC17" s="164">
        <f>'Input parameters'!AF19</f>
        <v>0.03</v>
      </c>
      <c r="AD17" s="164">
        <f>'Input parameters'!AG19</f>
        <v>3.5999999999999997E-2</v>
      </c>
    </row>
    <row r="18" spans="1:30" ht="12" customHeight="1" x14ac:dyDescent="0.25"/>
    <row r="19" spans="1:30" s="6" customFormat="1" ht="12" customHeight="1" x14ac:dyDescent="0.25">
      <c r="B19" s="6" t="s">
        <v>353</v>
      </c>
      <c r="I19" s="6">
        <v>2004</v>
      </c>
      <c r="J19" s="6">
        <v>2005</v>
      </c>
      <c r="K19" s="6">
        <v>2006</v>
      </c>
      <c r="L19" s="6">
        <v>2007</v>
      </c>
      <c r="M19" s="6">
        <v>2008</v>
      </c>
      <c r="N19" s="6">
        <v>2009</v>
      </c>
      <c r="O19" s="6">
        <v>2010</v>
      </c>
      <c r="P19" s="6">
        <v>2011</v>
      </c>
      <c r="Q19" s="6">
        <v>2012</v>
      </c>
      <c r="R19" s="6">
        <v>2013</v>
      </c>
      <c r="S19" s="6">
        <v>2014</v>
      </c>
      <c r="T19" s="6">
        <v>2015</v>
      </c>
      <c r="U19" s="6">
        <v>2016</v>
      </c>
      <c r="V19" s="6">
        <v>2017</v>
      </c>
      <c r="W19" s="6">
        <v>2018</v>
      </c>
      <c r="X19" s="6">
        <v>2019</v>
      </c>
      <c r="Y19" s="6">
        <v>2020</v>
      </c>
      <c r="Z19" s="6">
        <v>2021</v>
      </c>
      <c r="AA19" s="6">
        <v>2022</v>
      </c>
      <c r="AB19" s="6">
        <v>2023</v>
      </c>
      <c r="AC19" s="6">
        <v>2024</v>
      </c>
      <c r="AD19" s="6" t="s">
        <v>444</v>
      </c>
    </row>
    <row r="20" spans="1:30" s="115" customFormat="1" ht="12" customHeight="1" x14ac:dyDescent="0.25"/>
    <row r="21" spans="1:30" s="28" customFormat="1" ht="12" customHeight="1" x14ac:dyDescent="0.25">
      <c r="B21" s="28" t="s">
        <v>354</v>
      </c>
    </row>
    <row r="22" spans="1:30" s="115" customFormat="1" ht="12" customHeight="1" x14ac:dyDescent="0.25">
      <c r="B22" s="2" t="s">
        <v>392</v>
      </c>
      <c r="E22" s="165"/>
      <c r="I22" s="166">
        <f t="shared" ref="I22:AD22" si="0">1+I17</f>
        <v>1.0209999999999999</v>
      </c>
      <c r="J22" s="166">
        <f t="shared" si="0"/>
        <v>1.0109999999999999</v>
      </c>
      <c r="K22" s="166">
        <f t="shared" si="0"/>
        <v>1.018</v>
      </c>
      <c r="L22" s="166">
        <f t="shared" si="0"/>
        <v>1.014</v>
      </c>
      <c r="M22" s="166">
        <f t="shared" si="0"/>
        <v>1.0109999999999999</v>
      </c>
      <c r="N22" s="166">
        <f t="shared" si="0"/>
        <v>1.032</v>
      </c>
      <c r="O22" s="166">
        <f t="shared" si="0"/>
        <v>1.0029999999999999</v>
      </c>
      <c r="P22" s="166">
        <f t="shared" si="0"/>
        <v>1.0149999999999999</v>
      </c>
      <c r="Q22" s="166">
        <f t="shared" si="0"/>
        <v>1.026</v>
      </c>
      <c r="R22" s="166">
        <f t="shared" si="0"/>
        <v>1.0229999999999999</v>
      </c>
      <c r="S22" s="166">
        <f t="shared" si="0"/>
        <v>1.028</v>
      </c>
      <c r="T22" s="166">
        <f t="shared" si="0"/>
        <v>1.01</v>
      </c>
      <c r="U22" s="166">
        <f t="shared" si="0"/>
        <v>1.008</v>
      </c>
      <c r="V22" s="166">
        <f t="shared" si="0"/>
        <v>1.002</v>
      </c>
      <c r="W22" s="166">
        <f t="shared" si="0"/>
        <v>1.014</v>
      </c>
      <c r="X22" s="166">
        <f t="shared" si="0"/>
        <v>1.0209999999999999</v>
      </c>
      <c r="Y22" s="166">
        <f t="shared" si="0"/>
        <v>1.028</v>
      </c>
      <c r="Z22" s="166">
        <f t="shared" si="0"/>
        <v>1.0069999999999999</v>
      </c>
      <c r="AA22" s="166">
        <f t="shared" si="0"/>
        <v>1.024</v>
      </c>
      <c r="AB22" s="166">
        <f t="shared" si="0"/>
        <v>1.1200000000000001</v>
      </c>
      <c r="AC22" s="166">
        <f t="shared" si="0"/>
        <v>1.03</v>
      </c>
      <c r="AD22" s="166">
        <f t="shared" si="0"/>
        <v>1.036</v>
      </c>
    </row>
    <row r="23" spans="1:30" s="115" customFormat="1" ht="12" customHeight="1" x14ac:dyDescent="0.25"/>
    <row r="24" spans="1:30" s="28" customFormat="1" ht="12" customHeight="1" x14ac:dyDescent="0.25">
      <c r="A24" s="2"/>
      <c r="B24" s="28" t="s">
        <v>355</v>
      </c>
    </row>
    <row r="25" spans="1:30" s="115" customFormat="1" ht="12" customHeight="1" x14ac:dyDescent="0.25">
      <c r="B25" s="167">
        <v>2004</v>
      </c>
      <c r="I25" s="99">
        <v>1</v>
      </c>
      <c r="J25" s="166">
        <f t="shared" ref="J25:AD25" si="1">I25*J$22</f>
        <v>1.0109999999999999</v>
      </c>
      <c r="K25" s="166">
        <f t="shared" si="1"/>
        <v>1.0291979999999998</v>
      </c>
      <c r="L25" s="166">
        <f t="shared" si="1"/>
        <v>1.0436067719999997</v>
      </c>
      <c r="M25" s="166">
        <f t="shared" si="1"/>
        <v>1.0550864464919996</v>
      </c>
      <c r="N25" s="166">
        <f t="shared" si="1"/>
        <v>1.0888492127797436</v>
      </c>
      <c r="O25" s="166">
        <f t="shared" si="1"/>
        <v>1.0921157604180827</v>
      </c>
      <c r="P25" s="166">
        <f t="shared" si="1"/>
        <v>1.1084974968243537</v>
      </c>
      <c r="Q25" s="166">
        <f t="shared" si="1"/>
        <v>1.137318431741787</v>
      </c>
      <c r="R25" s="166">
        <f t="shared" si="1"/>
        <v>1.1634767556718479</v>
      </c>
      <c r="S25" s="166">
        <f t="shared" si="1"/>
        <v>1.1960541048306597</v>
      </c>
      <c r="T25" s="166">
        <f t="shared" si="1"/>
        <v>1.2080146458789662</v>
      </c>
      <c r="U25" s="166">
        <f t="shared" si="1"/>
        <v>1.217678763045998</v>
      </c>
      <c r="V25" s="166">
        <f t="shared" si="1"/>
        <v>1.22011412057209</v>
      </c>
      <c r="W25" s="166">
        <f t="shared" si="1"/>
        <v>1.2371957182600992</v>
      </c>
      <c r="X25" s="166">
        <f t="shared" si="1"/>
        <v>1.2631768283435612</v>
      </c>
      <c r="Y25" s="166">
        <f t="shared" si="1"/>
        <v>1.2985457795371809</v>
      </c>
      <c r="Z25" s="166">
        <f t="shared" si="1"/>
        <v>1.3076355999939411</v>
      </c>
      <c r="AA25" s="166">
        <f t="shared" si="1"/>
        <v>1.3390188543937958</v>
      </c>
      <c r="AB25" s="166">
        <f t="shared" si="1"/>
        <v>1.4997011169210515</v>
      </c>
      <c r="AC25" s="166">
        <f t="shared" si="1"/>
        <v>1.544692150428683</v>
      </c>
      <c r="AD25" s="166">
        <f t="shared" si="1"/>
        <v>1.6003010678441156</v>
      </c>
    </row>
    <row r="26" spans="1:30" s="115" customFormat="1" ht="12" customHeight="1" x14ac:dyDescent="0.25">
      <c r="B26" s="167">
        <v>2005</v>
      </c>
      <c r="I26" s="168"/>
      <c r="J26" s="99">
        <v>1</v>
      </c>
      <c r="K26" s="166">
        <f t="shared" ref="K26:AD26" si="2">J26*K$22</f>
        <v>1.018</v>
      </c>
      <c r="L26" s="166">
        <f t="shared" si="2"/>
        <v>1.0322519999999999</v>
      </c>
      <c r="M26" s="166">
        <f t="shared" si="2"/>
        <v>1.0436067719999997</v>
      </c>
      <c r="N26" s="166">
        <f t="shared" si="2"/>
        <v>1.0770021887039998</v>
      </c>
      <c r="O26" s="166">
        <f t="shared" si="2"/>
        <v>1.0802331952701116</v>
      </c>
      <c r="P26" s="166">
        <f t="shared" si="2"/>
        <v>1.0964366931991631</v>
      </c>
      <c r="Q26" s="166">
        <f t="shared" si="2"/>
        <v>1.1249440472223413</v>
      </c>
      <c r="R26" s="166">
        <f t="shared" si="2"/>
        <v>1.1508177603084551</v>
      </c>
      <c r="S26" s="166">
        <f t="shared" si="2"/>
        <v>1.1830406575970918</v>
      </c>
      <c r="T26" s="166">
        <f t="shared" si="2"/>
        <v>1.1948710641730627</v>
      </c>
      <c r="U26" s="166">
        <f t="shared" si="2"/>
        <v>1.2044300326864472</v>
      </c>
      <c r="V26" s="166">
        <f t="shared" si="2"/>
        <v>1.2068388927518201</v>
      </c>
      <c r="W26" s="166">
        <f t="shared" si="2"/>
        <v>1.2237346372503457</v>
      </c>
      <c r="X26" s="166">
        <f t="shared" si="2"/>
        <v>1.2494330646326028</v>
      </c>
      <c r="Y26" s="166">
        <f t="shared" si="2"/>
        <v>1.2844171904423158</v>
      </c>
      <c r="Z26" s="166">
        <f t="shared" si="2"/>
        <v>1.2934081107754118</v>
      </c>
      <c r="AA26" s="166">
        <f t="shared" si="2"/>
        <v>1.3244499054340217</v>
      </c>
      <c r="AB26" s="166">
        <f t="shared" si="2"/>
        <v>1.4833838940861046</v>
      </c>
      <c r="AC26" s="166">
        <f t="shared" si="2"/>
        <v>1.5278854109086877</v>
      </c>
      <c r="AD26" s="166">
        <f t="shared" si="2"/>
        <v>1.5828892857014005</v>
      </c>
    </row>
    <row r="27" spans="1:30" s="115" customFormat="1" ht="12" customHeight="1" x14ac:dyDescent="0.25">
      <c r="B27" s="167">
        <v>2006</v>
      </c>
      <c r="I27" s="168"/>
      <c r="J27" s="168"/>
      <c r="K27" s="99">
        <v>1</v>
      </c>
      <c r="L27" s="166">
        <f t="shared" ref="L27:AD27" si="3">K27*L$22</f>
        <v>1.014</v>
      </c>
      <c r="M27" s="166">
        <f t="shared" si="3"/>
        <v>1.0251539999999999</v>
      </c>
      <c r="N27" s="166">
        <f t="shared" si="3"/>
        <v>1.0579589279999999</v>
      </c>
      <c r="O27" s="166">
        <f t="shared" si="3"/>
        <v>1.0611328047839999</v>
      </c>
      <c r="P27" s="166">
        <f t="shared" si="3"/>
        <v>1.0770497968557597</v>
      </c>
      <c r="Q27" s="166">
        <f t="shared" si="3"/>
        <v>1.1050530915740095</v>
      </c>
      <c r="R27" s="166">
        <f t="shared" si="3"/>
        <v>1.1304693126802117</v>
      </c>
      <c r="S27" s="166">
        <f t="shared" si="3"/>
        <v>1.1621224534352577</v>
      </c>
      <c r="T27" s="166">
        <f t="shared" si="3"/>
        <v>1.1737436779696102</v>
      </c>
      <c r="U27" s="166">
        <f t="shared" si="3"/>
        <v>1.183133627393367</v>
      </c>
      <c r="V27" s="166">
        <f t="shared" si="3"/>
        <v>1.1854998946481539</v>
      </c>
      <c r="W27" s="166">
        <f t="shared" si="3"/>
        <v>1.2020968931732281</v>
      </c>
      <c r="X27" s="166">
        <f t="shared" si="3"/>
        <v>1.2273409279298657</v>
      </c>
      <c r="Y27" s="166">
        <f t="shared" si="3"/>
        <v>1.2617064739119019</v>
      </c>
      <c r="Z27" s="166">
        <f t="shared" si="3"/>
        <v>1.270538419229285</v>
      </c>
      <c r="AA27" s="166">
        <f t="shared" si="3"/>
        <v>1.3010313412907879</v>
      </c>
      <c r="AB27" s="166">
        <f t="shared" si="3"/>
        <v>1.4571551022456826</v>
      </c>
      <c r="AC27" s="166">
        <f t="shared" si="3"/>
        <v>1.500869755313053</v>
      </c>
      <c r="AD27" s="166">
        <f t="shared" si="3"/>
        <v>1.554901066504323</v>
      </c>
    </row>
    <row r="28" spans="1:30" s="115" customFormat="1" ht="12" customHeight="1" x14ac:dyDescent="0.25">
      <c r="B28" s="167">
        <v>2007</v>
      </c>
      <c r="I28" s="168"/>
      <c r="J28" s="168"/>
      <c r="K28" s="168"/>
      <c r="L28" s="99">
        <v>1</v>
      </c>
      <c r="M28" s="166">
        <f t="shared" ref="M28:AD28" si="4">L28*M$22</f>
        <v>1.0109999999999999</v>
      </c>
      <c r="N28" s="166">
        <f t="shared" si="4"/>
        <v>1.0433519999999998</v>
      </c>
      <c r="O28" s="166">
        <f t="shared" si="4"/>
        <v>1.0464820559999997</v>
      </c>
      <c r="P28" s="166">
        <f t="shared" si="4"/>
        <v>1.0621792868399995</v>
      </c>
      <c r="Q28" s="166">
        <f t="shared" si="4"/>
        <v>1.0897959482978394</v>
      </c>
      <c r="R28" s="166">
        <f t="shared" si="4"/>
        <v>1.1148612551086896</v>
      </c>
      <c r="S28" s="166">
        <f t="shared" si="4"/>
        <v>1.1460773702517328</v>
      </c>
      <c r="T28" s="166">
        <f t="shared" si="4"/>
        <v>1.1575381439542503</v>
      </c>
      <c r="U28" s="166">
        <f t="shared" si="4"/>
        <v>1.1667984491058843</v>
      </c>
      <c r="V28" s="166">
        <f t="shared" si="4"/>
        <v>1.1691320460040959</v>
      </c>
      <c r="W28" s="166">
        <f t="shared" si="4"/>
        <v>1.1854998946481532</v>
      </c>
      <c r="X28" s="166">
        <f t="shared" si="4"/>
        <v>1.2103953924357642</v>
      </c>
      <c r="Y28" s="166">
        <f t="shared" si="4"/>
        <v>1.2442864634239656</v>
      </c>
      <c r="Z28" s="166">
        <f t="shared" si="4"/>
        <v>1.2529964686679333</v>
      </c>
      <c r="AA28" s="166">
        <f t="shared" si="4"/>
        <v>1.2830683839159638</v>
      </c>
      <c r="AB28" s="166">
        <f t="shared" si="4"/>
        <v>1.4370365899858795</v>
      </c>
      <c r="AC28" s="166">
        <f t="shared" si="4"/>
        <v>1.4801476876854558</v>
      </c>
      <c r="AD28" s="166">
        <f t="shared" si="4"/>
        <v>1.5334330044421323</v>
      </c>
    </row>
    <row r="29" spans="1:30" s="115" customFormat="1" ht="12" customHeight="1" x14ac:dyDescent="0.25">
      <c r="B29" s="167">
        <v>2008</v>
      </c>
      <c r="I29" s="168"/>
      <c r="J29" s="168"/>
      <c r="K29" s="168"/>
      <c r="L29" s="168"/>
      <c r="M29" s="99">
        <v>1</v>
      </c>
      <c r="N29" s="166">
        <f t="shared" ref="N29:AD29" si="5">M29*N$22</f>
        <v>1.032</v>
      </c>
      <c r="O29" s="166">
        <f t="shared" si="5"/>
        <v>1.035096</v>
      </c>
      <c r="P29" s="166">
        <f t="shared" si="5"/>
        <v>1.0506224399999999</v>
      </c>
      <c r="Q29" s="166">
        <f t="shared" si="5"/>
        <v>1.0779386234399999</v>
      </c>
      <c r="R29" s="166">
        <f t="shared" si="5"/>
        <v>1.1027312117791197</v>
      </c>
      <c r="S29" s="166">
        <f t="shared" si="5"/>
        <v>1.133607685708935</v>
      </c>
      <c r="T29" s="166">
        <f t="shared" si="5"/>
        <v>1.1449437625660244</v>
      </c>
      <c r="U29" s="166">
        <f t="shared" si="5"/>
        <v>1.1541033126665525</v>
      </c>
      <c r="V29" s="166">
        <f t="shared" si="5"/>
        <v>1.1564115192918856</v>
      </c>
      <c r="W29" s="166">
        <f t="shared" si="5"/>
        <v>1.1726012805619719</v>
      </c>
      <c r="X29" s="166">
        <f t="shared" si="5"/>
        <v>1.1972259074537732</v>
      </c>
      <c r="Y29" s="166">
        <f t="shared" si="5"/>
        <v>1.2307482328624788</v>
      </c>
      <c r="Z29" s="166">
        <f t="shared" si="5"/>
        <v>1.2393634704925161</v>
      </c>
      <c r="AA29" s="166">
        <f t="shared" si="5"/>
        <v>1.2691081937843365</v>
      </c>
      <c r="AB29" s="166">
        <f t="shared" si="5"/>
        <v>1.4214011770384569</v>
      </c>
      <c r="AC29" s="166">
        <f t="shared" si="5"/>
        <v>1.4640432123496108</v>
      </c>
      <c r="AD29" s="166">
        <f t="shared" si="5"/>
        <v>1.5167487679941969</v>
      </c>
    </row>
    <row r="30" spans="1:30" s="115" customFormat="1" ht="12" customHeight="1" x14ac:dyDescent="0.25">
      <c r="B30" s="167">
        <v>2009</v>
      </c>
      <c r="I30" s="168"/>
      <c r="J30" s="168"/>
      <c r="K30" s="168"/>
      <c r="L30" s="168"/>
      <c r="M30" s="168"/>
      <c r="N30" s="99">
        <v>1</v>
      </c>
      <c r="O30" s="166">
        <f t="shared" ref="O30:AD30" si="6">N30*O$22</f>
        <v>1.0029999999999999</v>
      </c>
      <c r="P30" s="166">
        <f t="shared" si="6"/>
        <v>1.0180449999999999</v>
      </c>
      <c r="Q30" s="166">
        <f t="shared" si="6"/>
        <v>1.0445141699999998</v>
      </c>
      <c r="R30" s="166">
        <f t="shared" si="6"/>
        <v>1.0685379959099996</v>
      </c>
      <c r="S30" s="166">
        <f t="shared" si="6"/>
        <v>1.0984570597954797</v>
      </c>
      <c r="T30" s="166">
        <f t="shared" si="6"/>
        <v>1.1094416303934345</v>
      </c>
      <c r="U30" s="166">
        <f t="shared" si="6"/>
        <v>1.1183171634365821</v>
      </c>
      <c r="V30" s="166">
        <f t="shared" si="6"/>
        <v>1.1205537977634552</v>
      </c>
      <c r="W30" s="166">
        <f t="shared" si="6"/>
        <v>1.1362415509321435</v>
      </c>
      <c r="X30" s="166">
        <f t="shared" si="6"/>
        <v>1.1601026235017184</v>
      </c>
      <c r="Y30" s="166">
        <f t="shared" si="6"/>
        <v>1.1925854969597667</v>
      </c>
      <c r="Z30" s="166">
        <f t="shared" si="6"/>
        <v>1.200933595438485</v>
      </c>
      <c r="AA30" s="166">
        <f t="shared" si="6"/>
        <v>1.2297560017290086</v>
      </c>
      <c r="AB30" s="166">
        <f t="shared" si="6"/>
        <v>1.3773267219364898</v>
      </c>
      <c r="AC30" s="166">
        <f t="shared" si="6"/>
        <v>1.4186465235945844</v>
      </c>
      <c r="AD30" s="166">
        <f t="shared" si="6"/>
        <v>1.4697177984439895</v>
      </c>
    </row>
    <row r="31" spans="1:30" s="115" customFormat="1" ht="12" customHeight="1" x14ac:dyDescent="0.25">
      <c r="B31" s="167">
        <v>2010</v>
      </c>
      <c r="I31" s="168"/>
      <c r="J31" s="168"/>
      <c r="K31" s="168"/>
      <c r="L31" s="168"/>
      <c r="M31" s="168"/>
      <c r="N31" s="168"/>
      <c r="O31" s="99">
        <v>1</v>
      </c>
      <c r="P31" s="166">
        <f t="shared" ref="P31:AD31" si="7">O31*P$22</f>
        <v>1.0149999999999999</v>
      </c>
      <c r="Q31" s="166">
        <f t="shared" si="7"/>
        <v>1.0413899999999998</v>
      </c>
      <c r="R31" s="166">
        <f t="shared" si="7"/>
        <v>1.0653419699999997</v>
      </c>
      <c r="S31" s="166">
        <f t="shared" si="7"/>
        <v>1.0951715451599997</v>
      </c>
      <c r="T31" s="166">
        <f t="shared" si="7"/>
        <v>1.1061232606115996</v>
      </c>
      <c r="U31" s="166">
        <f t="shared" si="7"/>
        <v>1.1149722466964924</v>
      </c>
      <c r="V31" s="166">
        <f t="shared" si="7"/>
        <v>1.1172021911898855</v>
      </c>
      <c r="W31" s="166">
        <f t="shared" si="7"/>
        <v>1.132843021866544</v>
      </c>
      <c r="X31" s="166">
        <f t="shared" si="7"/>
        <v>1.1566327253257414</v>
      </c>
      <c r="Y31" s="166">
        <f t="shared" si="7"/>
        <v>1.1890184416348621</v>
      </c>
      <c r="Z31" s="166">
        <f t="shared" si="7"/>
        <v>1.197341570726306</v>
      </c>
      <c r="AA31" s="166">
        <f t="shared" si="7"/>
        <v>1.2260777684237374</v>
      </c>
      <c r="AB31" s="166">
        <f t="shared" si="7"/>
        <v>1.3732071006345861</v>
      </c>
      <c r="AC31" s="166">
        <f t="shared" si="7"/>
        <v>1.4144033136536236</v>
      </c>
      <c r="AD31" s="166">
        <f t="shared" si="7"/>
        <v>1.4653218329451541</v>
      </c>
    </row>
    <row r="32" spans="1:30" s="115" customFormat="1" ht="12" customHeight="1" x14ac:dyDescent="0.25">
      <c r="B32" s="167">
        <v>2011</v>
      </c>
      <c r="I32" s="168"/>
      <c r="J32" s="168"/>
      <c r="K32" s="168"/>
      <c r="L32" s="168"/>
      <c r="M32" s="168"/>
      <c r="N32" s="168"/>
      <c r="O32" s="168"/>
      <c r="P32" s="99">
        <v>1</v>
      </c>
      <c r="Q32" s="166">
        <f t="shared" ref="Q32:AD32" si="8">P32*Q$22</f>
        <v>1.026</v>
      </c>
      <c r="R32" s="166">
        <f t="shared" si="8"/>
        <v>1.049598</v>
      </c>
      <c r="S32" s="166">
        <f t="shared" si="8"/>
        <v>1.0789867440000001</v>
      </c>
      <c r="T32" s="166">
        <f t="shared" si="8"/>
        <v>1.08977661144</v>
      </c>
      <c r="U32" s="166">
        <f t="shared" si="8"/>
        <v>1.09849482433152</v>
      </c>
      <c r="V32" s="166">
        <f t="shared" si="8"/>
        <v>1.1006918139801831</v>
      </c>
      <c r="W32" s="166">
        <f t="shared" si="8"/>
        <v>1.1161014993759057</v>
      </c>
      <c r="X32" s="166">
        <f t="shared" si="8"/>
        <v>1.1395396308627996</v>
      </c>
      <c r="Y32" s="166">
        <f t="shared" si="8"/>
        <v>1.171446740526958</v>
      </c>
      <c r="Z32" s="166">
        <f t="shared" si="8"/>
        <v>1.1796468677106466</v>
      </c>
      <c r="AA32" s="166">
        <f t="shared" si="8"/>
        <v>1.2079583925357023</v>
      </c>
      <c r="AB32" s="166">
        <f t="shared" si="8"/>
        <v>1.3529133996399867</v>
      </c>
      <c r="AC32" s="166">
        <f t="shared" si="8"/>
        <v>1.3935008016291863</v>
      </c>
      <c r="AD32" s="166">
        <f t="shared" si="8"/>
        <v>1.4436668304878371</v>
      </c>
    </row>
    <row r="33" spans="2:30" s="115" customFormat="1" ht="12" customHeight="1" x14ac:dyDescent="0.25">
      <c r="B33" s="167">
        <v>2012</v>
      </c>
      <c r="I33" s="168"/>
      <c r="J33" s="168"/>
      <c r="K33" s="168"/>
      <c r="L33" s="168"/>
      <c r="M33" s="168"/>
      <c r="N33" s="168"/>
      <c r="O33" s="168"/>
      <c r="P33" s="168"/>
      <c r="Q33" s="99">
        <v>1</v>
      </c>
      <c r="R33" s="166">
        <f t="shared" ref="R33:AD33" si="9">Q33*R$22</f>
        <v>1.0229999999999999</v>
      </c>
      <c r="S33" s="166">
        <f t="shared" si="9"/>
        <v>1.051644</v>
      </c>
      <c r="T33" s="166">
        <f t="shared" si="9"/>
        <v>1.06216044</v>
      </c>
      <c r="U33" s="166">
        <f t="shared" si="9"/>
        <v>1.0706577235199999</v>
      </c>
      <c r="V33" s="166">
        <f t="shared" si="9"/>
        <v>1.0727990389670399</v>
      </c>
      <c r="W33" s="166">
        <f t="shared" si="9"/>
        <v>1.0878182255125783</v>
      </c>
      <c r="X33" s="166">
        <f t="shared" si="9"/>
        <v>1.1106624082483423</v>
      </c>
      <c r="Y33" s="166">
        <f t="shared" si="9"/>
        <v>1.1417609556792958</v>
      </c>
      <c r="Z33" s="166">
        <f t="shared" si="9"/>
        <v>1.1497532823690508</v>
      </c>
      <c r="AA33" s="166">
        <f t="shared" si="9"/>
        <v>1.177347361145908</v>
      </c>
      <c r="AB33" s="166">
        <f t="shared" si="9"/>
        <v>1.318629044483417</v>
      </c>
      <c r="AC33" s="166">
        <f t="shared" si="9"/>
        <v>1.3581879158179195</v>
      </c>
      <c r="AD33" s="166">
        <f t="shared" si="9"/>
        <v>1.4070826807873646</v>
      </c>
    </row>
    <row r="34" spans="2:30" s="115" customFormat="1" ht="12" customHeight="1" x14ac:dyDescent="0.25">
      <c r="B34" s="167">
        <v>2013</v>
      </c>
      <c r="I34" s="168"/>
      <c r="J34" s="168"/>
      <c r="K34" s="168"/>
      <c r="L34" s="168"/>
      <c r="M34" s="168"/>
      <c r="N34" s="168"/>
      <c r="O34" s="168"/>
      <c r="P34" s="168"/>
      <c r="Q34" s="168"/>
      <c r="R34" s="99">
        <v>1</v>
      </c>
      <c r="S34" s="166">
        <f t="shared" ref="S34:AD34" si="10">R34*S$22</f>
        <v>1.028</v>
      </c>
      <c r="T34" s="166">
        <f t="shared" si="10"/>
        <v>1.0382800000000001</v>
      </c>
      <c r="U34" s="166">
        <f t="shared" si="10"/>
        <v>1.0465862400000001</v>
      </c>
      <c r="V34" s="166">
        <f t="shared" si="10"/>
        <v>1.0486794124800001</v>
      </c>
      <c r="W34" s="166">
        <f t="shared" si="10"/>
        <v>1.0633609242547202</v>
      </c>
      <c r="X34" s="166">
        <f t="shared" si="10"/>
        <v>1.0856915036640693</v>
      </c>
      <c r="Y34" s="166">
        <f t="shared" si="10"/>
        <v>1.1160908657666633</v>
      </c>
      <c r="Z34" s="166">
        <f t="shared" si="10"/>
        <v>1.1239035018270298</v>
      </c>
      <c r="AA34" s="166">
        <f t="shared" si="10"/>
        <v>1.1508771858708786</v>
      </c>
      <c r="AB34" s="166">
        <f t="shared" si="10"/>
        <v>1.2889824481753842</v>
      </c>
      <c r="AC34" s="166">
        <f t="shared" si="10"/>
        <v>1.3276519216206457</v>
      </c>
      <c r="AD34" s="166">
        <f t="shared" si="10"/>
        <v>1.375447390798989</v>
      </c>
    </row>
    <row r="35" spans="2:30" s="115" customFormat="1" ht="12" customHeight="1" x14ac:dyDescent="0.25">
      <c r="B35" s="167">
        <v>2014</v>
      </c>
      <c r="I35" s="168"/>
      <c r="J35" s="168"/>
      <c r="K35" s="168"/>
      <c r="L35" s="168"/>
      <c r="M35" s="168"/>
      <c r="N35" s="168"/>
      <c r="O35" s="168"/>
      <c r="P35" s="168"/>
      <c r="Q35" s="168"/>
      <c r="R35" s="168"/>
      <c r="S35" s="99">
        <v>1</v>
      </c>
      <c r="T35" s="166">
        <f t="shared" ref="T35:AD35" si="11">S35*T$22</f>
        <v>1.01</v>
      </c>
      <c r="U35" s="166">
        <f t="shared" si="11"/>
        <v>1.0180800000000001</v>
      </c>
      <c r="V35" s="166">
        <f t="shared" si="11"/>
        <v>1.0201161600000002</v>
      </c>
      <c r="W35" s="166">
        <f t="shared" si="11"/>
        <v>1.0343977862400002</v>
      </c>
      <c r="X35" s="166">
        <f t="shared" si="11"/>
        <v>1.0561201397510402</v>
      </c>
      <c r="Y35" s="166">
        <f t="shared" si="11"/>
        <v>1.0856915036640693</v>
      </c>
      <c r="Z35" s="166">
        <f t="shared" si="11"/>
        <v>1.0932913441897176</v>
      </c>
      <c r="AA35" s="166">
        <f t="shared" si="11"/>
        <v>1.1195303364502709</v>
      </c>
      <c r="AB35" s="166">
        <f t="shared" si="11"/>
        <v>1.2538739768243035</v>
      </c>
      <c r="AC35" s="166">
        <f t="shared" si="11"/>
        <v>1.2914901961290326</v>
      </c>
      <c r="AD35" s="166">
        <f t="shared" si="11"/>
        <v>1.3379838431896778</v>
      </c>
    </row>
    <row r="36" spans="2:30" s="115" customFormat="1" ht="12" customHeight="1" x14ac:dyDescent="0.25">
      <c r="B36" s="167">
        <v>2015</v>
      </c>
      <c r="I36" s="168"/>
      <c r="J36" s="168"/>
      <c r="K36" s="168"/>
      <c r="L36" s="168"/>
      <c r="M36" s="168"/>
      <c r="N36" s="168"/>
      <c r="O36" s="168"/>
      <c r="P36" s="168"/>
      <c r="Q36" s="168"/>
      <c r="R36" s="168"/>
      <c r="S36" s="168"/>
      <c r="T36" s="99">
        <v>1</v>
      </c>
      <c r="U36" s="166">
        <f t="shared" ref="U36:AD36" si="12">T36*U$22</f>
        <v>1.008</v>
      </c>
      <c r="V36" s="166">
        <f t="shared" si="12"/>
        <v>1.010016</v>
      </c>
      <c r="W36" s="166">
        <f t="shared" si="12"/>
        <v>1.0241562239999999</v>
      </c>
      <c r="X36" s="166">
        <f t="shared" si="12"/>
        <v>1.0456635047039999</v>
      </c>
      <c r="Y36" s="166">
        <f t="shared" si="12"/>
        <v>1.0749420828357119</v>
      </c>
      <c r="Z36" s="166">
        <f t="shared" si="12"/>
        <v>1.0824666774155618</v>
      </c>
      <c r="AA36" s="166">
        <f t="shared" si="12"/>
        <v>1.1084458776735353</v>
      </c>
      <c r="AB36" s="166">
        <f t="shared" si="12"/>
        <v>1.2414593829943597</v>
      </c>
      <c r="AC36" s="166">
        <f t="shared" si="12"/>
        <v>1.2787031644841904</v>
      </c>
      <c r="AD36" s="166">
        <f t="shared" si="12"/>
        <v>1.3247364784056213</v>
      </c>
    </row>
    <row r="37" spans="2:30" s="115" customFormat="1" ht="12" customHeight="1" x14ac:dyDescent="0.25">
      <c r="B37" s="167">
        <v>2016</v>
      </c>
      <c r="I37" s="168"/>
      <c r="J37" s="168"/>
      <c r="K37" s="168"/>
      <c r="L37" s="168"/>
      <c r="M37" s="168"/>
      <c r="N37" s="168"/>
      <c r="O37" s="168"/>
      <c r="P37" s="168"/>
      <c r="Q37" s="168"/>
      <c r="R37" s="168"/>
      <c r="S37" s="168"/>
      <c r="T37" s="168"/>
      <c r="U37" s="99">
        <v>1</v>
      </c>
      <c r="V37" s="166">
        <f t="shared" ref="V37:AD37" si="13">U37*V$22</f>
        <v>1.002</v>
      </c>
      <c r="W37" s="166">
        <f t="shared" si="13"/>
        <v>1.0160279999999999</v>
      </c>
      <c r="X37" s="166">
        <f t="shared" si="13"/>
        <v>1.0373645879999998</v>
      </c>
      <c r="Y37" s="166">
        <f t="shared" si="13"/>
        <v>1.0664107964639997</v>
      </c>
      <c r="Z37" s="166">
        <f t="shared" si="13"/>
        <v>1.0738756720392475</v>
      </c>
      <c r="AA37" s="166">
        <f t="shared" si="13"/>
        <v>1.0996486881681895</v>
      </c>
      <c r="AB37" s="166">
        <f t="shared" si="13"/>
        <v>1.2316065307483723</v>
      </c>
      <c r="AC37" s="166">
        <f t="shared" si="13"/>
        <v>1.2685547266708235</v>
      </c>
      <c r="AD37" s="166">
        <f t="shared" si="13"/>
        <v>1.3142226968309731</v>
      </c>
    </row>
    <row r="38" spans="2:30" s="115" customFormat="1" ht="12" customHeight="1" x14ac:dyDescent="0.25">
      <c r="B38" s="167">
        <v>2017</v>
      </c>
      <c r="I38" s="168"/>
      <c r="J38" s="168"/>
      <c r="K38" s="168"/>
      <c r="L38" s="168"/>
      <c r="M38" s="168"/>
      <c r="N38" s="168"/>
      <c r="O38" s="168"/>
      <c r="P38" s="168"/>
      <c r="Q38" s="168"/>
      <c r="R38" s="168"/>
      <c r="S38" s="168"/>
      <c r="T38" s="168"/>
      <c r="U38" s="168"/>
      <c r="V38" s="99">
        <v>1</v>
      </c>
      <c r="W38" s="166">
        <f t="shared" ref="W38:AD38" si="14">V38*W$22</f>
        <v>1.014</v>
      </c>
      <c r="X38" s="166">
        <f t="shared" si="14"/>
        <v>1.0352939999999999</v>
      </c>
      <c r="Y38" s="166">
        <f t="shared" si="14"/>
        <v>1.0642822320000001</v>
      </c>
      <c r="Z38" s="166">
        <f t="shared" si="14"/>
        <v>1.0717322076239999</v>
      </c>
      <c r="AA38" s="166">
        <f t="shared" si="14"/>
        <v>1.097453780606976</v>
      </c>
      <c r="AB38" s="166">
        <f t="shared" si="14"/>
        <v>1.2291482342798132</v>
      </c>
      <c r="AC38" s="166">
        <f t="shared" si="14"/>
        <v>1.2660226813082076</v>
      </c>
      <c r="AD38" s="166">
        <f t="shared" si="14"/>
        <v>1.3115994978353032</v>
      </c>
    </row>
    <row r="39" spans="2:30" s="115" customFormat="1" ht="12" customHeight="1" x14ac:dyDescent="0.25">
      <c r="B39" s="167">
        <v>2018</v>
      </c>
      <c r="I39" s="168"/>
      <c r="J39" s="168"/>
      <c r="K39" s="168"/>
      <c r="L39" s="168"/>
      <c r="M39" s="168"/>
      <c r="N39" s="168"/>
      <c r="O39" s="168"/>
      <c r="P39" s="168"/>
      <c r="Q39" s="168"/>
      <c r="R39" s="168"/>
      <c r="S39" s="168"/>
      <c r="T39" s="168"/>
      <c r="U39" s="168"/>
      <c r="V39" s="168"/>
      <c r="W39" s="99">
        <v>1</v>
      </c>
      <c r="X39" s="166">
        <f t="shared" ref="X39:AD39" si="15">W39*X$22</f>
        <v>1.0209999999999999</v>
      </c>
      <c r="Y39" s="166">
        <f t="shared" si="15"/>
        <v>1.049588</v>
      </c>
      <c r="Z39" s="166">
        <f t="shared" si="15"/>
        <v>1.0569351159999998</v>
      </c>
      <c r="AA39" s="166">
        <f t="shared" si="15"/>
        <v>1.0823015587839997</v>
      </c>
      <c r="AB39" s="166">
        <f t="shared" si="15"/>
        <v>1.2121777458380798</v>
      </c>
      <c r="AC39" s="166">
        <f t="shared" si="15"/>
        <v>1.2485430782132223</v>
      </c>
      <c r="AD39" s="166">
        <f t="shared" si="15"/>
        <v>1.2934906290288983</v>
      </c>
    </row>
    <row r="40" spans="2:30" s="115" customFormat="1" ht="12" customHeight="1" x14ac:dyDescent="0.25">
      <c r="B40" s="167">
        <v>2019</v>
      </c>
      <c r="I40" s="168"/>
      <c r="J40" s="168"/>
      <c r="K40" s="168"/>
      <c r="L40" s="168"/>
      <c r="M40" s="168"/>
      <c r="N40" s="168"/>
      <c r="O40" s="168"/>
      <c r="P40" s="168"/>
      <c r="Q40" s="168"/>
      <c r="R40" s="168"/>
      <c r="S40" s="168"/>
      <c r="T40" s="168"/>
      <c r="U40" s="168"/>
      <c r="V40" s="168"/>
      <c r="W40" s="168"/>
      <c r="X40" s="99">
        <v>1</v>
      </c>
      <c r="Y40" s="166">
        <f t="shared" ref="Y40:AD40" si="16">X40*Y$22</f>
        <v>1.028</v>
      </c>
      <c r="Z40" s="166">
        <f t="shared" si="16"/>
        <v>1.035196</v>
      </c>
      <c r="AA40" s="166">
        <f t="shared" si="16"/>
        <v>1.0600407039999999</v>
      </c>
      <c r="AB40" s="166">
        <f t="shared" si="16"/>
        <v>1.1872455884799999</v>
      </c>
      <c r="AC40" s="166">
        <f t="shared" si="16"/>
        <v>1.2228629561344</v>
      </c>
      <c r="AD40" s="166">
        <f t="shared" si="16"/>
        <v>1.2668860225552385</v>
      </c>
    </row>
    <row r="41" spans="2:30" s="115" customFormat="1" ht="12" customHeight="1" x14ac:dyDescent="0.25">
      <c r="B41" s="167">
        <v>2020</v>
      </c>
      <c r="I41" s="168"/>
      <c r="J41" s="168"/>
      <c r="K41" s="168"/>
      <c r="L41" s="168"/>
      <c r="M41" s="168"/>
      <c r="N41" s="168"/>
      <c r="O41" s="168"/>
      <c r="P41" s="168"/>
      <c r="Q41" s="168"/>
      <c r="R41" s="168"/>
      <c r="S41" s="168"/>
      <c r="T41" s="168"/>
      <c r="U41" s="168"/>
      <c r="V41" s="168"/>
      <c r="W41" s="168"/>
      <c r="X41" s="168"/>
      <c r="Y41" s="99">
        <v>1</v>
      </c>
      <c r="Z41" s="166">
        <f>Y41*Z$22</f>
        <v>1.0069999999999999</v>
      </c>
      <c r="AA41" s="166">
        <f>Z41*AA$22</f>
        <v>1.0311679999999999</v>
      </c>
      <c r="AB41" s="166">
        <f>AA41*AB$22</f>
        <v>1.15490816</v>
      </c>
      <c r="AC41" s="166">
        <f>AB41*AC$22</f>
        <v>1.1895554047999999</v>
      </c>
      <c r="AD41" s="166">
        <f>AC41*AD$22</f>
        <v>1.2323793993727998</v>
      </c>
    </row>
    <row r="42" spans="2:30" s="115" customFormat="1" ht="12" customHeight="1" x14ac:dyDescent="0.25">
      <c r="B42" s="167">
        <v>2021</v>
      </c>
      <c r="I42" s="168"/>
      <c r="J42" s="168"/>
      <c r="K42" s="168"/>
      <c r="L42" s="168"/>
      <c r="M42" s="168"/>
      <c r="N42" s="168"/>
      <c r="O42" s="168"/>
      <c r="P42" s="168"/>
      <c r="Q42" s="168"/>
      <c r="R42" s="168"/>
      <c r="S42" s="168"/>
      <c r="T42" s="168"/>
      <c r="U42" s="168"/>
      <c r="V42" s="168"/>
      <c r="W42" s="168"/>
      <c r="X42" s="168"/>
      <c r="Y42" s="168"/>
      <c r="Z42" s="99">
        <v>1</v>
      </c>
      <c r="AA42" s="166">
        <f>Z42*AA$22</f>
        <v>1.024</v>
      </c>
      <c r="AB42" s="166">
        <f>AA42*AB$22</f>
        <v>1.1468800000000001</v>
      </c>
      <c r="AC42" s="166">
        <f>AB42*AC$22</f>
        <v>1.1812864000000001</v>
      </c>
      <c r="AD42" s="166">
        <f>AC42*AD$22</f>
        <v>1.2238127104000001</v>
      </c>
    </row>
    <row r="43" spans="2:30" s="115" customFormat="1" ht="12" customHeight="1" x14ac:dyDescent="0.25">
      <c r="B43" s="167">
        <v>2022</v>
      </c>
      <c r="I43" s="168"/>
      <c r="J43" s="168"/>
      <c r="K43" s="168"/>
      <c r="L43" s="168"/>
      <c r="M43" s="168"/>
      <c r="N43" s="168"/>
      <c r="O43" s="168"/>
      <c r="P43" s="168"/>
      <c r="Q43" s="168"/>
      <c r="R43" s="168"/>
      <c r="S43" s="168"/>
      <c r="T43" s="168"/>
      <c r="U43" s="168"/>
      <c r="V43" s="168"/>
      <c r="W43" s="168"/>
      <c r="X43" s="168"/>
      <c r="Y43" s="168"/>
      <c r="Z43" s="168"/>
      <c r="AA43" s="99">
        <v>1</v>
      </c>
      <c r="AB43" s="166">
        <f>AA43*AB$22</f>
        <v>1.1200000000000001</v>
      </c>
      <c r="AC43" s="166">
        <f>AB43*AC$22</f>
        <v>1.1536000000000002</v>
      </c>
      <c r="AD43" s="166">
        <f>AC43*AD$22</f>
        <v>1.1951296000000002</v>
      </c>
    </row>
    <row r="44" spans="2:30" s="115" customFormat="1" ht="12" customHeight="1" x14ac:dyDescent="0.25">
      <c r="B44" s="167">
        <v>2023</v>
      </c>
      <c r="I44" s="168"/>
      <c r="J44" s="168"/>
      <c r="K44" s="168"/>
      <c r="L44" s="168"/>
      <c r="M44" s="168"/>
      <c r="N44" s="168"/>
      <c r="O44" s="168"/>
      <c r="P44" s="168"/>
      <c r="Q44" s="168"/>
      <c r="R44" s="168"/>
      <c r="S44" s="168"/>
      <c r="T44" s="168"/>
      <c r="U44" s="168"/>
      <c r="V44" s="168"/>
      <c r="W44" s="168"/>
      <c r="X44" s="168"/>
      <c r="Y44" s="168"/>
      <c r="Z44" s="168"/>
      <c r="AA44" s="168"/>
      <c r="AB44" s="99">
        <v>1</v>
      </c>
      <c r="AC44" s="166">
        <f>AB44*AC$22</f>
        <v>1.03</v>
      </c>
      <c r="AD44" s="166">
        <f>AC44*AD$22</f>
        <v>1.06708</v>
      </c>
    </row>
    <row r="45" spans="2:30" s="115" customFormat="1" ht="12" customHeight="1" x14ac:dyDescent="0.25">
      <c r="B45" s="167">
        <v>2024</v>
      </c>
      <c r="I45" s="168"/>
      <c r="J45" s="168"/>
      <c r="K45" s="168"/>
      <c r="L45" s="168"/>
      <c r="M45" s="168"/>
      <c r="N45" s="168"/>
      <c r="O45" s="168"/>
      <c r="P45" s="168"/>
      <c r="Q45" s="168"/>
      <c r="R45" s="168"/>
      <c r="S45" s="168"/>
      <c r="T45" s="168"/>
      <c r="U45" s="168"/>
      <c r="V45" s="168"/>
      <c r="W45" s="168"/>
      <c r="X45" s="168"/>
      <c r="Y45" s="168"/>
      <c r="Z45" s="168"/>
      <c r="AA45" s="168"/>
      <c r="AB45" s="168"/>
      <c r="AC45" s="99">
        <v>1</v>
      </c>
      <c r="AD45" s="166">
        <f>AC45*AD$22</f>
        <v>1.036</v>
      </c>
    </row>
    <row r="46" spans="2:30" s="115" customFormat="1" ht="12" customHeight="1" x14ac:dyDescent="0.25">
      <c r="B46" s="167">
        <v>2025</v>
      </c>
      <c r="I46" s="168"/>
      <c r="J46" s="168"/>
      <c r="K46" s="168"/>
      <c r="L46" s="168"/>
      <c r="M46" s="168"/>
      <c r="N46" s="168"/>
      <c r="O46" s="168"/>
      <c r="P46" s="168"/>
      <c r="Q46" s="168"/>
      <c r="R46" s="168"/>
      <c r="S46" s="168"/>
      <c r="T46" s="168"/>
      <c r="U46" s="168"/>
      <c r="V46" s="168"/>
      <c r="W46" s="168"/>
      <c r="X46" s="168"/>
      <c r="Y46" s="168"/>
      <c r="Z46" s="168"/>
      <c r="AA46" s="168"/>
      <c r="AB46" s="168"/>
      <c r="AC46" s="168"/>
      <c r="AD46" s="99">
        <v>1</v>
      </c>
    </row>
    <row r="47" spans="2:30" s="115" customFormat="1" ht="12" customHeight="1" x14ac:dyDescent="0.25">
      <c r="B47" s="167">
        <v>2026</v>
      </c>
      <c r="I47" s="168"/>
      <c r="J47" s="168"/>
      <c r="K47" s="168"/>
      <c r="L47" s="168"/>
      <c r="M47" s="168"/>
      <c r="N47" s="168"/>
      <c r="O47" s="168"/>
      <c r="P47" s="168"/>
      <c r="Q47" s="168"/>
      <c r="R47" s="168"/>
      <c r="S47" s="168"/>
      <c r="T47" s="168"/>
      <c r="U47" s="168"/>
      <c r="V47" s="168"/>
      <c r="W47" s="168"/>
      <c r="X47" s="168"/>
      <c r="Y47" s="168"/>
      <c r="Z47" s="168"/>
      <c r="AA47" s="168"/>
      <c r="AB47" s="168"/>
      <c r="AC47" s="168"/>
      <c r="AD47" s="168"/>
    </row>
    <row r="48" spans="2:30" ht="12" customHeight="1" x14ac:dyDescent="0.25"/>
    <row r="49" spans="2:15" s="6" customFormat="1" ht="12" customHeight="1" x14ac:dyDescent="0.25">
      <c r="B49" s="6" t="s">
        <v>389</v>
      </c>
      <c r="L49" s="52">
        <v>2022</v>
      </c>
      <c r="M49" s="52">
        <v>2023</v>
      </c>
      <c r="N49" s="52">
        <v>2024</v>
      </c>
      <c r="O49" s="60"/>
    </row>
    <row r="50" spans="2:15" ht="12" customHeight="1" x14ac:dyDescent="0.25"/>
    <row r="51" spans="2:15" ht="12" customHeight="1" x14ac:dyDescent="0.25">
      <c r="B51" s="1" t="s">
        <v>76</v>
      </c>
    </row>
    <row r="52" spans="2:15" ht="12" customHeight="1" x14ac:dyDescent="0.25">
      <c r="B52" s="2" t="s">
        <v>77</v>
      </c>
      <c r="F52" s="2" t="s">
        <v>73</v>
      </c>
      <c r="L52" s="14"/>
      <c r="M52" s="50">
        <f>'Input parameters'!AE30</f>
        <v>0.04</v>
      </c>
      <c r="N52" s="50">
        <f>'Input parameters'!AF30</f>
        <v>7.0000000000000007E-2</v>
      </c>
    </row>
    <row r="53" spans="2:15" ht="12" customHeight="1" x14ac:dyDescent="0.25">
      <c r="B53" s="2" t="s">
        <v>78</v>
      </c>
      <c r="F53" s="2" t="s">
        <v>73</v>
      </c>
      <c r="L53" s="14"/>
      <c r="M53" s="50">
        <f>'Input parameters'!AE31</f>
        <v>0.04</v>
      </c>
      <c r="N53" s="50">
        <f>'Input parameters'!AF31</f>
        <v>7.0000000000000007E-2</v>
      </c>
    </row>
    <row r="54" spans="2:15" ht="12" customHeight="1" x14ac:dyDescent="0.25">
      <c r="B54" s="2" t="s">
        <v>79</v>
      </c>
      <c r="F54" s="2" t="s">
        <v>73</v>
      </c>
      <c r="L54" s="50">
        <f>'Input parameters'!AD32</f>
        <v>0.02</v>
      </c>
      <c r="M54" s="50">
        <f>'Input parameters'!AE32</f>
        <v>0.06</v>
      </c>
      <c r="N54" s="50">
        <f>'Input parameters'!AF32</f>
        <v>7.0000000000000007E-2</v>
      </c>
    </row>
    <row r="55" spans="2:15" ht="12" customHeight="1" x14ac:dyDescent="0.25">
      <c r="B55" s="2" t="s">
        <v>80</v>
      </c>
      <c r="F55" s="2" t="s">
        <v>73</v>
      </c>
      <c r="L55" s="50">
        <f>'Input parameters'!AD33</f>
        <v>0.02</v>
      </c>
      <c r="M55" s="50">
        <f>'Input parameters'!AE33</f>
        <v>0.06</v>
      </c>
      <c r="N55" s="50">
        <f>'Input parameters'!AF33</f>
        <v>7.0000000000000007E-2</v>
      </c>
    </row>
    <row r="56" spans="2:15" ht="12" customHeight="1" x14ac:dyDescent="0.25"/>
    <row r="57" spans="2:15" ht="12" customHeight="1" x14ac:dyDescent="0.25">
      <c r="B57" s="1" t="s">
        <v>386</v>
      </c>
    </row>
    <row r="58" spans="2:15" ht="12" customHeight="1" x14ac:dyDescent="0.25">
      <c r="B58" s="2" t="s">
        <v>454</v>
      </c>
      <c r="F58" s="2" t="s">
        <v>73</v>
      </c>
      <c r="H58" s="57">
        <f>'Input parameters'!H36</f>
        <v>4.2500000000000003E-2</v>
      </c>
    </row>
    <row r="59" spans="2:15" ht="12" customHeight="1" x14ac:dyDescent="0.25"/>
    <row r="60" spans="2:15" s="6" customFormat="1" ht="12" customHeight="1" x14ac:dyDescent="0.25">
      <c r="B60" s="6" t="s">
        <v>84</v>
      </c>
      <c r="M60" s="52">
        <v>2023</v>
      </c>
      <c r="N60" s="52">
        <v>2024</v>
      </c>
      <c r="O60" s="52">
        <v>2025</v>
      </c>
    </row>
    <row r="61" spans="2:15" ht="12" customHeight="1" x14ac:dyDescent="0.25"/>
    <row r="62" spans="2:15" ht="12" customHeight="1" x14ac:dyDescent="0.25">
      <c r="B62" s="1" t="s">
        <v>654</v>
      </c>
    </row>
    <row r="63" spans="2:15" ht="12" customHeight="1" x14ac:dyDescent="0.25">
      <c r="B63" s="2" t="s">
        <v>390</v>
      </c>
      <c r="F63" s="2" t="s">
        <v>73</v>
      </c>
      <c r="M63" s="14"/>
      <c r="N63" s="14"/>
      <c r="O63" s="182">
        <f>ROUND($H$58+2.25%,2)</f>
        <v>7.0000000000000007E-2</v>
      </c>
    </row>
    <row r="64" spans="2:15" ht="12" customHeight="1" x14ac:dyDescent="0.25">
      <c r="B64" s="2" t="s">
        <v>391</v>
      </c>
      <c r="F64" s="2" t="s">
        <v>73</v>
      </c>
      <c r="M64" s="14"/>
      <c r="N64" s="14"/>
      <c r="O64" s="182">
        <f>ROUND($H$58+2.25%,2)</f>
        <v>7.0000000000000007E-2</v>
      </c>
    </row>
    <row r="65" spans="2:16" ht="12" customHeight="1" x14ac:dyDescent="0.25"/>
    <row r="66" spans="2:16" ht="12" customHeight="1" x14ac:dyDescent="0.25">
      <c r="B66" s="1" t="s">
        <v>83</v>
      </c>
      <c r="M66" s="239"/>
      <c r="N66" s="240"/>
      <c r="O66" s="240"/>
    </row>
    <row r="67" spans="2:16" ht="12" customHeight="1" x14ac:dyDescent="0.25">
      <c r="B67" s="2" t="s">
        <v>82</v>
      </c>
      <c r="F67" s="2" t="s">
        <v>73</v>
      </c>
      <c r="M67" s="182">
        <f>((1+L54)*(1+L55)*(1+M52)*(1+M53))^(1/4)-1</f>
        <v>2.9951455166698615E-2</v>
      </c>
      <c r="N67" s="182">
        <f>((1+M54)*(1+M55)*(1+N52)*(1+N53))^(1/4)-1</f>
        <v>6.4988262846121803E-2</v>
      </c>
      <c r="O67" s="183">
        <f>((1+N54)*(1+N55)*(1+O63)*(1+O64))^(1/4)-1</f>
        <v>7.0000000000000062E-2</v>
      </c>
      <c r="P67" s="20"/>
    </row>
    <row r="68" spans="2:16" ht="12" customHeight="1" x14ac:dyDescent="0.25">
      <c r="P68" s="20"/>
    </row>
    <row r="69" spans="2:16" ht="12" customHeight="1" x14ac:dyDescent="0.25">
      <c r="B69" s="1" t="s">
        <v>81</v>
      </c>
    </row>
    <row r="70" spans="2:16" ht="12" customHeight="1" x14ac:dyDescent="0.25">
      <c r="B70" s="2" t="s">
        <v>145</v>
      </c>
      <c r="F70" s="2" t="s">
        <v>73</v>
      </c>
      <c r="M70" s="105">
        <f>M67</f>
        <v>2.9951455166698615E-2</v>
      </c>
      <c r="N70" s="51">
        <f>(1+M70)*(1+N$67)-1</f>
        <v>9.6886211053817561E-2</v>
      </c>
      <c r="O70" s="51">
        <f>(1+N70)*(1+O$67)-1</f>
        <v>0.17366824582758489</v>
      </c>
    </row>
    <row r="71" spans="2:16" ht="12" customHeight="1" x14ac:dyDescent="0.25">
      <c r="B71" s="2" t="s">
        <v>166</v>
      </c>
      <c r="F71" s="2" t="s">
        <v>73</v>
      </c>
      <c r="M71" s="14"/>
      <c r="N71" s="105">
        <f>N67</f>
        <v>6.4988262846121803E-2</v>
      </c>
      <c r="O71" s="51">
        <f>(1+N71)*(1+O$67)-1</f>
        <v>0.1395374412453505</v>
      </c>
    </row>
    <row r="72" spans="2:16" ht="12" customHeight="1" x14ac:dyDescent="0.25">
      <c r="B72" s="2" t="s">
        <v>455</v>
      </c>
      <c r="F72" s="2" t="s">
        <v>73</v>
      </c>
      <c r="M72" s="14"/>
      <c r="N72" s="14"/>
      <c r="O72" s="105">
        <f>O67</f>
        <v>7.0000000000000062E-2</v>
      </c>
    </row>
    <row r="73" spans="2:16" ht="12" customHeight="1" x14ac:dyDescent="0.25"/>
    <row r="74" spans="2:16" ht="12" customHeight="1" x14ac:dyDescent="0.25"/>
    <row r="75" spans="2:16" ht="12" customHeight="1" x14ac:dyDescent="0.25"/>
  </sheetData>
  <phoneticPr fontId="61" type="noConversion"/>
  <pageMargins left="0.7" right="0.7"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ECAC3-3A15-4B10-BE69-1B2E02D31338}">
  <sheetPr>
    <tabColor rgb="FFFFFFCC"/>
  </sheetPr>
  <dimension ref="A1:X143"/>
  <sheetViews>
    <sheetView showGridLines="0" zoomScale="85" zoomScaleNormal="85" workbookViewId="0">
      <pane xSplit="6" ySplit="15" topLeftCell="G16" activePane="bottomRight" state="frozen"/>
      <selection activeCell="M61" sqref="M61"/>
      <selection pane="topRight" activeCell="M61" sqref="M61"/>
      <selection pane="bottomLeft" activeCell="M61" sqref="M61"/>
      <selection pane="bottomRight" activeCell="G16" sqref="G16"/>
    </sheetView>
  </sheetViews>
  <sheetFormatPr defaultColWidth="9.140625" defaultRowHeight="12.75" x14ac:dyDescent="0.25"/>
  <cols>
    <col min="1" max="1" width="4" style="2" customWidth="1"/>
    <col min="2" max="2" width="45.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2" customWidth="1"/>
    <col min="13" max="14" width="14" style="2" customWidth="1"/>
    <col min="15" max="15" width="12.5703125" style="2" customWidth="1"/>
    <col min="16" max="16" width="14" style="2" customWidth="1"/>
    <col min="17" max="17" width="12.5703125" style="2" customWidth="1"/>
    <col min="18" max="18" width="2.7109375" style="2" customWidth="1"/>
    <col min="19" max="33" width="13.7109375" style="2" customWidth="1"/>
    <col min="34" max="16384" width="9.140625" style="2"/>
  </cols>
  <sheetData>
    <row r="1" spans="1:19" x14ac:dyDescent="0.25">
      <c r="A1" s="1"/>
    </row>
    <row r="2" spans="1:19" s="184" customFormat="1" ht="18" x14ac:dyDescent="0.25">
      <c r="B2" s="184" t="s">
        <v>401</v>
      </c>
    </row>
    <row r="4" spans="1:19" x14ac:dyDescent="0.25">
      <c r="B4" s="1" t="s">
        <v>59</v>
      </c>
      <c r="C4" s="1"/>
      <c r="D4" s="1"/>
    </row>
    <row r="5" spans="1:19" x14ac:dyDescent="0.25">
      <c r="B5" s="2" t="s">
        <v>402</v>
      </c>
      <c r="C5" s="1"/>
      <c r="D5" s="1"/>
    </row>
    <row r="6" spans="1:19" x14ac:dyDescent="0.25">
      <c r="B6" s="2" t="s">
        <v>403</v>
      </c>
      <c r="C6" s="1"/>
      <c r="D6" s="1"/>
    </row>
    <row r="7" spans="1:19" x14ac:dyDescent="0.25">
      <c r="C7" s="1"/>
      <c r="D7" s="1"/>
    </row>
    <row r="8" spans="1:19" x14ac:dyDescent="0.25">
      <c r="B8" s="4" t="s">
        <v>169</v>
      </c>
      <c r="C8" s="1"/>
      <c r="D8" s="1"/>
    </row>
    <row r="9" spans="1:19" x14ac:dyDescent="0.25">
      <c r="B9" s="2" t="s">
        <v>779</v>
      </c>
      <c r="C9" s="1"/>
      <c r="D9" s="1"/>
    </row>
    <row r="10" spans="1:19" x14ac:dyDescent="0.25">
      <c r="B10" s="2" t="s">
        <v>781</v>
      </c>
      <c r="C10" s="1"/>
      <c r="D10" s="1"/>
    </row>
    <row r="11" spans="1:19" x14ac:dyDescent="0.25">
      <c r="B11" s="2" t="s">
        <v>782</v>
      </c>
      <c r="C11" s="1"/>
      <c r="D11" s="1"/>
    </row>
    <row r="12" spans="1:19" x14ac:dyDescent="0.25">
      <c r="B12" s="2" t="s">
        <v>780</v>
      </c>
      <c r="C12" s="1"/>
      <c r="D12" s="1"/>
    </row>
    <row r="13" spans="1:19" x14ac:dyDescent="0.25">
      <c r="C13" s="1"/>
      <c r="D13" s="1"/>
    </row>
    <row r="14" spans="1:19" s="143" customFormat="1" x14ac:dyDescent="0.25">
      <c r="B14" s="143" t="s">
        <v>46</v>
      </c>
      <c r="F14" s="143" t="s">
        <v>28</v>
      </c>
      <c r="H14" s="143" t="s">
        <v>29</v>
      </c>
      <c r="J14" s="143" t="s">
        <v>50</v>
      </c>
      <c r="L14" s="143" t="s">
        <v>89</v>
      </c>
      <c r="M14" s="143" t="s">
        <v>66</v>
      </c>
      <c r="N14" s="143" t="s">
        <v>67</v>
      </c>
      <c r="O14" s="143" t="s">
        <v>68</v>
      </c>
      <c r="P14" s="143" t="s">
        <v>69</v>
      </c>
      <c r="Q14" s="143" t="s">
        <v>70</v>
      </c>
      <c r="S14" s="143" t="s">
        <v>48</v>
      </c>
    </row>
    <row r="17" spans="1:24" s="143" customFormat="1" x14ac:dyDescent="0.25">
      <c r="B17" s="143" t="s">
        <v>405</v>
      </c>
    </row>
    <row r="18" spans="1:24" x14ac:dyDescent="0.25">
      <c r="B18" s="173"/>
      <c r="C18" s="173"/>
      <c r="D18" s="173"/>
      <c r="E18" s="173"/>
      <c r="F18" s="173"/>
      <c r="G18" s="173"/>
      <c r="H18" s="173"/>
      <c r="I18" s="173"/>
      <c r="J18" s="173"/>
      <c r="K18" s="173"/>
      <c r="L18" s="173"/>
      <c r="M18" s="173"/>
      <c r="N18" s="173"/>
      <c r="O18" s="173"/>
      <c r="P18" s="102"/>
      <c r="Q18" s="173"/>
      <c r="R18" s="173"/>
      <c r="S18" s="173"/>
      <c r="T18" s="173"/>
      <c r="U18" s="173"/>
    </row>
    <row r="19" spans="1:24" s="173" customFormat="1" x14ac:dyDescent="0.25">
      <c r="A19" s="2"/>
      <c r="B19" s="178" t="s">
        <v>736</v>
      </c>
      <c r="L19" s="102"/>
      <c r="M19" s="102"/>
      <c r="N19" s="102"/>
      <c r="P19" s="102"/>
      <c r="V19" s="2"/>
      <c r="W19" s="2"/>
      <c r="X19" s="2"/>
    </row>
    <row r="20" spans="1:24" s="173" customFormat="1" x14ac:dyDescent="0.25">
      <c r="A20" s="2"/>
      <c r="B20" s="173" t="s">
        <v>737</v>
      </c>
      <c r="F20" s="173" t="s">
        <v>111</v>
      </c>
      <c r="L20" s="102"/>
      <c r="M20" s="102"/>
      <c r="N20" s="102"/>
      <c r="O20" s="2"/>
      <c r="P20" s="48">
        <f>'Input overname private netten'!P15</f>
        <v>19934</v>
      </c>
      <c r="U20" s="257"/>
      <c r="V20" s="2"/>
      <c r="W20" s="2"/>
      <c r="X20" s="2"/>
    </row>
    <row r="21" spans="1:24" s="173" customFormat="1" x14ac:dyDescent="0.25">
      <c r="A21" s="2"/>
      <c r="B21" s="173" t="s">
        <v>738</v>
      </c>
      <c r="F21" s="173" t="s">
        <v>111</v>
      </c>
      <c r="L21" s="102"/>
      <c r="M21" s="102"/>
      <c r="N21" s="102"/>
      <c r="O21" s="2"/>
      <c r="P21" s="48">
        <f>'Input overname private netten'!P16</f>
        <v>47737.720171059314</v>
      </c>
      <c r="U21" s="257"/>
      <c r="V21" s="2"/>
      <c r="W21" s="2"/>
      <c r="X21" s="2"/>
    </row>
    <row r="22" spans="1:24" s="173" customFormat="1" ht="15" x14ac:dyDescent="0.25">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row>
    <row r="23" spans="1:24" s="173" customFormat="1" x14ac:dyDescent="0.25">
      <c r="A23" s="2"/>
      <c r="B23" s="176" t="s">
        <v>740</v>
      </c>
      <c r="L23" s="102"/>
      <c r="M23" s="102"/>
      <c r="N23" s="102"/>
      <c r="O23" s="2"/>
      <c r="P23" s="186"/>
      <c r="V23" s="2"/>
      <c r="W23" s="2"/>
      <c r="X23" s="2"/>
    </row>
    <row r="24" spans="1:24" s="173" customFormat="1" x14ac:dyDescent="0.25">
      <c r="A24" s="2"/>
      <c r="B24" s="2" t="s">
        <v>741</v>
      </c>
      <c r="F24" s="173" t="s">
        <v>111</v>
      </c>
      <c r="L24" s="102"/>
      <c r="M24" s="102"/>
      <c r="N24" s="102"/>
      <c r="O24" s="2"/>
      <c r="P24" s="185"/>
      <c r="V24" s="2"/>
      <c r="W24" s="2"/>
      <c r="X24" s="2"/>
    </row>
    <row r="25" spans="1:24" s="173" customFormat="1" x14ac:dyDescent="0.25">
      <c r="A25" s="2"/>
      <c r="B25" s="2" t="s">
        <v>742</v>
      </c>
      <c r="F25" s="173" t="s">
        <v>142</v>
      </c>
      <c r="L25" s="102"/>
      <c r="M25" s="102"/>
      <c r="N25" s="102"/>
      <c r="O25" s="2"/>
      <c r="P25" s="185"/>
      <c r="V25" s="2"/>
      <c r="W25" s="2"/>
      <c r="X25" s="2"/>
    </row>
    <row r="26" spans="1:24" s="173" customFormat="1" x14ac:dyDescent="0.25">
      <c r="A26" s="2"/>
      <c r="L26" s="102"/>
      <c r="M26" s="102"/>
      <c r="N26" s="102"/>
      <c r="O26" s="2"/>
      <c r="P26" s="186"/>
      <c r="V26" s="2"/>
      <c r="W26" s="2"/>
      <c r="X26" s="2"/>
    </row>
    <row r="27" spans="1:24" s="173" customFormat="1" x14ac:dyDescent="0.25">
      <c r="A27" s="2"/>
      <c r="B27" s="176" t="s">
        <v>743</v>
      </c>
      <c r="L27" s="102"/>
      <c r="M27" s="102"/>
      <c r="N27" s="102"/>
      <c r="O27" s="2"/>
      <c r="P27" s="186"/>
      <c r="V27" s="2"/>
      <c r="W27" s="2"/>
      <c r="X27" s="2"/>
    </row>
    <row r="28" spans="1:24" s="173" customFormat="1" x14ac:dyDescent="0.25">
      <c r="A28" s="2"/>
      <c r="B28" s="173" t="s">
        <v>744</v>
      </c>
      <c r="F28" s="173" t="s">
        <v>398</v>
      </c>
      <c r="L28" s="102"/>
      <c r="M28" s="102"/>
      <c r="N28" s="102"/>
      <c r="O28" s="2"/>
      <c r="P28" s="48">
        <f>'Input overname private netten'!P23</f>
        <v>5</v>
      </c>
      <c r="V28" s="2"/>
      <c r="W28" s="2"/>
      <c r="X28" s="2"/>
    </row>
    <row r="29" spans="1:24" s="173" customFormat="1" x14ac:dyDescent="0.25">
      <c r="A29" s="2"/>
      <c r="B29" s="173" t="s">
        <v>745</v>
      </c>
      <c r="F29" s="173" t="s">
        <v>398</v>
      </c>
      <c r="L29" s="102"/>
      <c r="M29" s="102"/>
      <c r="N29" s="102"/>
      <c r="O29" s="80"/>
      <c r="P29" s="185"/>
      <c r="V29" s="80"/>
      <c r="W29" s="80"/>
      <c r="X29" s="80"/>
    </row>
    <row r="30" spans="1:24" s="173" customFormat="1" x14ac:dyDescent="0.25">
      <c r="A30" s="2"/>
      <c r="B30" s="173" t="s">
        <v>746</v>
      </c>
      <c r="F30" s="173" t="s">
        <v>398</v>
      </c>
      <c r="L30" s="102"/>
      <c r="M30" s="102"/>
      <c r="N30" s="102"/>
      <c r="O30" s="80"/>
      <c r="P30" s="185"/>
      <c r="V30" s="80"/>
      <c r="W30" s="80"/>
      <c r="X30" s="80"/>
    </row>
    <row r="31" spans="1:24" s="173" customFormat="1" x14ac:dyDescent="0.25">
      <c r="A31" s="2"/>
      <c r="L31" s="102"/>
      <c r="M31" s="102"/>
      <c r="N31" s="102"/>
      <c r="O31" s="80"/>
      <c r="P31" s="187"/>
      <c r="V31" s="80"/>
      <c r="W31" s="80"/>
      <c r="X31" s="80"/>
    </row>
    <row r="32" spans="1:24" s="173" customFormat="1" x14ac:dyDescent="0.25">
      <c r="A32" s="2"/>
      <c r="B32" s="178" t="s">
        <v>399</v>
      </c>
      <c r="L32" s="102"/>
      <c r="M32" s="102"/>
      <c r="N32" s="102"/>
      <c r="O32" s="80"/>
      <c r="P32" s="187"/>
      <c r="V32" s="80"/>
      <c r="W32" s="80"/>
      <c r="X32" s="80"/>
    </row>
    <row r="33" spans="1:24" x14ac:dyDescent="0.25">
      <c r="B33" s="173" t="s">
        <v>747</v>
      </c>
      <c r="C33" s="173"/>
      <c r="D33" s="173"/>
      <c r="E33" s="173"/>
      <c r="F33" s="173" t="s">
        <v>142</v>
      </c>
      <c r="G33" s="173"/>
      <c r="H33" s="173"/>
      <c r="I33" s="173"/>
      <c r="J33" s="173"/>
      <c r="K33" s="173"/>
      <c r="L33" s="102"/>
      <c r="M33" s="102"/>
      <c r="N33" s="102"/>
      <c r="O33" s="80"/>
      <c r="P33" s="185"/>
      <c r="Q33" s="173"/>
      <c r="R33" s="173"/>
      <c r="S33" s="173"/>
      <c r="T33" s="173"/>
      <c r="U33" s="173"/>
      <c r="V33" s="80"/>
      <c r="W33" s="80"/>
      <c r="X33" s="80"/>
    </row>
    <row r="34" spans="1:24" ht="15" x14ac:dyDescent="0.25">
      <c r="A34" s="115"/>
      <c r="B34" s="173"/>
      <c r="C34" s="173"/>
      <c r="D34" s="173"/>
      <c r="E34" s="173"/>
      <c r="F34" s="173"/>
      <c r="G34" s="173"/>
      <c r="H34" s="173"/>
      <c r="I34" s="173"/>
      <c r="J34" s="173"/>
      <c r="K34" s="173"/>
      <c r="L34" s="102"/>
      <c r="M34" s="102"/>
      <c r="N34" s="102"/>
      <c r="O34" s="115"/>
      <c r="P34" s="189"/>
      <c r="Q34" s="173"/>
      <c r="R34" s="173"/>
      <c r="S34" s="173"/>
      <c r="T34" s="173"/>
      <c r="U34" s="173"/>
      <c r="V34" s="115"/>
      <c r="W34" s="115"/>
      <c r="X34" s="115"/>
    </row>
    <row r="35" spans="1:24" ht="15" x14ac:dyDescent="0.25">
      <c r="A35" s="115"/>
      <c r="B35" s="178" t="s">
        <v>400</v>
      </c>
      <c r="C35" s="173"/>
      <c r="D35" s="173"/>
      <c r="E35" s="173"/>
      <c r="F35" s="173"/>
      <c r="G35" s="173"/>
      <c r="H35" s="173"/>
      <c r="I35" s="173"/>
      <c r="J35" s="173"/>
      <c r="K35" s="173"/>
      <c r="L35" s="102"/>
      <c r="M35" s="102"/>
      <c r="N35" s="102"/>
      <c r="O35" s="115"/>
      <c r="P35" s="186"/>
      <c r="Q35" s="173"/>
      <c r="R35" s="173"/>
      <c r="S35" s="173"/>
      <c r="T35" s="173"/>
      <c r="U35" s="173"/>
      <c r="V35" s="115"/>
      <c r="W35" s="115"/>
      <c r="X35" s="115"/>
    </row>
    <row r="36" spans="1:24" ht="15" x14ac:dyDescent="0.25">
      <c r="A36" s="115"/>
      <c r="B36" s="173" t="s">
        <v>748</v>
      </c>
      <c r="C36" s="173"/>
      <c r="D36" s="173"/>
      <c r="E36" s="173"/>
      <c r="F36" s="173" t="s">
        <v>142</v>
      </c>
      <c r="G36" s="173"/>
      <c r="H36" s="173"/>
      <c r="I36" s="173"/>
      <c r="J36" s="173"/>
      <c r="K36" s="173"/>
      <c r="L36" s="102"/>
      <c r="M36" s="102"/>
      <c r="N36" s="102"/>
      <c r="O36" s="115"/>
      <c r="P36" s="48">
        <f>'Input overname private netten'!P31</f>
        <v>32266.227499999997</v>
      </c>
      <c r="Q36" s="173"/>
      <c r="R36" s="173"/>
      <c r="S36" s="173"/>
      <c r="T36" s="173"/>
      <c r="U36" s="173"/>
      <c r="V36" s="115"/>
      <c r="W36" s="115"/>
      <c r="X36" s="115"/>
    </row>
    <row r="37" spans="1:24" x14ac:dyDescent="0.25">
      <c r="A37" s="188"/>
      <c r="B37" s="173"/>
      <c r="C37" s="173"/>
      <c r="D37" s="173"/>
      <c r="E37" s="173"/>
      <c r="F37" s="173"/>
      <c r="G37" s="173"/>
      <c r="H37" s="173"/>
      <c r="I37" s="173"/>
      <c r="J37" s="173"/>
      <c r="K37" s="173"/>
      <c r="L37" s="102"/>
      <c r="M37" s="102"/>
      <c r="N37" s="102"/>
      <c r="O37" s="188"/>
      <c r="P37" s="186"/>
      <c r="Q37" s="173"/>
      <c r="R37" s="173"/>
      <c r="S37" s="173"/>
      <c r="T37" s="173"/>
      <c r="U37" s="173"/>
      <c r="V37" s="188"/>
      <c r="W37" s="188"/>
      <c r="X37" s="188"/>
    </row>
    <row r="38" spans="1:24" s="143" customFormat="1" x14ac:dyDescent="0.25">
      <c r="B38" s="143" t="s">
        <v>406</v>
      </c>
    </row>
    <row r="39" spans="1:24" x14ac:dyDescent="0.25">
      <c r="B39" s="173"/>
      <c r="C39" s="173"/>
      <c r="D39" s="173"/>
      <c r="E39" s="173"/>
      <c r="F39" s="173"/>
      <c r="G39" s="173"/>
      <c r="H39" s="173"/>
      <c r="I39" s="173"/>
      <c r="J39" s="173"/>
      <c r="K39" s="173"/>
      <c r="L39" s="173"/>
      <c r="M39" s="173"/>
      <c r="N39" s="173"/>
      <c r="O39" s="173"/>
      <c r="P39" s="102"/>
      <c r="Q39" s="173"/>
      <c r="R39" s="173"/>
      <c r="S39" s="173"/>
      <c r="T39" s="173"/>
      <c r="U39" s="173"/>
    </row>
    <row r="40" spans="1:24" s="173" customFormat="1" x14ac:dyDescent="0.25">
      <c r="A40" s="2"/>
      <c r="B40" s="178" t="s">
        <v>736</v>
      </c>
      <c r="L40" s="102"/>
      <c r="M40" s="102"/>
      <c r="N40" s="102"/>
      <c r="P40" s="102"/>
      <c r="V40" s="2"/>
      <c r="W40" s="2"/>
      <c r="X40" s="2"/>
    </row>
    <row r="41" spans="1:24" s="173" customFormat="1" x14ac:dyDescent="0.25">
      <c r="A41" s="2"/>
      <c r="B41" s="173" t="s">
        <v>737</v>
      </c>
      <c r="F41" s="173" t="s">
        <v>111</v>
      </c>
      <c r="L41" s="102"/>
      <c r="M41" s="102"/>
      <c r="N41" s="102"/>
      <c r="O41" s="2"/>
      <c r="P41" s="48">
        <f>'Input overname private netten'!P36</f>
        <v>8616</v>
      </c>
      <c r="U41" s="257"/>
      <c r="V41" s="2"/>
      <c r="W41" s="2"/>
      <c r="X41" s="2"/>
    </row>
    <row r="42" spans="1:24" s="173" customFormat="1" x14ac:dyDescent="0.25">
      <c r="A42" s="2"/>
      <c r="B42" s="173" t="s">
        <v>738</v>
      </c>
      <c r="F42" s="173" t="s">
        <v>111</v>
      </c>
      <c r="L42" s="102"/>
      <c r="M42" s="102"/>
      <c r="N42" s="102"/>
      <c r="O42" s="2"/>
      <c r="P42" s="48">
        <f>'Input overname private netten'!P37</f>
        <v>20633.500401015703</v>
      </c>
      <c r="U42" s="257"/>
      <c r="V42" s="2"/>
      <c r="W42" s="2"/>
      <c r="X42" s="2"/>
    </row>
    <row r="43" spans="1:24" s="173" customFormat="1" ht="15" x14ac:dyDescent="0.25">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row>
    <row r="44" spans="1:24" s="173" customFormat="1" x14ac:dyDescent="0.25">
      <c r="A44" s="2"/>
      <c r="B44" s="176" t="s">
        <v>740</v>
      </c>
      <c r="L44" s="102"/>
      <c r="M44" s="102"/>
      <c r="N44" s="102"/>
      <c r="O44" s="2"/>
      <c r="P44" s="186"/>
      <c r="V44" s="2"/>
      <c r="W44" s="2"/>
      <c r="X44" s="2"/>
    </row>
    <row r="45" spans="1:24" s="173" customFormat="1" x14ac:dyDescent="0.25">
      <c r="A45" s="2"/>
      <c r="B45" s="2" t="s">
        <v>741</v>
      </c>
      <c r="F45" s="173" t="s">
        <v>111</v>
      </c>
      <c r="L45" s="102"/>
      <c r="M45" s="102"/>
      <c r="N45" s="102"/>
      <c r="O45" s="2"/>
      <c r="P45" s="185"/>
      <c r="V45" s="2"/>
      <c r="W45" s="2"/>
      <c r="X45" s="2"/>
    </row>
    <row r="46" spans="1:24" s="173" customFormat="1" x14ac:dyDescent="0.25">
      <c r="A46" s="2"/>
      <c r="B46" s="2" t="s">
        <v>742</v>
      </c>
      <c r="F46" s="173" t="s">
        <v>142</v>
      </c>
      <c r="L46" s="102"/>
      <c r="M46" s="102"/>
      <c r="N46" s="102"/>
      <c r="O46" s="2"/>
      <c r="P46" s="185"/>
      <c r="V46" s="2"/>
      <c r="W46" s="2"/>
      <c r="X46" s="2"/>
    </row>
    <row r="47" spans="1:24" s="173" customFormat="1" x14ac:dyDescent="0.25">
      <c r="A47" s="2"/>
      <c r="L47" s="102"/>
      <c r="M47" s="102"/>
      <c r="N47" s="102"/>
      <c r="O47" s="2"/>
      <c r="P47" s="186"/>
      <c r="V47" s="2"/>
      <c r="W47" s="2"/>
      <c r="X47" s="2"/>
    </row>
    <row r="48" spans="1:24" s="173" customFormat="1" x14ac:dyDescent="0.25">
      <c r="A48" s="2"/>
      <c r="B48" s="176" t="s">
        <v>743</v>
      </c>
      <c r="L48" s="102"/>
      <c r="M48" s="102"/>
      <c r="N48" s="102"/>
      <c r="O48" s="2"/>
      <c r="P48" s="186"/>
      <c r="V48" s="2"/>
      <c r="W48" s="2"/>
      <c r="X48" s="2"/>
    </row>
    <row r="49" spans="1:24" s="173" customFormat="1" x14ac:dyDescent="0.25">
      <c r="A49" s="2"/>
      <c r="B49" s="173" t="s">
        <v>744</v>
      </c>
      <c r="F49" s="173" t="s">
        <v>398</v>
      </c>
      <c r="L49" s="102"/>
      <c r="M49" s="102"/>
      <c r="N49" s="102"/>
      <c r="O49" s="2"/>
      <c r="P49" s="48">
        <f>'Input overname private netten'!P44</f>
        <v>5</v>
      </c>
      <c r="V49" s="2"/>
      <c r="W49" s="2"/>
      <c r="X49" s="2"/>
    </row>
    <row r="50" spans="1:24" s="173" customFormat="1" x14ac:dyDescent="0.25">
      <c r="A50" s="2"/>
      <c r="B50" s="173" t="s">
        <v>745</v>
      </c>
      <c r="F50" s="173" t="s">
        <v>398</v>
      </c>
      <c r="L50" s="102"/>
      <c r="M50" s="102"/>
      <c r="N50" s="102"/>
      <c r="O50" s="80"/>
      <c r="P50" s="185"/>
      <c r="V50" s="80"/>
      <c r="W50" s="80"/>
      <c r="X50" s="80"/>
    </row>
    <row r="51" spans="1:24" s="173" customFormat="1" x14ac:dyDescent="0.25">
      <c r="A51" s="2"/>
      <c r="B51" s="173" t="s">
        <v>746</v>
      </c>
      <c r="F51" s="173" t="s">
        <v>398</v>
      </c>
      <c r="L51" s="102"/>
      <c r="M51" s="102"/>
      <c r="N51" s="102"/>
      <c r="O51" s="80"/>
      <c r="P51" s="185"/>
      <c r="V51" s="80"/>
      <c r="W51" s="80"/>
      <c r="X51" s="80"/>
    </row>
    <row r="52" spans="1:24" s="173" customFormat="1" x14ac:dyDescent="0.25">
      <c r="A52" s="2"/>
      <c r="L52" s="102"/>
      <c r="M52" s="102"/>
      <c r="N52" s="102"/>
      <c r="O52" s="80"/>
      <c r="P52" s="187"/>
      <c r="V52" s="80"/>
      <c r="W52" s="80"/>
      <c r="X52" s="80"/>
    </row>
    <row r="53" spans="1:24" s="173" customFormat="1" x14ac:dyDescent="0.25">
      <c r="A53" s="2"/>
      <c r="B53" s="178" t="s">
        <v>399</v>
      </c>
      <c r="L53" s="102"/>
      <c r="M53" s="102"/>
      <c r="N53" s="102"/>
      <c r="O53" s="80"/>
      <c r="P53" s="187"/>
      <c r="V53" s="80"/>
      <c r="W53" s="80"/>
      <c r="X53" s="80"/>
    </row>
    <row r="54" spans="1:24" x14ac:dyDescent="0.25">
      <c r="B54" s="173" t="s">
        <v>747</v>
      </c>
      <c r="C54" s="173"/>
      <c r="D54" s="173"/>
      <c r="E54" s="173"/>
      <c r="F54" s="173" t="s">
        <v>142</v>
      </c>
      <c r="G54" s="173"/>
      <c r="H54" s="173"/>
      <c r="I54" s="173"/>
      <c r="J54" s="173"/>
      <c r="K54" s="173"/>
      <c r="L54" s="102"/>
      <c r="M54" s="102"/>
      <c r="N54" s="102"/>
      <c r="O54" s="80"/>
      <c r="P54" s="185"/>
      <c r="Q54" s="173"/>
      <c r="R54" s="173"/>
      <c r="S54" s="173"/>
      <c r="T54" s="173"/>
      <c r="U54" s="173"/>
      <c r="V54" s="80"/>
      <c r="W54" s="80"/>
      <c r="X54" s="80"/>
    </row>
    <row r="55" spans="1:24" ht="15" x14ac:dyDescent="0.25">
      <c r="A55" s="115"/>
      <c r="B55" s="173"/>
      <c r="C55" s="173"/>
      <c r="D55" s="173"/>
      <c r="E55" s="173"/>
      <c r="F55" s="173"/>
      <c r="G55" s="173"/>
      <c r="H55" s="173"/>
      <c r="I55" s="173"/>
      <c r="J55" s="173"/>
      <c r="K55" s="173"/>
      <c r="L55" s="102"/>
      <c r="M55" s="102"/>
      <c r="N55" s="102"/>
      <c r="O55" s="115"/>
      <c r="P55" s="189"/>
      <c r="Q55" s="173"/>
      <c r="R55" s="173"/>
      <c r="S55" s="173"/>
      <c r="T55" s="173"/>
      <c r="U55" s="173"/>
      <c r="V55" s="115"/>
      <c r="W55" s="115"/>
      <c r="X55" s="115"/>
    </row>
    <row r="56" spans="1:24" ht="15" x14ac:dyDescent="0.25">
      <c r="A56" s="115"/>
      <c r="B56" s="178" t="s">
        <v>400</v>
      </c>
      <c r="C56" s="173"/>
      <c r="D56" s="173"/>
      <c r="E56" s="173"/>
      <c r="F56" s="173"/>
      <c r="G56" s="173"/>
      <c r="H56" s="173"/>
      <c r="I56" s="173"/>
      <c r="J56" s="173"/>
      <c r="K56" s="173"/>
      <c r="L56" s="102"/>
      <c r="M56" s="102"/>
      <c r="N56" s="102"/>
      <c r="O56" s="115"/>
      <c r="P56" s="186"/>
      <c r="Q56" s="173"/>
      <c r="R56" s="173"/>
      <c r="S56" s="173"/>
      <c r="T56" s="173"/>
      <c r="U56" s="173"/>
      <c r="V56" s="115"/>
      <c r="W56" s="115"/>
      <c r="X56" s="115"/>
    </row>
    <row r="57" spans="1:24" ht="15" x14ac:dyDescent="0.25">
      <c r="A57" s="115"/>
      <c r="B57" s="173" t="s">
        <v>748</v>
      </c>
      <c r="C57" s="173"/>
      <c r="D57" s="173"/>
      <c r="E57" s="173"/>
      <c r="F57" s="173" t="s">
        <v>142</v>
      </c>
      <c r="G57" s="173"/>
      <c r="H57" s="173"/>
      <c r="I57" s="173"/>
      <c r="J57" s="173"/>
      <c r="K57" s="173"/>
      <c r="L57" s="102"/>
      <c r="M57" s="102"/>
      <c r="N57" s="102"/>
      <c r="O57" s="115"/>
      <c r="P57" s="48">
        <f>'Input overname private netten'!P52</f>
        <v>7338.851999999999</v>
      </c>
      <c r="Q57" s="173"/>
      <c r="R57" s="173"/>
      <c r="S57" s="173"/>
      <c r="T57" s="173"/>
      <c r="U57" s="173"/>
      <c r="V57" s="115"/>
      <c r="W57" s="115"/>
      <c r="X57" s="115"/>
    </row>
    <row r="58" spans="1:24" x14ac:dyDescent="0.25">
      <c r="A58" s="188"/>
      <c r="B58" s="173"/>
      <c r="C58" s="173"/>
      <c r="D58" s="173"/>
      <c r="E58" s="173"/>
      <c r="F58" s="173"/>
      <c r="G58" s="173"/>
      <c r="H58" s="173"/>
      <c r="I58" s="173"/>
      <c r="J58" s="173"/>
      <c r="K58" s="173"/>
      <c r="L58" s="102"/>
      <c r="M58" s="102"/>
      <c r="N58" s="102"/>
      <c r="O58" s="188"/>
      <c r="P58" s="186"/>
      <c r="Q58" s="173"/>
      <c r="R58" s="173"/>
      <c r="S58" s="173"/>
      <c r="T58" s="173"/>
      <c r="U58" s="173"/>
      <c r="V58" s="188"/>
      <c r="W58" s="188"/>
      <c r="X58" s="188"/>
    </row>
    <row r="59" spans="1:24" s="143" customFormat="1" x14ac:dyDescent="0.25">
      <c r="B59" s="258" t="s">
        <v>229</v>
      </c>
      <c r="L59" s="194"/>
      <c r="M59" s="194"/>
      <c r="N59" s="194"/>
      <c r="O59" s="194"/>
      <c r="P59" s="194"/>
      <c r="Q59" s="194"/>
    </row>
    <row r="60" spans="1:24" x14ac:dyDescent="0.25">
      <c r="L60" s="102"/>
      <c r="M60" s="102"/>
      <c r="N60" s="102"/>
      <c r="O60" s="102"/>
      <c r="P60" s="102"/>
      <c r="Q60" s="102"/>
    </row>
    <row r="61" spans="1:24" x14ac:dyDescent="0.25">
      <c r="B61" s="2" t="s">
        <v>413</v>
      </c>
      <c r="F61" s="2" t="s">
        <v>73</v>
      </c>
      <c r="H61" s="192">
        <f>'Input overname private netten'!H57</f>
        <v>4.5999999999999999E-2</v>
      </c>
      <c r="L61" s="102"/>
      <c r="M61" s="102"/>
      <c r="N61" s="102"/>
      <c r="O61" s="193"/>
      <c r="P61" s="102"/>
      <c r="Q61" s="102"/>
    </row>
    <row r="62" spans="1:24" x14ac:dyDescent="0.25">
      <c r="B62" s="2" t="s">
        <v>751</v>
      </c>
      <c r="F62" s="2" t="s">
        <v>73</v>
      </c>
      <c r="H62" s="192">
        <f>'Input overname private netten'!H58</f>
        <v>0.06</v>
      </c>
      <c r="L62" s="102"/>
      <c r="M62" s="102"/>
      <c r="N62" s="102"/>
      <c r="O62" s="193"/>
      <c r="P62" s="102"/>
      <c r="Q62" s="102"/>
    </row>
    <row r="63" spans="1:24" x14ac:dyDescent="0.25">
      <c r="P63" s="102"/>
    </row>
    <row r="64" spans="1:24" x14ac:dyDescent="0.2">
      <c r="A64" s="123"/>
      <c r="B64" s="41" t="s">
        <v>544</v>
      </c>
      <c r="C64" s="123"/>
      <c r="D64" s="123"/>
      <c r="F64" s="2" t="s">
        <v>73</v>
      </c>
      <c r="H64" s="192">
        <f>Parameters!O70</f>
        <v>0.17366824582758489</v>
      </c>
    </row>
    <row r="65" spans="1:17" x14ac:dyDescent="0.2">
      <c r="A65" s="123"/>
      <c r="B65" s="41" t="s">
        <v>477</v>
      </c>
      <c r="C65" s="123"/>
      <c r="D65" s="123"/>
      <c r="F65" s="2" t="s">
        <v>73</v>
      </c>
      <c r="H65" s="192">
        <f>Parameters!O71</f>
        <v>0.1395374412453505</v>
      </c>
    </row>
    <row r="66" spans="1:17" x14ac:dyDescent="0.25">
      <c r="P66" s="102"/>
    </row>
    <row r="67" spans="1:17" s="258" customFormat="1" x14ac:dyDescent="0.25">
      <c r="B67" s="258" t="s">
        <v>753</v>
      </c>
      <c r="L67" s="259"/>
      <c r="M67" s="259"/>
      <c r="N67" s="259"/>
      <c r="O67" s="259"/>
      <c r="P67" s="259"/>
      <c r="Q67" s="259"/>
    </row>
    <row r="68" spans="1:17" x14ac:dyDescent="0.25">
      <c r="L68" s="102"/>
      <c r="M68" s="102"/>
      <c r="N68" s="102"/>
      <c r="O68" s="102"/>
      <c r="P68" s="102"/>
      <c r="Q68" s="102"/>
    </row>
    <row r="69" spans="1:17" x14ac:dyDescent="0.25">
      <c r="B69" s="1" t="s">
        <v>754</v>
      </c>
      <c r="L69" s="102"/>
      <c r="M69" s="102"/>
      <c r="N69" s="102"/>
      <c r="O69" s="102"/>
      <c r="P69" s="102"/>
      <c r="Q69" s="102"/>
    </row>
    <row r="70" spans="1:17" x14ac:dyDescent="0.2">
      <c r="B70" s="2" t="s">
        <v>755</v>
      </c>
      <c r="F70" s="177" t="s">
        <v>111</v>
      </c>
      <c r="L70" s="102"/>
      <c r="M70" s="102"/>
      <c r="N70" s="102"/>
      <c r="O70" s="102"/>
      <c r="P70" s="48">
        <f>P21</f>
        <v>47737.720171059314</v>
      </c>
      <c r="Q70" s="102"/>
    </row>
    <row r="71" spans="1:17" x14ac:dyDescent="0.25">
      <c r="L71" s="102"/>
      <c r="M71" s="102"/>
      <c r="N71" s="102"/>
      <c r="O71" s="102"/>
      <c r="P71" s="102"/>
      <c r="Q71" s="102"/>
    </row>
    <row r="72" spans="1:17" x14ac:dyDescent="0.25">
      <c r="B72" s="1" t="s">
        <v>756</v>
      </c>
      <c r="L72" s="102"/>
      <c r="M72" s="102"/>
      <c r="N72" s="102"/>
      <c r="O72" s="102"/>
      <c r="P72" s="102"/>
      <c r="Q72" s="102"/>
    </row>
    <row r="73" spans="1:17" x14ac:dyDescent="0.2">
      <c r="B73" s="2" t="s">
        <v>757</v>
      </c>
      <c r="F73" s="177" t="s">
        <v>111</v>
      </c>
      <c r="L73" s="102"/>
      <c r="M73" s="102"/>
      <c r="N73" s="102"/>
      <c r="O73" s="102"/>
      <c r="P73" s="196">
        <f>(P70/P28)*0.5</f>
        <v>4773.7720171059318</v>
      </c>
      <c r="Q73" s="102"/>
    </row>
    <row r="74" spans="1:17" ht="12.75" customHeight="1" x14ac:dyDescent="0.2">
      <c r="B74" s="173" t="s">
        <v>758</v>
      </c>
      <c r="F74" s="177" t="s">
        <v>111</v>
      </c>
      <c r="L74" s="102"/>
      <c r="M74" s="102"/>
      <c r="N74" s="102"/>
      <c r="O74" s="102"/>
      <c r="P74" s="108">
        <f>P70-P73</f>
        <v>42963.948153953381</v>
      </c>
      <c r="Q74" s="102"/>
    </row>
    <row r="75" spans="1:17" ht="12.75" customHeight="1" x14ac:dyDescent="0.2">
      <c r="F75" s="177"/>
      <c r="L75" s="102"/>
      <c r="M75" s="102"/>
      <c r="N75" s="102"/>
      <c r="O75" s="102"/>
      <c r="Q75" s="102"/>
    </row>
    <row r="76" spans="1:17" ht="12.75" customHeight="1" x14ac:dyDescent="0.2">
      <c r="B76" s="1" t="s">
        <v>759</v>
      </c>
      <c r="F76" s="177"/>
      <c r="L76" s="102"/>
      <c r="M76" s="102"/>
      <c r="N76" s="102"/>
      <c r="O76" s="102"/>
      <c r="Q76" s="102"/>
    </row>
    <row r="77" spans="1:17" ht="12.75" customHeight="1" x14ac:dyDescent="0.2">
      <c r="B77" s="2" t="s">
        <v>760</v>
      </c>
      <c r="F77" s="177" t="s">
        <v>142</v>
      </c>
      <c r="L77" s="102"/>
      <c r="M77" s="102"/>
      <c r="N77" s="102"/>
      <c r="O77" s="102"/>
      <c r="P77" s="108">
        <f>P70/P28</f>
        <v>9547.5440342118636</v>
      </c>
      <c r="Q77" s="102"/>
    </row>
    <row r="78" spans="1:17" ht="12.75" customHeight="1" x14ac:dyDescent="0.2">
      <c r="B78" s="173" t="s">
        <v>761</v>
      </c>
      <c r="F78" s="177" t="s">
        <v>142</v>
      </c>
      <c r="L78" s="102"/>
      <c r="M78" s="102"/>
      <c r="N78" s="102"/>
      <c r="O78" s="102"/>
      <c r="P78" s="108">
        <f>P74-P77</f>
        <v>33416.404119741521</v>
      </c>
      <c r="Q78" s="102"/>
    </row>
    <row r="79" spans="1:17" ht="12.75" customHeight="1" x14ac:dyDescent="0.2">
      <c r="F79" s="177"/>
      <c r="L79" s="102"/>
      <c r="M79" s="102"/>
      <c r="N79" s="102"/>
      <c r="O79" s="102"/>
      <c r="Q79" s="102"/>
    </row>
    <row r="80" spans="1:17" ht="12.75" customHeight="1" x14ac:dyDescent="0.2">
      <c r="B80" s="1" t="s">
        <v>762</v>
      </c>
      <c r="F80" s="177"/>
      <c r="L80" s="102"/>
      <c r="M80" s="102"/>
      <c r="N80" s="102"/>
      <c r="O80" s="102"/>
      <c r="Q80" s="102"/>
    </row>
    <row r="81" spans="2:23" ht="12.75" customHeight="1" x14ac:dyDescent="0.2">
      <c r="B81" s="2" t="s">
        <v>404</v>
      </c>
      <c r="F81" s="177" t="s">
        <v>142</v>
      </c>
      <c r="L81" s="102"/>
      <c r="M81" s="102"/>
      <c r="N81" s="102"/>
      <c r="O81" s="102"/>
      <c r="P81" s="108">
        <f>P78*H62</f>
        <v>2004.9842471844911</v>
      </c>
      <c r="Q81" s="102"/>
    </row>
    <row r="82" spans="2:23" ht="12.75" customHeight="1" x14ac:dyDescent="0.2">
      <c r="B82" s="2" t="s">
        <v>763</v>
      </c>
      <c r="F82" s="177" t="s">
        <v>142</v>
      </c>
      <c r="L82" s="102"/>
      <c r="M82" s="102"/>
      <c r="N82" s="102"/>
      <c r="O82" s="102"/>
      <c r="P82" s="108">
        <f>P77+P81</f>
        <v>11552.528281396355</v>
      </c>
      <c r="Q82" s="102"/>
    </row>
    <row r="83" spans="2:23" ht="12.75" customHeight="1" x14ac:dyDescent="0.2">
      <c r="F83" s="177"/>
      <c r="L83" s="102"/>
      <c r="M83" s="102"/>
      <c r="N83" s="102"/>
      <c r="O83" s="102"/>
      <c r="Q83" s="102"/>
    </row>
    <row r="84" spans="2:23" s="143" customFormat="1" x14ac:dyDescent="0.25">
      <c r="B84" s="143" t="s">
        <v>764</v>
      </c>
      <c r="L84" s="194"/>
      <c r="M84" s="194"/>
      <c r="N84" s="194"/>
      <c r="O84" s="194"/>
      <c r="P84" s="194"/>
      <c r="Q84" s="194"/>
    </row>
    <row r="85" spans="2:23" x14ac:dyDescent="0.25">
      <c r="L85" s="102"/>
      <c r="M85" s="102"/>
      <c r="N85" s="102"/>
      <c r="O85" s="102"/>
      <c r="P85" s="102"/>
      <c r="Q85" s="102"/>
    </row>
    <row r="86" spans="2:23" x14ac:dyDescent="0.25">
      <c r="B86" s="1" t="s">
        <v>754</v>
      </c>
      <c r="L86" s="102"/>
      <c r="M86" s="102"/>
      <c r="N86" s="102"/>
      <c r="O86" s="102"/>
      <c r="P86" s="102"/>
      <c r="Q86" s="102"/>
    </row>
    <row r="87" spans="2:23" ht="12.75" customHeight="1" x14ac:dyDescent="0.2">
      <c r="B87" s="173" t="s">
        <v>765</v>
      </c>
      <c r="F87" s="177" t="s">
        <v>111</v>
      </c>
      <c r="L87" s="102"/>
      <c r="M87" s="102"/>
      <c r="N87" s="102"/>
      <c r="O87" s="102"/>
      <c r="P87" s="108">
        <f>P21-P20</f>
        <v>27803.720171059314</v>
      </c>
      <c r="Q87" s="102"/>
    </row>
    <row r="88" spans="2:23" ht="12.75" customHeight="1" x14ac:dyDescent="0.2">
      <c r="F88" s="177"/>
      <c r="L88" s="102"/>
      <c r="M88" s="102"/>
      <c r="N88" s="102"/>
      <c r="O88" s="102"/>
      <c r="Q88" s="102"/>
    </row>
    <row r="89" spans="2:23" ht="12.75" customHeight="1" x14ac:dyDescent="0.2">
      <c r="B89" s="2" t="s">
        <v>766</v>
      </c>
      <c r="F89" s="177" t="s">
        <v>111</v>
      </c>
      <c r="L89" s="102"/>
      <c r="M89" s="102"/>
      <c r="N89" s="102"/>
      <c r="O89" s="195"/>
      <c r="P89" s="196">
        <f>(P87/P28)*0.5</f>
        <v>2780.3720171059313</v>
      </c>
      <c r="Q89" s="102"/>
      <c r="R89" s="102"/>
      <c r="S89" s="102"/>
      <c r="T89" s="102"/>
      <c r="U89" s="102"/>
      <c r="V89" s="102"/>
    </row>
    <row r="90" spans="2:23" ht="12.75" customHeight="1" x14ac:dyDescent="0.2">
      <c r="F90" s="177"/>
      <c r="L90" s="102"/>
      <c r="M90" s="102"/>
      <c r="N90" s="102"/>
      <c r="O90" s="102"/>
      <c r="Q90" s="102"/>
    </row>
    <row r="91" spans="2:23" ht="12.75" customHeight="1" x14ac:dyDescent="0.2">
      <c r="B91" s="2" t="s">
        <v>767</v>
      </c>
      <c r="F91" s="177" t="s">
        <v>111</v>
      </c>
      <c r="L91" s="102"/>
      <c r="M91" s="102"/>
      <c r="N91" s="102"/>
      <c r="O91" s="102"/>
      <c r="P91" s="40">
        <f>P87-P89</f>
        <v>25023.348153953382</v>
      </c>
      <c r="Q91" s="102"/>
      <c r="R91" s="102"/>
      <c r="S91" s="102"/>
      <c r="T91" s="102"/>
      <c r="U91" s="102"/>
      <c r="V91" s="102"/>
      <c r="W91" s="102"/>
    </row>
    <row r="92" spans="2:23" x14ac:dyDescent="0.2">
      <c r="B92" s="173"/>
      <c r="F92" s="177"/>
      <c r="K92" s="102"/>
      <c r="L92" s="102"/>
      <c r="M92" s="102"/>
      <c r="N92" s="102"/>
      <c r="O92" s="197"/>
      <c r="P92" s="102"/>
      <c r="Q92" s="102"/>
    </row>
    <row r="93" spans="2:23" x14ac:dyDescent="0.25">
      <c r="B93" s="2" t="s">
        <v>768</v>
      </c>
      <c r="F93" s="2" t="s">
        <v>111</v>
      </c>
      <c r="K93" s="102"/>
      <c r="P93" s="196">
        <f>P91*H61*0.5</f>
        <v>575.53700754092779</v>
      </c>
    </row>
    <row r="94" spans="2:23" x14ac:dyDescent="0.25">
      <c r="K94" s="102"/>
    </row>
    <row r="95" spans="2:23" x14ac:dyDescent="0.25">
      <c r="B95" s="2" t="s">
        <v>769</v>
      </c>
      <c r="F95" s="2" t="s">
        <v>111</v>
      </c>
      <c r="K95" s="102"/>
      <c r="P95" s="196">
        <f>P89+P93</f>
        <v>3355.9090246468591</v>
      </c>
    </row>
    <row r="96" spans="2:23" x14ac:dyDescent="0.25">
      <c r="L96" s="102"/>
      <c r="M96" s="102"/>
      <c r="N96" s="102"/>
      <c r="O96" s="102"/>
      <c r="P96" s="102"/>
      <c r="Q96" s="102"/>
    </row>
    <row r="97" spans="2:17" s="258" customFormat="1" x14ac:dyDescent="0.25">
      <c r="B97" s="258" t="s">
        <v>770</v>
      </c>
      <c r="L97" s="259"/>
      <c r="M97" s="259"/>
      <c r="N97" s="259"/>
      <c r="O97" s="259"/>
      <c r="P97" s="259"/>
      <c r="Q97" s="259"/>
    </row>
    <row r="98" spans="2:17" x14ac:dyDescent="0.25">
      <c r="L98" s="102"/>
      <c r="M98" s="102"/>
      <c r="N98" s="102"/>
      <c r="O98" s="102"/>
      <c r="P98" s="102"/>
      <c r="Q98" s="102"/>
    </row>
    <row r="99" spans="2:17" x14ac:dyDescent="0.25">
      <c r="B99" s="1" t="s">
        <v>754</v>
      </c>
      <c r="L99" s="102"/>
      <c r="M99" s="102"/>
      <c r="N99" s="102"/>
      <c r="O99" s="102"/>
      <c r="P99" s="102"/>
      <c r="Q99" s="102"/>
    </row>
    <row r="100" spans="2:17" x14ac:dyDescent="0.2">
      <c r="B100" s="2" t="s">
        <v>755</v>
      </c>
      <c r="F100" s="177" t="s">
        <v>111</v>
      </c>
      <c r="L100" s="102"/>
      <c r="M100" s="102"/>
      <c r="N100" s="102"/>
      <c r="O100" s="102"/>
      <c r="P100" s="48">
        <f>P42</f>
        <v>20633.500401015703</v>
      </c>
      <c r="Q100" s="102"/>
    </row>
    <row r="101" spans="2:17" x14ac:dyDescent="0.25">
      <c r="L101" s="102"/>
      <c r="M101" s="102"/>
      <c r="N101" s="102"/>
      <c r="O101" s="102"/>
      <c r="P101" s="102"/>
      <c r="Q101" s="102"/>
    </row>
    <row r="102" spans="2:17" x14ac:dyDescent="0.25">
      <c r="B102" s="1" t="s">
        <v>756</v>
      </c>
      <c r="L102" s="102"/>
      <c r="M102" s="102"/>
      <c r="N102" s="102"/>
      <c r="O102" s="102"/>
      <c r="P102" s="102"/>
      <c r="Q102" s="102"/>
    </row>
    <row r="103" spans="2:17" x14ac:dyDescent="0.2">
      <c r="B103" s="2" t="s">
        <v>757</v>
      </c>
      <c r="F103" s="177" t="s">
        <v>111</v>
      </c>
      <c r="L103" s="102"/>
      <c r="M103" s="102"/>
      <c r="N103" s="102"/>
      <c r="O103" s="102"/>
      <c r="P103" s="196">
        <f>(P100/P49)*0.5</f>
        <v>2063.3500401015704</v>
      </c>
      <c r="Q103" s="102"/>
    </row>
    <row r="104" spans="2:17" ht="12.75" customHeight="1" x14ac:dyDescent="0.2">
      <c r="B104" s="173" t="s">
        <v>758</v>
      </c>
      <c r="F104" s="177" t="s">
        <v>111</v>
      </c>
      <c r="L104" s="102"/>
      <c r="M104" s="102"/>
      <c r="N104" s="102"/>
      <c r="O104" s="102"/>
      <c r="P104" s="108">
        <f>P100-P103</f>
        <v>18570.150360914133</v>
      </c>
      <c r="Q104" s="102"/>
    </row>
    <row r="105" spans="2:17" ht="12.75" customHeight="1" x14ac:dyDescent="0.2">
      <c r="F105" s="177"/>
      <c r="L105" s="102"/>
      <c r="M105" s="102"/>
      <c r="N105" s="102"/>
      <c r="O105" s="102"/>
      <c r="Q105" s="102"/>
    </row>
    <row r="106" spans="2:17" ht="12.75" customHeight="1" x14ac:dyDescent="0.2">
      <c r="B106" s="1" t="s">
        <v>759</v>
      </c>
      <c r="F106" s="177"/>
      <c r="L106" s="102"/>
      <c r="M106" s="102"/>
      <c r="N106" s="102"/>
      <c r="O106" s="102"/>
      <c r="Q106" s="102"/>
    </row>
    <row r="107" spans="2:17" ht="12.75" customHeight="1" x14ac:dyDescent="0.2">
      <c r="B107" s="2" t="s">
        <v>760</v>
      </c>
      <c r="F107" s="177" t="s">
        <v>142</v>
      </c>
      <c r="L107" s="102"/>
      <c r="M107" s="102"/>
      <c r="N107" s="102"/>
      <c r="O107" s="102"/>
      <c r="P107" s="108">
        <f>P100/P49</f>
        <v>4126.7000802031407</v>
      </c>
      <c r="Q107" s="102"/>
    </row>
    <row r="108" spans="2:17" ht="12.75" customHeight="1" x14ac:dyDescent="0.2">
      <c r="B108" s="173" t="s">
        <v>761</v>
      </c>
      <c r="F108" s="177" t="s">
        <v>142</v>
      </c>
      <c r="L108" s="102"/>
      <c r="M108" s="102"/>
      <c r="N108" s="102"/>
      <c r="O108" s="102"/>
      <c r="P108" s="108">
        <f>P104-P107</f>
        <v>14443.450280710993</v>
      </c>
      <c r="Q108" s="102"/>
    </row>
    <row r="109" spans="2:17" ht="12.75" customHeight="1" x14ac:dyDescent="0.2">
      <c r="F109" s="177"/>
      <c r="L109" s="102"/>
      <c r="M109" s="102"/>
      <c r="N109" s="102"/>
      <c r="O109" s="102"/>
      <c r="Q109" s="102"/>
    </row>
    <row r="110" spans="2:17" ht="12.75" customHeight="1" x14ac:dyDescent="0.2">
      <c r="B110" s="1" t="s">
        <v>762</v>
      </c>
      <c r="F110" s="177"/>
      <c r="L110" s="102"/>
      <c r="M110" s="102"/>
      <c r="N110" s="102"/>
      <c r="O110" s="102"/>
      <c r="Q110" s="102"/>
    </row>
    <row r="111" spans="2:17" ht="12.75" customHeight="1" x14ac:dyDescent="0.2">
      <c r="B111" s="2" t="s">
        <v>404</v>
      </c>
      <c r="F111" s="177" t="s">
        <v>142</v>
      </c>
      <c r="L111" s="102"/>
      <c r="M111" s="102"/>
      <c r="N111" s="102"/>
      <c r="O111" s="102"/>
      <c r="P111" s="108">
        <f>P108*H62</f>
        <v>866.6070168426595</v>
      </c>
      <c r="Q111" s="102"/>
    </row>
    <row r="112" spans="2:17" ht="12.75" customHeight="1" x14ac:dyDescent="0.2">
      <c r="B112" s="2" t="s">
        <v>763</v>
      </c>
      <c r="F112" s="177" t="s">
        <v>142</v>
      </c>
      <c r="L112" s="102"/>
      <c r="M112" s="102"/>
      <c r="N112" s="102"/>
      <c r="O112" s="102"/>
      <c r="P112" s="108">
        <f>P107+P111</f>
        <v>4993.3070970458002</v>
      </c>
      <c r="Q112" s="102"/>
    </row>
    <row r="113" spans="2:23" ht="12.75" customHeight="1" x14ac:dyDescent="0.2">
      <c r="F113" s="177"/>
      <c r="L113" s="102"/>
      <c r="M113" s="102"/>
      <c r="N113" s="102"/>
      <c r="O113" s="102"/>
      <c r="Q113" s="102"/>
    </row>
    <row r="114" spans="2:23" s="143" customFormat="1" x14ac:dyDescent="0.25">
      <c r="B114" s="143" t="s">
        <v>771</v>
      </c>
      <c r="L114" s="194"/>
      <c r="M114" s="194"/>
      <c r="N114" s="194"/>
      <c r="O114" s="194"/>
      <c r="P114" s="194"/>
      <c r="Q114" s="194"/>
    </row>
    <row r="115" spans="2:23" x14ac:dyDescent="0.25">
      <c r="L115" s="102"/>
      <c r="M115" s="102"/>
      <c r="N115" s="102"/>
      <c r="O115" s="102"/>
      <c r="P115" s="102"/>
      <c r="Q115" s="102"/>
    </row>
    <row r="116" spans="2:23" x14ac:dyDescent="0.25">
      <c r="B116" s="1" t="s">
        <v>754</v>
      </c>
      <c r="L116" s="102"/>
      <c r="M116" s="102"/>
      <c r="N116" s="102"/>
      <c r="O116" s="102"/>
      <c r="P116" s="102"/>
      <c r="Q116" s="102"/>
    </row>
    <row r="117" spans="2:23" ht="12.75" customHeight="1" x14ac:dyDescent="0.2">
      <c r="B117" s="173" t="s">
        <v>765</v>
      </c>
      <c r="F117" s="177" t="s">
        <v>111</v>
      </c>
      <c r="L117" s="102"/>
      <c r="M117" s="102"/>
      <c r="N117" s="102"/>
      <c r="O117" s="102"/>
      <c r="P117" s="108">
        <f>P42-P41</f>
        <v>12017.500401015703</v>
      </c>
      <c r="Q117" s="102"/>
    </row>
    <row r="118" spans="2:23" ht="12.75" customHeight="1" x14ac:dyDescent="0.2">
      <c r="F118" s="177"/>
      <c r="L118" s="102"/>
      <c r="M118" s="102"/>
      <c r="N118" s="102"/>
      <c r="O118" s="102"/>
      <c r="Q118" s="102"/>
    </row>
    <row r="119" spans="2:23" ht="12.75" customHeight="1" x14ac:dyDescent="0.2">
      <c r="B119" s="2" t="s">
        <v>766</v>
      </c>
      <c r="F119" s="177" t="s">
        <v>111</v>
      </c>
      <c r="L119" s="102"/>
      <c r="M119" s="102"/>
      <c r="N119" s="102"/>
      <c r="O119" s="195"/>
      <c r="P119" s="196">
        <f>(P117/P49)*0.5</f>
        <v>1201.7500401015702</v>
      </c>
      <c r="Q119" s="102"/>
      <c r="R119" s="102"/>
      <c r="S119" s="102"/>
      <c r="T119" s="102"/>
      <c r="U119" s="102"/>
      <c r="V119" s="102"/>
    </row>
    <row r="120" spans="2:23" ht="12.75" customHeight="1" x14ac:dyDescent="0.2">
      <c r="F120" s="177"/>
      <c r="L120" s="102"/>
      <c r="M120" s="102"/>
      <c r="N120" s="102"/>
      <c r="O120" s="102"/>
      <c r="Q120" s="102"/>
    </row>
    <row r="121" spans="2:23" ht="12.75" customHeight="1" x14ac:dyDescent="0.2">
      <c r="B121" s="2" t="s">
        <v>767</v>
      </c>
      <c r="F121" s="177" t="s">
        <v>111</v>
      </c>
      <c r="L121" s="102"/>
      <c r="M121" s="102"/>
      <c r="N121" s="102"/>
      <c r="O121" s="102"/>
      <c r="P121" s="40">
        <f>P117-P119</f>
        <v>10815.750360914133</v>
      </c>
      <c r="Q121" s="102"/>
      <c r="R121" s="102"/>
      <c r="S121" s="102"/>
      <c r="T121" s="102"/>
      <c r="U121" s="102"/>
      <c r="V121" s="102"/>
      <c r="W121" s="102"/>
    </row>
    <row r="122" spans="2:23" x14ac:dyDescent="0.2">
      <c r="B122" s="173"/>
      <c r="F122" s="177"/>
      <c r="K122" s="102"/>
      <c r="L122" s="102"/>
      <c r="M122" s="102"/>
      <c r="N122" s="102"/>
      <c r="O122" s="197"/>
      <c r="P122" s="102"/>
      <c r="Q122" s="102"/>
    </row>
    <row r="123" spans="2:23" x14ac:dyDescent="0.25">
      <c r="B123" s="2" t="s">
        <v>768</v>
      </c>
      <c r="F123" s="2" t="s">
        <v>111</v>
      </c>
      <c r="K123" s="102"/>
      <c r="P123" s="196">
        <f>P121*H61*0.5</f>
        <v>248.76225830102507</v>
      </c>
    </row>
    <row r="124" spans="2:23" x14ac:dyDescent="0.25">
      <c r="K124" s="102"/>
    </row>
    <row r="125" spans="2:23" x14ac:dyDescent="0.25">
      <c r="B125" s="2" t="s">
        <v>769</v>
      </c>
      <c r="F125" s="2" t="s">
        <v>111</v>
      </c>
      <c r="K125" s="102"/>
      <c r="P125" s="196">
        <f>P119+P123</f>
        <v>1450.5122984025952</v>
      </c>
    </row>
    <row r="126" spans="2:23" x14ac:dyDescent="0.25">
      <c r="L126" s="102"/>
      <c r="M126" s="102"/>
      <c r="N126" s="102"/>
      <c r="O126" s="102"/>
      <c r="P126" s="102"/>
      <c r="Q126" s="102"/>
    </row>
    <row r="127" spans="2:23" s="143" customFormat="1" x14ac:dyDescent="0.25">
      <c r="B127" s="143" t="s">
        <v>772</v>
      </c>
      <c r="L127" s="194"/>
      <c r="M127" s="194"/>
      <c r="N127" s="194"/>
      <c r="O127" s="194"/>
      <c r="P127" s="194"/>
      <c r="Q127" s="194"/>
    </row>
    <row r="128" spans="2:23" x14ac:dyDescent="0.25">
      <c r="L128" s="102"/>
      <c r="M128" s="102"/>
      <c r="N128" s="102"/>
      <c r="O128" s="102"/>
      <c r="P128" s="102"/>
    </row>
    <row r="129" spans="2:19" x14ac:dyDescent="0.25">
      <c r="B129" s="2" t="s">
        <v>773</v>
      </c>
      <c r="F129" s="2" t="s">
        <v>142</v>
      </c>
      <c r="P129" s="108">
        <f>P82+P33-P36</f>
        <v>-20713.699218603644</v>
      </c>
    </row>
    <row r="130" spans="2:19" x14ac:dyDescent="0.25">
      <c r="B130" s="2" t="s">
        <v>773</v>
      </c>
      <c r="F130" s="2" t="s">
        <v>493</v>
      </c>
      <c r="P130" s="108">
        <f>P129*(1+H65)</f>
        <v>-23604.035806293414</v>
      </c>
    </row>
    <row r="131" spans="2:19" x14ac:dyDescent="0.25">
      <c r="P131" s="102"/>
    </row>
    <row r="132" spans="2:19" x14ac:dyDescent="0.25">
      <c r="B132" s="2" t="s">
        <v>769</v>
      </c>
      <c r="F132" s="2" t="s">
        <v>493</v>
      </c>
      <c r="P132" s="108">
        <f>P95*(1+H64)</f>
        <v>3938.7238581142406</v>
      </c>
    </row>
    <row r="133" spans="2:19" x14ac:dyDescent="0.25">
      <c r="P133" s="102"/>
    </row>
    <row r="134" spans="2:19" x14ac:dyDescent="0.25">
      <c r="B134" s="1" t="s">
        <v>407</v>
      </c>
      <c r="F134" s="2" t="s">
        <v>493</v>
      </c>
      <c r="P134" s="199">
        <f>P130+P132</f>
        <v>-19665.311948179173</v>
      </c>
    </row>
    <row r="136" spans="2:19" s="143" customFormat="1" x14ac:dyDescent="0.25">
      <c r="B136" s="143" t="s">
        <v>774</v>
      </c>
      <c r="L136" s="194"/>
      <c r="M136" s="194"/>
      <c r="N136" s="194"/>
      <c r="O136" s="194"/>
      <c r="P136" s="194"/>
      <c r="Q136" s="194"/>
    </row>
    <row r="138" spans="2:19" x14ac:dyDescent="0.25">
      <c r="B138" s="2" t="s">
        <v>773</v>
      </c>
      <c r="C138" s="173"/>
      <c r="D138" s="173"/>
      <c r="E138" s="173"/>
      <c r="F138" s="2" t="s">
        <v>493</v>
      </c>
      <c r="P138" s="108">
        <f>P112+P54-P57</f>
        <v>-2345.5449029541987</v>
      </c>
      <c r="R138" s="198"/>
      <c r="S138" s="198"/>
    </row>
    <row r="139" spans="2:19" x14ac:dyDescent="0.25">
      <c r="B139" s="2" t="s">
        <v>773</v>
      </c>
      <c r="F139" s="2" t="s">
        <v>493</v>
      </c>
      <c r="P139" s="108">
        <f>P138*(1+H65)</f>
        <v>-2672.8362370385016</v>
      </c>
    </row>
    <row r="140" spans="2:19" x14ac:dyDescent="0.25">
      <c r="P140" s="102"/>
    </row>
    <row r="141" spans="2:19" x14ac:dyDescent="0.25">
      <c r="B141" s="2" t="s">
        <v>769</v>
      </c>
      <c r="F141" s="2" t="s">
        <v>493</v>
      </c>
      <c r="P141" s="108">
        <f>P125*(1+H64)</f>
        <v>1702.4202248175122</v>
      </c>
    </row>
    <row r="143" spans="2:19" x14ac:dyDescent="0.25">
      <c r="B143" s="1" t="s">
        <v>408</v>
      </c>
      <c r="F143" s="2" t="s">
        <v>493</v>
      </c>
      <c r="P143" s="199">
        <f>P139+P141</f>
        <v>-970.41601222098939</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CC"/>
  </sheetPr>
  <dimension ref="A1:S48"/>
  <sheetViews>
    <sheetView showGridLines="0" zoomScale="85" zoomScaleNormal="85" workbookViewId="0">
      <pane xSplit="6" ySplit="9" topLeftCell="G10" activePane="bottomRight" state="frozen"/>
      <selection pane="topRight" activeCell="G1" sqref="G1"/>
      <selection pane="bottomLeft" activeCell="A10" sqref="A10"/>
      <selection pane="bottomRight" activeCell="G10" sqref="G10"/>
    </sheetView>
  </sheetViews>
  <sheetFormatPr defaultColWidth="9.140625" defaultRowHeight="12.75" customHeight="1" x14ac:dyDescent="0.25"/>
  <cols>
    <col min="1" max="1" width="4" style="2" customWidth="1"/>
    <col min="2" max="2" width="59.42578125" style="2" customWidth="1"/>
    <col min="3" max="4" width="4.5703125" style="2" customWidth="1"/>
    <col min="5" max="5" width="12.1406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4.7109375" style="32" bestFit="1" customWidth="1"/>
    <col min="14" max="15" width="15.85546875" style="32" bestFit="1" customWidth="1"/>
    <col min="16" max="16" width="12.5703125" style="32" customWidth="1"/>
    <col min="17" max="17" width="15.85546875" style="32" bestFit="1" customWidth="1"/>
    <col min="18" max="18" width="12.5703125" style="32" customWidth="1"/>
    <col min="19" max="20" width="2.7109375" style="2" customWidth="1"/>
    <col min="21" max="35" width="13.7109375" style="2" customWidth="1"/>
    <col min="36" max="16384" width="9.140625" style="2"/>
  </cols>
  <sheetData>
    <row r="1" spans="1:19" x14ac:dyDescent="0.25">
      <c r="A1" s="1"/>
      <c r="L1" s="2"/>
      <c r="M1" s="2"/>
      <c r="N1" s="2"/>
      <c r="O1" s="2"/>
      <c r="P1" s="2"/>
      <c r="Q1" s="2"/>
      <c r="R1" s="2"/>
    </row>
    <row r="2" spans="1:19" s="19" customFormat="1" ht="18" x14ac:dyDescent="0.25">
      <c r="B2" s="19" t="s">
        <v>449</v>
      </c>
    </row>
    <row r="3" spans="1:19" x14ac:dyDescent="0.25">
      <c r="L3" s="2"/>
      <c r="M3" s="2"/>
      <c r="N3" s="2"/>
      <c r="O3" s="2"/>
      <c r="P3" s="2"/>
      <c r="Q3" s="2"/>
      <c r="R3" s="2"/>
    </row>
    <row r="4" spans="1:19" x14ac:dyDescent="0.25">
      <c r="B4" s="1" t="s">
        <v>59</v>
      </c>
      <c r="C4" s="1"/>
      <c r="D4" s="1"/>
      <c r="L4" s="2"/>
      <c r="M4" s="2"/>
      <c r="N4" s="2"/>
      <c r="O4" s="2"/>
      <c r="P4" s="2"/>
      <c r="Q4" s="2"/>
      <c r="R4" s="2"/>
    </row>
    <row r="5" spans="1:19" x14ac:dyDescent="0.2">
      <c r="B5" s="41" t="s">
        <v>452</v>
      </c>
      <c r="C5" s="1"/>
      <c r="D5" s="1"/>
      <c r="L5" s="2"/>
      <c r="M5" s="2"/>
      <c r="N5" s="2"/>
      <c r="O5" s="2"/>
      <c r="P5" s="2"/>
      <c r="Q5" s="2"/>
      <c r="R5" s="2"/>
    </row>
    <row r="6" spans="1:19" x14ac:dyDescent="0.2">
      <c r="B6" s="41" t="s">
        <v>453</v>
      </c>
      <c r="C6" s="1"/>
      <c r="D6" s="1"/>
      <c r="L6" s="2"/>
      <c r="M6" s="2"/>
      <c r="N6" s="2"/>
      <c r="O6" s="2"/>
      <c r="P6" s="2"/>
      <c r="Q6" s="2"/>
      <c r="R6" s="2"/>
    </row>
    <row r="7" spans="1:19" x14ac:dyDescent="0.25">
      <c r="L7" s="2"/>
      <c r="M7" s="2"/>
      <c r="N7" s="2"/>
      <c r="O7" s="2"/>
      <c r="P7" s="2"/>
      <c r="Q7" s="2"/>
      <c r="R7" s="2"/>
    </row>
    <row r="8" spans="1:19" s="6" customFormat="1" x14ac:dyDescent="0.25">
      <c r="B8" s="6" t="s">
        <v>46</v>
      </c>
      <c r="F8" s="6" t="s">
        <v>28</v>
      </c>
      <c r="H8" s="6" t="s">
        <v>29</v>
      </c>
      <c r="J8" s="6" t="s">
        <v>50</v>
      </c>
      <c r="L8" s="6" t="s">
        <v>89</v>
      </c>
      <c r="M8" s="6" t="s">
        <v>66</v>
      </c>
      <c r="N8" s="6" t="s">
        <v>67</v>
      </c>
      <c r="O8" s="6" t="s">
        <v>68</v>
      </c>
      <c r="P8" s="6" t="s">
        <v>69</v>
      </c>
      <c r="Q8" s="6" t="s">
        <v>70</v>
      </c>
      <c r="S8" s="6" t="s">
        <v>48</v>
      </c>
    </row>
    <row r="9" spans="1:19" x14ac:dyDescent="0.25">
      <c r="L9" s="2"/>
      <c r="M9" s="2"/>
      <c r="N9" s="2"/>
      <c r="O9" s="2"/>
      <c r="P9" s="2"/>
      <c r="Q9" s="2"/>
      <c r="R9" s="2"/>
    </row>
    <row r="10" spans="1:19" x14ac:dyDescent="0.25">
      <c r="L10" s="2"/>
      <c r="M10" s="2"/>
      <c r="N10" s="2"/>
      <c r="O10" s="2"/>
      <c r="P10" s="2"/>
      <c r="Q10" s="2"/>
      <c r="R10" s="2"/>
    </row>
    <row r="11" spans="1:19" s="6" customFormat="1" x14ac:dyDescent="0.25">
      <c r="B11" s="6" t="s">
        <v>151</v>
      </c>
    </row>
    <row r="12" spans="1:19" x14ac:dyDescent="0.2">
      <c r="A12" s="123"/>
      <c r="B12" s="123"/>
      <c r="C12" s="123"/>
      <c r="D12" s="123"/>
      <c r="L12" s="2"/>
      <c r="M12" s="2"/>
      <c r="N12" s="2"/>
      <c r="O12" s="2"/>
      <c r="P12" s="2"/>
      <c r="Q12" s="2"/>
      <c r="R12" s="2"/>
    </row>
    <row r="13" spans="1:19" x14ac:dyDescent="0.2">
      <c r="B13" s="76" t="s">
        <v>211</v>
      </c>
      <c r="C13" s="123"/>
      <c r="D13" s="123"/>
      <c r="F13" s="76" t="s">
        <v>142</v>
      </c>
      <c r="L13" s="48">
        <f>'Input lokale heffingen'!L16</f>
        <v>0</v>
      </c>
      <c r="M13" s="48">
        <f>'Input lokale heffingen'!M16</f>
        <v>-579958.86621679948</v>
      </c>
      <c r="N13" s="48">
        <f>'Input lokale heffingen'!N16</f>
        <v>0</v>
      </c>
      <c r="O13" s="48">
        <f>'Input lokale heffingen'!O16</f>
        <v>0</v>
      </c>
      <c r="P13" s="48">
        <f>'Input lokale heffingen'!P16</f>
        <v>-617918.871178</v>
      </c>
      <c r="Q13" s="48">
        <f>'Input lokale heffingen'!Q16</f>
        <v>19081.599999999999</v>
      </c>
      <c r="R13" s="76"/>
    </row>
    <row r="14" spans="1:19" x14ac:dyDescent="0.2">
      <c r="A14" s="76"/>
      <c r="B14" s="95"/>
      <c r="C14" s="76"/>
      <c r="D14" s="76"/>
      <c r="J14" s="124"/>
      <c r="L14" s="2"/>
      <c r="M14" s="2"/>
      <c r="N14" s="2"/>
      <c r="O14" s="2"/>
      <c r="P14" s="2"/>
      <c r="Q14" s="2"/>
      <c r="R14" s="2"/>
    </row>
    <row r="15" spans="1:19" x14ac:dyDescent="0.2">
      <c r="B15" s="41" t="s">
        <v>477</v>
      </c>
      <c r="C15" s="125"/>
      <c r="D15" s="125"/>
      <c r="E15" s="125"/>
      <c r="F15" s="126" t="s">
        <v>73</v>
      </c>
      <c r="H15" s="50">
        <f>Parameters!O71</f>
        <v>0.1395374412453505</v>
      </c>
      <c r="L15" s="127"/>
      <c r="M15" s="127"/>
      <c r="N15" s="127"/>
      <c r="O15" s="127"/>
      <c r="P15" s="127"/>
      <c r="Q15" s="127"/>
      <c r="R15" s="127"/>
    </row>
    <row r="16" spans="1:19" x14ac:dyDescent="0.2">
      <c r="A16" s="76"/>
      <c r="B16" s="95"/>
      <c r="C16" s="76"/>
      <c r="D16" s="76"/>
      <c r="J16" s="124"/>
      <c r="L16" s="2"/>
      <c r="M16" s="2"/>
      <c r="N16" s="2"/>
      <c r="O16" s="2"/>
      <c r="P16" s="2"/>
      <c r="Q16" s="2"/>
      <c r="R16" s="2"/>
    </row>
    <row r="17" spans="1:18" s="6" customFormat="1" x14ac:dyDescent="0.25">
      <c r="B17" s="6" t="s">
        <v>72</v>
      </c>
    </row>
    <row r="18" spans="1:18" x14ac:dyDescent="0.2">
      <c r="A18" s="123"/>
      <c r="B18" s="123"/>
      <c r="C18" s="123"/>
      <c r="D18" s="123"/>
      <c r="L18" s="2"/>
      <c r="M18" s="2"/>
      <c r="N18" s="2"/>
      <c r="O18" s="2"/>
      <c r="P18" s="2"/>
      <c r="Q18" s="2"/>
      <c r="R18" s="2"/>
    </row>
    <row r="19" spans="1:18" x14ac:dyDescent="0.2">
      <c r="A19" s="125"/>
      <c r="B19" s="41" t="s">
        <v>212</v>
      </c>
      <c r="C19" s="76"/>
      <c r="F19" s="76" t="s">
        <v>142</v>
      </c>
      <c r="L19" s="40">
        <f>L13</f>
        <v>0</v>
      </c>
      <c r="M19" s="40">
        <f t="shared" ref="M19:Q19" si="0">M13</f>
        <v>-579958.86621679948</v>
      </c>
      <c r="N19" s="40">
        <f t="shared" si="0"/>
        <v>0</v>
      </c>
      <c r="O19" s="40">
        <f t="shared" si="0"/>
        <v>0</v>
      </c>
      <c r="P19" s="40">
        <f t="shared" si="0"/>
        <v>-617918.871178</v>
      </c>
      <c r="Q19" s="40">
        <f t="shared" si="0"/>
        <v>19081.599999999999</v>
      </c>
      <c r="R19" s="128"/>
    </row>
    <row r="20" spans="1:18" x14ac:dyDescent="0.25">
      <c r="L20" s="127"/>
      <c r="M20" s="127"/>
      <c r="N20" s="127"/>
      <c r="O20" s="127"/>
      <c r="P20" s="127"/>
      <c r="Q20" s="127"/>
      <c r="R20" s="127"/>
    </row>
    <row r="21" spans="1:18" x14ac:dyDescent="0.2">
      <c r="B21" s="76" t="s">
        <v>494</v>
      </c>
      <c r="F21" s="76" t="s">
        <v>493</v>
      </c>
      <c r="J21" s="128"/>
      <c r="K21" s="129"/>
      <c r="L21" s="130">
        <f>L19*(1+$H$15)</f>
        <v>0</v>
      </c>
      <c r="M21" s="130">
        <f>M19*(1+$H$15)</f>
        <v>-660884.84243624622</v>
      </c>
      <c r="N21" s="130">
        <f t="shared" ref="N21:Q21" si="1">N19*(1+$H$15)</f>
        <v>0</v>
      </c>
      <c r="O21" s="130">
        <f t="shared" si="1"/>
        <v>0</v>
      </c>
      <c r="P21" s="130">
        <f t="shared" si="1"/>
        <v>-704141.68935939344</v>
      </c>
      <c r="Q21" s="130">
        <f t="shared" si="1"/>
        <v>21744.197638867277</v>
      </c>
      <c r="R21" s="2"/>
    </row>
    <row r="22" spans="1:18" x14ac:dyDescent="0.25">
      <c r="L22" s="2"/>
      <c r="M22" s="2"/>
      <c r="N22" s="2"/>
      <c r="O22" s="2"/>
      <c r="P22" s="2"/>
      <c r="Q22" s="2"/>
      <c r="R22" s="2"/>
    </row>
    <row r="23" spans="1:18" x14ac:dyDescent="0.25">
      <c r="L23" s="2"/>
      <c r="M23" s="2"/>
      <c r="N23" s="2"/>
      <c r="O23" s="2"/>
      <c r="P23" s="2"/>
      <c r="Q23" s="2"/>
      <c r="R23" s="2"/>
    </row>
    <row r="24" spans="1:18" ht="12.6" customHeight="1" x14ac:dyDescent="0.25"/>
    <row r="25" spans="1:18" ht="12.6" customHeight="1" x14ac:dyDescent="0.25"/>
    <row r="26" spans="1:18" ht="12.6" customHeight="1" x14ac:dyDescent="0.25"/>
    <row r="27" spans="1:18" ht="12.6" customHeight="1" x14ac:dyDescent="0.25"/>
    <row r="28" spans="1:18" ht="12.6" customHeight="1" x14ac:dyDescent="0.25"/>
    <row r="29" spans="1:18" ht="12.6" customHeight="1" x14ac:dyDescent="0.25"/>
    <row r="30" spans="1:18" ht="12.6" customHeight="1" x14ac:dyDescent="0.25"/>
    <row r="31" spans="1:18" ht="12.6" customHeight="1" x14ac:dyDescent="0.25"/>
    <row r="32" spans="1:18" ht="12.6" customHeight="1" x14ac:dyDescent="0.25"/>
    <row r="33" spans="14:19" ht="12.6" customHeight="1" x14ac:dyDescent="0.25"/>
    <row r="34" spans="14:19" ht="12.6" customHeight="1" x14ac:dyDescent="0.25"/>
    <row r="35" spans="14:19" ht="12.6" customHeight="1" x14ac:dyDescent="0.25"/>
    <row r="36" spans="14:19" ht="12.6" customHeight="1" x14ac:dyDescent="0.25"/>
    <row r="37" spans="14:19" ht="12.6" customHeight="1" x14ac:dyDescent="0.25"/>
    <row r="38" spans="14:19" ht="12.6" customHeight="1" x14ac:dyDescent="0.25"/>
    <row r="39" spans="14:19" ht="12.6" customHeight="1" x14ac:dyDescent="0.25"/>
    <row r="40" spans="14:19" ht="12.6" customHeight="1" x14ac:dyDescent="0.25"/>
    <row r="41" spans="14:19" ht="12.6" customHeight="1" x14ac:dyDescent="0.25"/>
    <row r="42" spans="14:19" ht="12.6" customHeight="1" x14ac:dyDescent="0.25"/>
    <row r="43" spans="14:19" ht="12.6" customHeight="1" x14ac:dyDescent="0.25"/>
    <row r="46" spans="14:19" ht="12.75" customHeight="1" x14ac:dyDescent="0.25">
      <c r="N46" s="2"/>
    </row>
    <row r="48" spans="14:19" ht="12.75" customHeight="1" x14ac:dyDescent="0.25">
      <c r="S48" s="32"/>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6EFC8-ACBD-4A1B-967F-8024527CD859}">
  <sheetPr>
    <tabColor rgb="FFFFFFCC"/>
  </sheetPr>
  <dimension ref="A1:AI59"/>
  <sheetViews>
    <sheetView showGridLines="0" zoomScale="85" zoomScaleNormal="85" workbookViewId="0">
      <pane xSplit="6" ySplit="10" topLeftCell="G11" activePane="bottomRight" state="frozen"/>
      <selection pane="topRight" activeCell="G1" sqref="G1"/>
      <selection pane="bottomLeft" activeCell="A10" sqref="A10"/>
      <selection pane="bottomRight" activeCell="G11" sqref="G11"/>
    </sheetView>
  </sheetViews>
  <sheetFormatPr defaultColWidth="9.140625" defaultRowHeight="12.75" customHeight="1" x14ac:dyDescent="0.25"/>
  <cols>
    <col min="1" max="1" width="4" style="2" customWidth="1"/>
    <col min="2" max="2" width="59.42578125" style="2" customWidth="1"/>
    <col min="3" max="4" width="4.5703125" style="2" customWidth="1"/>
    <col min="5" max="5" width="12.1406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4.7109375" style="32" bestFit="1" customWidth="1"/>
    <col min="14" max="15" width="15.85546875" style="32" bestFit="1" customWidth="1"/>
    <col min="16" max="16" width="12.5703125" style="32" customWidth="1"/>
    <col min="17" max="17" width="15.85546875" style="32" bestFit="1" customWidth="1"/>
    <col min="18" max="18" width="12.5703125" style="32" customWidth="1"/>
    <col min="19" max="20" width="2.7109375" style="2" customWidth="1"/>
    <col min="21" max="35" width="13.7109375" style="2" customWidth="1"/>
    <col min="36" max="16384" width="9.140625" style="2"/>
  </cols>
  <sheetData>
    <row r="1" spans="1:35" x14ac:dyDescent="0.25">
      <c r="A1" s="1"/>
      <c r="L1" s="2"/>
      <c r="M1" s="2"/>
      <c r="N1" s="2"/>
      <c r="O1" s="2"/>
      <c r="P1" s="2"/>
      <c r="Q1" s="2"/>
      <c r="R1" s="2"/>
    </row>
    <row r="2" spans="1:35" s="184" customFormat="1" ht="18" x14ac:dyDescent="0.25">
      <c r="B2" s="184" t="s">
        <v>635</v>
      </c>
    </row>
    <row r="3" spans="1:35" x14ac:dyDescent="0.25">
      <c r="L3" s="2"/>
      <c r="M3" s="2"/>
      <c r="N3" s="2"/>
      <c r="O3" s="2"/>
      <c r="P3" s="2"/>
      <c r="Q3" s="2"/>
      <c r="R3" s="2"/>
    </row>
    <row r="4" spans="1:35" x14ac:dyDescent="0.25">
      <c r="B4" s="1" t="s">
        <v>59</v>
      </c>
      <c r="C4" s="1"/>
      <c r="D4" s="1"/>
      <c r="L4" s="2"/>
      <c r="M4" s="2"/>
      <c r="N4" s="2"/>
      <c r="O4" s="2"/>
      <c r="P4" s="2"/>
      <c r="Q4" s="2"/>
      <c r="R4" s="2"/>
    </row>
    <row r="5" spans="1:35" x14ac:dyDescent="0.25">
      <c r="B5" s="2" t="s">
        <v>655</v>
      </c>
      <c r="L5" s="2"/>
      <c r="M5" s="2"/>
      <c r="N5" s="2"/>
      <c r="O5" s="2"/>
      <c r="P5" s="2"/>
      <c r="Q5" s="2"/>
      <c r="R5" s="2"/>
    </row>
    <row r="6" spans="1:35" x14ac:dyDescent="0.25">
      <c r="B6" s="2" t="s">
        <v>656</v>
      </c>
      <c r="L6" s="2"/>
      <c r="M6" s="2"/>
      <c r="N6" s="2"/>
      <c r="O6" s="2"/>
      <c r="P6" s="2"/>
      <c r="Q6" s="2"/>
      <c r="R6" s="2"/>
    </row>
    <row r="7" spans="1:35" x14ac:dyDescent="0.25">
      <c r="B7" s="2" t="s">
        <v>657</v>
      </c>
      <c r="C7" s="1"/>
      <c r="D7" s="1"/>
      <c r="L7" s="2"/>
      <c r="M7" s="2"/>
      <c r="N7" s="2"/>
      <c r="O7" s="2"/>
      <c r="P7" s="2"/>
      <c r="Q7" s="2"/>
      <c r="R7" s="2"/>
    </row>
    <row r="8" spans="1:35" x14ac:dyDescent="0.25">
      <c r="C8" s="1"/>
      <c r="D8" s="1"/>
      <c r="L8" s="2"/>
      <c r="M8" s="2"/>
      <c r="N8" s="2"/>
      <c r="O8" s="2"/>
      <c r="P8" s="2"/>
      <c r="Q8" s="2"/>
      <c r="R8" s="2"/>
    </row>
    <row r="9" spans="1:35" s="143" customFormat="1" x14ac:dyDescent="0.25">
      <c r="B9" s="143" t="s">
        <v>46</v>
      </c>
      <c r="F9" s="143" t="s">
        <v>28</v>
      </c>
      <c r="H9" s="143" t="s">
        <v>29</v>
      </c>
      <c r="J9" s="143" t="s">
        <v>50</v>
      </c>
      <c r="L9" s="143" t="s">
        <v>89</v>
      </c>
      <c r="M9" s="143" t="s">
        <v>66</v>
      </c>
      <c r="N9" s="143" t="s">
        <v>67</v>
      </c>
      <c r="O9" s="143" t="s">
        <v>68</v>
      </c>
      <c r="P9" s="143" t="s">
        <v>69</v>
      </c>
      <c r="Q9" s="143" t="s">
        <v>70</v>
      </c>
      <c r="S9" s="143" t="s">
        <v>48</v>
      </c>
    </row>
    <row r="10" spans="1:35" x14ac:dyDescent="0.25">
      <c r="L10" s="2"/>
      <c r="M10" s="2"/>
      <c r="N10" s="2"/>
      <c r="O10" s="2"/>
      <c r="P10" s="2"/>
      <c r="Q10" s="2"/>
      <c r="R10" s="2"/>
    </row>
    <row r="11" spans="1:35" x14ac:dyDescent="0.25">
      <c r="L11" s="2"/>
      <c r="M11" s="2"/>
      <c r="N11" s="2"/>
      <c r="O11" s="2"/>
      <c r="P11" s="2"/>
      <c r="Q11" s="2"/>
      <c r="R11" s="2"/>
    </row>
    <row r="12" spans="1:35" s="143" customFormat="1" x14ac:dyDescent="0.25">
      <c r="B12" s="6" t="s">
        <v>543</v>
      </c>
    </row>
    <row r="13" spans="1:35" x14ac:dyDescent="0.25">
      <c r="B13" s="224"/>
      <c r="C13" s="224"/>
      <c r="D13" s="224"/>
      <c r="E13" s="224"/>
      <c r="F13" s="224"/>
      <c r="G13" s="224"/>
      <c r="H13" s="224"/>
      <c r="I13" s="224"/>
      <c r="J13" s="224"/>
      <c r="K13" s="224"/>
      <c r="L13" s="224"/>
      <c r="M13" s="224"/>
      <c r="N13" s="224"/>
      <c r="O13" s="224"/>
      <c r="P13" s="102"/>
      <c r="Q13" s="224"/>
      <c r="R13" s="2"/>
    </row>
    <row r="14" spans="1:35" s="32" customFormat="1" ht="12.6" customHeight="1" x14ac:dyDescent="0.25">
      <c r="A14" s="2"/>
      <c r="B14" s="1" t="s">
        <v>535</v>
      </c>
      <c r="C14" s="47"/>
      <c r="D14" s="47"/>
      <c r="E14" s="47"/>
      <c r="F14" s="47"/>
      <c r="G14" s="2"/>
      <c r="H14" s="2"/>
      <c r="I14" s="2"/>
      <c r="J14" s="2"/>
      <c r="K14" s="2"/>
      <c r="S14" s="2"/>
      <c r="T14" s="2"/>
      <c r="U14" s="2"/>
      <c r="V14" s="2"/>
      <c r="W14" s="2"/>
      <c r="X14" s="2"/>
      <c r="Y14" s="2"/>
      <c r="Z14" s="2"/>
      <c r="AA14" s="2"/>
      <c r="AB14" s="2"/>
      <c r="AC14" s="2"/>
      <c r="AD14" s="2"/>
      <c r="AE14" s="2"/>
      <c r="AF14" s="2"/>
      <c r="AG14" s="2"/>
      <c r="AH14" s="2"/>
      <c r="AI14" s="2"/>
    </row>
    <row r="15" spans="1:35" s="32" customFormat="1" ht="12.6" customHeight="1" x14ac:dyDescent="0.25">
      <c r="A15" s="2"/>
      <c r="B15" s="2" t="s">
        <v>536</v>
      </c>
      <c r="C15" s="2"/>
      <c r="D15" s="2"/>
      <c r="E15" s="2"/>
      <c r="F15" s="219" t="s">
        <v>111</v>
      </c>
      <c r="G15" s="2"/>
      <c r="H15" s="2"/>
      <c r="I15" s="2"/>
      <c r="J15" s="108">
        <f>SUM(L15:Q15)</f>
        <v>1139852881.2750418</v>
      </c>
      <c r="K15" s="2"/>
      <c r="L15" s="225">
        <f>'Input gewijzigd methodebesluit'!L14</f>
        <v>22364849.838650633</v>
      </c>
      <c r="M15" s="225">
        <f>'Input gewijzigd methodebesluit'!M14</f>
        <v>364778627.52034658</v>
      </c>
      <c r="N15" s="225">
        <f>'Input gewijzigd methodebesluit'!N14</f>
        <v>395721843.36583602</v>
      </c>
      <c r="O15" s="225">
        <f>'Input gewijzigd methodebesluit'!O14</f>
        <v>16383453.319744868</v>
      </c>
      <c r="P15" s="225">
        <f>'Input gewijzigd methodebesluit'!P14</f>
        <v>321623425.23223299</v>
      </c>
      <c r="Q15" s="225">
        <f>'Input gewijzigd methodebesluit'!Q14</f>
        <v>18980681.998230651</v>
      </c>
      <c r="S15" s="2"/>
      <c r="T15" s="2"/>
      <c r="U15" s="2"/>
      <c r="V15" s="2"/>
      <c r="W15" s="2"/>
      <c r="X15" s="2"/>
      <c r="Y15" s="2"/>
      <c r="Z15" s="2"/>
      <c r="AA15" s="2"/>
      <c r="AB15" s="2"/>
      <c r="AC15" s="2"/>
      <c r="AD15" s="2"/>
      <c r="AE15" s="2"/>
      <c r="AF15" s="2"/>
      <c r="AG15" s="2"/>
      <c r="AH15" s="2"/>
      <c r="AI15" s="2"/>
    </row>
    <row r="16" spans="1:35" s="32" customFormat="1" ht="12.6" customHeight="1" x14ac:dyDescent="0.25">
      <c r="A16" s="2"/>
      <c r="B16" s="2" t="s">
        <v>537</v>
      </c>
      <c r="C16" s="2"/>
      <c r="D16" s="2"/>
      <c r="E16" s="2"/>
      <c r="F16" s="219" t="s">
        <v>142</v>
      </c>
      <c r="G16" s="2"/>
      <c r="H16" s="2"/>
      <c r="I16" s="2"/>
      <c r="J16" s="108">
        <f t="shared" ref="J16:J17" si="0">SUM(L16:Q16)</f>
        <v>1252813130.7189732</v>
      </c>
      <c r="K16" s="2"/>
      <c r="L16" s="225">
        <f>'Input gewijzigd methodebesluit'!L15</f>
        <v>24576733.487693179</v>
      </c>
      <c r="M16" s="225">
        <f>'Input gewijzigd methodebesluit'!M15</f>
        <v>400891711.64486086</v>
      </c>
      <c r="N16" s="225">
        <f>'Input gewijzigd methodebesluit'!N15</f>
        <v>435056594.5964002</v>
      </c>
      <c r="O16" s="225">
        <f>'Input gewijzigd methodebesluit'!O15</f>
        <v>18002138.507735662</v>
      </c>
      <c r="P16" s="225">
        <f>'Input gewijzigd methodebesluit'!P15</f>
        <v>353464144.33022404</v>
      </c>
      <c r="Q16" s="225">
        <f>'Input gewijzigd methodebesluit'!Q15</f>
        <v>20821808.152059022</v>
      </c>
      <c r="S16" s="2"/>
      <c r="T16" s="2"/>
      <c r="U16" s="2"/>
      <c r="V16" s="2"/>
      <c r="W16" s="2"/>
      <c r="X16" s="2"/>
      <c r="Y16" s="2"/>
      <c r="Z16" s="2"/>
      <c r="AA16" s="2"/>
      <c r="AB16" s="2"/>
      <c r="AC16" s="2"/>
      <c r="AD16" s="2"/>
      <c r="AE16" s="2"/>
      <c r="AF16" s="2"/>
      <c r="AG16" s="2"/>
      <c r="AH16" s="2"/>
      <c r="AI16" s="2"/>
    </row>
    <row r="17" spans="1:35" s="32" customFormat="1" ht="12.6" customHeight="1" x14ac:dyDescent="0.25">
      <c r="A17" s="2"/>
      <c r="B17" s="2" t="s">
        <v>538</v>
      </c>
      <c r="C17" s="2"/>
      <c r="D17" s="2"/>
      <c r="E17" s="2"/>
      <c r="F17" s="219" t="s">
        <v>167</v>
      </c>
      <c r="G17" s="2"/>
      <c r="H17" s="2"/>
      <c r="I17" s="2"/>
      <c r="J17" s="108">
        <f t="shared" si="0"/>
        <v>1264214769.815928</v>
      </c>
      <c r="K17" s="2"/>
      <c r="L17" s="225">
        <f>'Input gewijzigd methodebesluit'!L16</f>
        <v>24795466.415733647</v>
      </c>
      <c r="M17" s="225">
        <f>'Input gewijzigd methodebesluit'!M16</f>
        <v>404499737.04966456</v>
      </c>
      <c r="N17" s="225">
        <f>'Input gewijzigd methodebesluit'!N16</f>
        <v>439146126.5856064</v>
      </c>
      <c r="O17" s="225">
        <f>'Input gewijzigd methodebesluit'!O16</f>
        <v>18160557.326603733</v>
      </c>
      <c r="P17" s="225">
        <f>'Input gewijzigd methodebesluit'!P16</f>
        <v>356645321.62919599</v>
      </c>
      <c r="Q17" s="225">
        <f>'Input gewijzigd methodebesluit'!Q16</f>
        <v>20967560.809123434</v>
      </c>
      <c r="S17" s="2"/>
      <c r="T17" s="2"/>
      <c r="U17" s="2"/>
      <c r="V17" s="2"/>
      <c r="W17" s="2"/>
      <c r="X17" s="2"/>
      <c r="Y17" s="2"/>
      <c r="Z17" s="2"/>
      <c r="AA17" s="2"/>
      <c r="AB17" s="2"/>
      <c r="AC17" s="2"/>
      <c r="AD17" s="2"/>
      <c r="AE17" s="2"/>
      <c r="AF17" s="2"/>
      <c r="AG17" s="2"/>
      <c r="AH17" s="2"/>
      <c r="AI17" s="2"/>
    </row>
    <row r="18" spans="1:35" s="32" customFormat="1" ht="12.6" customHeight="1" x14ac:dyDescent="0.25">
      <c r="A18" s="2"/>
      <c r="B18" s="2"/>
      <c r="C18" s="2"/>
      <c r="D18" s="2"/>
      <c r="E18" s="2"/>
      <c r="F18" s="219"/>
      <c r="G18" s="2"/>
      <c r="H18" s="2"/>
      <c r="I18" s="2"/>
      <c r="J18" s="2"/>
      <c r="K18" s="2"/>
      <c r="S18" s="2"/>
      <c r="T18" s="2"/>
      <c r="U18" s="2"/>
      <c r="V18" s="2"/>
      <c r="W18" s="2"/>
      <c r="X18" s="2"/>
      <c r="Y18" s="2"/>
      <c r="Z18" s="2"/>
      <c r="AA18" s="2"/>
      <c r="AB18" s="2"/>
      <c r="AC18" s="2"/>
      <c r="AD18" s="2"/>
      <c r="AE18" s="2"/>
      <c r="AF18" s="2"/>
      <c r="AG18" s="2"/>
      <c r="AH18" s="2"/>
      <c r="AI18" s="2"/>
    </row>
    <row r="19" spans="1:35" s="32" customFormat="1" ht="12.6" customHeight="1" x14ac:dyDescent="0.25">
      <c r="A19" s="2"/>
      <c r="B19" s="1" t="s">
        <v>539</v>
      </c>
      <c r="C19" s="2"/>
      <c r="D19" s="2"/>
      <c r="E19" s="2"/>
      <c r="F19" s="219"/>
      <c r="G19" s="2"/>
      <c r="H19" s="2"/>
      <c r="I19" s="2"/>
      <c r="J19" s="2"/>
      <c r="K19" s="2"/>
      <c r="S19" s="2"/>
      <c r="T19" s="2"/>
      <c r="U19" s="2"/>
      <c r="V19" s="2"/>
      <c r="W19" s="2"/>
      <c r="X19" s="2"/>
      <c r="Y19" s="2"/>
      <c r="Z19" s="2"/>
      <c r="AA19" s="2"/>
      <c r="AB19" s="2"/>
      <c r="AC19" s="2"/>
      <c r="AD19" s="2"/>
      <c r="AE19" s="2"/>
      <c r="AF19" s="2"/>
      <c r="AG19" s="2"/>
      <c r="AH19" s="2"/>
      <c r="AI19" s="2"/>
    </row>
    <row r="20" spans="1:35" s="32" customFormat="1" ht="12.6" customHeight="1" x14ac:dyDescent="0.25">
      <c r="A20" s="2"/>
      <c r="B20" s="2" t="s">
        <v>536</v>
      </c>
      <c r="C20" s="2"/>
      <c r="D20" s="2"/>
      <c r="E20" s="2"/>
      <c r="F20" s="219" t="s">
        <v>111</v>
      </c>
      <c r="G20" s="2"/>
      <c r="H20" s="2"/>
      <c r="I20" s="2"/>
      <c r="J20" s="108">
        <f t="shared" ref="J20:J22" si="1">SUM(L20:Q20)</f>
        <v>1184759925.1398156</v>
      </c>
      <c r="K20" s="2"/>
      <c r="L20" s="225">
        <f>'TI-berekening 2025'!L21</f>
        <v>23247852.720112458</v>
      </c>
      <c r="M20" s="225">
        <f>'TI-berekening 2025'!M21</f>
        <v>379158699.11329991</v>
      </c>
      <c r="N20" s="225">
        <f>'TI-berekening 2025'!N21</f>
        <v>411294132.09213805</v>
      </c>
      <c r="O20" s="225">
        <f>'TI-berekening 2025'!O21</f>
        <v>17031951.404912792</v>
      </c>
      <c r="P20" s="225">
        <f>'TI-berekening 2025'!P21</f>
        <v>334302650.49550152</v>
      </c>
      <c r="Q20" s="225">
        <f>'TI-berekening 2025'!Q21</f>
        <v>19724639.313850563</v>
      </c>
      <c r="S20" s="2"/>
      <c r="T20" s="2"/>
      <c r="U20" s="2"/>
      <c r="V20" s="2"/>
      <c r="W20" s="2"/>
      <c r="X20" s="2"/>
      <c r="Y20" s="2"/>
      <c r="Z20" s="2"/>
      <c r="AA20" s="2"/>
      <c r="AB20" s="2"/>
      <c r="AC20" s="2"/>
      <c r="AD20" s="2"/>
      <c r="AE20" s="2"/>
      <c r="AF20" s="2"/>
      <c r="AG20" s="2"/>
      <c r="AH20" s="2"/>
      <c r="AI20" s="2"/>
    </row>
    <row r="21" spans="1:35" s="32" customFormat="1" ht="12.6" customHeight="1" x14ac:dyDescent="0.25">
      <c r="A21" s="2"/>
      <c r="B21" s="2" t="s">
        <v>537</v>
      </c>
      <c r="C21" s="2"/>
      <c r="D21" s="2"/>
      <c r="E21" s="2"/>
      <c r="F21" s="219" t="s">
        <v>142</v>
      </c>
      <c r="G21" s="2"/>
      <c r="H21" s="2"/>
      <c r="I21" s="2"/>
      <c r="J21" s="108">
        <f t="shared" si="1"/>
        <v>1310593855.9106033</v>
      </c>
      <c r="K21" s="2"/>
      <c r="L21" s="225">
        <f>'TI-berekening 2025'!L22</f>
        <v>25712125.108444374</v>
      </c>
      <c r="M21" s="225">
        <f>'TI-berekening 2025'!M22</f>
        <v>419387437.08922106</v>
      </c>
      <c r="N21" s="225">
        <f>'TI-berekening 2025'!N22</f>
        <v>455096957.15995079</v>
      </c>
      <c r="O21" s="225">
        <f>'TI-berekening 2025'!O22</f>
        <v>18837338.253833547</v>
      </c>
      <c r="P21" s="225">
        <f>'TI-berekening 2025'!P22</f>
        <v>369772161.71307427</v>
      </c>
      <c r="Q21" s="225">
        <f>'TI-berekening 2025'!Q22</f>
        <v>21787836.586079333</v>
      </c>
      <c r="S21" s="2"/>
      <c r="T21" s="2"/>
      <c r="U21" s="2"/>
      <c r="V21" s="2"/>
      <c r="W21" s="2"/>
      <c r="X21" s="2"/>
      <c r="Y21" s="2"/>
      <c r="Z21" s="2"/>
      <c r="AA21" s="2"/>
      <c r="AB21" s="2"/>
      <c r="AC21" s="2"/>
      <c r="AD21" s="2"/>
      <c r="AE21" s="2"/>
      <c r="AF21" s="2"/>
      <c r="AG21" s="2"/>
      <c r="AH21" s="2"/>
      <c r="AI21" s="2"/>
    </row>
    <row r="22" spans="1:35" s="32" customFormat="1" ht="12.6" customHeight="1" x14ac:dyDescent="0.25">
      <c r="A22" s="2"/>
      <c r="B22" s="2" t="s">
        <v>538</v>
      </c>
      <c r="C22" s="2"/>
      <c r="D22" s="2"/>
      <c r="E22" s="2"/>
      <c r="F22" s="219" t="s">
        <v>167</v>
      </c>
      <c r="G22" s="2"/>
      <c r="H22" s="2"/>
      <c r="I22" s="2"/>
      <c r="J22" s="108">
        <f t="shared" si="1"/>
        <v>1331839319.0724127</v>
      </c>
      <c r="K22" s="2"/>
      <c r="L22" s="225">
        <f>'TI-berekening 2025'!L23</f>
        <v>26123519.110179484</v>
      </c>
      <c r="M22" s="225">
        <f>'TI-berekening 2025'!M23</f>
        <v>426139574.82635754</v>
      </c>
      <c r="N22" s="225">
        <f>'TI-berekening 2025'!N23</f>
        <v>462606056.95308995</v>
      </c>
      <c r="O22" s="225">
        <f>'TI-berekening 2025'!O23</f>
        <v>19138735.665894885</v>
      </c>
      <c r="P22" s="225">
        <f>'TI-berekening 2025'!P23</f>
        <v>375725493.51665479</v>
      </c>
      <c r="Q22" s="225">
        <f>'TI-berekening 2025'!Q23</f>
        <v>22105939.00023609</v>
      </c>
      <c r="S22" s="2"/>
      <c r="T22" s="2"/>
      <c r="U22" s="2"/>
      <c r="V22" s="2"/>
      <c r="W22" s="2"/>
      <c r="X22" s="2"/>
      <c r="Y22" s="2"/>
      <c r="Z22" s="2"/>
      <c r="AA22" s="2"/>
      <c r="AB22" s="2"/>
      <c r="AC22" s="2"/>
      <c r="AD22" s="2"/>
      <c r="AE22" s="2"/>
      <c r="AF22" s="2"/>
      <c r="AG22" s="2"/>
      <c r="AH22" s="2"/>
      <c r="AI22" s="2"/>
    </row>
    <row r="23" spans="1:35" s="32" customFormat="1" ht="12.6" customHeight="1" x14ac:dyDescent="0.25">
      <c r="A23" s="2"/>
      <c r="B23" s="2"/>
      <c r="C23" s="2"/>
      <c r="D23" s="2"/>
      <c r="E23" s="2"/>
      <c r="F23" s="219"/>
      <c r="G23" s="2"/>
      <c r="H23" s="2"/>
      <c r="I23" s="2"/>
      <c r="J23" s="2"/>
      <c r="K23" s="2"/>
      <c r="S23" s="2"/>
      <c r="T23" s="2"/>
      <c r="U23" s="2"/>
      <c r="V23" s="2"/>
      <c r="W23" s="2"/>
      <c r="X23" s="2"/>
      <c r="Y23" s="2"/>
      <c r="Z23" s="2"/>
      <c r="AA23" s="2"/>
      <c r="AB23" s="2"/>
      <c r="AC23" s="2"/>
      <c r="AD23" s="2"/>
      <c r="AE23" s="2"/>
      <c r="AF23" s="2"/>
      <c r="AG23" s="2"/>
      <c r="AH23" s="2"/>
      <c r="AI23" s="2"/>
    </row>
    <row r="24" spans="1:35" s="32" customFormat="1" ht="12.6" customHeight="1" x14ac:dyDescent="0.25">
      <c r="A24" s="2"/>
      <c r="B24" s="1" t="s">
        <v>540</v>
      </c>
      <c r="C24" s="2"/>
      <c r="D24" s="2"/>
      <c r="E24" s="2"/>
      <c r="F24" s="219"/>
      <c r="G24" s="2"/>
      <c r="H24" s="2"/>
      <c r="I24" s="2"/>
      <c r="J24" s="2"/>
      <c r="K24" s="2"/>
      <c r="S24" s="2"/>
      <c r="T24" s="2"/>
      <c r="U24" s="2"/>
      <c r="V24" s="2"/>
      <c r="W24" s="2"/>
      <c r="X24" s="2"/>
      <c r="Y24" s="2"/>
      <c r="Z24" s="2"/>
      <c r="AA24" s="2"/>
      <c r="AB24" s="2"/>
      <c r="AC24" s="2"/>
      <c r="AD24" s="2"/>
      <c r="AE24" s="2"/>
      <c r="AF24" s="2"/>
      <c r="AG24" s="2"/>
      <c r="AH24" s="2"/>
      <c r="AI24" s="2"/>
    </row>
    <row r="25" spans="1:35" s="32" customFormat="1" ht="12.6" customHeight="1" x14ac:dyDescent="0.25">
      <c r="A25" s="2"/>
      <c r="B25" s="2" t="s">
        <v>681</v>
      </c>
      <c r="C25" s="2"/>
      <c r="D25" s="2"/>
      <c r="E25" s="2"/>
      <c r="F25" s="219" t="s">
        <v>167</v>
      </c>
      <c r="G25" s="2"/>
      <c r="H25" s="2"/>
      <c r="I25" s="2"/>
      <c r="J25" s="108">
        <f t="shared" ref="J25:J26" si="2">SUM(L25:Q25)</f>
        <v>77293877.722042084</v>
      </c>
      <c r="K25" s="2"/>
      <c r="L25" s="225">
        <f>'Input gewijzigd methodebesluit'!L19</f>
        <v>1527785.7254430794</v>
      </c>
      <c r="M25" s="225">
        <f>'Input gewijzigd methodebesluit'!M19</f>
        <v>24826854.809804186</v>
      </c>
      <c r="N25" s="225">
        <f>'Input gewijzigd methodebesluit'!N19</f>
        <v>26589651.768138319</v>
      </c>
      <c r="O25" s="225">
        <f>'Input gewijzigd methodebesluit'!O19</f>
        <v>1121525.6460361909</v>
      </c>
      <c r="P25" s="225">
        <f>'Input gewijzigd methodebesluit'!P19</f>
        <v>21902676.436737228</v>
      </c>
      <c r="Q25" s="225">
        <f>'Input gewijzigd methodebesluit'!Q19</f>
        <v>1325383.3358830751</v>
      </c>
      <c r="S25" s="2"/>
      <c r="T25" s="2"/>
      <c r="U25" s="2"/>
      <c r="V25" s="2"/>
      <c r="W25" s="2"/>
      <c r="X25" s="2"/>
      <c r="Y25" s="2"/>
      <c r="Z25" s="2"/>
      <c r="AA25" s="2"/>
      <c r="AB25" s="2"/>
      <c r="AC25" s="2"/>
      <c r="AD25" s="2"/>
      <c r="AE25" s="2"/>
      <c r="AF25" s="2"/>
      <c r="AG25" s="2"/>
      <c r="AH25" s="2"/>
      <c r="AI25" s="2"/>
    </row>
    <row r="26" spans="1:35" s="32" customFormat="1" ht="12.6" customHeight="1" x14ac:dyDescent="0.25">
      <c r="A26" s="2"/>
      <c r="B26" s="2" t="s">
        <v>682</v>
      </c>
      <c r="C26" s="2"/>
      <c r="D26" s="2"/>
      <c r="E26" s="2"/>
      <c r="F26" s="219" t="s">
        <v>167</v>
      </c>
      <c r="G26" s="2"/>
      <c r="H26" s="2"/>
      <c r="I26" s="2"/>
      <c r="J26" s="108">
        <f t="shared" si="2"/>
        <v>19542524.041929673</v>
      </c>
      <c r="K26" s="2"/>
      <c r="L26" s="225">
        <f>'Input gewijzigd methodebesluit'!L20</f>
        <v>378316.77429958683</v>
      </c>
      <c r="M26" s="225">
        <f>'Input gewijzigd methodebesluit'!M20</f>
        <v>6192551.1879048133</v>
      </c>
      <c r="N26" s="225">
        <f>'Input gewijzigd methodebesluit'!N20</f>
        <v>6990002.2599942451</v>
      </c>
      <c r="O26" s="225">
        <f>'Input gewijzigd methodebesluit'!O20</f>
        <v>274752.91823165765</v>
      </c>
      <c r="P26" s="225">
        <f>'Input gewijzigd methodebesluit'!P20</f>
        <v>5454945.7408288829</v>
      </c>
      <c r="Q26" s="225">
        <f>'Input gewijzigd methodebesluit'!Q20</f>
        <v>251955.16067048386</v>
      </c>
      <c r="S26" s="2"/>
      <c r="T26" s="2"/>
      <c r="U26" s="2"/>
      <c r="V26" s="2"/>
      <c r="W26" s="2"/>
      <c r="X26" s="2"/>
      <c r="Y26" s="2"/>
      <c r="Z26" s="2"/>
      <c r="AA26" s="2"/>
      <c r="AB26" s="2"/>
      <c r="AC26" s="2"/>
      <c r="AD26" s="2"/>
      <c r="AE26" s="2"/>
      <c r="AF26" s="2"/>
      <c r="AG26" s="2"/>
      <c r="AH26" s="2"/>
      <c r="AI26" s="2"/>
    </row>
    <row r="27" spans="1:35" s="32" customFormat="1" ht="12.6" customHeight="1" x14ac:dyDescent="0.25">
      <c r="A27" s="2"/>
      <c r="B27" s="2"/>
      <c r="C27" s="2"/>
      <c r="D27" s="2"/>
      <c r="E27" s="2"/>
      <c r="F27" s="219"/>
      <c r="G27" s="2"/>
      <c r="H27" s="2"/>
      <c r="I27" s="2"/>
      <c r="J27" s="2"/>
      <c r="K27" s="2"/>
      <c r="S27" s="2"/>
      <c r="T27" s="2"/>
      <c r="U27" s="2"/>
      <c r="V27" s="2"/>
      <c r="W27" s="2"/>
      <c r="X27" s="2"/>
      <c r="Y27" s="2"/>
      <c r="Z27" s="2"/>
      <c r="AA27" s="2"/>
      <c r="AB27" s="2"/>
      <c r="AC27" s="2"/>
      <c r="AD27" s="2"/>
      <c r="AE27" s="2"/>
      <c r="AF27" s="2"/>
      <c r="AG27" s="2"/>
      <c r="AH27" s="2"/>
      <c r="AI27" s="2"/>
    </row>
    <row r="28" spans="1:35" s="32" customFormat="1" ht="12.6" customHeight="1" x14ac:dyDescent="0.25">
      <c r="A28" s="2"/>
      <c r="B28" s="1" t="s">
        <v>541</v>
      </c>
      <c r="C28" s="2"/>
      <c r="D28" s="2"/>
      <c r="E28" s="2"/>
      <c r="F28" s="219"/>
      <c r="G28" s="2"/>
      <c r="H28" s="2"/>
      <c r="I28" s="2"/>
      <c r="J28" s="2"/>
      <c r="K28" s="2"/>
      <c r="S28" s="2"/>
      <c r="T28" s="2"/>
      <c r="U28" s="2"/>
      <c r="V28" s="2"/>
      <c r="W28" s="2"/>
      <c r="X28" s="2"/>
      <c r="Y28" s="2"/>
      <c r="Z28" s="2"/>
      <c r="AA28" s="2"/>
      <c r="AB28" s="2"/>
      <c r="AC28" s="2"/>
      <c r="AD28" s="2"/>
      <c r="AE28" s="2"/>
      <c r="AF28" s="2"/>
      <c r="AG28" s="2"/>
      <c r="AH28" s="2"/>
      <c r="AI28" s="2"/>
    </row>
    <row r="29" spans="1:35" s="32" customFormat="1" ht="12.6" customHeight="1" x14ac:dyDescent="0.25">
      <c r="A29" s="2"/>
      <c r="B29" s="2" t="s">
        <v>681</v>
      </c>
      <c r="C29" s="2"/>
      <c r="D29" s="2"/>
      <c r="E29" s="2"/>
      <c r="F29" s="219" t="s">
        <v>167</v>
      </c>
      <c r="G29" s="2"/>
      <c r="H29" s="2"/>
      <c r="I29" s="2"/>
      <c r="J29" s="108">
        <f t="shared" ref="J29:J30" si="3">SUM(L29:Q29)</f>
        <v>47565420.140559047</v>
      </c>
      <c r="K29" s="2"/>
      <c r="L29" s="225">
        <f>'Input gewijzigd methodebesluit'!L23</f>
        <v>940171.76745926449</v>
      </c>
      <c r="M29" s="225">
        <f>'Input gewijzigd methodebesluit'!M23</f>
        <v>15278160.976373177</v>
      </c>
      <c r="N29" s="225">
        <f>'Input gewijzigd methodebesluit'!N23</f>
        <v>16362791.903771028</v>
      </c>
      <c r="O29" s="225">
        <f>'Input gewijzigd methodebesluit'!O23</f>
        <v>690166.64531208423</v>
      </c>
      <c r="P29" s="225">
        <f>'Input gewijzigd methodebesluit'!P23</f>
        <v>13478511.858489562</v>
      </c>
      <c r="Q29" s="225">
        <f>'Input gewijzigd methodebesluit'!Q23</f>
        <v>815616.98915393639</v>
      </c>
      <c r="S29" s="2"/>
      <c r="T29" s="2"/>
      <c r="U29" s="2"/>
      <c r="V29" s="2"/>
      <c r="W29" s="2"/>
      <c r="X29" s="2"/>
      <c r="Y29" s="2"/>
      <c r="Z29" s="2"/>
      <c r="AA29" s="2"/>
      <c r="AB29" s="2"/>
      <c r="AC29" s="2"/>
      <c r="AD29" s="2"/>
      <c r="AE29" s="2"/>
      <c r="AF29" s="2"/>
      <c r="AG29" s="2"/>
      <c r="AH29" s="2"/>
      <c r="AI29" s="2"/>
    </row>
    <row r="30" spans="1:35" s="32" customFormat="1" ht="12.6" customHeight="1" x14ac:dyDescent="0.25">
      <c r="A30" s="2"/>
      <c r="B30" s="2" t="s">
        <v>682</v>
      </c>
      <c r="C30" s="2"/>
      <c r="D30" s="2"/>
      <c r="E30" s="2"/>
      <c r="F30" s="219" t="s">
        <v>167</v>
      </c>
      <c r="G30" s="2"/>
      <c r="H30" s="2"/>
      <c r="I30" s="2"/>
      <c r="J30" s="108">
        <f t="shared" si="3"/>
        <v>12026168.641187489</v>
      </c>
      <c r="K30" s="2"/>
      <c r="L30" s="225">
        <f>'Input gewijzigd methodebesluit'!L24</f>
        <v>232810.32264589961</v>
      </c>
      <c r="M30" s="225">
        <f>'Input gewijzigd methodebesluit'!M24</f>
        <v>3810800.7310183467</v>
      </c>
      <c r="N30" s="225">
        <f>'Input gewijzigd methodebesluit'!N24</f>
        <v>4301539.8523041513</v>
      </c>
      <c r="O30" s="225">
        <f>'Input gewijzigd methodebesluit'!O24</f>
        <v>169078.71891178933</v>
      </c>
      <c r="P30" s="225">
        <f>'Input gewijzigd methodebesluit'!P24</f>
        <v>3356889.686663928</v>
      </c>
      <c r="Q30" s="225">
        <f>'Input gewijzigd methodebesluit'!Q24</f>
        <v>155049.32964337469</v>
      </c>
      <c r="S30" s="2"/>
      <c r="T30" s="2"/>
      <c r="U30" s="2"/>
      <c r="V30" s="2"/>
      <c r="W30" s="2"/>
      <c r="X30" s="2"/>
      <c r="Y30" s="2"/>
      <c r="Z30" s="2"/>
      <c r="AA30" s="2"/>
      <c r="AB30" s="2"/>
      <c r="AC30" s="2"/>
      <c r="AD30" s="2"/>
      <c r="AE30" s="2"/>
      <c r="AF30" s="2"/>
      <c r="AG30" s="2"/>
      <c r="AH30" s="2"/>
      <c r="AI30" s="2"/>
    </row>
    <row r="32" spans="1:35" ht="12.75" customHeight="1" x14ac:dyDescent="0.25">
      <c r="B32" s="1" t="s">
        <v>194</v>
      </c>
    </row>
    <row r="33" spans="2:17" ht="12.75" customHeight="1" x14ac:dyDescent="0.25">
      <c r="B33" s="2" t="s">
        <v>544</v>
      </c>
      <c r="F33" s="115" t="s">
        <v>73</v>
      </c>
      <c r="H33" s="50">
        <f>Parameters!O70</f>
        <v>0.17366824582758489</v>
      </c>
    </row>
    <row r="34" spans="2:17" ht="12.75" customHeight="1" x14ac:dyDescent="0.25">
      <c r="B34" s="2" t="s">
        <v>477</v>
      </c>
      <c r="F34" s="2" t="s">
        <v>73</v>
      </c>
      <c r="H34" s="50">
        <f>Parameters!O71</f>
        <v>0.1395374412453505</v>
      </c>
    </row>
    <row r="35" spans="2:17" ht="12.75" customHeight="1" x14ac:dyDescent="0.25">
      <c r="B35" s="2" t="s">
        <v>545</v>
      </c>
      <c r="F35" s="2" t="s">
        <v>73</v>
      </c>
      <c r="H35" s="50">
        <f>Parameters!O72</f>
        <v>7.0000000000000062E-2</v>
      </c>
    </row>
    <row r="37" spans="2:17" s="143" customFormat="1" x14ac:dyDescent="0.25">
      <c r="B37" s="143" t="s">
        <v>546</v>
      </c>
    </row>
    <row r="39" spans="2:17" ht="12.75" customHeight="1" x14ac:dyDescent="0.25">
      <c r="B39" s="47" t="s">
        <v>547</v>
      </c>
      <c r="C39" s="47"/>
      <c r="D39" s="47"/>
      <c r="E39" s="47"/>
      <c r="F39" s="47"/>
    </row>
    <row r="40" spans="2:17" ht="12.75" customHeight="1" x14ac:dyDescent="0.25">
      <c r="B40" s="2" t="s">
        <v>536</v>
      </c>
      <c r="F40" s="219" t="s">
        <v>111</v>
      </c>
      <c r="J40" s="108">
        <f t="shared" ref="J40:J42" si="4">SUM(L40:Q40)</f>
        <v>44907043.864773542</v>
      </c>
      <c r="L40" s="220">
        <f>L20-L15</f>
        <v>883002.88146182522</v>
      </c>
      <c r="M40" s="220">
        <f t="shared" ref="L40:Q42" si="5">M20-M15</f>
        <v>14380071.592953324</v>
      </c>
      <c r="N40" s="220">
        <f t="shared" si="5"/>
        <v>15572288.726302028</v>
      </c>
      <c r="O40" s="220">
        <f t="shared" si="5"/>
        <v>648498.08516792394</v>
      </c>
      <c r="P40" s="220">
        <f t="shared" si="5"/>
        <v>12679225.26326853</v>
      </c>
      <c r="Q40" s="220">
        <f t="shared" si="5"/>
        <v>743957.315619912</v>
      </c>
    </row>
    <row r="41" spans="2:17" ht="12.75" customHeight="1" x14ac:dyDescent="0.25">
      <c r="B41" s="2" t="s">
        <v>537</v>
      </c>
      <c r="F41" s="219" t="s">
        <v>142</v>
      </c>
      <c r="J41" s="108">
        <f t="shared" si="4"/>
        <v>57780725.191630408</v>
      </c>
      <c r="L41" s="220">
        <f t="shared" si="5"/>
        <v>1135391.6207511947</v>
      </c>
      <c r="M41" s="220">
        <f t="shared" si="5"/>
        <v>18495725.444360197</v>
      </c>
      <c r="N41" s="220">
        <f t="shared" si="5"/>
        <v>20040362.563550591</v>
      </c>
      <c r="O41" s="220">
        <f t="shared" si="5"/>
        <v>835199.74609788507</v>
      </c>
      <c r="P41" s="220">
        <f t="shared" si="5"/>
        <v>16308017.38285023</v>
      </c>
      <c r="Q41" s="220">
        <f t="shared" si="5"/>
        <v>966028.43402031064</v>
      </c>
    </row>
    <row r="42" spans="2:17" ht="12.75" customHeight="1" x14ac:dyDescent="0.25">
      <c r="B42" s="2" t="s">
        <v>538</v>
      </c>
      <c r="F42" s="219" t="s">
        <v>167</v>
      </c>
      <c r="J42" s="108">
        <f t="shared" si="4"/>
        <v>67624549.256484985</v>
      </c>
      <c r="L42" s="220">
        <f t="shared" si="5"/>
        <v>1328052.6944458373</v>
      </c>
      <c r="M42" s="220">
        <f t="shared" si="5"/>
        <v>21639837.776692986</v>
      </c>
      <c r="N42" s="220">
        <f t="shared" si="5"/>
        <v>23459930.367483556</v>
      </c>
      <c r="O42" s="220">
        <f t="shared" si="5"/>
        <v>978178.33929115161</v>
      </c>
      <c r="P42" s="220">
        <f t="shared" si="5"/>
        <v>19080171.887458801</v>
      </c>
      <c r="Q42" s="220">
        <f t="shared" si="5"/>
        <v>1138378.1911126561</v>
      </c>
    </row>
    <row r="43" spans="2:17" ht="12.75" customHeight="1" x14ac:dyDescent="0.25">
      <c r="L43" s="2"/>
      <c r="M43" s="2"/>
      <c r="N43" s="2"/>
      <c r="O43" s="2"/>
      <c r="P43" s="2"/>
      <c r="Q43" s="2"/>
    </row>
    <row r="44" spans="2:17" ht="12.75" customHeight="1" x14ac:dyDescent="0.25">
      <c r="B44" s="47" t="s">
        <v>658</v>
      </c>
      <c r="C44" s="47"/>
      <c r="D44" s="47"/>
      <c r="E44" s="47"/>
      <c r="F44" s="47"/>
      <c r="L44" s="2"/>
      <c r="M44" s="2"/>
      <c r="N44" s="2"/>
      <c r="O44" s="2"/>
      <c r="P44" s="2"/>
      <c r="Q44" s="2"/>
    </row>
    <row r="45" spans="2:17" ht="12.75" customHeight="1" x14ac:dyDescent="0.25">
      <c r="B45" s="2" t="s">
        <v>209</v>
      </c>
      <c r="F45" s="219" t="s">
        <v>167</v>
      </c>
      <c r="J45" s="108">
        <f t="shared" ref="J45:J46" si="6">SUM(L45:Q45)</f>
        <v>-29728457.581483025</v>
      </c>
      <c r="L45" s="220">
        <f t="shared" ref="L45:Q46" si="7">L29-L25</f>
        <v>-587613.95798381488</v>
      </c>
      <c r="M45" s="220">
        <f t="shared" si="7"/>
        <v>-9548693.8334310092</v>
      </c>
      <c r="N45" s="220">
        <f t="shared" si="7"/>
        <v>-10226859.864367291</v>
      </c>
      <c r="O45" s="220">
        <f t="shared" si="7"/>
        <v>-431359.00072410668</v>
      </c>
      <c r="P45" s="220">
        <f t="shared" si="7"/>
        <v>-8424164.5782476664</v>
      </c>
      <c r="Q45" s="220">
        <f t="shared" si="7"/>
        <v>-509766.34672913875</v>
      </c>
    </row>
    <row r="46" spans="2:17" ht="12.75" customHeight="1" x14ac:dyDescent="0.25">
      <c r="B46" s="2" t="s">
        <v>210</v>
      </c>
      <c r="F46" s="219" t="s">
        <v>167</v>
      </c>
      <c r="J46" s="108">
        <f t="shared" si="6"/>
        <v>-7516355.4007421806</v>
      </c>
      <c r="L46" s="220">
        <f t="shared" si="7"/>
        <v>-145506.45165368723</v>
      </c>
      <c r="M46" s="220">
        <f t="shared" si="7"/>
        <v>-2381750.4568864666</v>
      </c>
      <c r="N46" s="220">
        <f t="shared" si="7"/>
        <v>-2688462.4076900939</v>
      </c>
      <c r="O46" s="220">
        <f t="shared" si="7"/>
        <v>-105674.19931986832</v>
      </c>
      <c r="P46" s="220">
        <f t="shared" si="7"/>
        <v>-2098056.0541649549</v>
      </c>
      <c r="Q46" s="220">
        <f t="shared" si="7"/>
        <v>-96905.831027109176</v>
      </c>
    </row>
    <row r="48" spans="2:17" s="143" customFormat="1" x14ac:dyDescent="0.25">
      <c r="B48" s="143" t="s">
        <v>72</v>
      </c>
    </row>
    <row r="50" spans="2:17" ht="12.75" customHeight="1" x14ac:dyDescent="0.25">
      <c r="B50" s="47" t="s">
        <v>547</v>
      </c>
      <c r="C50" s="47"/>
      <c r="D50" s="47"/>
      <c r="E50" s="47"/>
      <c r="F50" s="47"/>
    </row>
    <row r="51" spans="2:17" ht="12.75" customHeight="1" x14ac:dyDescent="0.25">
      <c r="B51" s="2" t="s">
        <v>536</v>
      </c>
      <c r="F51" s="219" t="s">
        <v>493</v>
      </c>
      <c r="J51" s="220">
        <f>SUM(L51:Q51)</f>
        <v>52705971.39807117</v>
      </c>
      <c r="L51" s="220">
        <f>L40*(1+$H33)</f>
        <v>1036352.4429460033</v>
      </c>
      <c r="M51" s="220">
        <f t="shared" ref="M51:Q51" si="8">M40*(1+$H33)</f>
        <v>16877433.401376612</v>
      </c>
      <c r="N51" s="220">
        <f t="shared" si="8"/>
        <v>18276700.792919576</v>
      </c>
      <c r="O51" s="220">
        <f t="shared" si="8"/>
        <v>761121.61004158505</v>
      </c>
      <c r="P51" s="220">
        <f t="shared" si="8"/>
        <v>14881204.073193174</v>
      </c>
      <c r="Q51" s="220">
        <f t="shared" si="8"/>
        <v>873159.07759422099</v>
      </c>
    </row>
    <row r="52" spans="2:17" ht="12.75" customHeight="1" x14ac:dyDescent="0.25">
      <c r="B52" s="2" t="s">
        <v>537</v>
      </c>
      <c r="F52" s="219" t="s">
        <v>493</v>
      </c>
      <c r="J52" s="220">
        <f>SUM(L52:Q52)</f>
        <v>65843299.738171287</v>
      </c>
      <c r="L52" s="220">
        <f t="shared" ref="L52:Q53" si="9">L41*(1+$H34)</f>
        <v>1293821.2623222277</v>
      </c>
      <c r="M52" s="220">
        <f t="shared" si="9"/>
        <v>21076571.64684274</v>
      </c>
      <c r="N52" s="220">
        <f t="shared" si="9"/>
        <v>22836743.477297556</v>
      </c>
      <c r="O52" s="220">
        <f t="shared" si="9"/>
        <v>951741.38159715035</v>
      </c>
      <c r="P52" s="220">
        <f t="shared" si="9"/>
        <v>18583596.400237847</v>
      </c>
      <c r="Q52" s="220">
        <f t="shared" si="9"/>
        <v>1100825.5698737577</v>
      </c>
    </row>
    <row r="53" spans="2:17" ht="12.75" customHeight="1" x14ac:dyDescent="0.25">
      <c r="B53" s="2" t="s">
        <v>538</v>
      </c>
      <c r="F53" s="219" t="s">
        <v>493</v>
      </c>
      <c r="J53" s="220">
        <f>SUM(L53:Q53)</f>
        <v>72358267.70443894</v>
      </c>
      <c r="L53" s="220">
        <f t="shared" si="9"/>
        <v>1421016.383057046</v>
      </c>
      <c r="M53" s="220">
        <f t="shared" si="9"/>
        <v>23154626.421061497</v>
      </c>
      <c r="N53" s="220">
        <f t="shared" si="9"/>
        <v>25102125.493207406</v>
      </c>
      <c r="O53" s="220">
        <f t="shared" si="9"/>
        <v>1046650.8230415323</v>
      </c>
      <c r="P53" s="220">
        <f t="shared" si="9"/>
        <v>20415783.919580918</v>
      </c>
      <c r="Q53" s="220">
        <f t="shared" si="9"/>
        <v>1218064.6644905421</v>
      </c>
    </row>
    <row r="54" spans="2:17" ht="12.75" customHeight="1" x14ac:dyDescent="0.25">
      <c r="L54" s="2"/>
      <c r="M54" s="2"/>
      <c r="N54" s="2"/>
      <c r="O54" s="2"/>
      <c r="P54" s="2"/>
      <c r="Q54" s="2"/>
    </row>
    <row r="55" spans="2:17" ht="12.75" customHeight="1" x14ac:dyDescent="0.25">
      <c r="B55" s="47" t="s">
        <v>658</v>
      </c>
      <c r="C55" s="47"/>
      <c r="D55" s="47"/>
      <c r="E55" s="47"/>
      <c r="F55" s="47"/>
      <c r="L55" s="2"/>
      <c r="M55" s="2"/>
      <c r="N55" s="2"/>
      <c r="O55" s="2"/>
      <c r="P55" s="2"/>
      <c r="Q55" s="2"/>
    </row>
    <row r="56" spans="2:17" ht="12.75" customHeight="1" x14ac:dyDescent="0.25">
      <c r="B56" t="s">
        <v>209</v>
      </c>
      <c r="F56" s="219" t="s">
        <v>493</v>
      </c>
      <c r="J56" s="220">
        <f>SUM(L56:Q56)</f>
        <v>-31809449.612186845</v>
      </c>
      <c r="L56" s="220">
        <f>L45*(1+$H$35)</f>
        <v>-628746.93504268199</v>
      </c>
      <c r="M56" s="220">
        <f t="shared" ref="M56:Q57" si="10">M45*(1+$H$35)</f>
        <v>-10217102.40177118</v>
      </c>
      <c r="N56" s="220">
        <f t="shared" si="10"/>
        <v>-10942740.054873003</v>
      </c>
      <c r="O56" s="220">
        <f t="shared" si="10"/>
        <v>-461554.13077479415</v>
      </c>
      <c r="P56" s="220">
        <f t="shared" si="10"/>
        <v>-9013856.0987250041</v>
      </c>
      <c r="Q56" s="220">
        <f t="shared" si="10"/>
        <v>-545449.9910001785</v>
      </c>
    </row>
    <row r="57" spans="2:17" ht="12.75" customHeight="1" x14ac:dyDescent="0.25">
      <c r="B57" s="223" t="s">
        <v>210</v>
      </c>
      <c r="F57" s="219" t="s">
        <v>493</v>
      </c>
      <c r="J57" s="220">
        <f>SUM(L57:Q57)</f>
        <v>-8042500.2787941331</v>
      </c>
      <c r="L57" s="220">
        <f>L46*(1+$H$35)</f>
        <v>-155691.90326944535</v>
      </c>
      <c r="M57" s="220">
        <f t="shared" si="10"/>
        <v>-2548472.9888685192</v>
      </c>
      <c r="N57" s="220">
        <f t="shared" si="10"/>
        <v>-2876654.7762284004</v>
      </c>
      <c r="O57" s="220">
        <f t="shared" si="10"/>
        <v>-113071.39327225911</v>
      </c>
      <c r="P57" s="220">
        <f t="shared" si="10"/>
        <v>-2244919.9779565018</v>
      </c>
      <c r="Q57" s="220">
        <f t="shared" si="10"/>
        <v>-103689.23919900683</v>
      </c>
    </row>
    <row r="58" spans="2:17" ht="12.75" customHeight="1" x14ac:dyDescent="0.25">
      <c r="L58" s="2"/>
      <c r="M58" s="2"/>
      <c r="N58" s="2"/>
      <c r="O58" s="2"/>
      <c r="P58" s="2"/>
      <c r="Q58" s="2"/>
    </row>
    <row r="59" spans="2:17" ht="12.75" customHeight="1" x14ac:dyDescent="0.25">
      <c r="B59" s="2" t="s">
        <v>634</v>
      </c>
      <c r="F59" s="219" t="s">
        <v>493</v>
      </c>
      <c r="J59" s="220">
        <f>SUM(L59:Q59)</f>
        <v>151055588.94970042</v>
      </c>
      <c r="L59" s="39">
        <f>SUM(L51:L53,L56:L57)</f>
        <v>2966751.2500131493</v>
      </c>
      <c r="M59" s="39">
        <f t="shared" ref="M59:Q59" si="11">SUM(M51:M53,M56:M57)</f>
        <v>48343056.078641154</v>
      </c>
      <c r="N59" s="39">
        <f t="shared" si="11"/>
        <v>52396174.932323143</v>
      </c>
      <c r="O59" s="39">
        <f t="shared" si="11"/>
        <v>2184888.2906332142</v>
      </c>
      <c r="P59" s="39">
        <f t="shared" si="11"/>
        <v>42621808.316330433</v>
      </c>
      <c r="Q59" s="39">
        <f t="shared" si="11"/>
        <v>2542910.0817593355</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D865-54BF-4C9B-9E42-52434CD8EDFC}">
  <sheetPr>
    <tabColor rgb="FFFFFFCC"/>
  </sheetPr>
  <dimension ref="A1:AI87"/>
  <sheetViews>
    <sheetView showGridLines="0" zoomScale="85" zoomScaleNormal="85" workbookViewId="0">
      <pane xSplit="6" ySplit="9" topLeftCell="G10" activePane="bottomRight" state="frozen"/>
      <selection pane="topRight" activeCell="G1" sqref="G1"/>
      <selection pane="bottomLeft" activeCell="A10" sqref="A10"/>
      <selection pane="bottomRight" activeCell="G10" sqref="G10"/>
    </sheetView>
  </sheetViews>
  <sheetFormatPr defaultColWidth="9.140625" defaultRowHeight="12.75" customHeight="1" x14ac:dyDescent="0.25"/>
  <cols>
    <col min="1" max="1" width="4" style="2" customWidth="1"/>
    <col min="2" max="2" width="59.42578125" style="2" customWidth="1"/>
    <col min="3" max="4" width="4.5703125" style="2" customWidth="1"/>
    <col min="5" max="5" width="12.1406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4.7109375" style="32" bestFit="1" customWidth="1"/>
    <col min="14" max="15" width="15.85546875" style="32" bestFit="1" customWidth="1"/>
    <col min="16" max="16" width="12.5703125" style="32" customWidth="1"/>
    <col min="17" max="17" width="15.85546875" style="32" bestFit="1" customWidth="1"/>
    <col min="18" max="18" width="12.5703125" style="32" customWidth="1"/>
    <col min="19" max="20" width="2.7109375" style="2" customWidth="1"/>
    <col min="21" max="35" width="13.7109375" style="2" customWidth="1"/>
    <col min="36" max="16384" width="9.140625" style="2"/>
  </cols>
  <sheetData>
    <row r="1" spans="1:19" x14ac:dyDescent="0.25">
      <c r="A1" s="1"/>
      <c r="L1" s="2"/>
      <c r="M1" s="2"/>
      <c r="N1" s="2"/>
      <c r="O1" s="2"/>
      <c r="P1" s="2"/>
      <c r="Q1" s="2"/>
      <c r="R1" s="2"/>
    </row>
    <row r="2" spans="1:19" s="19" customFormat="1" ht="18" x14ac:dyDescent="0.25">
      <c r="B2" s="19" t="s">
        <v>689</v>
      </c>
    </row>
    <row r="3" spans="1:19" x14ac:dyDescent="0.25">
      <c r="L3" s="2"/>
      <c r="M3" s="2"/>
      <c r="N3" s="2"/>
      <c r="O3" s="2"/>
      <c r="P3" s="2"/>
      <c r="Q3" s="2"/>
      <c r="R3" s="2"/>
    </row>
    <row r="4" spans="1:19" x14ac:dyDescent="0.25">
      <c r="B4" s="1" t="s">
        <v>59</v>
      </c>
      <c r="C4" s="1"/>
      <c r="D4" s="1"/>
      <c r="L4" s="2"/>
      <c r="M4" s="2"/>
      <c r="N4" s="2"/>
      <c r="O4" s="2"/>
      <c r="P4" s="2"/>
      <c r="Q4" s="2"/>
      <c r="R4" s="2"/>
    </row>
    <row r="5" spans="1:19" x14ac:dyDescent="0.2">
      <c r="B5" s="76" t="s">
        <v>690</v>
      </c>
      <c r="C5" s="1"/>
      <c r="D5" s="1"/>
      <c r="L5" s="2"/>
      <c r="M5" s="2"/>
      <c r="N5" s="2"/>
      <c r="O5" s="2"/>
      <c r="P5" s="2"/>
      <c r="Q5" s="2"/>
      <c r="R5" s="2"/>
    </row>
    <row r="6" spans="1:19" x14ac:dyDescent="0.25">
      <c r="B6" s="2" t="s">
        <v>579</v>
      </c>
      <c r="C6" s="1"/>
      <c r="D6" s="1"/>
      <c r="L6" s="2"/>
      <c r="M6" s="2"/>
      <c r="N6" s="2"/>
      <c r="O6" s="2"/>
      <c r="P6" s="2"/>
      <c r="Q6" s="2"/>
      <c r="R6" s="2"/>
    </row>
    <row r="7" spans="1:19" x14ac:dyDescent="0.25">
      <c r="L7" s="2"/>
      <c r="M7" s="2"/>
      <c r="N7" s="2"/>
      <c r="O7" s="2"/>
      <c r="P7" s="2"/>
      <c r="Q7" s="2"/>
      <c r="R7" s="2"/>
    </row>
    <row r="8" spans="1:19" s="6" customFormat="1" x14ac:dyDescent="0.25">
      <c r="B8" s="6" t="s">
        <v>46</v>
      </c>
      <c r="F8" s="6" t="s">
        <v>28</v>
      </c>
      <c r="H8" s="6" t="s">
        <v>29</v>
      </c>
      <c r="J8" s="6" t="s">
        <v>50</v>
      </c>
      <c r="L8" s="6" t="s">
        <v>89</v>
      </c>
      <c r="M8" s="6" t="s">
        <v>66</v>
      </c>
      <c r="N8" s="6" t="s">
        <v>67</v>
      </c>
      <c r="O8" s="6" t="s">
        <v>68</v>
      </c>
      <c r="P8" s="6" t="s">
        <v>69</v>
      </c>
      <c r="Q8" s="6" t="s">
        <v>70</v>
      </c>
      <c r="S8" s="6" t="s">
        <v>48</v>
      </c>
    </row>
    <row r="9" spans="1:19" x14ac:dyDescent="0.25">
      <c r="L9" s="2"/>
      <c r="M9" s="2"/>
      <c r="N9" s="2"/>
      <c r="O9" s="2"/>
      <c r="P9" s="2"/>
      <c r="Q9" s="2"/>
      <c r="R9" s="2"/>
    </row>
    <row r="10" spans="1:19" x14ac:dyDescent="0.25">
      <c r="L10" s="2"/>
      <c r="M10" s="2"/>
      <c r="N10" s="2"/>
      <c r="O10" s="2"/>
      <c r="P10" s="2"/>
      <c r="Q10" s="2"/>
      <c r="R10" s="2"/>
    </row>
    <row r="11" spans="1:19" s="6" customFormat="1" x14ac:dyDescent="0.25">
      <c r="B11" s="6" t="s">
        <v>603</v>
      </c>
    </row>
    <row r="12" spans="1:19" x14ac:dyDescent="0.25">
      <c r="L12" s="2"/>
      <c r="M12" s="2"/>
      <c r="N12" s="2"/>
      <c r="O12" s="2"/>
      <c r="P12" s="2"/>
      <c r="Q12" s="2"/>
      <c r="R12" s="2"/>
    </row>
    <row r="13" spans="1:19" ht="12.6" customHeight="1" x14ac:dyDescent="0.25">
      <c r="B13" s="1" t="s">
        <v>581</v>
      </c>
    </row>
    <row r="14" spans="1:19" ht="12.6" customHeight="1" x14ac:dyDescent="0.25"/>
    <row r="15" spans="1:19" ht="12.6" customHeight="1" x14ac:dyDescent="0.25">
      <c r="B15" s="1" t="s">
        <v>582</v>
      </c>
    </row>
    <row r="16" spans="1:19" ht="12.6" customHeight="1" x14ac:dyDescent="0.25">
      <c r="B16" s="2" t="s">
        <v>583</v>
      </c>
      <c r="F16" s="2" t="s">
        <v>71</v>
      </c>
      <c r="L16" s="48">
        <f>'Input SO transportdienst 2023'!L16</f>
        <v>16036</v>
      </c>
      <c r="M16" s="48">
        <f>'Input SO transportdienst 2023'!M16</f>
        <v>347685.3776790417</v>
      </c>
      <c r="N16" s="48">
        <f>'Input SO transportdienst 2023'!N16</f>
        <v>458344.19178082194</v>
      </c>
      <c r="O16" s="48">
        <f>'Input SO transportdienst 2023'!O16</f>
        <v>12268.14</v>
      </c>
      <c r="P16" s="48">
        <f>'Input SO transportdienst 2023'!P16</f>
        <v>446799.20999103948</v>
      </c>
      <c r="Q16" s="48">
        <f>'Input SO transportdienst 2023'!Q16</f>
        <v>9990.3199932997923</v>
      </c>
    </row>
    <row r="17" spans="1:35" ht="12.6" customHeight="1" x14ac:dyDescent="0.25">
      <c r="B17" s="2" t="s">
        <v>584</v>
      </c>
      <c r="F17" s="2" t="s">
        <v>71</v>
      </c>
      <c r="L17" s="48">
        <f>'Input SO transportdienst 2023'!L17</f>
        <v>118989</v>
      </c>
      <c r="M17" s="48">
        <f>'Input SO transportdienst 2023'!M17</f>
        <v>1841210.5407401437</v>
      </c>
      <c r="N17" s="48">
        <f>'Input SO transportdienst 2023'!N17</f>
        <v>1975814.5424312914</v>
      </c>
      <c r="O17" s="48">
        <f>'Input SO transportdienst 2023'!O17</f>
        <v>87210.8</v>
      </c>
      <c r="P17" s="48">
        <f>'Input SO transportdienst 2023'!P17</f>
        <v>1578022.5186379927</v>
      </c>
      <c r="Q17" s="48">
        <f>'Input SO transportdienst 2023'!Q17</f>
        <v>42976.666977931345</v>
      </c>
    </row>
    <row r="18" spans="1:35" ht="12.6" customHeight="1" x14ac:dyDescent="0.25">
      <c r="B18" s="2" t="s">
        <v>585</v>
      </c>
      <c r="F18" s="2" t="s">
        <v>71</v>
      </c>
      <c r="L18" s="48">
        <f>'Input SO transportdienst 2023'!L18</f>
        <v>3098</v>
      </c>
      <c r="M18" s="48">
        <f>'Input SO transportdienst 2023'!M18</f>
        <v>34806.896816182008</v>
      </c>
      <c r="N18" s="48">
        <f>'Input SO transportdienst 2023'!N18</f>
        <v>35413.358921340565</v>
      </c>
      <c r="O18" s="48">
        <f>'Input SO transportdienst 2023'!O18</f>
        <v>2202.04</v>
      </c>
      <c r="P18" s="48">
        <f>'Input SO transportdienst 2023'!P18</f>
        <v>22934.861418330769</v>
      </c>
      <c r="Q18" s="48">
        <f>'Input SO transportdienst 2023'!Q18</f>
        <v>666.10563047986909</v>
      </c>
    </row>
    <row r="19" spans="1:35" ht="12.6" customHeight="1" x14ac:dyDescent="0.25">
      <c r="B19" s="2" t="s">
        <v>586</v>
      </c>
      <c r="F19" s="2" t="s">
        <v>71</v>
      </c>
      <c r="L19" s="48">
        <f>'Input SO transportdienst 2023'!L19</f>
        <v>172</v>
      </c>
      <c r="M19" s="48">
        <f>'Input SO transportdienst 2023'!M19</f>
        <v>7693.1298282183125</v>
      </c>
      <c r="N19" s="48">
        <f>'Input SO transportdienst 2023'!N19</f>
        <v>11651.317808219177</v>
      </c>
      <c r="O19" s="48">
        <f>'Input SO transportdienst 2023'!O19</f>
        <v>616.76</v>
      </c>
      <c r="P19" s="48">
        <f>'Input SO transportdienst 2023'!P19</f>
        <v>7882.5821172555043</v>
      </c>
      <c r="Q19" s="48">
        <f>'Input SO transportdienst 2023'!Q19</f>
        <v>353.77723439180386</v>
      </c>
    </row>
    <row r="20" spans="1:35" ht="12.6" customHeight="1" x14ac:dyDescent="0.25">
      <c r="B20" s="2" t="s">
        <v>587</v>
      </c>
      <c r="F20" s="2" t="s">
        <v>71</v>
      </c>
      <c r="L20" s="48">
        <f>'Input SO transportdienst 2023'!L20</f>
        <v>1770</v>
      </c>
      <c r="M20" s="48">
        <f>'Input SO transportdienst 2023'!M20</f>
        <v>22324.685051607616</v>
      </c>
      <c r="N20" s="48">
        <f>'Input SO transportdienst 2023'!N20</f>
        <v>18988.663010467822</v>
      </c>
      <c r="O20" s="48">
        <f>'Input SO transportdienst 2023'!O20</f>
        <v>840.58</v>
      </c>
      <c r="P20" s="48">
        <f>'Input SO transportdienst 2023'!P20</f>
        <v>14210.092108294933</v>
      </c>
      <c r="Q20" s="48">
        <f>'Input SO transportdienst 2023'!Q20</f>
        <v>339.25747812777536</v>
      </c>
    </row>
    <row r="21" spans="1:35" s="32" customFormat="1" ht="12.6" customHeight="1" x14ac:dyDescent="0.25">
      <c r="A21" s="2"/>
      <c r="B21" s="2" t="s">
        <v>588</v>
      </c>
      <c r="C21" s="2"/>
      <c r="D21" s="2"/>
      <c r="E21" s="2"/>
      <c r="F21" s="2" t="s">
        <v>71</v>
      </c>
      <c r="G21" s="2"/>
      <c r="H21" s="2"/>
      <c r="I21" s="2"/>
      <c r="J21" s="2"/>
      <c r="K21" s="2"/>
      <c r="L21" s="48">
        <f>'Input SO transportdienst 2023'!L21</f>
        <v>577</v>
      </c>
      <c r="M21" s="48">
        <f>'Input SO transportdienst 2023'!M21</f>
        <v>7864.3687471239982</v>
      </c>
      <c r="N21" s="48">
        <f>'Input SO transportdienst 2023'!N21</f>
        <v>7792.41095890411</v>
      </c>
      <c r="O21" s="48">
        <f>'Input SO transportdienst 2023'!O21</f>
        <v>302.29000000000002</v>
      </c>
      <c r="P21" s="48">
        <f>'Input SO transportdienst 2023'!P21</f>
        <v>5941.2478814644137</v>
      </c>
      <c r="Q21" s="48">
        <f>'Input SO transportdienst 2023'!Q21</f>
        <v>252.64557163559556</v>
      </c>
      <c r="S21" s="2"/>
      <c r="T21" s="2"/>
      <c r="U21" s="2"/>
      <c r="V21" s="2"/>
      <c r="W21" s="2"/>
      <c r="X21" s="2"/>
      <c r="Y21" s="2"/>
      <c r="Z21" s="2"/>
      <c r="AA21" s="2"/>
      <c r="AB21" s="2"/>
      <c r="AC21" s="2"/>
      <c r="AD21" s="2"/>
      <c r="AE21" s="2"/>
      <c r="AF21" s="2"/>
      <c r="AG21" s="2"/>
      <c r="AH21" s="2"/>
      <c r="AI21" s="2"/>
    </row>
    <row r="22" spans="1:35" s="32" customFormat="1" ht="12.6"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s="32" customFormat="1" ht="12.6" customHeight="1" x14ac:dyDescent="0.25">
      <c r="A23" s="2"/>
      <c r="B23" s="1" t="s">
        <v>589</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s="32" customFormat="1" ht="12.6" customHeight="1" x14ac:dyDescent="0.25">
      <c r="A24" s="2"/>
      <c r="B24" s="2" t="s">
        <v>590</v>
      </c>
      <c r="C24" s="2"/>
      <c r="D24" s="2"/>
      <c r="E24" s="2"/>
      <c r="F24" s="2" t="s">
        <v>71</v>
      </c>
      <c r="G24" s="2"/>
      <c r="H24" s="2"/>
      <c r="I24" s="2"/>
      <c r="J24" s="2"/>
      <c r="K24" s="2"/>
      <c r="L24" s="48">
        <f>'Input SO transportdienst 2023'!L24</f>
        <v>226</v>
      </c>
      <c r="M24" s="48">
        <f>'Input SO transportdienst 2023'!M24</f>
        <v>2883.5119107479522</v>
      </c>
      <c r="N24" s="48">
        <f>'Input SO transportdienst 2023'!N24</f>
        <v>3145.6325000000011</v>
      </c>
      <c r="O24" s="48">
        <f>'Input SO transportdienst 2023'!O24</f>
        <v>122.25</v>
      </c>
      <c r="P24" s="48">
        <f>'Input SO transportdienst 2023'!P24</f>
        <v>2360.0366666666664</v>
      </c>
      <c r="Q24" s="48">
        <f>'Input SO transportdienst 2023'!Q24</f>
        <v>112.79174148964563</v>
      </c>
      <c r="S24" s="2"/>
      <c r="T24" s="2"/>
      <c r="U24" s="2"/>
      <c r="V24" s="2"/>
      <c r="W24" s="2"/>
      <c r="X24" s="2"/>
      <c r="Y24" s="2"/>
      <c r="Z24" s="2"/>
      <c r="AA24" s="2"/>
      <c r="AB24" s="2"/>
      <c r="AC24" s="2"/>
      <c r="AD24" s="2"/>
      <c r="AE24" s="2"/>
      <c r="AF24" s="2"/>
      <c r="AG24" s="2"/>
      <c r="AH24" s="2"/>
      <c r="AI24" s="2"/>
    </row>
    <row r="25" spans="1:35" s="32" customFormat="1" ht="12.6" customHeight="1" x14ac:dyDescent="0.25">
      <c r="A25" s="2"/>
      <c r="B25" s="2" t="s">
        <v>591</v>
      </c>
      <c r="C25" s="2"/>
      <c r="D25" s="2"/>
      <c r="E25" s="2"/>
      <c r="F25" s="2" t="s">
        <v>71</v>
      </c>
      <c r="G25" s="2"/>
      <c r="H25" s="2"/>
      <c r="I25" s="2"/>
      <c r="J25" s="2"/>
      <c r="K25" s="2"/>
      <c r="L25" s="48">
        <f>'Input SO transportdienst 2023'!L25</f>
        <v>168</v>
      </c>
      <c r="M25" s="48">
        <f>'Input SO transportdienst 2023'!M25</f>
        <v>2885.5124630298105</v>
      </c>
      <c r="N25" s="48">
        <f>'Input SO transportdienst 2023'!N25</f>
        <v>3412.1574999999998</v>
      </c>
      <c r="O25" s="48">
        <f>'Input SO transportdienst 2023'!O25</f>
        <v>118.84</v>
      </c>
      <c r="P25" s="48">
        <f>'Input SO transportdienst 2023'!P25</f>
        <v>2753.4973333333332</v>
      </c>
      <c r="Q25" s="48">
        <f>'Input SO transportdienst 2023'!Q25</f>
        <v>187.56159271171305</v>
      </c>
      <c r="S25" s="2"/>
      <c r="T25" s="2"/>
      <c r="U25" s="2"/>
      <c r="V25" s="2"/>
      <c r="W25" s="2"/>
      <c r="X25" s="2"/>
      <c r="Y25" s="2"/>
      <c r="Z25" s="2"/>
      <c r="AA25" s="2"/>
      <c r="AB25" s="2"/>
      <c r="AC25" s="2"/>
      <c r="AD25" s="2"/>
      <c r="AE25" s="2"/>
      <c r="AF25" s="2"/>
      <c r="AG25" s="2"/>
      <c r="AH25" s="2"/>
      <c r="AI25" s="2"/>
    </row>
    <row r="26" spans="1:35" s="32" customFormat="1" ht="12.6" customHeight="1" x14ac:dyDescent="0.25">
      <c r="A26" s="2"/>
      <c r="B26" s="2" t="s">
        <v>592</v>
      </c>
      <c r="C26" s="2"/>
      <c r="D26" s="2"/>
      <c r="E26" s="2"/>
      <c r="F26" s="2" t="s">
        <v>71</v>
      </c>
      <c r="G26" s="2"/>
      <c r="H26" s="2"/>
      <c r="I26" s="2"/>
      <c r="J26" s="2"/>
      <c r="K26" s="2"/>
      <c r="L26" s="48">
        <f>'Input SO transportdienst 2023'!L26</f>
        <v>50</v>
      </c>
      <c r="M26" s="48">
        <f>'Input SO transportdienst 2023'!M26</f>
        <v>1258.0419717872196</v>
      </c>
      <c r="N26" s="48">
        <f>'Input SO transportdienst 2023'!N26</f>
        <v>1228.135</v>
      </c>
      <c r="O26" s="48">
        <f>'Input SO transportdienst 2023'!O26</f>
        <v>31.17</v>
      </c>
      <c r="P26" s="48">
        <f>'Input SO transportdienst 2023'!P26</f>
        <v>1204.7494444444446</v>
      </c>
      <c r="Q26" s="48">
        <f>'Input SO transportdienst 2023'!Q26</f>
        <v>158.84918588593879</v>
      </c>
      <c r="S26" s="2"/>
      <c r="T26" s="2"/>
      <c r="U26" s="2"/>
      <c r="V26" s="2"/>
      <c r="W26" s="2"/>
      <c r="X26" s="2"/>
      <c r="Y26" s="2"/>
      <c r="Z26" s="2"/>
      <c r="AA26" s="2"/>
      <c r="AB26" s="2"/>
      <c r="AC26" s="2"/>
      <c r="AD26" s="2"/>
      <c r="AE26" s="2"/>
      <c r="AF26" s="2"/>
      <c r="AG26" s="2"/>
      <c r="AH26" s="2"/>
      <c r="AI26" s="2"/>
    </row>
    <row r="27" spans="1:35" s="32" customFormat="1" ht="12.6" customHeight="1" x14ac:dyDescent="0.25">
      <c r="A27" s="2"/>
      <c r="B27" s="2" t="s">
        <v>593</v>
      </c>
      <c r="C27" s="2"/>
      <c r="D27" s="2"/>
      <c r="E27" s="2"/>
      <c r="F27" s="2" t="s">
        <v>71</v>
      </c>
      <c r="G27" s="2"/>
      <c r="H27" s="2"/>
      <c r="I27" s="2"/>
      <c r="J27" s="2"/>
      <c r="K27" s="2"/>
      <c r="L27" s="48">
        <f>'Input SO transportdienst 2023'!L27</f>
        <v>29</v>
      </c>
      <c r="M27" s="48">
        <f>'Input SO transportdienst 2023'!M27</f>
        <v>389.75930712877289</v>
      </c>
      <c r="N27" s="48">
        <f>'Input SO transportdienst 2023'!N27</f>
        <v>361.73916666666668</v>
      </c>
      <c r="O27" s="48">
        <f>'Input SO transportdienst 2023'!O27</f>
        <v>17.78</v>
      </c>
      <c r="P27" s="48">
        <f>'Input SO transportdienst 2023'!P27</f>
        <v>272.995</v>
      </c>
      <c r="Q27" s="48">
        <f>'Input SO transportdienst 2023'!Q27</f>
        <v>78.342553501944636</v>
      </c>
      <c r="S27" s="2"/>
      <c r="T27" s="2"/>
      <c r="U27" s="2"/>
      <c r="V27" s="2"/>
      <c r="W27" s="2"/>
      <c r="X27" s="2"/>
      <c r="Y27" s="2"/>
      <c r="Z27" s="2"/>
      <c r="AA27" s="2"/>
      <c r="AB27" s="2"/>
      <c r="AC27" s="2"/>
      <c r="AD27" s="2"/>
      <c r="AE27" s="2"/>
      <c r="AF27" s="2"/>
      <c r="AG27" s="2"/>
      <c r="AH27" s="2"/>
      <c r="AI27" s="2"/>
    </row>
    <row r="28" spans="1:35" s="32" customFormat="1" ht="12.6" customHeight="1" x14ac:dyDescent="0.25">
      <c r="A28" s="2"/>
      <c r="B28" s="2" t="s">
        <v>594</v>
      </c>
      <c r="C28" s="2"/>
      <c r="D28" s="2"/>
      <c r="E28" s="2"/>
      <c r="F28" s="2" t="s">
        <v>71</v>
      </c>
      <c r="G28" s="2"/>
      <c r="H28" s="2"/>
      <c r="I28" s="2"/>
      <c r="J28" s="2"/>
      <c r="K28" s="2"/>
      <c r="L28" s="48">
        <f>'Input SO transportdienst 2023'!L28</f>
        <v>10</v>
      </c>
      <c r="M28" s="48">
        <f>'Input SO transportdienst 2023'!M28</f>
        <v>175.68812216401685</v>
      </c>
      <c r="N28" s="48">
        <f>'Input SO transportdienst 2023'!N28</f>
        <v>75.592500000000015</v>
      </c>
      <c r="O28" s="48">
        <f>'Input SO transportdienst 2023'!O28</f>
        <v>3.04</v>
      </c>
      <c r="P28" s="48">
        <f>'Input SO transportdienst 2023'!P28</f>
        <v>198.42666666666668</v>
      </c>
      <c r="Q28" s="48">
        <f>'Input SO transportdienst 2023'!Q28</f>
        <v>23.162704188535638</v>
      </c>
      <c r="S28" s="2"/>
      <c r="T28" s="2"/>
      <c r="U28" s="2"/>
      <c r="V28" s="2"/>
      <c r="W28" s="2"/>
      <c r="X28" s="2"/>
      <c r="Y28" s="2"/>
      <c r="Z28" s="2"/>
      <c r="AA28" s="2"/>
      <c r="AB28" s="2"/>
      <c r="AC28" s="2"/>
      <c r="AD28" s="2"/>
      <c r="AE28" s="2"/>
      <c r="AF28" s="2"/>
      <c r="AG28" s="2"/>
      <c r="AH28" s="2"/>
      <c r="AI28" s="2"/>
    </row>
    <row r="29" spans="1:35" s="32" customFormat="1" ht="12.6"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s="32" customFormat="1" ht="12.6" customHeight="1" x14ac:dyDescent="0.25">
      <c r="A30" s="2"/>
      <c r="B30" s="1" t="s">
        <v>595</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s="32" customFormat="1" ht="12.6"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s="32" customFormat="1" ht="12.6" customHeight="1" x14ac:dyDescent="0.25">
      <c r="A32" s="2"/>
      <c r="B32" s="2" t="s">
        <v>596</v>
      </c>
      <c r="C32" s="2"/>
      <c r="D32" s="2"/>
      <c r="E32" s="2"/>
      <c r="F32" s="2" t="s">
        <v>71</v>
      </c>
      <c r="G32" s="2"/>
      <c r="H32" s="2"/>
      <c r="I32" s="2"/>
      <c r="J32" s="2"/>
      <c r="K32" s="2"/>
      <c r="L32" s="48">
        <f>'Input SO transportdienst 2023'!L32</f>
        <v>121</v>
      </c>
      <c r="M32" s="48">
        <f>'Input SO transportdienst 2023'!M32</f>
        <v>2579.748553758629</v>
      </c>
      <c r="N32" s="48">
        <f>'Input SO transportdienst 2023'!N32</f>
        <v>2770.2975000000006</v>
      </c>
      <c r="O32" s="48">
        <f>'Input SO transportdienst 2023'!O32</f>
        <v>88.712999999999994</v>
      </c>
      <c r="P32" s="48">
        <f>'Input SO transportdienst 2023'!P32</f>
        <v>2036.9535419126325</v>
      </c>
      <c r="Q32" s="48">
        <f>'Input SO transportdienst 2023'!Q32</f>
        <v>683.87268018018017</v>
      </c>
      <c r="S32" s="2"/>
      <c r="T32" s="2"/>
      <c r="U32" s="2"/>
      <c r="V32" s="2"/>
      <c r="W32" s="2"/>
      <c r="X32" s="2"/>
      <c r="Y32" s="2"/>
      <c r="Z32" s="2"/>
      <c r="AA32" s="2"/>
      <c r="AB32" s="2"/>
      <c r="AC32" s="2"/>
      <c r="AD32" s="2"/>
      <c r="AE32" s="2"/>
      <c r="AF32" s="2"/>
      <c r="AG32" s="2"/>
      <c r="AH32" s="2"/>
      <c r="AI32" s="2"/>
    </row>
    <row r="33" spans="1:35" ht="12.75" customHeight="1" x14ac:dyDescent="0.25">
      <c r="L33" s="2"/>
      <c r="M33" s="2"/>
      <c r="N33" s="2"/>
      <c r="O33" s="2"/>
      <c r="P33" s="2"/>
      <c r="Q33" s="2"/>
      <c r="R33" s="2"/>
    </row>
    <row r="34" spans="1:35" ht="12.75" customHeight="1" x14ac:dyDescent="0.25">
      <c r="B34" s="1" t="s">
        <v>597</v>
      </c>
      <c r="L34" s="2"/>
      <c r="M34" s="2"/>
      <c r="N34" s="2"/>
      <c r="O34" s="2"/>
      <c r="P34" s="2"/>
      <c r="Q34" s="2"/>
      <c r="R34" s="2"/>
    </row>
    <row r="35" spans="1:35" s="32" customFormat="1" ht="12.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ht="12.75" customHeight="1" x14ac:dyDescent="0.25">
      <c r="B36" s="2" t="s">
        <v>598</v>
      </c>
      <c r="F36" s="2" t="s">
        <v>71</v>
      </c>
      <c r="L36" s="48">
        <f>'Input SO transportdienst 2023'!L36</f>
        <v>22564</v>
      </c>
      <c r="M36" s="48">
        <f>'Input SO transportdienst 2023'!M36</f>
        <v>0</v>
      </c>
      <c r="N36" s="48">
        <f>'Input SO transportdienst 2023'!N36</f>
        <v>631815.51416666666</v>
      </c>
      <c r="O36" s="48">
        <f>'Input SO transportdienst 2023'!O36</f>
        <v>25174.799999999999</v>
      </c>
      <c r="P36" s="48">
        <f>'Input SO transportdienst 2023'!P36</f>
        <v>0</v>
      </c>
      <c r="Q36" s="48">
        <f>'Input SO transportdienst 2023'!Q36</f>
        <v>0</v>
      </c>
      <c r="S36" s="32"/>
    </row>
    <row r="37" spans="1:35" ht="12.75" customHeight="1" x14ac:dyDescent="0.25">
      <c r="B37" s="2" t="s">
        <v>599</v>
      </c>
      <c r="F37" s="2" t="s">
        <v>71</v>
      </c>
      <c r="L37" s="48">
        <f>'Input SO transportdienst 2023'!L37</f>
        <v>6941</v>
      </c>
      <c r="M37" s="48">
        <f>'Input SO transportdienst 2023'!M37</f>
        <v>0</v>
      </c>
      <c r="N37" s="48">
        <f>'Input SO transportdienst 2023'!N37</f>
        <v>114152.84916666667</v>
      </c>
      <c r="O37" s="48">
        <f>'Input SO transportdienst 2023'!O37</f>
        <v>2903.2</v>
      </c>
      <c r="P37" s="48">
        <f>'Input SO transportdienst 2023'!P37</f>
        <v>0</v>
      </c>
      <c r="Q37" s="48">
        <f>'Input SO transportdienst 2023'!Q37</f>
        <v>0</v>
      </c>
    </row>
    <row r="38" spans="1:35" ht="12.75" customHeight="1" x14ac:dyDescent="0.25">
      <c r="L38" s="2"/>
      <c r="M38" s="2"/>
      <c r="N38" s="2"/>
      <c r="O38" s="2"/>
      <c r="P38" s="2"/>
      <c r="Q38" s="2"/>
      <c r="R38" s="2"/>
    </row>
    <row r="39" spans="1:35" ht="12.75" customHeight="1" x14ac:dyDescent="0.25">
      <c r="B39" s="2" t="s">
        <v>600</v>
      </c>
      <c r="F39" s="2" t="s">
        <v>71</v>
      </c>
      <c r="L39" s="48">
        <f>'Input SO transportdienst 2023'!L39</f>
        <v>0</v>
      </c>
      <c r="M39" s="48">
        <f>'Input SO transportdienst 2023'!M39</f>
        <v>752800.60098651855</v>
      </c>
      <c r="N39" s="48">
        <f>'Input SO transportdienst 2023'!N39</f>
        <v>0</v>
      </c>
      <c r="O39" s="48">
        <f>'Input SO transportdienst 2023'!O39</f>
        <v>0</v>
      </c>
      <c r="P39" s="48">
        <f>'Input SO transportdienst 2023'!P39</f>
        <v>645622.89263235836</v>
      </c>
      <c r="Q39" s="48">
        <f>'Input SO transportdienst 2023'!Q39</f>
        <v>308599.53232565097</v>
      </c>
    </row>
    <row r="41" spans="1:35" s="6" customFormat="1" ht="12.75" customHeight="1" x14ac:dyDescent="0.25">
      <c r="B41" s="6" t="s">
        <v>604</v>
      </c>
    </row>
    <row r="43" spans="1:35" ht="12.75" customHeight="1" x14ac:dyDescent="0.25">
      <c r="B43" s="28" t="s">
        <v>582</v>
      </c>
    </row>
    <row r="44" spans="1:35" ht="12.75" customHeight="1" x14ac:dyDescent="0.25">
      <c r="B44" s="2" t="s">
        <v>583</v>
      </c>
      <c r="F44" s="2" t="s">
        <v>71</v>
      </c>
      <c r="H44" s="231">
        <f>'Input SO transportdienst 2023'!H44</f>
        <v>1.5</v>
      </c>
    </row>
    <row r="45" spans="1:35" ht="12.75" customHeight="1" x14ac:dyDescent="0.25">
      <c r="B45" s="2" t="s">
        <v>584</v>
      </c>
      <c r="F45" s="2" t="s">
        <v>71</v>
      </c>
      <c r="H45" s="48">
        <f>'Input SO transportdienst 2023'!H45</f>
        <v>3</v>
      </c>
    </row>
    <row r="46" spans="1:35" ht="12.75" customHeight="1" x14ac:dyDescent="0.25">
      <c r="B46" s="2" t="s">
        <v>585</v>
      </c>
      <c r="F46" s="2" t="s">
        <v>71</v>
      </c>
      <c r="H46" s="48">
        <f>'Input SO transportdienst 2023'!H46</f>
        <v>6</v>
      </c>
    </row>
    <row r="47" spans="1:35" ht="12.75" customHeight="1" x14ac:dyDescent="0.25">
      <c r="B47" s="2" t="s">
        <v>586</v>
      </c>
      <c r="F47" s="2" t="s">
        <v>71</v>
      </c>
      <c r="H47" s="48">
        <f>'Input SO transportdienst 2023'!H47</f>
        <v>10</v>
      </c>
    </row>
    <row r="48" spans="1:35" ht="12.75" customHeight="1" x14ac:dyDescent="0.25">
      <c r="B48" s="2" t="s">
        <v>587</v>
      </c>
      <c r="F48" s="2" t="s">
        <v>71</v>
      </c>
      <c r="H48" s="48">
        <f>'Input SO transportdienst 2023'!H48</f>
        <v>16</v>
      </c>
    </row>
    <row r="49" spans="2:8" ht="12.75" customHeight="1" x14ac:dyDescent="0.25">
      <c r="B49" s="2" t="s">
        <v>588</v>
      </c>
      <c r="F49" s="2" t="s">
        <v>71</v>
      </c>
      <c r="H49" s="48">
        <f>'Input SO transportdienst 2023'!H49</f>
        <v>25</v>
      </c>
    </row>
    <row r="51" spans="2:8" ht="12.75" customHeight="1" x14ac:dyDescent="0.25">
      <c r="B51" s="1" t="s">
        <v>589</v>
      </c>
    </row>
    <row r="52" spans="2:8" ht="12.75" customHeight="1" x14ac:dyDescent="0.25">
      <c r="B52" s="2" t="s">
        <v>590</v>
      </c>
      <c r="F52" s="2" t="s">
        <v>71</v>
      </c>
      <c r="H52" s="48">
        <f>'Input SO transportdienst 2023'!H52</f>
        <v>40</v>
      </c>
    </row>
    <row r="53" spans="2:8" ht="12.75" customHeight="1" x14ac:dyDescent="0.25">
      <c r="B53" s="2" t="s">
        <v>591</v>
      </c>
      <c r="F53" s="2" t="s">
        <v>71</v>
      </c>
      <c r="H53" s="48">
        <f>'Input SO transportdienst 2023'!H53</f>
        <v>65</v>
      </c>
    </row>
    <row r="54" spans="2:8" ht="12.75" customHeight="1" x14ac:dyDescent="0.25">
      <c r="B54" s="2" t="s">
        <v>592</v>
      </c>
      <c r="F54" s="2" t="s">
        <v>71</v>
      </c>
      <c r="H54" s="48">
        <f>'Input SO transportdienst 2023'!H54</f>
        <v>100</v>
      </c>
    </row>
    <row r="55" spans="2:8" ht="12.75" customHeight="1" x14ac:dyDescent="0.25">
      <c r="B55" s="2" t="s">
        <v>593</v>
      </c>
      <c r="F55" s="2" t="s">
        <v>71</v>
      </c>
      <c r="H55" s="48">
        <f>'Input SO transportdienst 2023'!H55</f>
        <v>160</v>
      </c>
    </row>
    <row r="56" spans="2:8" ht="12.75" customHeight="1" x14ac:dyDescent="0.25">
      <c r="B56" s="2" t="s">
        <v>594</v>
      </c>
      <c r="F56" s="2" t="s">
        <v>71</v>
      </c>
      <c r="H56" s="48">
        <f>'Input SO transportdienst 2023'!H56</f>
        <v>250</v>
      </c>
    </row>
    <row r="58" spans="2:8" s="6" customFormat="1" ht="12.75" customHeight="1" x14ac:dyDescent="0.25">
      <c r="B58" s="6" t="s">
        <v>609</v>
      </c>
    </row>
    <row r="60" spans="2:8" ht="12.75" customHeight="1" x14ac:dyDescent="0.25">
      <c r="B60" s="28" t="s">
        <v>198</v>
      </c>
    </row>
    <row r="61" spans="2:8" ht="12.75" customHeight="1" x14ac:dyDescent="0.25">
      <c r="B61" s="2" t="s">
        <v>606</v>
      </c>
      <c r="F61" s="2" t="s">
        <v>71</v>
      </c>
      <c r="H61" s="48">
        <f>'Input SO transportdienst 2023'!H61</f>
        <v>17.99807557038752</v>
      </c>
    </row>
    <row r="62" spans="2:8" ht="12.75" customHeight="1" x14ac:dyDescent="0.25">
      <c r="B62" s="2" t="s">
        <v>607</v>
      </c>
      <c r="F62" s="2" t="s">
        <v>71</v>
      </c>
      <c r="H62" s="48">
        <f>'Input SO transportdienst 2023'!H62</f>
        <v>26.043085449153235</v>
      </c>
    </row>
    <row r="64" spans="2:8" ht="12.75" customHeight="1" x14ac:dyDescent="0.25">
      <c r="B64" s="28" t="s">
        <v>202</v>
      </c>
    </row>
    <row r="65" spans="2:17" ht="12.75" customHeight="1" x14ac:dyDescent="0.25">
      <c r="B65" s="2" t="s">
        <v>606</v>
      </c>
      <c r="F65" s="2" t="s">
        <v>71</v>
      </c>
      <c r="H65" s="48">
        <f>'Input SO transportdienst 2023'!H65</f>
        <v>18</v>
      </c>
    </row>
    <row r="66" spans="2:17" ht="12.75" customHeight="1" x14ac:dyDescent="0.25">
      <c r="B66" s="2" t="s">
        <v>607</v>
      </c>
      <c r="F66" s="2" t="s">
        <v>71</v>
      </c>
      <c r="H66" s="48">
        <f>'Input SO transportdienst 2023'!H66</f>
        <v>25.909433727611123</v>
      </c>
    </row>
    <row r="68" spans="2:17" ht="12.75" customHeight="1" x14ac:dyDescent="0.25">
      <c r="B68" s="28" t="s">
        <v>203</v>
      </c>
    </row>
    <row r="69" spans="2:17" ht="12.75" customHeight="1" x14ac:dyDescent="0.25">
      <c r="B69" s="2" t="s">
        <v>606</v>
      </c>
      <c r="F69" s="2" t="s">
        <v>71</v>
      </c>
      <c r="H69" s="48">
        <f>'Input SO transportdienst 2023'!H69</f>
        <v>747.293089917673</v>
      </c>
    </row>
    <row r="70" spans="2:17" ht="12.75" customHeight="1" x14ac:dyDescent="0.25">
      <c r="B70" s="2" t="s">
        <v>608</v>
      </c>
      <c r="F70" s="2" t="s">
        <v>71</v>
      </c>
      <c r="H70" s="48">
        <f>'Input SO transportdienst 2023'!H70</f>
        <v>21.965623005145261</v>
      </c>
    </row>
    <row r="72" spans="2:17" s="6" customFormat="1" ht="12.75" customHeight="1" x14ac:dyDescent="0.25">
      <c r="B72" s="6" t="s">
        <v>610</v>
      </c>
    </row>
    <row r="74" spans="2:17" ht="12.75" customHeight="1" x14ac:dyDescent="0.25">
      <c r="B74" s="28" t="s">
        <v>611</v>
      </c>
    </row>
    <row r="75" spans="2:17" ht="12.75" customHeight="1" x14ac:dyDescent="0.25">
      <c r="B75" s="2" t="s">
        <v>606</v>
      </c>
      <c r="F75" s="2" t="s">
        <v>71</v>
      </c>
      <c r="L75" s="108">
        <f>SUM(L16:L21)</f>
        <v>140642</v>
      </c>
      <c r="M75" s="108">
        <f>SUM(M16:M21)</f>
        <v>2261584.9988623173</v>
      </c>
      <c r="N75" s="108">
        <f t="shared" ref="N75:Q75" si="0">SUM(N16:N21)</f>
        <v>2508004.4849110455</v>
      </c>
      <c r="O75" s="108">
        <f t="shared" si="0"/>
        <v>103440.60999999999</v>
      </c>
      <c r="P75" s="108">
        <f t="shared" si="0"/>
        <v>2075790.5121543778</v>
      </c>
      <c r="Q75" s="108">
        <f t="shared" si="0"/>
        <v>54578.772885866172</v>
      </c>
    </row>
    <row r="76" spans="2:17" ht="12.75" customHeight="1" x14ac:dyDescent="0.25">
      <c r="B76" s="2" t="s">
        <v>607</v>
      </c>
      <c r="F76" s="2" t="s">
        <v>71</v>
      </c>
      <c r="L76" s="108">
        <f>SUMPRODUCT(L16:L21,$H$44:$H$49)</f>
        <v>444074</v>
      </c>
      <c r="M76" s="108">
        <f t="shared" ref="M76:Q76" si="1">SUMPRODUCT(M16:M21,$H$44:$H$49)</f>
        <v>6884736.5474220905</v>
      </c>
      <c r="N76" s="108">
        <f t="shared" si="1"/>
        <v>7442582.1287154295</v>
      </c>
      <c r="O76" s="108">
        <f t="shared" si="1"/>
        <v>320420.98000000004</v>
      </c>
      <c r="P76" s="108">
        <f t="shared" si="1"/>
        <v>5996594.0313524064</v>
      </c>
      <c r="Q76" s="108">
        <f t="shared" si="1"/>
        <v>163194.14599147532</v>
      </c>
    </row>
    <row r="78" spans="2:17" ht="12.75" customHeight="1" x14ac:dyDescent="0.25">
      <c r="B78" s="28" t="s">
        <v>612</v>
      </c>
    </row>
    <row r="79" spans="2:17" ht="12.75" customHeight="1" x14ac:dyDescent="0.25">
      <c r="B79" s="2" t="s">
        <v>606</v>
      </c>
      <c r="F79" s="2" t="s">
        <v>71</v>
      </c>
      <c r="L79" s="108">
        <f>SUM(L24:L28)</f>
        <v>483</v>
      </c>
      <c r="M79" s="108">
        <f t="shared" ref="M79:Q79" si="2">SUM(M24:M28)</f>
        <v>7592.5137748577727</v>
      </c>
      <c r="N79" s="108">
        <f t="shared" si="2"/>
        <v>8223.256666666668</v>
      </c>
      <c r="O79" s="108">
        <f t="shared" si="2"/>
        <v>293.08</v>
      </c>
      <c r="P79" s="108">
        <f t="shared" si="2"/>
        <v>6789.7051111111105</v>
      </c>
      <c r="Q79" s="108">
        <f t="shared" si="2"/>
        <v>560.70777777777766</v>
      </c>
    </row>
    <row r="80" spans="2:17" ht="12.75" customHeight="1" x14ac:dyDescent="0.25">
      <c r="B80" s="2" t="s">
        <v>607</v>
      </c>
      <c r="F80" s="2" t="s">
        <v>71</v>
      </c>
      <c r="L80" s="108">
        <f>SUMPRODUCT(L24:L28,$H$52:$H$56)</f>
        <v>32100</v>
      </c>
      <c r="M80" s="108">
        <f t="shared" ref="M80:Q80" si="3">SUMPRODUCT(M24:M28,$H$52:$H$56)</f>
        <v>534986.50338718563</v>
      </c>
      <c r="N80" s="108">
        <f t="shared" si="3"/>
        <v>547205.4291666667</v>
      </c>
      <c r="O80" s="108">
        <f t="shared" si="3"/>
        <v>19336.400000000001</v>
      </c>
      <c r="P80" s="108">
        <f t="shared" si="3"/>
        <v>487139.60444444453</v>
      </c>
      <c r="Q80" s="108">
        <f t="shared" si="3"/>
        <v>50913.576381886101</v>
      </c>
    </row>
    <row r="82" spans="2:17" ht="12.75" customHeight="1" x14ac:dyDescent="0.25">
      <c r="B82" s="28" t="s">
        <v>613</v>
      </c>
    </row>
    <row r="83" spans="2:17" ht="12.75" customHeight="1" x14ac:dyDescent="0.25">
      <c r="B83" s="2" t="s">
        <v>606</v>
      </c>
      <c r="F83" s="2" t="s">
        <v>71</v>
      </c>
      <c r="L83" s="48">
        <f>L32</f>
        <v>121</v>
      </c>
      <c r="M83" s="48">
        <f t="shared" ref="M83:Q83" si="4">M32</f>
        <v>2579.748553758629</v>
      </c>
      <c r="N83" s="48">
        <f t="shared" si="4"/>
        <v>2770.2975000000006</v>
      </c>
      <c r="O83" s="48">
        <f t="shared" si="4"/>
        <v>88.712999999999994</v>
      </c>
      <c r="P83" s="48">
        <f t="shared" si="4"/>
        <v>2036.9535419126325</v>
      </c>
      <c r="Q83" s="48">
        <f t="shared" si="4"/>
        <v>683.87268018018017</v>
      </c>
    </row>
    <row r="84" spans="2:17" ht="12.75" customHeight="1" x14ac:dyDescent="0.25">
      <c r="B84" s="2" t="s">
        <v>608</v>
      </c>
      <c r="F84" s="2" t="s">
        <v>71</v>
      </c>
      <c r="L84" s="108">
        <f>SUM(L36:L37,L39)</f>
        <v>29505</v>
      </c>
      <c r="M84" s="108">
        <f t="shared" ref="M84:Q84" si="5">SUM(M36:M37,M39)</f>
        <v>752800.60098651855</v>
      </c>
      <c r="N84" s="108">
        <f t="shared" si="5"/>
        <v>745968.36333333328</v>
      </c>
      <c r="O84" s="108">
        <f t="shared" si="5"/>
        <v>28078</v>
      </c>
      <c r="P84" s="108">
        <f t="shared" si="5"/>
        <v>645622.89263235836</v>
      </c>
      <c r="Q84" s="108">
        <f t="shared" si="5"/>
        <v>308599.53232565097</v>
      </c>
    </row>
    <row r="86" spans="2:17" ht="12.75" customHeight="1" x14ac:dyDescent="0.25">
      <c r="B86" s="1" t="s">
        <v>614</v>
      </c>
    </row>
    <row r="87" spans="2:17" ht="12.75" customHeight="1" x14ac:dyDescent="0.25">
      <c r="B87" s="2" t="s">
        <v>615</v>
      </c>
      <c r="F87" s="2" t="s">
        <v>71</v>
      </c>
      <c r="H87" s="124"/>
      <c r="L87" s="108">
        <f>SUMPRODUCT(L75:L84,$H$61:$H$70)</f>
        <v>15675247.465420879</v>
      </c>
      <c r="M87" s="108">
        <f t="shared" ref="M87:Q87" si="6">SUMPRODUCT(M75:M84,$H$61:$H$70)</f>
        <v>252465384.98769021</v>
      </c>
      <c r="N87" s="108">
        <f t="shared" si="6"/>
        <v>271748742.03467077</v>
      </c>
      <c r="O87" s="108">
        <f t="shared" si="6"/>
        <v>11395798.866623316</v>
      </c>
      <c r="P87" s="108">
        <f t="shared" si="6"/>
        <v>221977481.62729734</v>
      </c>
      <c r="Q87" s="108">
        <f t="shared" si="6"/>
        <v>13851260.955810077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26FC9-BBBB-4080-9EEF-98EA12409C06}">
  <sheetPr>
    <tabColor rgb="FFFFFFCC"/>
  </sheetPr>
  <dimension ref="A1:Z137"/>
  <sheetViews>
    <sheetView showGridLines="0" zoomScale="85" zoomScaleNormal="85" workbookViewId="0">
      <pane xSplit="6" ySplit="26" topLeftCell="G27" activePane="bottomRight" state="frozen"/>
      <selection pane="topRight" activeCell="G1" sqref="G1"/>
      <selection pane="bottomLeft" activeCell="A9" sqref="A9"/>
      <selection pane="bottomRight" activeCell="G27" sqref="G27"/>
    </sheetView>
  </sheetViews>
  <sheetFormatPr defaultColWidth="9.140625" defaultRowHeight="12" customHeight="1" x14ac:dyDescent="0.25"/>
  <cols>
    <col min="1" max="1" width="3" style="101" customWidth="1"/>
    <col min="2" max="2" width="65.85546875" style="101" customWidth="1"/>
    <col min="3" max="3" width="3.7109375" style="101" customWidth="1"/>
    <col min="4" max="4" width="3.42578125" style="101" customWidth="1"/>
    <col min="5" max="5" width="3.140625" style="101" customWidth="1"/>
    <col min="6" max="6" width="13.5703125" style="101" customWidth="1"/>
    <col min="7" max="7" width="2.5703125" style="101" customWidth="1"/>
    <col min="8" max="8" width="13.85546875" style="101" customWidth="1"/>
    <col min="9" max="9" width="2.7109375" style="101" customWidth="1"/>
    <col min="10" max="10" width="14" style="101" customWidth="1"/>
    <col min="11" max="11" width="2.140625" style="101" customWidth="1"/>
    <col min="12" max="17" width="14" style="101" customWidth="1"/>
    <col min="18" max="18" width="2.28515625" style="101" customWidth="1"/>
    <col min="19" max="19" width="2.5703125" style="101" customWidth="1"/>
    <col min="20" max="16384" width="9.140625" style="101"/>
  </cols>
  <sheetData>
    <row r="1" spans="2:17" s="2" customFormat="1" ht="12.75" x14ac:dyDescent="0.25">
      <c r="L1" s="102"/>
      <c r="M1" s="102"/>
      <c r="N1" s="102"/>
      <c r="O1" s="102"/>
      <c r="P1" s="102"/>
      <c r="Q1" s="102"/>
    </row>
    <row r="2" spans="2:17" s="19" customFormat="1" ht="18" x14ac:dyDescent="0.25">
      <c r="B2" s="19" t="s">
        <v>445</v>
      </c>
      <c r="L2" s="175"/>
      <c r="M2" s="175"/>
      <c r="N2" s="175"/>
      <c r="O2" s="175"/>
      <c r="P2" s="175"/>
      <c r="Q2" s="175"/>
    </row>
    <row r="3" spans="2:17" s="2" customFormat="1" ht="12.75" x14ac:dyDescent="0.25">
      <c r="L3" s="102"/>
      <c r="M3" s="102"/>
      <c r="N3" s="102"/>
      <c r="O3" s="102"/>
      <c r="P3" s="102"/>
      <c r="Q3" s="102"/>
    </row>
    <row r="4" spans="2:17" s="2" customFormat="1" ht="12.75" x14ac:dyDescent="0.25">
      <c r="B4" s="1" t="s">
        <v>59</v>
      </c>
      <c r="L4" s="102"/>
      <c r="M4" s="102"/>
      <c r="N4" s="102"/>
      <c r="O4" s="102"/>
      <c r="P4" s="102"/>
      <c r="Q4" s="102"/>
    </row>
    <row r="5" spans="2:17" s="2" customFormat="1" ht="12.75" x14ac:dyDescent="0.25">
      <c r="B5" s="2" t="s">
        <v>467</v>
      </c>
      <c r="L5" s="102"/>
      <c r="M5" s="102"/>
      <c r="N5" s="102"/>
      <c r="O5" s="102"/>
      <c r="P5" s="102"/>
      <c r="Q5" s="102"/>
    </row>
    <row r="6" spans="2:17" s="2" customFormat="1" ht="12.75" x14ac:dyDescent="0.25">
      <c r="L6" s="102"/>
      <c r="M6" s="102"/>
      <c r="N6" s="102"/>
      <c r="O6" s="102"/>
      <c r="P6" s="102"/>
      <c r="Q6" s="102"/>
    </row>
    <row r="7" spans="2:17" s="2" customFormat="1" ht="12.75" x14ac:dyDescent="0.2">
      <c r="B7" s="200" t="s">
        <v>422</v>
      </c>
      <c r="L7" s="102"/>
      <c r="M7" s="102"/>
      <c r="N7" s="102"/>
      <c r="O7" s="102"/>
      <c r="P7" s="102"/>
      <c r="Q7" s="102"/>
    </row>
    <row r="8" spans="2:17" s="2" customFormat="1" ht="12.75" x14ac:dyDescent="0.2">
      <c r="B8" s="200" t="s">
        <v>468</v>
      </c>
      <c r="L8" s="102"/>
      <c r="M8" s="102"/>
      <c r="N8" s="102"/>
      <c r="O8" s="102"/>
      <c r="P8" s="102"/>
      <c r="Q8" s="102"/>
    </row>
    <row r="9" spans="2:17" s="2" customFormat="1" ht="12.75" x14ac:dyDescent="0.2">
      <c r="B9" s="200" t="s">
        <v>469</v>
      </c>
      <c r="L9" s="102"/>
      <c r="M9" s="102"/>
      <c r="N9" s="102"/>
      <c r="O9" s="102"/>
      <c r="P9" s="102"/>
      <c r="Q9" s="102"/>
    </row>
    <row r="10" spans="2:17" s="2" customFormat="1" ht="12.75" x14ac:dyDescent="0.25">
      <c r="B10" s="2" t="s">
        <v>470</v>
      </c>
      <c r="L10" s="102"/>
      <c r="M10" s="102"/>
      <c r="N10" s="102"/>
      <c r="O10" s="102"/>
      <c r="P10" s="102"/>
      <c r="Q10" s="102"/>
    </row>
    <row r="11" spans="2:17" s="2" customFormat="1" ht="12.75" x14ac:dyDescent="0.25">
      <c r="B11" s="2" t="s">
        <v>471</v>
      </c>
      <c r="L11" s="102"/>
      <c r="M11" s="102"/>
      <c r="N11" s="102"/>
      <c r="O11" s="102"/>
      <c r="P11" s="102"/>
      <c r="Q11" s="102"/>
    </row>
    <row r="12" spans="2:17" s="2" customFormat="1" ht="12.75" x14ac:dyDescent="0.25">
      <c r="B12" s="2" t="s">
        <v>472</v>
      </c>
      <c r="L12" s="102"/>
      <c r="M12" s="102"/>
      <c r="N12" s="102"/>
      <c r="O12" s="102"/>
      <c r="P12" s="102"/>
      <c r="Q12" s="102"/>
    </row>
    <row r="13" spans="2:17" s="2" customFormat="1" ht="12.75" x14ac:dyDescent="0.25">
      <c r="B13" s="2" t="s">
        <v>473</v>
      </c>
      <c r="L13" s="102"/>
      <c r="M13" s="102"/>
      <c r="N13" s="102"/>
      <c r="O13" s="102"/>
      <c r="P13" s="102"/>
      <c r="Q13" s="102"/>
    </row>
    <row r="14" spans="2:17" s="2" customFormat="1" ht="12.75" x14ac:dyDescent="0.25">
      <c r="L14" s="102"/>
      <c r="M14" s="102"/>
      <c r="N14" s="102"/>
      <c r="O14" s="102"/>
      <c r="P14" s="102"/>
      <c r="Q14" s="102"/>
    </row>
    <row r="15" spans="2:17" s="2" customFormat="1" ht="12.75" x14ac:dyDescent="0.25">
      <c r="B15" s="2" t="s">
        <v>412</v>
      </c>
      <c r="L15" s="102"/>
      <c r="M15" s="102"/>
      <c r="N15" s="102"/>
      <c r="O15" s="102"/>
      <c r="P15" s="102"/>
      <c r="Q15" s="102"/>
    </row>
    <row r="16" spans="2:17" s="2" customFormat="1" ht="12.75" x14ac:dyDescent="0.25">
      <c r="B16" s="2" t="s">
        <v>411</v>
      </c>
      <c r="L16" s="102"/>
      <c r="M16" s="102"/>
      <c r="N16" s="102"/>
      <c r="O16" s="102"/>
      <c r="P16" s="102"/>
      <c r="Q16" s="102"/>
    </row>
    <row r="17" spans="1:26" s="2" customFormat="1" ht="12.75" x14ac:dyDescent="0.25">
      <c r="B17" s="2" t="s">
        <v>474</v>
      </c>
      <c r="L17" s="102"/>
      <c r="M17" s="102"/>
      <c r="N17" s="102"/>
      <c r="O17" s="102"/>
      <c r="P17" s="102"/>
      <c r="Q17" s="102"/>
    </row>
    <row r="18" spans="1:26" s="2" customFormat="1" ht="12.75" x14ac:dyDescent="0.25">
      <c r="B18" s="2" t="s">
        <v>475</v>
      </c>
      <c r="L18" s="102"/>
      <c r="M18" s="102"/>
      <c r="N18" s="102"/>
      <c r="O18" s="102"/>
      <c r="P18" s="102"/>
      <c r="Q18" s="102"/>
    </row>
    <row r="19" spans="1:26" s="2" customFormat="1" ht="12.75" x14ac:dyDescent="0.25">
      <c r="L19" s="102"/>
      <c r="M19" s="102"/>
      <c r="N19" s="102"/>
      <c r="O19" s="102"/>
      <c r="P19" s="102"/>
      <c r="Q19" s="102"/>
    </row>
    <row r="20" spans="1:26" s="2" customFormat="1" ht="12.75" x14ac:dyDescent="0.25">
      <c r="B20" s="4" t="s">
        <v>169</v>
      </c>
      <c r="L20" s="102"/>
      <c r="M20" s="102"/>
      <c r="N20" s="102"/>
      <c r="O20" s="102"/>
      <c r="P20" s="102"/>
      <c r="Q20" s="102"/>
    </row>
    <row r="21" spans="1:26" s="2" customFormat="1" ht="12.75" x14ac:dyDescent="0.25">
      <c r="B21" s="2" t="s">
        <v>626</v>
      </c>
      <c r="L21" s="102"/>
      <c r="M21" s="102"/>
      <c r="N21" s="102"/>
      <c r="O21" s="102"/>
      <c r="P21" s="102"/>
      <c r="Q21" s="102"/>
    </row>
    <row r="22" spans="1:26" s="2" customFormat="1" ht="12.75" x14ac:dyDescent="0.25">
      <c r="B22" s="228" t="s">
        <v>629</v>
      </c>
      <c r="L22" s="102"/>
      <c r="M22" s="102"/>
      <c r="N22" s="102"/>
      <c r="O22" s="102"/>
      <c r="P22" s="102"/>
      <c r="Q22" s="102"/>
    </row>
    <row r="23" spans="1:26" s="2" customFormat="1" ht="12.75" x14ac:dyDescent="0.25">
      <c r="B23" s="228" t="s">
        <v>631</v>
      </c>
      <c r="L23" s="102"/>
      <c r="M23" s="102"/>
      <c r="N23" s="102"/>
      <c r="O23" s="102"/>
      <c r="P23" s="102"/>
      <c r="Q23" s="102"/>
    </row>
    <row r="24" spans="1:26" s="2" customFormat="1" ht="12.75" x14ac:dyDescent="0.25">
      <c r="L24" s="102"/>
      <c r="M24" s="102"/>
      <c r="N24" s="102"/>
      <c r="O24" s="102"/>
      <c r="P24" s="102"/>
      <c r="Q24" s="102"/>
    </row>
    <row r="25" spans="1:26" s="6" customFormat="1" ht="12.75" x14ac:dyDescent="0.25">
      <c r="B25" s="6" t="s">
        <v>46</v>
      </c>
      <c r="F25" s="6" t="s">
        <v>28</v>
      </c>
      <c r="H25" s="6" t="s">
        <v>29</v>
      </c>
      <c r="J25" s="6" t="s">
        <v>50</v>
      </c>
      <c r="L25" s="103" t="s">
        <v>89</v>
      </c>
      <c r="M25" s="103" t="s">
        <v>66</v>
      </c>
      <c r="N25" s="103" t="s">
        <v>67</v>
      </c>
      <c r="O25" s="103" t="s">
        <v>68</v>
      </c>
      <c r="P25" s="103" t="s">
        <v>69</v>
      </c>
      <c r="Q25" s="103" t="s">
        <v>70</v>
      </c>
      <c r="T25" s="6" t="s">
        <v>48</v>
      </c>
    </row>
    <row r="26" spans="1:26" s="2" customFormat="1" ht="12.75" x14ac:dyDescent="0.25">
      <c r="L26" s="102"/>
      <c r="M26" s="102"/>
      <c r="N26" s="102"/>
      <c r="O26" s="102"/>
      <c r="P26" s="102"/>
      <c r="Q26" s="102"/>
    </row>
    <row r="27" spans="1:26" s="2" customFormat="1" ht="12.75" x14ac:dyDescent="0.25">
      <c r="L27" s="102"/>
      <c r="M27" s="102"/>
      <c r="N27" s="102"/>
      <c r="O27" s="102"/>
      <c r="P27" s="102"/>
      <c r="Q27" s="102"/>
    </row>
    <row r="28" spans="1:26" s="6" customFormat="1" ht="12.75" x14ac:dyDescent="0.25">
      <c r="B28" s="6" t="s">
        <v>151</v>
      </c>
    </row>
    <row r="29" spans="1:26" s="80" customFormat="1" ht="12"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s="80" customFormat="1" ht="12" customHeight="1" x14ac:dyDescent="0.2">
      <c r="A30" s="2"/>
      <c r="B30" s="47" t="s">
        <v>426</v>
      </c>
      <c r="C30" s="2"/>
      <c r="D30" s="2"/>
      <c r="E30" s="2"/>
      <c r="F30" s="169"/>
      <c r="G30" s="2"/>
      <c r="H30" s="2"/>
      <c r="I30" s="2"/>
      <c r="J30" s="2"/>
      <c r="K30" s="2"/>
      <c r="L30" s="2"/>
      <c r="M30" s="2"/>
      <c r="N30" s="2"/>
      <c r="O30" s="2"/>
      <c r="P30" s="2"/>
      <c r="Q30" s="2"/>
      <c r="R30" s="2"/>
      <c r="S30" s="2"/>
      <c r="T30" s="2"/>
      <c r="U30" s="2"/>
      <c r="V30" s="2"/>
      <c r="W30" s="2"/>
      <c r="X30" s="2"/>
      <c r="Y30" s="2"/>
      <c r="Z30" s="2"/>
    </row>
    <row r="31" spans="1:26" s="80" customFormat="1" ht="12" customHeight="1" x14ac:dyDescent="0.2">
      <c r="A31" s="2"/>
      <c r="B31" s="203" t="s">
        <v>420</v>
      </c>
      <c r="C31" s="2"/>
      <c r="D31" s="2"/>
      <c r="E31" s="2"/>
      <c r="F31" s="2" t="s">
        <v>243</v>
      </c>
      <c r="G31" s="2"/>
      <c r="H31" s="2"/>
      <c r="I31" s="2"/>
      <c r="J31" s="2"/>
      <c r="K31" s="2"/>
      <c r="L31" s="104">
        <f>'Input netverliezen'!L15</f>
        <v>0</v>
      </c>
      <c r="M31" s="104">
        <f>'Input netverliezen'!M15</f>
        <v>0</v>
      </c>
      <c r="N31" s="104">
        <f>'Input netverliezen'!N15</f>
        <v>68136.289432364487</v>
      </c>
      <c r="O31" s="104">
        <f>'Input netverliezen'!O15</f>
        <v>0</v>
      </c>
      <c r="P31" s="104">
        <f>'Input netverliezen'!P15</f>
        <v>0</v>
      </c>
      <c r="Q31" s="104">
        <f>'Input netverliezen'!Q15</f>
        <v>0</v>
      </c>
      <c r="R31" s="2"/>
      <c r="S31" s="2"/>
      <c r="T31" s="2"/>
      <c r="U31" s="2"/>
      <c r="V31" s="2"/>
      <c r="W31" s="2"/>
      <c r="X31" s="2"/>
      <c r="Y31" s="2"/>
      <c r="Z31" s="2"/>
    </row>
    <row r="32" spans="1:26" s="80" customFormat="1" ht="12" customHeight="1" x14ac:dyDescent="0.2">
      <c r="A32" s="2"/>
      <c r="B32" s="203" t="s">
        <v>421</v>
      </c>
      <c r="C32" s="2"/>
      <c r="D32" s="2"/>
      <c r="E32" s="2"/>
      <c r="F32" s="2" t="s">
        <v>243</v>
      </c>
      <c r="G32" s="2"/>
      <c r="H32" s="2"/>
      <c r="I32" s="2"/>
      <c r="J32" s="2"/>
      <c r="K32" s="2"/>
      <c r="L32" s="104">
        <f>'Input netverliezen'!L16</f>
        <v>296</v>
      </c>
      <c r="M32" s="104">
        <f>'Input netverliezen'!M16</f>
        <v>338341.48364207731</v>
      </c>
      <c r="N32" s="104">
        <f>'Input netverliezen'!N16</f>
        <v>3777.2212936876767</v>
      </c>
      <c r="O32" s="104">
        <f>'Input netverliezen'!O16</f>
        <v>0</v>
      </c>
      <c r="P32" s="104">
        <f>'Input netverliezen'!P16</f>
        <v>43906.519999999975</v>
      </c>
      <c r="Q32" s="104">
        <f>'Input netverliezen'!Q16</f>
        <v>0</v>
      </c>
      <c r="R32" s="2"/>
      <c r="S32" s="2"/>
      <c r="T32" s="2"/>
      <c r="U32" s="2"/>
      <c r="V32" s="2"/>
      <c r="W32" s="2"/>
      <c r="X32" s="2"/>
      <c r="Y32" s="2"/>
      <c r="Z32" s="2"/>
    </row>
    <row r="33" spans="1:26" s="80" customFormat="1" ht="12" customHeight="1" x14ac:dyDescent="0.2">
      <c r="A33" s="2"/>
      <c r="B33" s="203" t="s">
        <v>423</v>
      </c>
      <c r="C33" s="2"/>
      <c r="D33" s="2"/>
      <c r="E33" s="2"/>
      <c r="F33" s="2" t="s">
        <v>243</v>
      </c>
      <c r="G33" s="2"/>
      <c r="H33" s="2"/>
      <c r="I33" s="2"/>
      <c r="J33" s="2"/>
      <c r="K33" s="2"/>
      <c r="L33" s="104">
        <f>'Input netverliezen'!L17</f>
        <v>226</v>
      </c>
      <c r="M33" s="104">
        <f>'Input netverliezen'!M17</f>
        <v>144761.03999999983</v>
      </c>
      <c r="N33" s="104">
        <f>'Input netverliezen'!N17</f>
        <v>23283.608117251351</v>
      </c>
      <c r="O33" s="104">
        <f>'Input netverliezen'!O17</f>
        <v>0</v>
      </c>
      <c r="P33" s="104">
        <f>'Input netverliezen'!P17</f>
        <v>199891.10999999993</v>
      </c>
      <c r="Q33" s="104">
        <f>'Input netverliezen'!Q17</f>
        <v>0</v>
      </c>
      <c r="R33" s="2"/>
      <c r="S33" s="2"/>
      <c r="T33" s="2"/>
      <c r="U33" s="2"/>
      <c r="V33" s="2"/>
      <c r="W33" s="2"/>
      <c r="X33" s="2"/>
      <c r="Y33" s="2"/>
      <c r="Z33" s="2"/>
    </row>
    <row r="34" spans="1:26" s="80" customFormat="1" ht="12" customHeight="1" x14ac:dyDescent="0.25">
      <c r="A34" s="2"/>
      <c r="B34" s="172"/>
      <c r="C34" s="172"/>
      <c r="D34" s="172"/>
      <c r="E34" s="172"/>
      <c r="F34" s="172"/>
      <c r="G34" s="2"/>
      <c r="H34" s="2"/>
      <c r="I34" s="2"/>
      <c r="J34" s="2"/>
      <c r="K34" s="2"/>
      <c r="L34" s="124"/>
      <c r="M34" s="124"/>
      <c r="N34" s="124"/>
      <c r="O34" s="124"/>
      <c r="P34" s="124"/>
      <c r="Q34" s="124"/>
      <c r="R34" s="2"/>
      <c r="S34" s="2"/>
      <c r="T34" s="2"/>
      <c r="U34" s="2"/>
      <c r="V34" s="2"/>
      <c r="W34" s="2"/>
      <c r="X34" s="2"/>
      <c r="Y34" s="2"/>
      <c r="Z34" s="2"/>
    </row>
    <row r="35" spans="1:26" s="80" customFormat="1" ht="12" customHeight="1" x14ac:dyDescent="0.2">
      <c r="A35" s="2"/>
      <c r="B35" s="47" t="s">
        <v>425</v>
      </c>
      <c r="C35" s="2"/>
      <c r="D35" s="2"/>
      <c r="E35" s="2"/>
      <c r="F35" s="169"/>
      <c r="G35" s="2"/>
      <c r="H35" s="2"/>
      <c r="I35" s="2"/>
      <c r="J35" s="2"/>
      <c r="K35" s="2"/>
      <c r="L35" s="124"/>
      <c r="M35" s="124"/>
      <c r="N35" s="124"/>
      <c r="O35" s="124"/>
      <c r="P35" s="124"/>
      <c r="Q35" s="124"/>
      <c r="R35" s="2"/>
      <c r="S35" s="2"/>
      <c r="T35" s="2"/>
      <c r="U35" s="2"/>
      <c r="V35" s="2"/>
      <c r="W35" s="2"/>
      <c r="X35" s="2"/>
      <c r="Y35" s="2"/>
      <c r="Z35" s="2"/>
    </row>
    <row r="36" spans="1:26" s="80" customFormat="1" ht="12" customHeight="1" x14ac:dyDescent="0.2">
      <c r="A36" s="2"/>
      <c r="B36" s="203" t="s">
        <v>420</v>
      </c>
      <c r="C36" s="2"/>
      <c r="D36" s="2"/>
      <c r="E36" s="2"/>
      <c r="F36" s="2" t="s">
        <v>245</v>
      </c>
      <c r="G36" s="2"/>
      <c r="H36" s="2"/>
      <c r="I36" s="2"/>
      <c r="J36" s="2"/>
      <c r="K36" s="2"/>
      <c r="L36" s="104">
        <f>'Input netverliezen'!L20</f>
        <v>0</v>
      </c>
      <c r="M36" s="104">
        <f>'Input netverliezen'!M20</f>
        <v>0</v>
      </c>
      <c r="N36" s="104">
        <f>'Input netverliezen'!N20</f>
        <v>92849.209494752635</v>
      </c>
      <c r="O36" s="104">
        <f>'Input netverliezen'!O20</f>
        <v>0</v>
      </c>
      <c r="P36" s="104">
        <f>'Input netverliezen'!P20</f>
        <v>0</v>
      </c>
      <c r="Q36" s="104">
        <f>'Input netverliezen'!Q20</f>
        <v>0</v>
      </c>
      <c r="R36" s="2"/>
      <c r="S36" s="2"/>
      <c r="T36" s="2"/>
      <c r="U36" s="2"/>
      <c r="V36" s="2"/>
      <c r="W36" s="2"/>
      <c r="X36" s="2"/>
      <c r="Y36" s="2"/>
      <c r="Z36" s="2"/>
    </row>
    <row r="37" spans="1:26" s="80" customFormat="1" ht="12" customHeight="1" x14ac:dyDescent="0.2">
      <c r="A37" s="2"/>
      <c r="B37" s="203" t="s">
        <v>421</v>
      </c>
      <c r="C37" s="2"/>
      <c r="D37" s="2"/>
      <c r="E37" s="2"/>
      <c r="F37" s="2" t="s">
        <v>245</v>
      </c>
      <c r="G37" s="2"/>
      <c r="H37" s="2"/>
      <c r="I37" s="2"/>
      <c r="J37" s="2"/>
      <c r="K37" s="2"/>
      <c r="L37" s="104">
        <f>'Input netverliezen'!L21</f>
        <v>0</v>
      </c>
      <c r="M37" s="104">
        <f>'Input netverliezen'!M21</f>
        <v>361441.53088511043</v>
      </c>
      <c r="N37" s="104">
        <f>'Input netverliezen'!N21</f>
        <v>6508.8589675875764</v>
      </c>
      <c r="O37" s="104">
        <f>'Input netverliezen'!O21</f>
        <v>0</v>
      </c>
      <c r="P37" s="104">
        <f>'Input netverliezen'!P21</f>
        <v>47285.129999999961</v>
      </c>
      <c r="Q37" s="104">
        <f>'Input netverliezen'!Q21</f>
        <v>0</v>
      </c>
      <c r="R37" s="2"/>
      <c r="S37" s="2"/>
      <c r="T37" s="2"/>
      <c r="U37" s="2"/>
      <c r="V37" s="2"/>
      <c r="W37" s="2"/>
      <c r="X37" s="2"/>
      <c r="Y37" s="2"/>
      <c r="Z37" s="2"/>
    </row>
    <row r="38" spans="1:26" s="80" customFormat="1" ht="12" customHeight="1" x14ac:dyDescent="0.2">
      <c r="A38" s="2"/>
      <c r="B38" s="203" t="s">
        <v>423</v>
      </c>
      <c r="C38" s="2"/>
      <c r="D38" s="2"/>
      <c r="E38" s="2"/>
      <c r="F38" s="2" t="s">
        <v>245</v>
      </c>
      <c r="G38" s="2"/>
      <c r="H38" s="2"/>
      <c r="I38" s="2"/>
      <c r="J38" s="2"/>
      <c r="K38" s="2"/>
      <c r="L38" s="104">
        <f>'Input netverliezen'!L22</f>
        <v>0</v>
      </c>
      <c r="M38" s="104">
        <f>'Input netverliezen'!M22</f>
        <v>231231.12999999998</v>
      </c>
      <c r="N38" s="104">
        <f>'Input netverliezen'!N22</f>
        <v>35900.116539833398</v>
      </c>
      <c r="O38" s="104">
        <f>'Input netverliezen'!O22</f>
        <v>192.68</v>
      </c>
      <c r="P38" s="104">
        <f>'Input netverliezen'!P22</f>
        <v>195001.82000000004</v>
      </c>
      <c r="Q38" s="104">
        <f>'Input netverliezen'!Q22</f>
        <v>0</v>
      </c>
      <c r="R38" s="2"/>
      <c r="S38" s="2"/>
      <c r="T38" s="2"/>
      <c r="U38" s="2"/>
      <c r="V38" s="2"/>
      <c r="W38" s="2"/>
      <c r="X38" s="2"/>
      <c r="Y38" s="2"/>
      <c r="Z38" s="2"/>
    </row>
    <row r="39" spans="1:26" s="80" customFormat="1" ht="12" customHeight="1" x14ac:dyDescent="0.25">
      <c r="A39" s="2"/>
      <c r="B39" s="172"/>
      <c r="C39" s="172"/>
      <c r="D39" s="172"/>
      <c r="E39" s="172"/>
      <c r="F39" s="172"/>
      <c r="G39" s="2"/>
      <c r="H39" s="2"/>
      <c r="I39" s="2"/>
      <c r="J39" s="2"/>
      <c r="K39" s="2"/>
      <c r="L39" s="124"/>
      <c r="M39" s="124"/>
      <c r="N39" s="124"/>
      <c r="O39" s="124"/>
      <c r="P39" s="124"/>
      <c r="Q39" s="124"/>
      <c r="R39" s="2"/>
      <c r="S39" s="2"/>
      <c r="T39" s="2"/>
      <c r="U39" s="2"/>
      <c r="V39" s="2"/>
      <c r="W39" s="2"/>
      <c r="X39" s="2"/>
      <c r="Y39" s="2"/>
      <c r="Z39" s="2"/>
    </row>
    <row r="40" spans="1:26" s="80" customFormat="1" ht="12" customHeight="1" x14ac:dyDescent="0.2">
      <c r="A40" s="2"/>
      <c r="B40" s="47" t="s">
        <v>424</v>
      </c>
      <c r="C40" s="2"/>
      <c r="D40" s="2"/>
      <c r="E40" s="2"/>
      <c r="F40" s="169"/>
      <c r="G40" s="2"/>
      <c r="H40" s="2"/>
      <c r="I40" s="2"/>
      <c r="J40" s="2"/>
      <c r="K40" s="2"/>
      <c r="L40" s="124"/>
      <c r="M40" s="124"/>
      <c r="N40" s="124"/>
      <c r="O40" s="124"/>
      <c r="P40" s="124"/>
      <c r="Q40" s="124"/>
      <c r="R40" s="2"/>
      <c r="S40" s="2"/>
      <c r="T40" s="2"/>
      <c r="U40" s="2"/>
      <c r="V40" s="2"/>
      <c r="W40" s="2"/>
      <c r="X40" s="2"/>
      <c r="Y40" s="2"/>
      <c r="Z40" s="2"/>
    </row>
    <row r="41" spans="1:26" s="80" customFormat="1" ht="12" customHeight="1" x14ac:dyDescent="0.2">
      <c r="A41" s="2"/>
      <c r="B41" s="203" t="s">
        <v>420</v>
      </c>
      <c r="C41" s="2"/>
      <c r="D41" s="2"/>
      <c r="E41" s="2"/>
      <c r="F41" s="2" t="s">
        <v>97</v>
      </c>
      <c r="G41" s="2"/>
      <c r="H41" s="2"/>
      <c r="I41" s="2"/>
      <c r="J41" s="2"/>
      <c r="K41" s="2"/>
      <c r="L41" s="104">
        <f>'Input netverliezen'!L25</f>
        <v>0</v>
      </c>
      <c r="M41" s="104">
        <f>'Input netverliezen'!M25</f>
        <v>0</v>
      </c>
      <c r="N41" s="104">
        <f>'Input netverliezen'!N25</f>
        <v>338993.16779187752</v>
      </c>
      <c r="O41" s="104">
        <f>'Input netverliezen'!O25</f>
        <v>1102.6199999999999</v>
      </c>
      <c r="P41" s="104">
        <f>'Input netverliezen'!P25</f>
        <v>92621.01999999999</v>
      </c>
      <c r="Q41" s="104">
        <f>'Input netverliezen'!Q25</f>
        <v>0</v>
      </c>
      <c r="R41" s="2"/>
      <c r="S41" s="2"/>
      <c r="T41" s="2"/>
      <c r="U41" s="2"/>
      <c r="V41" s="2"/>
      <c r="W41" s="2"/>
      <c r="X41" s="2"/>
      <c r="Y41" s="2"/>
      <c r="Z41" s="2"/>
    </row>
    <row r="42" spans="1:26" s="80" customFormat="1" ht="12" customHeight="1" x14ac:dyDescent="0.2">
      <c r="A42" s="2"/>
      <c r="B42" s="203" t="s">
        <v>421</v>
      </c>
      <c r="C42" s="2"/>
      <c r="D42" s="2"/>
      <c r="E42" s="2"/>
      <c r="F42" s="2" t="s">
        <v>97</v>
      </c>
      <c r="G42" s="2"/>
      <c r="H42" s="2"/>
      <c r="I42" s="2"/>
      <c r="J42" s="2"/>
      <c r="K42" s="2"/>
      <c r="L42" s="104">
        <f>'Input netverliezen'!L26</f>
        <v>0</v>
      </c>
      <c r="M42" s="104">
        <f>'Input netverliezen'!M26</f>
        <v>283505.3120024883</v>
      </c>
      <c r="N42" s="104">
        <f>'Input netverliezen'!N26</f>
        <v>6453.9323930081655</v>
      </c>
      <c r="O42" s="104">
        <f>'Input netverliezen'!O26</f>
        <v>0</v>
      </c>
      <c r="P42" s="104">
        <f>'Input netverliezen'!P26</f>
        <v>53221.710000000006</v>
      </c>
      <c r="Q42" s="104">
        <f>'Input netverliezen'!Q26</f>
        <v>0</v>
      </c>
      <c r="R42" s="2"/>
      <c r="S42" s="2"/>
      <c r="T42" s="2"/>
      <c r="U42" s="2"/>
      <c r="V42" s="2"/>
      <c r="W42" s="2"/>
      <c r="X42" s="2"/>
      <c r="Y42" s="2"/>
      <c r="Z42" s="2"/>
    </row>
    <row r="43" spans="1:26" s="80" customFormat="1" ht="12" customHeight="1" x14ac:dyDescent="0.2">
      <c r="A43" s="2"/>
      <c r="B43" s="203" t="s">
        <v>423</v>
      </c>
      <c r="C43" s="2"/>
      <c r="D43" s="2"/>
      <c r="E43" s="2"/>
      <c r="F43" s="2" t="s">
        <v>97</v>
      </c>
      <c r="G43" s="2"/>
      <c r="H43" s="2"/>
      <c r="I43" s="2"/>
      <c r="J43" s="2"/>
      <c r="K43" s="2"/>
      <c r="L43" s="104">
        <f>'Input netverliezen'!L27</f>
        <v>0</v>
      </c>
      <c r="M43" s="104">
        <f>'Input netverliezen'!M27</f>
        <v>106459.13000000048</v>
      </c>
      <c r="N43" s="104">
        <f>'Input netverliezen'!N27</f>
        <v>111990.89633615169</v>
      </c>
      <c r="O43" s="104">
        <f>'Input netverliezen'!O27</f>
        <v>56.71</v>
      </c>
      <c r="P43" s="104">
        <f>'Input netverliezen'!P27</f>
        <v>151533.64000000019</v>
      </c>
      <c r="Q43" s="104">
        <f>'Input netverliezen'!Q27</f>
        <v>0</v>
      </c>
      <c r="R43" s="2"/>
      <c r="S43" s="2"/>
      <c r="T43" s="2"/>
      <c r="U43" s="2"/>
      <c r="V43" s="2"/>
      <c r="W43" s="2"/>
      <c r="X43" s="2"/>
      <c r="Y43" s="2"/>
      <c r="Z43" s="2"/>
    </row>
    <row r="44" spans="1:26" s="80" customFormat="1" ht="12"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s="80" customFormat="1" ht="12" customHeight="1" x14ac:dyDescent="0.25">
      <c r="A45" s="2"/>
      <c r="B45" s="1" t="s">
        <v>419</v>
      </c>
      <c r="C45" s="2"/>
      <c r="D45" s="2"/>
      <c r="E45" s="2"/>
      <c r="F45" s="2"/>
      <c r="G45" s="2"/>
      <c r="H45" s="2"/>
      <c r="I45" s="2"/>
      <c r="J45" s="2"/>
      <c r="K45" s="2"/>
      <c r="L45" s="2"/>
      <c r="M45" s="2"/>
      <c r="N45" s="2"/>
      <c r="O45" s="2"/>
      <c r="P45" s="2"/>
      <c r="Q45" s="2"/>
      <c r="R45" s="2"/>
      <c r="S45" s="2"/>
      <c r="T45" s="2"/>
      <c r="U45" s="2"/>
      <c r="V45" s="2"/>
      <c r="W45" s="2"/>
      <c r="X45" s="2"/>
      <c r="Y45" s="2"/>
      <c r="Z45" s="2"/>
    </row>
    <row r="46" spans="1:26" s="80" customFormat="1" ht="12" customHeight="1" x14ac:dyDescent="0.25">
      <c r="A46" s="2"/>
      <c r="B46" s="2" t="s">
        <v>367</v>
      </c>
      <c r="C46" s="2"/>
      <c r="D46" s="2"/>
      <c r="E46" s="2"/>
      <c r="F46" s="2" t="s">
        <v>106</v>
      </c>
      <c r="G46" s="2"/>
      <c r="H46" s="2"/>
      <c r="I46" s="2"/>
      <c r="J46" s="2"/>
      <c r="K46" s="2"/>
      <c r="L46" s="104">
        <f>'Input netverliezen'!L30</f>
        <v>387578.53175849176</v>
      </c>
      <c r="M46" s="104">
        <f>'Input netverliezen'!M30</f>
        <v>6967906.6656788541</v>
      </c>
      <c r="N46" s="104">
        <f>'Input netverliezen'!N30</f>
        <v>7257609.7463143384</v>
      </c>
      <c r="O46" s="104">
        <f>'Input netverliezen'!O30</f>
        <v>294041.30620461947</v>
      </c>
      <c r="P46" s="104">
        <f>'Input netverliezen'!P30</f>
        <v>6073955.0590023557</v>
      </c>
      <c r="Q46" s="104">
        <f>'Input netverliezen'!Q30</f>
        <v>1034437.6159310647</v>
      </c>
      <c r="R46" s="2"/>
      <c r="S46" s="2"/>
      <c r="T46" s="2"/>
      <c r="U46" s="2"/>
      <c r="V46" s="2"/>
      <c r="W46" s="2"/>
      <c r="X46" s="2"/>
      <c r="Y46" s="2"/>
      <c r="Z46" s="2"/>
    </row>
    <row r="47" spans="1:26" s="80" customFormat="1" ht="12" customHeight="1" x14ac:dyDescent="0.25">
      <c r="A47" s="2"/>
      <c r="B47" s="2"/>
      <c r="C47" s="2"/>
      <c r="D47" s="2"/>
      <c r="E47" s="2"/>
      <c r="F47" s="2"/>
      <c r="G47" s="2"/>
      <c r="H47" s="2"/>
      <c r="I47" s="2"/>
      <c r="J47" s="2"/>
      <c r="K47" s="2"/>
      <c r="L47" s="124"/>
      <c r="M47" s="124"/>
      <c r="N47" s="124"/>
      <c r="O47" s="124"/>
      <c r="P47" s="124"/>
      <c r="Q47" s="124"/>
      <c r="R47" s="2"/>
      <c r="S47" s="2"/>
      <c r="T47" s="2"/>
      <c r="U47" s="2"/>
      <c r="V47" s="2"/>
      <c r="W47" s="2"/>
      <c r="X47" s="2"/>
      <c r="Y47" s="2"/>
      <c r="Z47" s="2"/>
    </row>
    <row r="48" spans="1:26" s="80" customFormat="1" ht="12" customHeight="1" x14ac:dyDescent="0.25">
      <c r="A48" s="2"/>
      <c r="B48" s="47" t="s">
        <v>371</v>
      </c>
      <c r="C48" s="2"/>
      <c r="D48" s="2"/>
      <c r="E48" s="2"/>
      <c r="F48" s="2"/>
      <c r="G48" s="2"/>
      <c r="H48" s="2"/>
      <c r="I48" s="2"/>
      <c r="J48" s="2"/>
      <c r="K48" s="2"/>
      <c r="L48" s="124"/>
      <c r="M48" s="124"/>
      <c r="N48" s="124"/>
      <c r="O48" s="124"/>
      <c r="P48" s="124"/>
      <c r="Q48" s="124"/>
      <c r="R48" s="2"/>
      <c r="S48" s="2"/>
      <c r="T48" s="2"/>
      <c r="U48" s="2"/>
      <c r="V48" s="2"/>
      <c r="W48" s="2"/>
      <c r="X48" s="2"/>
      <c r="Y48" s="2"/>
      <c r="Z48" s="2"/>
    </row>
    <row r="49" spans="1:26" s="80" customFormat="1" ht="12" customHeight="1" x14ac:dyDescent="0.2">
      <c r="A49" s="2"/>
      <c r="B49" s="2" t="s">
        <v>366</v>
      </c>
      <c r="C49" s="2"/>
      <c r="D49" s="2"/>
      <c r="E49" s="2"/>
      <c r="F49" s="2" t="s">
        <v>111</v>
      </c>
      <c r="G49" s="2"/>
      <c r="H49" s="2"/>
      <c r="I49" s="2"/>
      <c r="J49" s="2"/>
      <c r="K49" s="2"/>
      <c r="L49" s="233"/>
      <c r="M49" s="233"/>
      <c r="N49" s="233"/>
      <c r="O49" s="233"/>
      <c r="P49" s="233"/>
      <c r="Q49" s="48">
        <f>'Input netverliezen'!Q33</f>
        <v>-3496040.34</v>
      </c>
      <c r="R49" s="2"/>
      <c r="S49" s="2"/>
      <c r="U49" s="2"/>
      <c r="V49" s="2"/>
      <c r="W49" s="2"/>
      <c r="X49" s="2"/>
      <c r="Y49" s="2"/>
      <c r="Z49" s="2"/>
    </row>
    <row r="50" spans="1:26" s="80" customFormat="1" ht="12" customHeight="1" x14ac:dyDescent="0.25">
      <c r="A50" s="2"/>
      <c r="B50" s="2"/>
      <c r="C50" s="2"/>
      <c r="D50" s="2"/>
      <c r="E50" s="2"/>
      <c r="F50" s="2"/>
      <c r="G50" s="2"/>
      <c r="H50" s="2"/>
      <c r="I50" s="2"/>
      <c r="J50" s="2"/>
      <c r="K50" s="2"/>
      <c r="L50" s="124"/>
      <c r="M50" s="124"/>
      <c r="N50" s="124"/>
      <c r="O50" s="124"/>
      <c r="P50" s="124"/>
      <c r="Q50" s="124"/>
      <c r="R50" s="2"/>
      <c r="S50" s="2"/>
      <c r="T50" s="2"/>
      <c r="U50" s="2"/>
      <c r="V50" s="2"/>
      <c r="W50" s="2"/>
      <c r="X50" s="2"/>
      <c r="Y50" s="2"/>
      <c r="Z50" s="2"/>
    </row>
    <row r="51" spans="1:26" s="80" customFormat="1" ht="12" customHeight="1" x14ac:dyDescent="0.2">
      <c r="A51" s="2"/>
      <c r="B51" s="47" t="s">
        <v>445</v>
      </c>
      <c r="C51" s="2"/>
      <c r="D51" s="2"/>
      <c r="E51" s="2"/>
      <c r="F51" s="169"/>
      <c r="G51" s="2"/>
      <c r="H51" s="2"/>
      <c r="I51" s="2"/>
      <c r="J51" s="2"/>
      <c r="K51" s="2"/>
      <c r="L51" s="124"/>
      <c r="M51" s="124"/>
      <c r="N51" s="124"/>
      <c r="O51" s="124"/>
      <c r="P51" s="124"/>
      <c r="Q51" s="124"/>
      <c r="R51" s="2"/>
      <c r="S51" s="2"/>
      <c r="T51" s="2"/>
      <c r="U51" s="2"/>
      <c r="V51" s="2"/>
      <c r="W51" s="2"/>
      <c r="X51" s="2"/>
      <c r="Y51" s="2"/>
      <c r="Z51" s="2"/>
    </row>
    <row r="52" spans="1:26" s="80" customFormat="1" ht="12" customHeight="1" x14ac:dyDescent="0.25">
      <c r="A52" s="2"/>
      <c r="B52" s="2" t="s">
        <v>366</v>
      </c>
      <c r="C52" s="2"/>
      <c r="D52" s="2"/>
      <c r="E52" s="2"/>
      <c r="F52" s="2" t="s">
        <v>142</v>
      </c>
      <c r="G52" s="2"/>
      <c r="H52" s="2"/>
      <c r="I52" s="2"/>
      <c r="J52" s="2"/>
      <c r="K52" s="2"/>
      <c r="L52" s="104">
        <f>'Input netverliezen'!L36</f>
        <v>-527128</v>
      </c>
      <c r="M52" s="104">
        <f>'Input netverliezen'!M36</f>
        <v>53944470.940000005</v>
      </c>
      <c r="N52" s="104">
        <f>'Input netverliezen'!N36</f>
        <v>9923816.8874238413</v>
      </c>
      <c r="O52" s="104">
        <f>'Input netverliezen'!O36</f>
        <v>-33012.199999999997</v>
      </c>
      <c r="P52" s="104">
        <f>'Input netverliezen'!P36</f>
        <v>27624837.66</v>
      </c>
      <c r="Q52" s="104">
        <f>'Input netverliezen'!Q36</f>
        <v>7966766.8799999999</v>
      </c>
      <c r="R52" s="2"/>
      <c r="S52" s="2"/>
      <c r="T52" s="2"/>
      <c r="U52" s="2"/>
      <c r="V52" s="2"/>
      <c r="W52" s="2"/>
      <c r="X52" s="2"/>
      <c r="Y52" s="2"/>
      <c r="Z52" s="2"/>
    </row>
    <row r="53" spans="1:26" s="80" customFormat="1" ht="12" customHeight="1" x14ac:dyDescent="0.2">
      <c r="A53" s="2"/>
      <c r="B53" s="203" t="s">
        <v>420</v>
      </c>
      <c r="C53" s="2"/>
      <c r="D53" s="2"/>
      <c r="E53" s="2"/>
      <c r="F53" s="2" t="s">
        <v>142</v>
      </c>
      <c r="G53" s="2"/>
      <c r="H53" s="2"/>
      <c r="I53" s="2"/>
      <c r="J53" s="2"/>
      <c r="K53" s="2"/>
      <c r="L53" s="104">
        <f>'Input netverliezen'!L37</f>
        <v>187446</v>
      </c>
      <c r="M53" s="104">
        <f>'Input netverliezen'!M37</f>
        <v>3714978.15</v>
      </c>
      <c r="N53" s="104">
        <f>'Input netverliezen'!N37</f>
        <v>2659428.231909751</v>
      </c>
      <c r="O53" s="104">
        <f>'Input netverliezen'!O37</f>
        <v>107350.49</v>
      </c>
      <c r="P53" s="104">
        <f>'Input netverliezen'!P37</f>
        <v>1690785.2813404892</v>
      </c>
      <c r="Q53" s="104">
        <f>'Input netverliezen'!Q37</f>
        <v>0</v>
      </c>
      <c r="R53" s="2"/>
      <c r="S53" s="2"/>
      <c r="T53" s="2"/>
      <c r="U53" s="2"/>
      <c r="V53" s="2"/>
      <c r="W53" s="2"/>
      <c r="X53" s="2"/>
      <c r="Y53" s="2"/>
      <c r="Z53" s="2"/>
    </row>
    <row r="54" spans="1:26" s="80" customFormat="1" ht="12" customHeight="1" x14ac:dyDescent="0.2">
      <c r="A54" s="2"/>
      <c r="B54" s="203" t="s">
        <v>421</v>
      </c>
      <c r="C54" s="2"/>
      <c r="D54" s="2"/>
      <c r="E54" s="2"/>
      <c r="F54" s="2" t="s">
        <v>142</v>
      </c>
      <c r="G54" s="2"/>
      <c r="H54" s="2"/>
      <c r="I54" s="2"/>
      <c r="J54" s="2"/>
      <c r="K54" s="2"/>
      <c r="L54" s="104">
        <f>'Input netverliezen'!L38</f>
        <v>0</v>
      </c>
      <c r="M54" s="104">
        <f>'Input netverliezen'!M38</f>
        <v>323609.23864227638</v>
      </c>
      <c r="N54" s="104">
        <f>'Input netverliezen'!N38</f>
        <v>921.25319335855374</v>
      </c>
      <c r="O54" s="104">
        <f>'Input netverliezen'!O38</f>
        <v>0</v>
      </c>
      <c r="P54" s="104">
        <f>'Input netverliezen'!P38</f>
        <v>10035.700000000001</v>
      </c>
      <c r="Q54" s="104">
        <f>'Input netverliezen'!Q38</f>
        <v>0</v>
      </c>
      <c r="R54" s="2"/>
      <c r="S54" s="2"/>
      <c r="T54" s="2"/>
      <c r="U54" s="2"/>
      <c r="V54" s="2"/>
      <c r="W54" s="2"/>
      <c r="X54" s="2"/>
      <c r="Y54" s="2"/>
      <c r="Z54" s="2"/>
    </row>
    <row r="55" spans="1:26" s="80" customFormat="1" ht="12" customHeight="1" x14ac:dyDescent="0.2">
      <c r="A55" s="2"/>
      <c r="B55" s="203" t="s">
        <v>423</v>
      </c>
      <c r="C55" s="2"/>
      <c r="D55" s="2"/>
      <c r="E55" s="2"/>
      <c r="F55" s="2" t="s">
        <v>142</v>
      </c>
      <c r="G55" s="2"/>
      <c r="H55" s="2"/>
      <c r="I55" s="2"/>
      <c r="J55" s="2"/>
      <c r="K55" s="2"/>
      <c r="L55" s="104">
        <f>'Input netverliezen'!L39</f>
        <v>0</v>
      </c>
      <c r="M55" s="104">
        <f>'Input netverliezen'!M39</f>
        <v>1431315.1700000002</v>
      </c>
      <c r="N55" s="104">
        <f>'Input netverliezen'!N39</f>
        <v>339140.6049114482</v>
      </c>
      <c r="O55" s="104">
        <f>'Input netverliezen'!O39</f>
        <v>235.04</v>
      </c>
      <c r="P55" s="104">
        <f>'Input netverliezen'!P39</f>
        <v>548581.23000000569</v>
      </c>
      <c r="Q55" s="104">
        <f>'Input netverliezen'!Q39</f>
        <v>0</v>
      </c>
      <c r="R55" s="2"/>
      <c r="S55" s="2"/>
      <c r="T55" s="2"/>
      <c r="U55" s="2"/>
      <c r="V55" s="2"/>
      <c r="W55" s="2"/>
      <c r="X55" s="2"/>
      <c r="Y55" s="2"/>
      <c r="Z55" s="2"/>
    </row>
    <row r="56" spans="1:26" s="80" customFormat="1" ht="12" customHeight="1" x14ac:dyDescent="0.2">
      <c r="A56" s="2"/>
      <c r="B56" s="203" t="s">
        <v>630</v>
      </c>
      <c r="C56" s="2"/>
      <c r="D56" s="2"/>
      <c r="E56" s="2"/>
      <c r="F56" s="2" t="s">
        <v>142</v>
      </c>
      <c r="G56" s="2"/>
      <c r="H56" s="2"/>
      <c r="I56" s="2"/>
      <c r="J56" s="2"/>
      <c r="K56" s="2"/>
      <c r="L56" s="233"/>
      <c r="M56" s="233"/>
      <c r="N56" s="233"/>
      <c r="O56" s="104">
        <f>'Input netverliezen'!O40</f>
        <v>167787.32417213498</v>
      </c>
      <c r="P56" s="233"/>
      <c r="Q56" s="233"/>
      <c r="R56" s="2"/>
      <c r="S56" s="2"/>
      <c r="U56" s="2"/>
      <c r="V56" s="2"/>
      <c r="W56" s="2"/>
      <c r="X56" s="2"/>
      <c r="Y56" s="2"/>
      <c r="Z56" s="2"/>
    </row>
    <row r="57" spans="1:26" s="80" customFormat="1" ht="12"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s="80" customFormat="1" ht="12" customHeight="1" x14ac:dyDescent="0.25">
      <c r="A58" s="2"/>
      <c r="B58" s="90" t="s">
        <v>463</v>
      </c>
      <c r="C58" s="2"/>
      <c r="D58" s="2"/>
      <c r="E58" s="2"/>
      <c r="F58" s="2" t="s">
        <v>142</v>
      </c>
      <c r="G58" s="2"/>
      <c r="H58" s="2"/>
      <c r="I58" s="2"/>
      <c r="J58" s="2"/>
      <c r="K58" s="2"/>
      <c r="L58" s="104">
        <f>'Input netverliezen'!L42</f>
        <v>1236397.0118933599</v>
      </c>
      <c r="M58" s="104">
        <f>'Input netverliezen'!M42</f>
        <v>28089567.840129435</v>
      </c>
      <c r="N58" s="104">
        <f>'Input netverliezen'!N42</f>
        <v>47996742.370781742</v>
      </c>
      <c r="O58" s="104">
        <f>'Input netverliezen'!O42</f>
        <v>0</v>
      </c>
      <c r="P58" s="104">
        <f>'Input netverliezen'!P42</f>
        <v>11652260.800443053</v>
      </c>
      <c r="Q58" s="104">
        <f>'Input netverliezen'!Q42</f>
        <v>4300138.2099988796</v>
      </c>
      <c r="R58" s="2"/>
      <c r="S58" s="2"/>
      <c r="T58" s="2"/>
      <c r="U58" s="2"/>
      <c r="V58" s="2"/>
      <c r="W58" s="2"/>
      <c r="X58" s="2"/>
      <c r="Y58" s="2"/>
      <c r="Z58" s="2"/>
    </row>
    <row r="59" spans="1:26" s="80" customFormat="1" ht="12"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s="80" customFormat="1" ht="12" customHeight="1" x14ac:dyDescent="0.25">
      <c r="A60" s="2"/>
      <c r="B60" s="204" t="s">
        <v>207</v>
      </c>
      <c r="C60" s="2"/>
      <c r="D60" s="2"/>
      <c r="E60" s="2"/>
      <c r="F60" s="2"/>
      <c r="G60" s="2"/>
      <c r="H60" s="2"/>
      <c r="I60" s="2"/>
      <c r="J60" s="2"/>
      <c r="K60" s="2"/>
      <c r="L60" s="2"/>
      <c r="M60" s="2"/>
      <c r="N60" s="2"/>
      <c r="O60" s="2"/>
      <c r="P60" s="2"/>
      <c r="Q60" s="2"/>
      <c r="R60" s="2"/>
      <c r="S60" s="2"/>
      <c r="T60" s="2"/>
      <c r="U60" s="2"/>
      <c r="V60" s="2"/>
      <c r="W60" s="2"/>
      <c r="X60" s="2"/>
      <c r="Y60" s="2"/>
      <c r="Z60" s="2"/>
    </row>
    <row r="61" spans="1:26" ht="12" customHeight="1" x14ac:dyDescent="0.25">
      <c r="A61" s="172"/>
      <c r="B61" s="90" t="s">
        <v>369</v>
      </c>
      <c r="C61" s="80"/>
      <c r="D61" s="80"/>
      <c r="E61" s="80"/>
      <c r="F61" s="2" t="s">
        <v>71</v>
      </c>
      <c r="J61" s="108">
        <f>SUM(L61:Q61)</f>
        <v>829798182.34168494</v>
      </c>
      <c r="L61" s="104">
        <f>'Input netverliezen'!L46</f>
        <v>16401680.494385676</v>
      </c>
      <c r="M61" s="104">
        <f>'Input netverliezen'!M46</f>
        <v>266533758.56356135</v>
      </c>
      <c r="N61" s="104">
        <f>'Input netverliezen'!N46</f>
        <v>285455588.10709691</v>
      </c>
      <c r="O61" s="104">
        <f>'Input netverliezen'!O46</f>
        <v>12040239.024494292</v>
      </c>
      <c r="P61" s="104">
        <f>'Input netverliezen'!P46</f>
        <v>235138144.63941851</v>
      </c>
      <c r="Q61" s="104">
        <f>'Input netverliezen'!Q46</f>
        <v>14228771.512728186</v>
      </c>
    </row>
    <row r="62" spans="1:26" ht="12" customHeight="1" x14ac:dyDescent="0.25">
      <c r="A62" s="172"/>
      <c r="B62" s="172"/>
      <c r="C62" s="172"/>
      <c r="D62" s="172"/>
      <c r="E62" s="172"/>
      <c r="F62" s="172"/>
    </row>
    <row r="63" spans="1:26" ht="12" customHeight="1" x14ac:dyDescent="0.25">
      <c r="A63" s="172"/>
      <c r="B63" s="90" t="s">
        <v>622</v>
      </c>
      <c r="C63" s="172"/>
      <c r="D63" s="172"/>
      <c r="E63" s="172"/>
      <c r="F63" s="232" t="s">
        <v>71</v>
      </c>
      <c r="L63" s="104">
        <f>'Input netverliezen'!L47</f>
        <v>16378191.921518842</v>
      </c>
      <c r="M63" s="104">
        <f>'Input netverliezen'!M47</f>
        <v>266309125.89958686</v>
      </c>
      <c r="N63" s="104">
        <f>'Input netverliezen'!N47</f>
        <v>285253178.05322069</v>
      </c>
      <c r="O63" s="104">
        <f>'Input netverliezen'!O47</f>
        <v>11960708.825466996</v>
      </c>
      <c r="P63" s="104">
        <f>'Input netverliezen'!P47</f>
        <v>235054769.69438812</v>
      </c>
      <c r="Q63" s="104">
        <f>'Input netverliezen'!Q47</f>
        <v>14216353.026773611</v>
      </c>
    </row>
    <row r="64" spans="1:26" ht="12" customHeight="1" x14ac:dyDescent="0.25">
      <c r="A64" s="172"/>
      <c r="B64" s="2" t="s">
        <v>615</v>
      </c>
      <c r="C64" s="172"/>
      <c r="D64" s="172"/>
      <c r="E64" s="172"/>
      <c r="F64" s="232" t="s">
        <v>71</v>
      </c>
      <c r="L64" s="104">
        <f>'SO transportdienst 2023'!L87</f>
        <v>15675247.465420879</v>
      </c>
      <c r="M64" s="104">
        <f>'SO transportdienst 2023'!M87</f>
        <v>252465384.98769021</v>
      </c>
      <c r="N64" s="104">
        <f>'SO transportdienst 2023'!N87</f>
        <v>271748742.03467077</v>
      </c>
      <c r="O64" s="104">
        <f>'SO transportdienst 2023'!O87</f>
        <v>11395798.866623316</v>
      </c>
      <c r="P64" s="104">
        <f>'SO transportdienst 2023'!P87</f>
        <v>221977481.62729734</v>
      </c>
      <c r="Q64" s="104">
        <f>'SO transportdienst 2023'!Q87</f>
        <v>13851260.955810077</v>
      </c>
    </row>
    <row r="65" spans="1:17" ht="12" customHeight="1" x14ac:dyDescent="0.25">
      <c r="A65" s="172"/>
      <c r="B65" s="172"/>
      <c r="C65" s="172"/>
      <c r="D65" s="172"/>
      <c r="E65" s="172"/>
      <c r="F65" s="172"/>
    </row>
    <row r="66" spans="1:17" ht="12" customHeight="1" x14ac:dyDescent="0.25">
      <c r="A66" s="172"/>
      <c r="B66" s="151" t="s">
        <v>476</v>
      </c>
      <c r="C66" s="209"/>
      <c r="D66" s="209"/>
      <c r="E66" s="209"/>
      <c r="F66" s="209"/>
    </row>
    <row r="67" spans="1:17" ht="12" customHeight="1" x14ac:dyDescent="0.25">
      <c r="A67" s="172"/>
      <c r="B67" s="90" t="s">
        <v>135</v>
      </c>
      <c r="C67" s="209"/>
      <c r="D67" s="209"/>
      <c r="E67" s="209"/>
      <c r="F67" s="209" t="s">
        <v>111</v>
      </c>
      <c r="J67" s="108">
        <f>SUM(L67:Q67)</f>
        <v>1184759925.1398156</v>
      </c>
      <c r="L67" s="104">
        <f>'TI-berekening 2025'!L21</f>
        <v>23247852.720112458</v>
      </c>
      <c r="M67" s="104">
        <f>'TI-berekening 2025'!M21</f>
        <v>379158699.11329991</v>
      </c>
      <c r="N67" s="104">
        <f>'TI-berekening 2025'!N21</f>
        <v>411294132.09213805</v>
      </c>
      <c r="O67" s="104">
        <f>'TI-berekening 2025'!O21</f>
        <v>17031951.404912792</v>
      </c>
      <c r="P67" s="104">
        <f>'TI-berekening 2025'!P21</f>
        <v>334302650.49550152</v>
      </c>
      <c r="Q67" s="104">
        <f>'TI-berekening 2025'!Q21</f>
        <v>19724639.313850563</v>
      </c>
    </row>
    <row r="68" spans="1:17" ht="12" customHeight="1" x14ac:dyDescent="0.25">
      <c r="A68" s="172"/>
      <c r="B68" s="172"/>
      <c r="C68" s="172"/>
      <c r="D68" s="172"/>
      <c r="E68" s="172"/>
      <c r="F68" s="172"/>
    </row>
    <row r="69" spans="1:17" ht="12" customHeight="1" x14ac:dyDescent="0.25">
      <c r="A69" s="172"/>
      <c r="B69" s="176" t="s">
        <v>194</v>
      </c>
    </row>
    <row r="70" spans="1:17" ht="12" customHeight="1" x14ac:dyDescent="0.25">
      <c r="A70" s="172"/>
      <c r="B70" s="2" t="s">
        <v>163</v>
      </c>
      <c r="C70" s="2"/>
      <c r="D70" s="2"/>
      <c r="E70" s="2"/>
      <c r="F70" s="2" t="s">
        <v>71</v>
      </c>
      <c r="L70" s="180">
        <f>'TI-berekening 2025'!L14</f>
        <v>1.4000000000000001</v>
      </c>
      <c r="M70" s="180">
        <f>'TI-berekening 2025'!M14</f>
        <v>1.3900000000000001</v>
      </c>
      <c r="N70" s="180">
        <f>'TI-berekening 2025'!N14</f>
        <v>1.35</v>
      </c>
      <c r="O70" s="180">
        <f>'TI-berekening 2025'!O14</f>
        <v>1.4000000000000001</v>
      </c>
      <c r="P70" s="180">
        <f>'TI-berekening 2025'!P14</f>
        <v>1.3900000000000001</v>
      </c>
      <c r="Q70" s="180">
        <f>'TI-berekening 2025'!Q14</f>
        <v>1.54</v>
      </c>
    </row>
    <row r="71" spans="1:17" ht="12" customHeight="1" x14ac:dyDescent="0.25">
      <c r="A71" s="172"/>
    </row>
    <row r="72" spans="1:17" ht="12" customHeight="1" x14ac:dyDescent="0.25">
      <c r="A72" s="172"/>
      <c r="B72" s="2" t="s">
        <v>437</v>
      </c>
      <c r="C72" s="132"/>
      <c r="D72" s="132"/>
      <c r="E72" s="132"/>
      <c r="F72" s="132" t="s">
        <v>73</v>
      </c>
      <c r="H72" s="57">
        <f>'Input netverliezen'!H49</f>
        <v>-7.5913637800173461E-4</v>
      </c>
    </row>
    <row r="73" spans="1:17" ht="12" customHeight="1" x14ac:dyDescent="0.25">
      <c r="A73" s="172"/>
    </row>
    <row r="74" spans="1:17" ht="12" customHeight="1" x14ac:dyDescent="0.25">
      <c r="A74" s="172"/>
      <c r="B74" s="151" t="s">
        <v>263</v>
      </c>
    </row>
    <row r="75" spans="1:17" ht="12" customHeight="1" x14ac:dyDescent="0.25">
      <c r="A75" s="172"/>
      <c r="B75" s="2" t="s">
        <v>433</v>
      </c>
      <c r="C75" s="173"/>
      <c r="D75" s="173"/>
      <c r="E75" s="173"/>
      <c r="F75" s="2" t="s">
        <v>73</v>
      </c>
      <c r="H75" s="57">
        <f>'Input parameters'!AA19</f>
        <v>2.1000000000000001E-2</v>
      </c>
    </row>
    <row r="76" spans="1:17" ht="12" customHeight="1" x14ac:dyDescent="0.25">
      <c r="A76" s="172"/>
      <c r="B76" s="2" t="s">
        <v>434</v>
      </c>
      <c r="C76" s="173"/>
      <c r="D76" s="173"/>
      <c r="E76" s="173"/>
      <c r="F76" s="2" t="s">
        <v>73</v>
      </c>
      <c r="H76" s="57">
        <f>'Input parameters'!AB19</f>
        <v>2.8000000000000001E-2</v>
      </c>
    </row>
    <row r="77" spans="1:17" ht="12" customHeight="1" x14ac:dyDescent="0.25">
      <c r="A77" s="172"/>
      <c r="B77" s="2" t="s">
        <v>435</v>
      </c>
      <c r="C77" s="173"/>
      <c r="D77" s="173"/>
      <c r="E77" s="173"/>
      <c r="F77" s="2" t="s">
        <v>73</v>
      </c>
      <c r="H77" s="57">
        <f>'Input parameters'!AC19</f>
        <v>7.0000000000000001E-3</v>
      </c>
    </row>
    <row r="78" spans="1:17" ht="12" customHeight="1" x14ac:dyDescent="0.25">
      <c r="A78" s="172"/>
      <c r="B78" s="2" t="s">
        <v>112</v>
      </c>
      <c r="C78" s="2"/>
      <c r="D78" s="2"/>
      <c r="E78" s="2"/>
      <c r="F78" s="2" t="s">
        <v>73</v>
      </c>
      <c r="H78" s="57">
        <f>'Input parameters'!AD19</f>
        <v>2.4E-2</v>
      </c>
    </row>
    <row r="79" spans="1:17" ht="12" customHeight="1" x14ac:dyDescent="0.25">
      <c r="A79" s="172"/>
      <c r="B79" s="2" t="s">
        <v>144</v>
      </c>
      <c r="F79" s="2" t="s">
        <v>73</v>
      </c>
      <c r="H79" s="57">
        <f>'Input parameters'!AE19</f>
        <v>0.12</v>
      </c>
    </row>
    <row r="80" spans="1:17" ht="12" customHeight="1" x14ac:dyDescent="0.25">
      <c r="A80" s="172"/>
    </row>
    <row r="81" spans="1:17" ht="12" customHeight="1" x14ac:dyDescent="0.25">
      <c r="A81" s="172"/>
      <c r="B81" s="212" t="s">
        <v>466</v>
      </c>
      <c r="F81" s="2" t="s">
        <v>73</v>
      </c>
      <c r="H81" s="50">
        <f>'Input netverliezen'!H53</f>
        <v>3.48003665199971E-2</v>
      </c>
    </row>
    <row r="82" spans="1:17" ht="12" customHeight="1" x14ac:dyDescent="0.25">
      <c r="A82" s="172"/>
      <c r="B82" s="2"/>
      <c r="C82" s="2"/>
      <c r="D82" s="2"/>
      <c r="E82" s="2"/>
      <c r="F82" s="2"/>
    </row>
    <row r="83" spans="1:17" ht="12" customHeight="1" x14ac:dyDescent="0.25">
      <c r="A83" s="172"/>
      <c r="B83" s="2" t="s">
        <v>370</v>
      </c>
      <c r="C83" s="173"/>
      <c r="D83" s="173"/>
      <c r="E83" s="173"/>
      <c r="F83" s="173" t="s">
        <v>73</v>
      </c>
      <c r="H83" s="179">
        <f>'Input netverliezen'!H51</f>
        <v>0.75</v>
      </c>
    </row>
    <row r="84" spans="1:17" ht="12" customHeight="1" x14ac:dyDescent="0.25">
      <c r="A84" s="2"/>
      <c r="B84" s="2"/>
      <c r="C84" s="2"/>
      <c r="D84" s="2"/>
      <c r="E84" s="2"/>
      <c r="F84" s="2"/>
    </row>
    <row r="85" spans="1:17" ht="12" customHeight="1" x14ac:dyDescent="0.25">
      <c r="A85" s="2"/>
      <c r="B85" s="173" t="s">
        <v>627</v>
      </c>
      <c r="C85" s="2"/>
      <c r="D85" s="2"/>
      <c r="E85" s="2"/>
      <c r="F85" s="173" t="s">
        <v>73</v>
      </c>
      <c r="H85" s="50">
        <f>Parameters!M70</f>
        <v>2.9951455166698615E-2</v>
      </c>
    </row>
    <row r="86" spans="1:17" ht="12" customHeight="1" x14ac:dyDescent="0.25">
      <c r="B86" s="173" t="s">
        <v>477</v>
      </c>
      <c r="F86" s="173" t="s">
        <v>73</v>
      </c>
      <c r="H86" s="50">
        <f>Parameters!O71</f>
        <v>0.1395374412453505</v>
      </c>
    </row>
    <row r="87" spans="1:17" ht="12" customHeight="1" x14ac:dyDescent="0.25">
      <c r="A87" s="2"/>
      <c r="B87" s="2"/>
      <c r="C87" s="2"/>
      <c r="D87" s="2"/>
      <c r="E87" s="2"/>
      <c r="F87" s="2"/>
    </row>
    <row r="88" spans="1:17" s="6" customFormat="1" ht="12.75" x14ac:dyDescent="0.25">
      <c r="B88" s="6" t="s">
        <v>372</v>
      </c>
    </row>
    <row r="89" spans="1:17" ht="12" customHeight="1" x14ac:dyDescent="0.25">
      <c r="A89" s="173"/>
      <c r="B89" s="173"/>
      <c r="C89" s="173"/>
      <c r="D89" s="173"/>
      <c r="E89" s="173"/>
      <c r="F89" s="173"/>
    </row>
    <row r="90" spans="1:17" ht="12" customHeight="1" x14ac:dyDescent="0.25">
      <c r="A90" s="173"/>
      <c r="B90" s="205" t="s">
        <v>478</v>
      </c>
      <c r="C90" s="173"/>
      <c r="D90" s="173"/>
      <c r="E90" s="173"/>
      <c r="F90" s="173"/>
    </row>
    <row r="91" spans="1:17" ht="12" customHeight="1" x14ac:dyDescent="0.25">
      <c r="A91" s="173"/>
      <c r="B91" s="173" t="s">
        <v>479</v>
      </c>
      <c r="C91" s="173"/>
      <c r="D91" s="173"/>
      <c r="E91" s="173"/>
      <c r="F91" s="2" t="s">
        <v>97</v>
      </c>
      <c r="J91" s="108">
        <f t="shared" ref="J91:J93" si="0">SUM(L91:Q91)</f>
        <v>864722.7084227812</v>
      </c>
      <c r="L91" s="40">
        <f t="shared" ref="L91:Q91" si="1">(L31+L32+L33)*(1+$H$75)*(1+$H$76)*(1-$H$72)^2</f>
        <v>548.71709051128971</v>
      </c>
      <c r="M91" s="40">
        <f t="shared" si="1"/>
        <v>507828.75707191962</v>
      </c>
      <c r="N91" s="40">
        <f t="shared" si="1"/>
        <v>100069.51355700185</v>
      </c>
      <c r="O91" s="40">
        <f t="shared" si="1"/>
        <v>0</v>
      </c>
      <c r="P91" s="40">
        <f t="shared" si="1"/>
        <v>256275.72070334834</v>
      </c>
      <c r="Q91" s="40">
        <f t="shared" si="1"/>
        <v>0</v>
      </c>
    </row>
    <row r="92" spans="1:17" ht="12" customHeight="1" x14ac:dyDescent="0.25">
      <c r="A92" s="173"/>
      <c r="B92" s="173" t="s">
        <v>480</v>
      </c>
      <c r="C92" s="173"/>
      <c r="D92" s="173"/>
      <c r="E92" s="173"/>
      <c r="F92" s="2" t="s">
        <v>97</v>
      </c>
      <c r="J92" s="108">
        <f t="shared" si="0"/>
        <v>998339.26997499564</v>
      </c>
      <c r="L92" s="40">
        <f t="shared" ref="L92:Q92" si="2">(L36+L37+L38)*(1+$H$76)*(1-$H$72)</f>
        <v>0</v>
      </c>
      <c r="M92" s="40">
        <f t="shared" si="2"/>
        <v>609730.01250957802</v>
      </c>
      <c r="N92" s="40">
        <f t="shared" si="2"/>
        <v>139150.9686143345</v>
      </c>
      <c r="O92" s="40">
        <f t="shared" si="2"/>
        <v>198.22540596843814</v>
      </c>
      <c r="P92" s="40">
        <f t="shared" si="2"/>
        <v>249260.06344511459</v>
      </c>
      <c r="Q92" s="40">
        <f t="shared" si="2"/>
        <v>0</v>
      </c>
    </row>
    <row r="93" spans="1:17" ht="12" customHeight="1" x14ac:dyDescent="0.25">
      <c r="A93" s="173"/>
      <c r="B93" s="173" t="s">
        <v>481</v>
      </c>
      <c r="C93" s="173"/>
      <c r="D93" s="173"/>
      <c r="E93" s="173"/>
      <c r="F93" s="2" t="s">
        <v>97</v>
      </c>
      <c r="J93" s="108">
        <f t="shared" si="0"/>
        <v>1145938.1385235263</v>
      </c>
      <c r="L93" s="40">
        <f t="shared" ref="L93:Q93" si="3">L41+L42+L43</f>
        <v>0</v>
      </c>
      <c r="M93" s="40">
        <f t="shared" si="3"/>
        <v>389964.44200248877</v>
      </c>
      <c r="N93" s="40">
        <f t="shared" si="3"/>
        <v>457437.99652103736</v>
      </c>
      <c r="O93" s="40">
        <f t="shared" si="3"/>
        <v>1159.33</v>
      </c>
      <c r="P93" s="40">
        <f t="shared" si="3"/>
        <v>297376.37000000017</v>
      </c>
      <c r="Q93" s="40">
        <f t="shared" si="3"/>
        <v>0</v>
      </c>
    </row>
    <row r="94" spans="1:17" ht="12" customHeight="1" x14ac:dyDescent="0.25">
      <c r="A94" s="173"/>
      <c r="B94" s="173"/>
      <c r="C94" s="173"/>
      <c r="D94" s="173"/>
      <c r="E94" s="173"/>
      <c r="F94" s="173"/>
    </row>
    <row r="95" spans="1:17" ht="12" customHeight="1" x14ac:dyDescent="0.25">
      <c r="A95" s="173"/>
      <c r="B95" s="173" t="s">
        <v>438</v>
      </c>
      <c r="C95" s="173"/>
      <c r="D95" s="173"/>
      <c r="E95" s="173"/>
      <c r="F95" s="2" t="s">
        <v>97</v>
      </c>
      <c r="H95" s="108">
        <f>(J91+J92+J93)/3</f>
        <v>1003000.0389737677</v>
      </c>
    </row>
    <row r="96" spans="1:17" ht="12" customHeight="1" x14ac:dyDescent="0.25">
      <c r="A96" s="173"/>
      <c r="B96" s="173" t="s">
        <v>439</v>
      </c>
      <c r="C96" s="173"/>
      <c r="D96" s="173"/>
      <c r="E96" s="173"/>
      <c r="F96" s="172" t="s">
        <v>106</v>
      </c>
      <c r="H96" s="108">
        <f>H95*(1+H77)*(1-H72)</f>
        <v>1010787.7829600231</v>
      </c>
    </row>
    <row r="97" spans="1:20" ht="12" customHeight="1" x14ac:dyDescent="0.25">
      <c r="A97" s="173"/>
      <c r="B97" s="173" t="s">
        <v>440</v>
      </c>
      <c r="C97" s="173"/>
      <c r="D97" s="173"/>
      <c r="E97" s="173"/>
      <c r="F97" s="206" t="s">
        <v>441</v>
      </c>
      <c r="H97" s="207">
        <f>H96/J61</f>
        <v>1.2181127947371332E-3</v>
      </c>
    </row>
    <row r="98" spans="1:20" ht="12" customHeight="1" x14ac:dyDescent="0.25">
      <c r="A98" s="173"/>
      <c r="B98" s="173"/>
      <c r="C98" s="173"/>
      <c r="D98" s="173"/>
      <c r="E98" s="173"/>
      <c r="F98" s="173"/>
    </row>
    <row r="99" spans="1:20" ht="12" customHeight="1" x14ac:dyDescent="0.25">
      <c r="A99" s="173"/>
      <c r="B99" s="173" t="s">
        <v>442</v>
      </c>
      <c r="C99" s="173"/>
      <c r="D99" s="173"/>
      <c r="E99" s="173"/>
      <c r="F99" s="172" t="s">
        <v>106</v>
      </c>
      <c r="J99" s="108">
        <f t="shared" ref="J99:J103" si="4">SUM(L99:Q99)</f>
        <v>1010787.782960023</v>
      </c>
      <c r="L99" s="108">
        <f t="shared" ref="L99:Q99" si="5">$H$97*L61</f>
        <v>19979.096865401661</v>
      </c>
      <c r="M99" s="108">
        <f t="shared" si="5"/>
        <v>324668.18153565202</v>
      </c>
      <c r="N99" s="108">
        <f t="shared" si="5"/>
        <v>347717.10420246777</v>
      </c>
      <c r="O99" s="108">
        <f t="shared" si="5"/>
        <v>14666.369207429838</v>
      </c>
      <c r="P99" s="108">
        <f t="shared" si="5"/>
        <v>286424.78251602635</v>
      </c>
      <c r="Q99" s="108">
        <f t="shared" si="5"/>
        <v>17332.248633045438</v>
      </c>
    </row>
    <row r="100" spans="1:20" ht="12" customHeight="1" x14ac:dyDescent="0.25">
      <c r="A100" s="173"/>
      <c r="B100" s="173"/>
      <c r="C100" s="173"/>
      <c r="D100" s="173"/>
      <c r="E100" s="173"/>
      <c r="F100" s="172"/>
    </row>
    <row r="101" spans="1:20" ht="12" customHeight="1" x14ac:dyDescent="0.25">
      <c r="A101" s="172"/>
      <c r="B101" s="2" t="s">
        <v>443</v>
      </c>
      <c r="C101" s="172"/>
      <c r="D101" s="172"/>
      <c r="E101" s="172"/>
      <c r="F101" s="172" t="s">
        <v>106</v>
      </c>
      <c r="J101" s="108">
        <f t="shared" si="4"/>
        <v>21004741.141929701</v>
      </c>
      <c r="L101" s="108">
        <f t="shared" ref="L101:Q101" si="6">L46-L99</f>
        <v>367599.4348930901</v>
      </c>
      <c r="M101" s="108">
        <f t="shared" si="6"/>
        <v>6643238.4841432022</v>
      </c>
      <c r="N101" s="108">
        <f t="shared" si="6"/>
        <v>6909892.6421118705</v>
      </c>
      <c r="O101" s="108">
        <f t="shared" si="6"/>
        <v>279374.93699718965</v>
      </c>
      <c r="P101" s="108">
        <f t="shared" si="6"/>
        <v>5787530.2764863297</v>
      </c>
      <c r="Q101" s="108">
        <f t="shared" si="6"/>
        <v>1017105.3672980192</v>
      </c>
    </row>
    <row r="102" spans="1:20" ht="12" customHeight="1" x14ac:dyDescent="0.25">
      <c r="A102" s="172"/>
      <c r="B102" s="172" t="s">
        <v>373</v>
      </c>
      <c r="C102" s="172"/>
      <c r="D102" s="172"/>
      <c r="E102" s="172"/>
      <c r="F102" s="172" t="s">
        <v>111</v>
      </c>
      <c r="J102" s="108">
        <f t="shared" si="4"/>
        <v>21218062.6290319</v>
      </c>
      <c r="L102" s="108">
        <f t="shared" ref="L102:Q102" si="7">L101*(1+$H$78-L70/100)</f>
        <v>371275.429242021</v>
      </c>
      <c r="M102" s="108">
        <f t="shared" si="7"/>
        <v>6710335.1928330483</v>
      </c>
      <c r="N102" s="108">
        <f t="shared" si="7"/>
        <v>6982446.5148540447</v>
      </c>
      <c r="O102" s="108">
        <f t="shared" si="7"/>
        <v>282168.68636716157</v>
      </c>
      <c r="P102" s="108">
        <f t="shared" si="7"/>
        <v>5845984.3322788421</v>
      </c>
      <c r="Q102" s="108">
        <f t="shared" si="7"/>
        <v>1025852.4734567822</v>
      </c>
    </row>
    <row r="103" spans="1:20" ht="12" customHeight="1" x14ac:dyDescent="0.25">
      <c r="A103" s="172"/>
      <c r="B103" s="214" t="s">
        <v>482</v>
      </c>
      <c r="C103" s="209"/>
      <c r="D103" s="209"/>
      <c r="E103" s="209"/>
      <c r="F103" s="209" t="s">
        <v>142</v>
      </c>
      <c r="J103" s="108">
        <f t="shared" si="4"/>
        <v>23470487.929456383</v>
      </c>
      <c r="L103" s="108">
        <f t="shared" ref="L103:Q103" si="8">L102*(1+$H79-L$70/100)</f>
        <v>410630.62474167527</v>
      </c>
      <c r="M103" s="108">
        <f t="shared" si="8"/>
        <v>7422301.7567926357</v>
      </c>
      <c r="N103" s="108">
        <f t="shared" si="8"/>
        <v>7726077.068686001</v>
      </c>
      <c r="O103" s="108">
        <f t="shared" si="8"/>
        <v>312078.56712208071</v>
      </c>
      <c r="P103" s="108">
        <f t="shared" si="8"/>
        <v>6466243.2699336279</v>
      </c>
      <c r="Q103" s="108">
        <f t="shared" si="8"/>
        <v>1133156.6421803616</v>
      </c>
    </row>
    <row r="104" spans="1:20" ht="12" customHeight="1" x14ac:dyDescent="0.25">
      <c r="A104" s="173"/>
      <c r="B104" s="173"/>
      <c r="C104" s="173"/>
      <c r="D104" s="173"/>
      <c r="E104" s="173"/>
      <c r="F104" s="173"/>
    </row>
    <row r="105" spans="1:20" ht="12" customHeight="1" x14ac:dyDescent="0.25">
      <c r="A105" s="172"/>
      <c r="B105" s="176" t="s">
        <v>483</v>
      </c>
      <c r="C105" s="173"/>
      <c r="D105" s="173"/>
      <c r="E105" s="173"/>
      <c r="F105" s="173"/>
    </row>
    <row r="106" spans="1:20" ht="12" customHeight="1" x14ac:dyDescent="0.25">
      <c r="A106" s="172"/>
      <c r="B106" s="2" t="s">
        <v>484</v>
      </c>
      <c r="C106" s="2"/>
      <c r="D106" s="2"/>
      <c r="E106" s="2"/>
      <c r="F106" s="209" t="s">
        <v>111</v>
      </c>
      <c r="J106" s="108">
        <f t="shared" ref="J106" si="9">SUM(L106:Q106)</f>
        <v>1163541862.5107834</v>
      </c>
      <c r="L106" s="108">
        <f t="shared" ref="L106:Q106" si="10">L67-L102</f>
        <v>22876577.290870436</v>
      </c>
      <c r="M106" s="108">
        <f t="shared" si="10"/>
        <v>372448363.92046684</v>
      </c>
      <c r="N106" s="108">
        <f t="shared" si="10"/>
        <v>404311685.57728398</v>
      </c>
      <c r="O106" s="108">
        <f t="shared" si="10"/>
        <v>16749782.718545631</v>
      </c>
      <c r="P106" s="108">
        <f t="shared" si="10"/>
        <v>328456666.16322267</v>
      </c>
      <c r="Q106" s="108">
        <f t="shared" si="10"/>
        <v>18698786.840393782</v>
      </c>
    </row>
    <row r="107" spans="1:20" ht="12" customHeight="1" x14ac:dyDescent="0.25">
      <c r="A107" s="172"/>
      <c r="B107" s="2"/>
      <c r="C107" s="173"/>
      <c r="D107" s="173"/>
      <c r="E107" s="173"/>
      <c r="F107" s="209"/>
    </row>
    <row r="108" spans="1:20" ht="12" customHeight="1" x14ac:dyDescent="0.25">
      <c r="A108" s="172"/>
      <c r="B108" s="2" t="s">
        <v>485</v>
      </c>
      <c r="C108" s="173"/>
      <c r="D108" s="173"/>
      <c r="E108" s="173"/>
      <c r="F108" s="173" t="s">
        <v>142</v>
      </c>
      <c r="J108" s="108">
        <f t="shared" ref="J108" si="11">SUM(L108:Q108)</f>
        <v>40491683.276735336</v>
      </c>
      <c r="L108" s="108">
        <f>L106*$H$81</f>
        <v>796113.27444533352</v>
      </c>
      <c r="M108" s="108">
        <f t="shared" ref="M108:Q108" si="12">M106*$H$81</f>
        <v>12961339.57420551</v>
      </c>
      <c r="N108" s="108">
        <f t="shared" si="12"/>
        <v>14070194.846407307</v>
      </c>
      <c r="O108" s="108">
        <f t="shared" si="12"/>
        <v>582898.57773570134</v>
      </c>
      <c r="P108" s="108">
        <f t="shared" si="12"/>
        <v>11430412.368416479</v>
      </c>
      <c r="Q108" s="108">
        <f t="shared" si="12"/>
        <v>650724.63552500214</v>
      </c>
    </row>
    <row r="109" spans="1:20" ht="12" customHeight="1" x14ac:dyDescent="0.25">
      <c r="A109" s="172"/>
      <c r="B109" s="173"/>
      <c r="C109" s="173"/>
      <c r="D109" s="173"/>
      <c r="E109" s="173"/>
      <c r="F109" s="173"/>
    </row>
    <row r="110" spans="1:20" ht="12" customHeight="1" x14ac:dyDescent="0.25">
      <c r="A110" s="172"/>
      <c r="B110" s="176" t="s">
        <v>371</v>
      </c>
      <c r="C110" s="173"/>
      <c r="D110" s="173"/>
      <c r="E110" s="173"/>
      <c r="F110" s="173"/>
    </row>
    <row r="111" spans="1:20" ht="12" customHeight="1" x14ac:dyDescent="0.2">
      <c r="A111" s="172"/>
      <c r="B111" s="2" t="s">
        <v>366</v>
      </c>
      <c r="C111" s="2"/>
      <c r="D111" s="2"/>
      <c r="E111" s="2"/>
      <c r="F111" s="173" t="s">
        <v>142</v>
      </c>
      <c r="L111" s="233"/>
      <c r="M111" s="233"/>
      <c r="N111" s="233"/>
      <c r="O111" s="233"/>
      <c r="P111" s="233"/>
      <c r="Q111" s="40">
        <f>Q49*(1+H85)</f>
        <v>-3600751.8355044797</v>
      </c>
      <c r="T111" s="228"/>
    </row>
    <row r="112" spans="1:20" ht="12" customHeight="1" x14ac:dyDescent="0.25">
      <c r="A112" s="172"/>
      <c r="B112" s="173"/>
      <c r="C112" s="173"/>
      <c r="D112" s="173"/>
      <c r="E112" s="173"/>
      <c r="F112" s="173"/>
    </row>
    <row r="113" spans="1:19" ht="12" customHeight="1" x14ac:dyDescent="0.25">
      <c r="A113" s="172"/>
      <c r="B113" s="205" t="s">
        <v>445</v>
      </c>
      <c r="C113" s="173"/>
      <c r="D113" s="173"/>
      <c r="E113" s="173"/>
      <c r="F113" s="173"/>
    </row>
    <row r="114" spans="1:19" ht="12" customHeight="1" x14ac:dyDescent="0.25">
      <c r="A114" s="172"/>
      <c r="B114" s="173" t="s">
        <v>486</v>
      </c>
      <c r="C114" s="173"/>
      <c r="D114" s="173"/>
      <c r="E114" s="173"/>
      <c r="F114" s="173" t="s">
        <v>142</v>
      </c>
      <c r="J114" s="108">
        <f t="shared" ref="J114" si="13">SUM(L114:Q114)</f>
        <v>84452961.266094178</v>
      </c>
      <c r="L114" s="108">
        <f>L52-L53-L54-L55</f>
        <v>-714574</v>
      </c>
      <c r="M114" s="108">
        <f>M52-M53-M54-M55</f>
        <v>48474568.381357729</v>
      </c>
      <c r="N114" s="108">
        <f>N52-N53-N54-N55</f>
        <v>6924326.797409283</v>
      </c>
      <c r="O114" s="234">
        <f>O52-O53-O54-O55+O56</f>
        <v>27189.594172134966</v>
      </c>
      <c r="P114" s="108">
        <f>P52-P53-P54-P55</f>
        <v>25375435.448659506</v>
      </c>
      <c r="Q114" s="234">
        <f>Q111+Q52-Q53-Q54</f>
        <v>4366015.0444955202</v>
      </c>
      <c r="S114" s="236"/>
    </row>
    <row r="115" spans="1:19" ht="12" customHeight="1" x14ac:dyDescent="0.25">
      <c r="A115" s="172"/>
      <c r="B115" s="173" t="s">
        <v>487</v>
      </c>
      <c r="C115" s="173"/>
      <c r="D115" s="173"/>
      <c r="E115" s="173"/>
      <c r="F115" s="173" t="s">
        <v>142</v>
      </c>
      <c r="J115" s="108">
        <f>SUM(L115:Q115)</f>
        <v>20490790.059902456</v>
      </c>
      <c r="L115" s="108">
        <f t="shared" ref="L115:Q115" si="14">L114-L103-L108</f>
        <v>-1921317.8991870089</v>
      </c>
      <c r="M115" s="108">
        <f t="shared" si="14"/>
        <v>28090927.050359584</v>
      </c>
      <c r="N115" s="108">
        <f t="shared" si="14"/>
        <v>-14871945.117684025</v>
      </c>
      <c r="O115" s="108">
        <f t="shared" si="14"/>
        <v>-867787.55068564706</v>
      </c>
      <c r="P115" s="108">
        <f t="shared" si="14"/>
        <v>7478779.8103093971</v>
      </c>
      <c r="Q115" s="108">
        <f t="shared" si="14"/>
        <v>2582133.7667901563</v>
      </c>
    </row>
    <row r="116" spans="1:19" ht="12" customHeight="1" x14ac:dyDescent="0.25">
      <c r="A116" s="173"/>
      <c r="B116" s="173"/>
      <c r="C116" s="173"/>
      <c r="D116" s="173"/>
      <c r="E116" s="173"/>
      <c r="F116" s="173"/>
    </row>
    <row r="117" spans="1:19" s="6" customFormat="1" ht="12.75" x14ac:dyDescent="0.25">
      <c r="B117" s="6" t="s">
        <v>374</v>
      </c>
    </row>
    <row r="118" spans="1:19" ht="12" customHeight="1" x14ac:dyDescent="0.25">
      <c r="A118" s="173"/>
      <c r="B118" s="173"/>
      <c r="C118" s="173"/>
      <c r="D118" s="173"/>
      <c r="E118" s="173"/>
      <c r="F118" s="173"/>
    </row>
    <row r="119" spans="1:19" ht="12" customHeight="1" x14ac:dyDescent="0.25">
      <c r="A119" s="173"/>
      <c r="B119" s="178" t="s">
        <v>488</v>
      </c>
      <c r="C119" s="173"/>
      <c r="D119" s="173"/>
      <c r="E119" s="173"/>
      <c r="F119" s="173"/>
    </row>
    <row r="120" spans="1:19" ht="12" customHeight="1" x14ac:dyDescent="0.25">
      <c r="A120" s="173"/>
      <c r="B120" s="173" t="s">
        <v>375</v>
      </c>
      <c r="C120" s="173"/>
      <c r="D120" s="173"/>
      <c r="E120" s="173"/>
      <c r="F120" s="173" t="s">
        <v>142</v>
      </c>
      <c r="J120" s="108">
        <f>SUM(L120:Q120)</f>
        <v>15368092.544926845</v>
      </c>
      <c r="L120" s="108">
        <f t="shared" ref="L120:Q120" si="15">L115*$H$83</f>
        <v>-1440988.4243902566</v>
      </c>
      <c r="M120" s="108">
        <f t="shared" si="15"/>
        <v>21068195.28776969</v>
      </c>
      <c r="N120" s="108">
        <f t="shared" si="15"/>
        <v>-11153958.83826302</v>
      </c>
      <c r="O120" s="108">
        <f t="shared" si="15"/>
        <v>-650840.66301423532</v>
      </c>
      <c r="P120" s="108">
        <f t="shared" si="15"/>
        <v>5609084.8577320483</v>
      </c>
      <c r="Q120" s="108">
        <f t="shared" si="15"/>
        <v>1936600.3250926172</v>
      </c>
    </row>
    <row r="121" spans="1:19" ht="12" customHeight="1" x14ac:dyDescent="0.25">
      <c r="A121" s="173"/>
      <c r="B121" s="173"/>
      <c r="C121" s="173"/>
      <c r="D121" s="173"/>
      <c r="E121" s="173"/>
      <c r="F121" s="173"/>
    </row>
    <row r="122" spans="1:19" ht="12" customHeight="1" x14ac:dyDescent="0.25">
      <c r="A122" s="173"/>
      <c r="B122" s="178" t="s">
        <v>489</v>
      </c>
      <c r="C122" s="173"/>
      <c r="D122" s="173"/>
      <c r="E122" s="173"/>
      <c r="F122" s="173"/>
    </row>
    <row r="123" spans="1:19" ht="12" customHeight="1" x14ac:dyDescent="0.25">
      <c r="A123" s="173"/>
      <c r="B123" s="173" t="s">
        <v>376</v>
      </c>
      <c r="C123" s="173"/>
      <c r="D123" s="173"/>
      <c r="E123" s="173"/>
      <c r="F123" s="173" t="s">
        <v>142</v>
      </c>
      <c r="H123" s="142">
        <f>J115/J61</f>
        <v>2.4693703235258459E-2</v>
      </c>
    </row>
    <row r="124" spans="1:19" ht="12" customHeight="1" x14ac:dyDescent="0.25">
      <c r="A124" s="173"/>
      <c r="B124" s="173" t="s">
        <v>377</v>
      </c>
      <c r="C124" s="173"/>
      <c r="D124" s="173"/>
      <c r="E124" s="173"/>
      <c r="F124" s="173" t="s">
        <v>142</v>
      </c>
      <c r="J124" s="108">
        <f>SUM(L124:Q124)</f>
        <v>20490790.059902456</v>
      </c>
      <c r="L124" s="108">
        <f t="shared" ref="L124:Q124" si="16">L61*$H$123</f>
        <v>405018.23068788718</v>
      </c>
      <c r="M124" s="108">
        <f t="shared" si="16"/>
        <v>6581705.5361466119</v>
      </c>
      <c r="N124" s="108">
        <f t="shared" si="16"/>
        <v>7048955.5795628252</v>
      </c>
      <c r="O124" s="108">
        <f t="shared" si="16"/>
        <v>297318.08935243986</v>
      </c>
      <c r="P124" s="108">
        <f t="shared" si="16"/>
        <v>5806431.5630150801</v>
      </c>
      <c r="Q124" s="108">
        <f t="shared" si="16"/>
        <v>351361.06113760942</v>
      </c>
    </row>
    <row r="125" spans="1:19" ht="12" customHeight="1" x14ac:dyDescent="0.25">
      <c r="A125" s="173"/>
      <c r="B125" s="173"/>
      <c r="C125" s="173"/>
      <c r="D125" s="173"/>
      <c r="E125" s="173"/>
      <c r="F125" s="173"/>
    </row>
    <row r="126" spans="1:19" ht="12" customHeight="1" x14ac:dyDescent="0.25">
      <c r="A126" s="173"/>
      <c r="B126" s="173" t="s">
        <v>378</v>
      </c>
      <c r="C126" s="173"/>
      <c r="D126" s="173"/>
      <c r="E126" s="173"/>
      <c r="F126" s="173" t="s">
        <v>142</v>
      </c>
      <c r="J126" s="108">
        <f>SUM(L126:Q126)</f>
        <v>5122697.5149756139</v>
      </c>
      <c r="L126" s="108">
        <f t="shared" ref="L126:Q126" si="17">L124*(1-$H$83)</f>
        <v>101254.55767197179</v>
      </c>
      <c r="M126" s="108">
        <f t="shared" si="17"/>
        <v>1645426.384036653</v>
      </c>
      <c r="N126" s="108">
        <f t="shared" si="17"/>
        <v>1762238.8948907063</v>
      </c>
      <c r="O126" s="108">
        <f t="shared" si="17"/>
        <v>74329.522338109964</v>
      </c>
      <c r="P126" s="108">
        <f t="shared" si="17"/>
        <v>1451607.89075377</v>
      </c>
      <c r="Q126" s="108">
        <f t="shared" si="17"/>
        <v>87840.265284402354</v>
      </c>
    </row>
    <row r="127" spans="1:19" ht="12" customHeight="1" x14ac:dyDescent="0.25">
      <c r="A127" s="173"/>
      <c r="B127" s="173"/>
      <c r="C127" s="173"/>
      <c r="D127" s="173"/>
      <c r="E127" s="173"/>
      <c r="F127" s="173"/>
    </row>
    <row r="128" spans="1:19" s="6" customFormat="1" ht="12.75" x14ac:dyDescent="0.25">
      <c r="B128" s="6" t="s">
        <v>379</v>
      </c>
    </row>
    <row r="129" spans="1:17" ht="12" customHeight="1" x14ac:dyDescent="0.25">
      <c r="A129" s="173"/>
      <c r="B129" s="173"/>
      <c r="C129" s="173"/>
      <c r="D129" s="173"/>
      <c r="E129" s="173"/>
      <c r="F129" s="173"/>
    </row>
    <row r="130" spans="1:17" ht="12" customHeight="1" x14ac:dyDescent="0.25">
      <c r="A130" s="173"/>
      <c r="B130" s="173" t="s">
        <v>490</v>
      </c>
      <c r="C130" s="173"/>
      <c r="D130" s="173"/>
      <c r="E130" s="173"/>
      <c r="F130" s="173" t="s">
        <v>142</v>
      </c>
      <c r="J130" s="108">
        <f>SUM(L130:Q130)</f>
        <v>20490790.059902456</v>
      </c>
      <c r="L130" s="108">
        <f>L120+L126</f>
        <v>-1339733.8667182848</v>
      </c>
      <c r="M130" s="108">
        <f t="shared" ref="M130:Q130" si="18">M120+M126</f>
        <v>22713621.671806343</v>
      </c>
      <c r="N130" s="108">
        <f t="shared" si="18"/>
        <v>-9391719.9433723129</v>
      </c>
      <c r="O130" s="108">
        <f t="shared" si="18"/>
        <v>-576511.14067612542</v>
      </c>
      <c r="P130" s="108">
        <f t="shared" si="18"/>
        <v>7060692.7484858185</v>
      </c>
      <c r="Q130" s="108">
        <f t="shared" si="18"/>
        <v>2024440.5903770195</v>
      </c>
    </row>
    <row r="131" spans="1:17" ht="12" customHeight="1" x14ac:dyDescent="0.25">
      <c r="A131" s="173"/>
      <c r="B131" s="173" t="s">
        <v>624</v>
      </c>
      <c r="C131" s="173"/>
      <c r="D131" s="173"/>
      <c r="E131" s="173"/>
      <c r="F131" s="173" t="s">
        <v>142</v>
      </c>
      <c r="J131" s="108">
        <f>SUM(L131:Q131)</f>
        <v>88730875.045129716</v>
      </c>
      <c r="L131" s="108">
        <f>L58 * (L64/L63)</f>
        <v>1183331.4214294569</v>
      </c>
      <c r="M131" s="108">
        <f t="shared" ref="M131:Q131" si="19">M58 * (M64/M63)</f>
        <v>26629367.412553702</v>
      </c>
      <c r="N131" s="108">
        <f t="shared" si="19"/>
        <v>45724483.948040821</v>
      </c>
      <c r="O131" s="108">
        <f t="shared" si="19"/>
        <v>0</v>
      </c>
      <c r="P131" s="108">
        <f t="shared" si="19"/>
        <v>11003986.479873493</v>
      </c>
      <c r="Q131" s="108">
        <f t="shared" si="19"/>
        <v>4189705.7832322372</v>
      </c>
    </row>
    <row r="132" spans="1:17" ht="12" customHeight="1" x14ac:dyDescent="0.25">
      <c r="A132" s="173"/>
      <c r="B132" s="173"/>
      <c r="C132" s="173"/>
      <c r="D132" s="173"/>
      <c r="E132" s="173"/>
      <c r="F132" s="173"/>
    </row>
    <row r="133" spans="1:17" ht="12" customHeight="1" x14ac:dyDescent="0.25">
      <c r="A133" s="173"/>
      <c r="B133" s="173" t="s">
        <v>491</v>
      </c>
      <c r="C133" s="173"/>
      <c r="D133" s="173"/>
      <c r="E133" s="173"/>
      <c r="F133" s="173" t="s">
        <v>142</v>
      </c>
      <c r="J133" s="108">
        <f>SUM(L133:Q133)</f>
        <v>-68240084.985227257</v>
      </c>
      <c r="L133" s="108">
        <f>L130-L131</f>
        <v>-2523065.2881477419</v>
      </c>
      <c r="M133" s="108">
        <f t="shared" ref="M133:Q133" si="20">M130-M131</f>
        <v>-3915745.7407473586</v>
      </c>
      <c r="N133" s="108">
        <f t="shared" si="20"/>
        <v>-55116203.891413137</v>
      </c>
      <c r="O133" s="108">
        <f t="shared" si="20"/>
        <v>-576511.14067612542</v>
      </c>
      <c r="P133" s="108">
        <f t="shared" si="20"/>
        <v>-3943293.7313876748</v>
      </c>
      <c r="Q133" s="108">
        <f t="shared" si="20"/>
        <v>-2165265.1928552175</v>
      </c>
    </row>
    <row r="134" spans="1:17" ht="12" customHeight="1" x14ac:dyDescent="0.25">
      <c r="A134" s="172"/>
      <c r="B134" s="173"/>
      <c r="C134" s="173"/>
      <c r="D134" s="173"/>
      <c r="E134" s="173"/>
      <c r="F134" s="173"/>
    </row>
    <row r="135" spans="1:17" ht="12" customHeight="1" x14ac:dyDescent="0.25">
      <c r="A135" s="172"/>
      <c r="B135" s="173" t="s">
        <v>492</v>
      </c>
      <c r="C135" s="173"/>
      <c r="D135" s="173"/>
      <c r="E135" s="173"/>
      <c r="F135" s="173" t="s">
        <v>493</v>
      </c>
      <c r="J135" s="108">
        <f>SUM(L135:Q135)</f>
        <v>-77762131.834431142</v>
      </c>
      <c r="L135" s="39">
        <f>L133*(1+$H$86)</f>
        <v>-2875127.3625508407</v>
      </c>
      <c r="M135" s="39">
        <f t="shared" ref="M135:Q135" si="21">M133*(1+$H$86)</f>
        <v>-4462138.8819786245</v>
      </c>
      <c r="N135" s="39">
        <f t="shared" si="21"/>
        <v>-62806977.953577958</v>
      </c>
      <c r="O135" s="39">
        <f t="shared" si="21"/>
        <v>-656956.0300955103</v>
      </c>
      <c r="P135" s="39">
        <f t="shared" si="21"/>
        <v>-4493530.8487443412</v>
      </c>
      <c r="Q135" s="39">
        <f t="shared" si="21"/>
        <v>-2467400.7574838549</v>
      </c>
    </row>
    <row r="136" spans="1:17" ht="12" customHeight="1" x14ac:dyDescent="0.25">
      <c r="A136" s="172"/>
      <c r="B136" s="173"/>
      <c r="C136" s="173"/>
      <c r="D136" s="173"/>
      <c r="E136" s="173"/>
      <c r="F136" s="173"/>
    </row>
    <row r="137" spans="1:17" ht="12" customHeight="1" x14ac:dyDescent="0.25">
      <c r="A137" s="172"/>
    </row>
  </sheetData>
  <phoneticPr fontId="61" type="noConversion"/>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3FDC-9A16-403B-9BC6-0996DB6F8A37}">
  <sheetPr>
    <tabColor rgb="FFFFFFCC"/>
  </sheetPr>
  <dimension ref="A1:X126"/>
  <sheetViews>
    <sheetView showGridLines="0" zoomScale="85" zoomScaleNormal="85" workbookViewId="0">
      <pane xSplit="6" ySplit="20" topLeftCell="G21" activePane="bottomRight" state="frozen"/>
      <selection pane="topRight" activeCell="G1" sqref="G1"/>
      <selection pane="bottomLeft" activeCell="A21" sqref="A21"/>
      <selection pane="bottomRight" activeCell="G21" sqref="G21"/>
    </sheetView>
  </sheetViews>
  <sheetFormatPr defaultColWidth="9.140625" defaultRowHeight="12" customHeight="1" x14ac:dyDescent="0.25"/>
  <cols>
    <col min="1" max="1" width="3" style="132" customWidth="1"/>
    <col min="2" max="2" width="77" style="132" customWidth="1"/>
    <col min="3" max="3" width="3.7109375" style="132" customWidth="1"/>
    <col min="4" max="4" width="3.42578125" style="132" customWidth="1"/>
    <col min="5" max="5" width="3.140625" style="132" customWidth="1"/>
    <col min="6" max="6" width="13.28515625" style="132" customWidth="1"/>
    <col min="7" max="7" width="2.5703125" style="132" customWidth="1"/>
    <col min="8" max="8" width="13.85546875" style="132" customWidth="1"/>
    <col min="9" max="9" width="2.7109375" style="132" customWidth="1"/>
    <col min="10" max="10" width="15" style="132" bestFit="1" customWidth="1"/>
    <col min="11" max="11" width="2.140625" style="132" customWidth="1"/>
    <col min="12" max="17" width="14" style="132" customWidth="1"/>
    <col min="18" max="18" width="2.42578125" style="132" customWidth="1"/>
    <col min="19" max="19" width="14" style="132" customWidth="1"/>
    <col min="20" max="20" width="2.42578125" style="132" customWidth="1"/>
    <col min="21" max="21" width="15.7109375" style="132" customWidth="1"/>
    <col min="22" max="16384" width="9.140625" style="132"/>
  </cols>
  <sheetData>
    <row r="1" spans="1:17" s="2" customFormat="1" ht="12.75" x14ac:dyDescent="0.25">
      <c r="L1" s="102"/>
      <c r="M1" s="102"/>
      <c r="N1" s="102"/>
      <c r="O1" s="102"/>
      <c r="P1" s="102"/>
      <c r="Q1" s="102"/>
    </row>
    <row r="2" spans="1:17" s="98" customFormat="1" ht="18" x14ac:dyDescent="0.25">
      <c r="A2" s="184"/>
      <c r="B2" s="184" t="s">
        <v>659</v>
      </c>
      <c r="L2" s="107"/>
      <c r="M2" s="107"/>
      <c r="N2" s="107"/>
      <c r="O2" s="107"/>
      <c r="P2" s="107"/>
      <c r="Q2" s="107"/>
    </row>
    <row r="3" spans="1:17" s="2" customFormat="1" ht="12" customHeight="1" x14ac:dyDescent="0.25">
      <c r="L3" s="102"/>
      <c r="M3" s="102"/>
      <c r="N3" s="102"/>
      <c r="O3" s="102"/>
      <c r="P3" s="102"/>
      <c r="Q3" s="102"/>
    </row>
    <row r="4" spans="1:17" s="2" customFormat="1" ht="12" customHeight="1" x14ac:dyDescent="0.25">
      <c r="B4" s="1" t="s">
        <v>59</v>
      </c>
      <c r="L4" s="102"/>
      <c r="M4" s="102"/>
      <c r="N4" s="102"/>
      <c r="O4" s="102"/>
      <c r="P4" s="102"/>
      <c r="Q4" s="102"/>
    </row>
    <row r="5" spans="1:17" s="2" customFormat="1" ht="12.75" x14ac:dyDescent="0.2">
      <c r="B5" s="41" t="s">
        <v>663</v>
      </c>
      <c r="C5" s="1"/>
      <c r="D5" s="1"/>
    </row>
    <row r="6" spans="1:17" s="2" customFormat="1" ht="12.75" x14ac:dyDescent="0.2">
      <c r="B6" s="41" t="s">
        <v>660</v>
      </c>
      <c r="C6" s="1"/>
      <c r="D6" s="1"/>
    </row>
    <row r="7" spans="1:17" s="2" customFormat="1" ht="12.75" x14ac:dyDescent="0.2">
      <c r="B7" s="41" t="s">
        <v>324</v>
      </c>
      <c r="C7" s="1"/>
      <c r="D7" s="1"/>
    </row>
    <row r="8" spans="1:17" s="2" customFormat="1" ht="12.75" x14ac:dyDescent="0.2">
      <c r="B8" s="41" t="s">
        <v>361</v>
      </c>
      <c r="C8" s="1"/>
      <c r="D8" s="1"/>
    </row>
    <row r="9" spans="1:17" s="2" customFormat="1" ht="12.75" x14ac:dyDescent="0.25">
      <c r="B9" s="2" t="s">
        <v>325</v>
      </c>
      <c r="H9" s="20"/>
    </row>
    <row r="10" spans="1:17" s="2" customFormat="1" ht="12.75" x14ac:dyDescent="0.25">
      <c r="H10" s="20"/>
    </row>
    <row r="11" spans="1:17" s="2" customFormat="1" ht="12.75" x14ac:dyDescent="0.25">
      <c r="B11" s="2" t="s">
        <v>326</v>
      </c>
      <c r="H11" s="20"/>
    </row>
    <row r="12" spans="1:17" s="2" customFormat="1" ht="12.75" x14ac:dyDescent="0.25">
      <c r="B12" s="2" t="s">
        <v>661</v>
      </c>
      <c r="H12" s="20"/>
    </row>
    <row r="13" spans="1:17" s="2" customFormat="1" ht="12.75" x14ac:dyDescent="0.25">
      <c r="B13" s="2" t="s">
        <v>508</v>
      </c>
      <c r="H13" s="20"/>
    </row>
    <row r="14" spans="1:17" s="2" customFormat="1" ht="12.75" x14ac:dyDescent="0.25">
      <c r="B14" s="2" t="s">
        <v>662</v>
      </c>
      <c r="H14" s="20"/>
    </row>
    <row r="15" spans="1:17" s="2" customFormat="1" ht="12.75" x14ac:dyDescent="0.25">
      <c r="B15" s="2" t="s">
        <v>327</v>
      </c>
      <c r="H15" s="20"/>
    </row>
    <row r="16" spans="1:17" s="2" customFormat="1" ht="12.75" x14ac:dyDescent="0.25">
      <c r="B16" s="2" t="s">
        <v>328</v>
      </c>
      <c r="H16" s="20"/>
    </row>
    <row r="17" spans="2:24" s="2" customFormat="1" ht="12.75" x14ac:dyDescent="0.25">
      <c r="B17" s="2" t="s">
        <v>329</v>
      </c>
      <c r="H17" s="20"/>
    </row>
    <row r="18" spans="2:24" s="2" customFormat="1" ht="12" customHeight="1" x14ac:dyDescent="0.25">
      <c r="L18" s="102"/>
      <c r="M18" s="102"/>
      <c r="N18" s="102"/>
      <c r="O18" s="102"/>
      <c r="P18" s="102"/>
      <c r="Q18" s="102"/>
    </row>
    <row r="19" spans="2:24" s="6" customFormat="1" ht="12" customHeight="1" x14ac:dyDescent="0.25">
      <c r="B19" s="6" t="s">
        <v>46</v>
      </c>
      <c r="F19" s="6" t="s">
        <v>28</v>
      </c>
      <c r="H19" s="6" t="s">
        <v>29</v>
      </c>
      <c r="J19" s="6" t="s">
        <v>50</v>
      </c>
      <c r="L19" s="103" t="s">
        <v>89</v>
      </c>
      <c r="M19" s="103" t="s">
        <v>66</v>
      </c>
      <c r="N19" s="103" t="s">
        <v>67</v>
      </c>
      <c r="O19" s="103" t="s">
        <v>68</v>
      </c>
      <c r="P19" s="103" t="s">
        <v>69</v>
      </c>
      <c r="Q19" s="103" t="s">
        <v>70</v>
      </c>
      <c r="S19" s="6" t="s">
        <v>65</v>
      </c>
      <c r="U19" s="6" t="s">
        <v>252</v>
      </c>
    </row>
    <row r="20" spans="2:24" s="2" customFormat="1" ht="12" customHeight="1" x14ac:dyDescent="0.25">
      <c r="L20" s="102"/>
      <c r="M20" s="102"/>
      <c r="N20" s="102"/>
      <c r="O20" s="102"/>
      <c r="P20" s="102"/>
      <c r="Q20" s="102"/>
    </row>
    <row r="21" spans="2:24" s="2" customFormat="1" ht="12" customHeight="1" x14ac:dyDescent="0.25">
      <c r="L21" s="102"/>
      <c r="M21" s="102"/>
      <c r="N21" s="102"/>
      <c r="O21" s="102"/>
      <c r="P21" s="102"/>
      <c r="Q21" s="102"/>
    </row>
    <row r="22" spans="2:24" s="6" customFormat="1" ht="12.75" x14ac:dyDescent="0.25">
      <c r="B22" s="6" t="s">
        <v>262</v>
      </c>
    </row>
    <row r="23" spans="2:24" ht="12.75" x14ac:dyDescent="0.25">
      <c r="R23" s="2"/>
    </row>
    <row r="24" spans="2:24" ht="12.75" x14ac:dyDescent="0.25">
      <c r="B24" s="133" t="s">
        <v>253</v>
      </c>
      <c r="R24" s="2"/>
    </row>
    <row r="25" spans="2:24" ht="12.75" x14ac:dyDescent="0.2">
      <c r="B25" s="134" t="s">
        <v>242</v>
      </c>
      <c r="F25" s="134" t="s">
        <v>243</v>
      </c>
      <c r="K25" s="2"/>
      <c r="L25" s="104">
        <f>'Input rente'!L17</f>
        <v>30652480.316061754</v>
      </c>
      <c r="M25" s="104">
        <f>'Input rente'!M17</f>
        <v>394254915.4142642</v>
      </c>
      <c r="N25" s="104">
        <f>'Input rente'!N17</f>
        <v>474872325.14985597</v>
      </c>
      <c r="O25" s="104">
        <f>'Input rente'!O17</f>
        <v>13550831.825132813</v>
      </c>
      <c r="P25" s="104">
        <f>'Input rente'!P17</f>
        <v>523512609.75456166</v>
      </c>
      <c r="Q25" s="104">
        <f>'Input rente'!Q17</f>
        <v>4445816.9122776175</v>
      </c>
      <c r="R25" s="2"/>
      <c r="S25" s="104">
        <f>'Input rente'!S17</f>
        <v>23909206.87880842</v>
      </c>
      <c r="T25" s="2"/>
      <c r="W25" s="2"/>
    </row>
    <row r="26" spans="2:24" ht="12.75" x14ac:dyDescent="0.2">
      <c r="B26" s="134" t="s">
        <v>244</v>
      </c>
      <c r="F26" s="134" t="s">
        <v>245</v>
      </c>
      <c r="K26" s="2"/>
      <c r="L26" s="104">
        <f>'Input rente'!L18</f>
        <v>32381728.118142974</v>
      </c>
      <c r="M26" s="104">
        <f>'Input rente'!M18</f>
        <v>430824188.62226701</v>
      </c>
      <c r="N26" s="104">
        <f>'Input rente'!N18</f>
        <v>498196289.91242325</v>
      </c>
      <c r="O26" s="104">
        <f>'Input rente'!O18</f>
        <v>13877279.674869154</v>
      </c>
      <c r="P26" s="104">
        <f>'Input rente'!P18</f>
        <v>553547665.17372274</v>
      </c>
      <c r="Q26" s="104">
        <f>'Input rente'!Q18</f>
        <v>5306249.0338292299</v>
      </c>
      <c r="S26" s="104">
        <f>'Input rente'!S18</f>
        <v>26571132.509465653</v>
      </c>
      <c r="T26" s="2"/>
      <c r="W26" s="2"/>
    </row>
    <row r="27" spans="2:24" ht="12.75" x14ac:dyDescent="0.2">
      <c r="B27" s="132" t="s">
        <v>246</v>
      </c>
      <c r="F27" s="134" t="s">
        <v>97</v>
      </c>
      <c r="K27" s="2"/>
      <c r="L27" s="104">
        <f>'Input rente'!L19</f>
        <v>33655137.099942259</v>
      </c>
      <c r="M27" s="104">
        <f>'Input rente'!M19</f>
        <v>470682349.42935896</v>
      </c>
      <c r="N27" s="104">
        <f>'Input rente'!N19</f>
        <v>515359430.54450917</v>
      </c>
      <c r="O27" s="104">
        <f>'Input rente'!O19</f>
        <v>14509438.926430915</v>
      </c>
      <c r="P27" s="104">
        <f>'Input rente'!P19</f>
        <v>584621308.46684813</v>
      </c>
      <c r="Q27" s="104">
        <f>'Input rente'!Q19</f>
        <v>6144622.2314581117</v>
      </c>
      <c r="S27" s="104">
        <f>'Input rente'!S19</f>
        <v>27870432.564941615</v>
      </c>
      <c r="T27" s="2"/>
      <c r="W27" s="2"/>
    </row>
    <row r="28" spans="2:24" ht="12.75" x14ac:dyDescent="0.25">
      <c r="R28" s="2"/>
      <c r="W28" s="2"/>
    </row>
    <row r="29" spans="2:24" ht="12.75" x14ac:dyDescent="0.25">
      <c r="B29" s="133" t="s">
        <v>254</v>
      </c>
      <c r="R29" s="2"/>
      <c r="W29" s="2"/>
    </row>
    <row r="30" spans="2:24" ht="12.75" x14ac:dyDescent="0.2">
      <c r="B30" s="134" t="s">
        <v>242</v>
      </c>
      <c r="F30" s="134" t="s">
        <v>243</v>
      </c>
      <c r="K30" s="2"/>
      <c r="L30" s="104">
        <f>'Input rente'!L22</f>
        <v>88606458.440240785</v>
      </c>
      <c r="M30" s="104">
        <f>'Input rente'!M22</f>
        <v>2031930430.9568429</v>
      </c>
      <c r="N30" s="104">
        <f>'Input rente'!N22</f>
        <v>2192572173.8942842</v>
      </c>
      <c r="O30" s="104">
        <f>'Input rente'!O22</f>
        <v>134235076.96486095</v>
      </c>
      <c r="P30" s="104">
        <f>'Input rente'!P22</f>
        <v>1599840013.6930697</v>
      </c>
      <c r="Q30" s="104">
        <f>'Input rente'!Q22</f>
        <v>114950789.67042841</v>
      </c>
      <c r="R30" s="2"/>
      <c r="S30" s="104">
        <f>'Input rente'!S22</f>
        <v>133331815.58543745</v>
      </c>
      <c r="T30" s="2"/>
      <c r="U30" s="104">
        <f>'Input rente'!U22</f>
        <v>136082375.25258124</v>
      </c>
      <c r="V30" s="2"/>
      <c r="W30" s="2"/>
      <c r="X30" s="2"/>
    </row>
    <row r="31" spans="2:24" ht="12.75" x14ac:dyDescent="0.2">
      <c r="B31" s="134" t="s">
        <v>244</v>
      </c>
      <c r="F31" s="134" t="s">
        <v>245</v>
      </c>
      <c r="K31" s="2"/>
      <c r="L31" s="104">
        <f>'Input rente'!L23</f>
        <v>87159418.324196801</v>
      </c>
      <c r="M31" s="104">
        <f>'Input rente'!M23</f>
        <v>2125583728.4493718</v>
      </c>
      <c r="N31" s="104">
        <f>'Input rente'!N23</f>
        <v>2208864039.1738081</v>
      </c>
      <c r="O31" s="104">
        <f>'Input rente'!O23</f>
        <v>131656865.26070504</v>
      </c>
      <c r="P31" s="104">
        <f>'Input rente'!P23</f>
        <v>1642805785.3970008</v>
      </c>
      <c r="Q31" s="104">
        <f>'Input rente'!Q23</f>
        <v>114564740.14767645</v>
      </c>
      <c r="S31" s="104">
        <f>'Input rente'!S23</f>
        <v>137813406.4031584</v>
      </c>
      <c r="T31" s="2"/>
      <c r="U31" s="104">
        <f>'Input rente'!U23</f>
        <v>133674859.88588828</v>
      </c>
      <c r="V31" s="2"/>
      <c r="W31" s="2"/>
      <c r="X31" s="2"/>
    </row>
    <row r="32" spans="2:24" ht="12.75" x14ac:dyDescent="0.2">
      <c r="B32" s="132" t="s">
        <v>246</v>
      </c>
      <c r="F32" s="134" t="s">
        <v>97</v>
      </c>
      <c r="K32" s="2"/>
      <c r="L32" s="104">
        <f>'Input rente'!L24</f>
        <v>85929787.491672069</v>
      </c>
      <c r="M32" s="104">
        <f>'Input rente'!M24</f>
        <v>2227267699.5519772</v>
      </c>
      <c r="N32" s="104">
        <f>'Input rente'!N24</f>
        <v>2242584564.1130085</v>
      </c>
      <c r="O32" s="104">
        <f>'Input rente'!O24</f>
        <v>130593520.99825928</v>
      </c>
      <c r="P32" s="104">
        <f>'Input rente'!P24</f>
        <v>1670805630.1382911</v>
      </c>
      <c r="Q32" s="104">
        <f>'Input rente'!Q24</f>
        <v>112196988.28063172</v>
      </c>
      <c r="S32" s="104">
        <f>'Input rente'!S24</f>
        <v>139065836.12812001</v>
      </c>
      <c r="T32" s="2"/>
      <c r="U32" s="181"/>
      <c r="V32" s="2"/>
      <c r="W32" s="2"/>
      <c r="X32" s="2"/>
    </row>
    <row r="33" spans="2:23" ht="12.75" x14ac:dyDescent="0.25"/>
    <row r="34" spans="2:23" s="6" customFormat="1" ht="12.75" x14ac:dyDescent="0.25">
      <c r="B34" s="6" t="s">
        <v>229</v>
      </c>
    </row>
    <row r="35" spans="2:23" ht="12.75" x14ac:dyDescent="0.25"/>
    <row r="36" spans="2:23" ht="12.75" x14ac:dyDescent="0.25">
      <c r="B36" s="1" t="s">
        <v>669</v>
      </c>
    </row>
    <row r="37" spans="2:23" ht="12.75" x14ac:dyDescent="0.25">
      <c r="B37" s="2" t="s">
        <v>255</v>
      </c>
      <c r="F37" s="132" t="s">
        <v>73</v>
      </c>
      <c r="H37" s="137">
        <f>'Input rente'!H29</f>
        <v>3.4000000000000002E-2</v>
      </c>
      <c r="W37" s="2"/>
    </row>
    <row r="38" spans="2:23" ht="12.75" x14ac:dyDescent="0.25">
      <c r="B38" s="2" t="s">
        <v>256</v>
      </c>
      <c r="F38" s="132" t="s">
        <v>73</v>
      </c>
      <c r="H38" s="137">
        <f>'Input rente'!H30</f>
        <v>3.6999999999999998E-2</v>
      </c>
      <c r="W38" s="2"/>
    </row>
    <row r="39" spans="2:23" ht="12.75" x14ac:dyDescent="0.25">
      <c r="B39" s="2"/>
    </row>
    <row r="40" spans="2:23" ht="12.75" x14ac:dyDescent="0.25">
      <c r="B40" s="1" t="s">
        <v>248</v>
      </c>
    </row>
    <row r="41" spans="2:23" ht="12.75" x14ac:dyDescent="0.25">
      <c r="B41" s="2" t="s">
        <v>215</v>
      </c>
      <c r="F41" s="132" t="s">
        <v>73</v>
      </c>
      <c r="H41" s="137">
        <f>'Input rente'!H33</f>
        <v>0.05</v>
      </c>
    </row>
    <row r="42" spans="2:23" ht="12.75" x14ac:dyDescent="0.25">
      <c r="B42" s="2"/>
    </row>
    <row r="43" spans="2:23" ht="12.75" x14ac:dyDescent="0.25">
      <c r="B43" s="1" t="s">
        <v>257</v>
      </c>
    </row>
    <row r="44" spans="2:23" ht="12.75" x14ac:dyDescent="0.25">
      <c r="B44" s="2" t="s">
        <v>249</v>
      </c>
      <c r="F44" s="132" t="s">
        <v>73</v>
      </c>
      <c r="H44" s="137">
        <f>'Input rente'!H36</f>
        <v>-3.6868648042002516E-2</v>
      </c>
      <c r="W44" s="2"/>
    </row>
    <row r="45" spans="2:23" ht="12.75" x14ac:dyDescent="0.25">
      <c r="B45" s="2" t="s">
        <v>250</v>
      </c>
      <c r="F45" s="132" t="s">
        <v>73</v>
      </c>
      <c r="H45" s="137">
        <f>'Input rente'!H37</f>
        <v>-3.1175556579387642E-2</v>
      </c>
      <c r="R45" s="2"/>
      <c r="S45" s="2"/>
      <c r="T45" s="2"/>
      <c r="U45" s="2"/>
      <c r="W45" s="2"/>
    </row>
    <row r="46" spans="2:23" ht="12.75" x14ac:dyDescent="0.25">
      <c r="B46" s="2"/>
    </row>
    <row r="47" spans="2:23" ht="12.75" x14ac:dyDescent="0.25">
      <c r="B47" s="1" t="s">
        <v>258</v>
      </c>
    </row>
    <row r="48" spans="2:23" ht="12.75" x14ac:dyDescent="0.25">
      <c r="B48" s="2" t="s">
        <v>249</v>
      </c>
      <c r="F48" s="132" t="s">
        <v>73</v>
      </c>
      <c r="H48" s="137">
        <f>'Input rente'!H40</f>
        <v>-7.5913637800173461E-4</v>
      </c>
    </row>
    <row r="49" spans="2:23" ht="12.75" x14ac:dyDescent="0.25">
      <c r="B49" s="2" t="s">
        <v>250</v>
      </c>
      <c r="F49" s="132" t="s">
        <v>73</v>
      </c>
      <c r="H49" s="137">
        <f>'Input rente'!H41</f>
        <v>2.5444272186812E-3</v>
      </c>
    </row>
    <row r="50" spans="2:23" ht="12.75" x14ac:dyDescent="0.25">
      <c r="B50" s="2"/>
    </row>
    <row r="51" spans="2:23" ht="12.75" x14ac:dyDescent="0.25">
      <c r="B51" s="1" t="s">
        <v>263</v>
      </c>
    </row>
    <row r="52" spans="2:23" ht="12.75" x14ac:dyDescent="0.25">
      <c r="B52" s="2" t="s">
        <v>264</v>
      </c>
      <c r="F52" s="132" t="s">
        <v>73</v>
      </c>
      <c r="H52" s="137">
        <f>'Input parameters'!AA19</f>
        <v>2.1000000000000001E-2</v>
      </c>
    </row>
    <row r="53" spans="2:23" ht="12.75" x14ac:dyDescent="0.25">
      <c r="B53" s="2" t="s">
        <v>265</v>
      </c>
      <c r="F53" s="132" t="s">
        <v>73</v>
      </c>
      <c r="H53" s="137">
        <f>'Input parameters'!AB19</f>
        <v>2.8000000000000001E-2</v>
      </c>
    </row>
    <row r="54" spans="2:23" ht="12.75" x14ac:dyDescent="0.25">
      <c r="B54" s="2" t="s">
        <v>266</v>
      </c>
      <c r="F54" s="132" t="s">
        <v>73</v>
      </c>
      <c r="H54" s="137">
        <f>'Input parameters'!AC19</f>
        <v>7.0000000000000001E-3</v>
      </c>
    </row>
    <row r="55" spans="2:23" ht="12.75" x14ac:dyDescent="0.25">
      <c r="B55" s="2"/>
    </row>
    <row r="56" spans="2:23" ht="12.75" x14ac:dyDescent="0.25">
      <c r="B56" s="2" t="s">
        <v>251</v>
      </c>
      <c r="C56" s="2"/>
      <c r="D56" s="2"/>
      <c r="E56" s="2"/>
      <c r="F56" s="2" t="s">
        <v>73</v>
      </c>
      <c r="G56" s="2"/>
      <c r="H56" s="137">
        <f>'Input rente'!H43</f>
        <v>1.7999999999999999E-2</v>
      </c>
      <c r="I56" s="2"/>
      <c r="J56" s="2"/>
      <c r="K56" s="2"/>
      <c r="L56" s="2"/>
      <c r="M56" s="2"/>
      <c r="N56" s="2"/>
      <c r="O56" s="2"/>
      <c r="P56" s="2"/>
      <c r="Q56" s="2"/>
    </row>
    <row r="57" spans="2:23" ht="12.75" x14ac:dyDescent="0.25">
      <c r="B57" s="2"/>
    </row>
    <row r="58" spans="2:23" s="2" customFormat="1" ht="12.75" x14ac:dyDescent="0.25">
      <c r="B58" s="1" t="s">
        <v>207</v>
      </c>
      <c r="C58" s="132"/>
      <c r="D58" s="132"/>
      <c r="E58" s="132"/>
      <c r="F58" s="132"/>
      <c r="G58" s="132"/>
      <c r="H58" s="132"/>
      <c r="I58" s="132"/>
      <c r="J58" s="132"/>
      <c r="K58" s="132"/>
      <c r="L58" s="132"/>
      <c r="M58" s="132"/>
      <c r="N58" s="132"/>
      <c r="O58" s="132"/>
      <c r="P58" s="132"/>
      <c r="Q58" s="132"/>
      <c r="R58" s="132"/>
      <c r="S58" s="132"/>
      <c r="T58" s="132"/>
      <c r="U58" s="132"/>
    </row>
    <row r="59" spans="2:23" ht="12.75" x14ac:dyDescent="0.25">
      <c r="B59" s="90" t="s">
        <v>261</v>
      </c>
      <c r="F59" s="132" t="s">
        <v>71</v>
      </c>
      <c r="J59" s="108">
        <f>SUM(L59:Q59)</f>
        <v>264524640.82615989</v>
      </c>
      <c r="K59" s="2"/>
      <c r="L59" s="110">
        <f>'Input rente'!L46</f>
        <v>5120838.4661773751</v>
      </c>
      <c r="M59" s="110">
        <f>'Input rente'!M46</f>
        <v>83821433.468037471</v>
      </c>
      <c r="N59" s="110">
        <f>'Input rente'!N46</f>
        <v>94615610.206328645</v>
      </c>
      <c r="O59" s="110">
        <f>'Input rente'!O46</f>
        <v>3719013.8211027142</v>
      </c>
      <c r="P59" s="110">
        <f>'Input rente'!P46</f>
        <v>73837318.031333953</v>
      </c>
      <c r="Q59" s="110">
        <f>'Input rente'!Q46</f>
        <v>3410426.8331797407</v>
      </c>
    </row>
    <row r="60" spans="2:23" ht="12.75" x14ac:dyDescent="0.25">
      <c r="B60" s="90" t="s">
        <v>260</v>
      </c>
      <c r="F60" s="132" t="s">
        <v>71</v>
      </c>
      <c r="J60" s="108">
        <f>SUM(L60:Q60)</f>
        <v>280366757.95199353</v>
      </c>
      <c r="K60" s="2"/>
      <c r="L60" s="110">
        <f>'Input rente'!L47</f>
        <v>5505982.2846343154</v>
      </c>
      <c r="M60" s="110">
        <f>'Input rente'!M47</f>
        <v>89278102.858918875</v>
      </c>
      <c r="N60" s="110">
        <f>'Input rente'!N47</f>
        <v>99477334.853988722</v>
      </c>
      <c r="O60" s="110">
        <f>'Input rente'!O47</f>
        <v>3971361.9924819255</v>
      </c>
      <c r="P60" s="110">
        <f>'Input rente'!P47</f>
        <v>78559150.739823759</v>
      </c>
      <c r="Q60" s="110">
        <f>'Input rente'!Q47</f>
        <v>3574825.2221459462</v>
      </c>
    </row>
    <row r="61" spans="2:23" ht="12.75" x14ac:dyDescent="0.25">
      <c r="B61" s="90" t="s">
        <v>259</v>
      </c>
      <c r="F61" s="132" t="s">
        <v>71</v>
      </c>
      <c r="J61" s="108">
        <f>SUM(L61:Q61)</f>
        <v>829798182.34168494</v>
      </c>
      <c r="K61" s="2"/>
      <c r="L61" s="110">
        <f>'Input rente'!L48</f>
        <v>16401680.494385676</v>
      </c>
      <c r="M61" s="110">
        <f>'Input rente'!M48</f>
        <v>266533758.56356135</v>
      </c>
      <c r="N61" s="110">
        <f>'Input rente'!N48</f>
        <v>285455588.10709691</v>
      </c>
      <c r="O61" s="110">
        <f>'Input rente'!O48</f>
        <v>12040239.024494292</v>
      </c>
      <c r="P61" s="110">
        <f>'Input rente'!P48</f>
        <v>235138144.63941851</v>
      </c>
      <c r="Q61" s="110">
        <f>'Input rente'!Q48</f>
        <v>14228771.512728186</v>
      </c>
      <c r="W61" s="2"/>
    </row>
    <row r="63" spans="2:23" ht="12" customHeight="1" x14ac:dyDescent="0.2">
      <c r="B63" s="41" t="s">
        <v>477</v>
      </c>
      <c r="C63" s="138"/>
      <c r="D63" s="138"/>
      <c r="E63" s="138"/>
      <c r="F63" s="145" t="s">
        <v>73</v>
      </c>
      <c r="G63" s="2"/>
      <c r="H63" s="146">
        <f>Parameters!O71</f>
        <v>0.1395374412453505</v>
      </c>
    </row>
    <row r="65" spans="2:17" s="6" customFormat="1" ht="12.75" x14ac:dyDescent="0.25">
      <c r="B65" s="6" t="s">
        <v>270</v>
      </c>
    </row>
    <row r="67" spans="2:17" ht="12" customHeight="1" x14ac:dyDescent="0.25">
      <c r="B67" s="133" t="s">
        <v>277</v>
      </c>
    </row>
    <row r="68" spans="2:17" ht="12" customHeight="1" x14ac:dyDescent="0.2">
      <c r="B68" s="135" t="s">
        <v>242</v>
      </c>
      <c r="C68" s="138"/>
      <c r="D68" s="138"/>
      <c r="E68" s="138"/>
      <c r="F68" s="138" t="s">
        <v>243</v>
      </c>
      <c r="J68" s="108">
        <f>SUM(L68:Q68)</f>
        <v>1465198186.2509625</v>
      </c>
      <c r="L68" s="122">
        <f t="shared" ref="L68:O70" si="0">L25</f>
        <v>30652480.316061754</v>
      </c>
      <c r="M68" s="122">
        <f t="shared" si="0"/>
        <v>394254915.4142642</v>
      </c>
      <c r="N68" s="122">
        <f t="shared" si="0"/>
        <v>474872325.14985597</v>
      </c>
      <c r="O68" s="122">
        <f t="shared" si="0"/>
        <v>13550831.825132813</v>
      </c>
      <c r="P68" s="108">
        <f>P25+S25</f>
        <v>547421816.63337004</v>
      </c>
      <c r="Q68" s="122">
        <f>Q25</f>
        <v>4445816.9122776175</v>
      </c>
    </row>
    <row r="69" spans="2:17" ht="12" customHeight="1" x14ac:dyDescent="0.2">
      <c r="B69" s="135" t="s">
        <v>244</v>
      </c>
      <c r="C69" s="138"/>
      <c r="D69" s="138"/>
      <c r="E69" s="138"/>
      <c r="F69" s="138" t="s">
        <v>245</v>
      </c>
      <c r="J69" s="108">
        <f>SUM(L69:Q69)</f>
        <v>1560704533.0447202</v>
      </c>
      <c r="L69" s="122">
        <f t="shared" si="0"/>
        <v>32381728.118142974</v>
      </c>
      <c r="M69" s="122">
        <f t="shared" si="0"/>
        <v>430824188.62226701</v>
      </c>
      <c r="N69" s="122">
        <f t="shared" si="0"/>
        <v>498196289.91242325</v>
      </c>
      <c r="O69" s="122">
        <f t="shared" si="0"/>
        <v>13877279.674869154</v>
      </c>
      <c r="P69" s="108">
        <f>P26+S26</f>
        <v>580118797.68318844</v>
      </c>
      <c r="Q69" s="122">
        <f>Q26</f>
        <v>5306249.0338292299</v>
      </c>
    </row>
    <row r="70" spans="2:17" ht="12" customHeight="1" x14ac:dyDescent="0.2">
      <c r="B70" s="135" t="s">
        <v>246</v>
      </c>
      <c r="C70" s="138"/>
      <c r="D70" s="138"/>
      <c r="E70" s="138"/>
      <c r="F70" s="138" t="s">
        <v>97</v>
      </c>
      <c r="J70" s="108">
        <f>SUM(L70:Q70)</f>
        <v>1652842719.2634892</v>
      </c>
      <c r="L70" s="122">
        <f t="shared" si="0"/>
        <v>33655137.099942259</v>
      </c>
      <c r="M70" s="122">
        <f t="shared" si="0"/>
        <v>470682349.42935896</v>
      </c>
      <c r="N70" s="122">
        <f t="shared" si="0"/>
        <v>515359430.54450917</v>
      </c>
      <c r="O70" s="122">
        <f t="shared" si="0"/>
        <v>14509438.926430915</v>
      </c>
      <c r="P70" s="108">
        <f>P27+S27</f>
        <v>612491741.03178978</v>
      </c>
      <c r="Q70" s="122">
        <f>Q27</f>
        <v>6144622.2314581117</v>
      </c>
    </row>
    <row r="72" spans="2:17" s="2" customFormat="1" ht="12" customHeight="1" x14ac:dyDescent="0.25">
      <c r="B72" s="1" t="s">
        <v>276</v>
      </c>
      <c r="K72" s="124"/>
    </row>
    <row r="73" spans="2:17" s="2" customFormat="1" ht="12" customHeight="1" x14ac:dyDescent="0.2">
      <c r="B73" s="135" t="s">
        <v>242</v>
      </c>
      <c r="C73" s="138"/>
      <c r="D73" s="138"/>
      <c r="E73" s="138"/>
      <c r="F73" s="138" t="s">
        <v>106</v>
      </c>
      <c r="J73" s="108">
        <f>J68*(1-H44)^3*(1+H52)*(1+H53)*(1+H54)</f>
        <v>1726298639.3328245</v>
      </c>
      <c r="K73" s="139"/>
      <c r="N73" s="140"/>
    </row>
    <row r="74" spans="2:17" s="2" customFormat="1" ht="12" customHeight="1" x14ac:dyDescent="0.2">
      <c r="B74" s="135" t="s">
        <v>244</v>
      </c>
      <c r="C74" s="138"/>
      <c r="D74" s="138"/>
      <c r="E74" s="138"/>
      <c r="F74" s="138" t="s">
        <v>106</v>
      </c>
      <c r="G74" s="132"/>
      <c r="H74" s="132"/>
      <c r="J74" s="108">
        <f>J69*(1-H44)^2*(1+H53)*(1+H54)</f>
        <v>1736963781.0367148</v>
      </c>
      <c r="K74" s="139"/>
      <c r="N74" s="140"/>
    </row>
    <row r="75" spans="2:17" s="2" customFormat="1" ht="12" customHeight="1" x14ac:dyDescent="0.2">
      <c r="B75" s="135" t="s">
        <v>246</v>
      </c>
      <c r="C75" s="138"/>
      <c r="D75" s="138"/>
      <c r="E75" s="138"/>
      <c r="F75" s="138" t="s">
        <v>106</v>
      </c>
      <c r="G75" s="132"/>
      <c r="H75" s="132"/>
      <c r="J75" s="108">
        <f>J70*(1-H44)*(1+H54)</f>
        <v>1725777261.3190424</v>
      </c>
      <c r="K75" s="139"/>
      <c r="N75" s="140"/>
    </row>
    <row r="77" spans="2:17" ht="12" customHeight="1" x14ac:dyDescent="0.2">
      <c r="B77" s="147" t="s">
        <v>275</v>
      </c>
      <c r="F77" s="138" t="s">
        <v>106</v>
      </c>
      <c r="J77" s="108">
        <f>(J73+J74+J75)/3</f>
        <v>1729679893.8961937</v>
      </c>
    </row>
    <row r="79" spans="2:17" ht="12" customHeight="1" x14ac:dyDescent="0.2">
      <c r="B79" s="246" t="s">
        <v>684</v>
      </c>
      <c r="F79" s="245" t="s">
        <v>142</v>
      </c>
      <c r="J79" s="108">
        <f>J77*(1-H45)^2*(1+H56)^2</f>
        <v>1906015871.3037419</v>
      </c>
    </row>
    <row r="81" spans="2:17" s="6" customFormat="1" ht="12.75" x14ac:dyDescent="0.25">
      <c r="B81" s="6" t="s">
        <v>272</v>
      </c>
    </row>
    <row r="83" spans="2:17" ht="12" customHeight="1" x14ac:dyDescent="0.25">
      <c r="B83" s="133" t="s">
        <v>271</v>
      </c>
    </row>
    <row r="84" spans="2:17" ht="12" customHeight="1" x14ac:dyDescent="0.2">
      <c r="B84" s="135" t="s">
        <v>242</v>
      </c>
      <c r="C84" s="138"/>
      <c r="D84" s="138"/>
      <c r="E84" s="138"/>
      <c r="F84" s="138" t="s">
        <v>243</v>
      </c>
      <c r="J84" s="108">
        <f>SUM(L84:Q84)</f>
        <v>6297314057.4928856</v>
      </c>
      <c r="L84" s="122">
        <f t="shared" ref="L84:N86" si="1">L30</f>
        <v>88606458.440240785</v>
      </c>
      <c r="M84" s="122">
        <f t="shared" si="1"/>
        <v>2031930430.9568429</v>
      </c>
      <c r="N84" s="122">
        <f t="shared" si="1"/>
        <v>2192572173.8942842</v>
      </c>
      <c r="O84" s="122">
        <f>U30</f>
        <v>136082375.25258124</v>
      </c>
      <c r="P84" s="108">
        <f>P30+S30</f>
        <v>1733171829.2785072</v>
      </c>
      <c r="Q84" s="122">
        <f>Q30</f>
        <v>114950789.67042841</v>
      </c>
    </row>
    <row r="85" spans="2:17" ht="12" customHeight="1" x14ac:dyDescent="0.2">
      <c r="B85" s="135" t="s">
        <v>244</v>
      </c>
      <c r="C85" s="138"/>
      <c r="D85" s="138"/>
      <c r="E85" s="138"/>
      <c r="F85" s="138" t="s">
        <v>245</v>
      </c>
      <c r="J85" s="108">
        <f>SUM(L85:Q85)</f>
        <v>6450465977.7811003</v>
      </c>
      <c r="L85" s="122">
        <f t="shared" si="1"/>
        <v>87159418.324196801</v>
      </c>
      <c r="M85" s="122">
        <f t="shared" si="1"/>
        <v>2125583728.4493718</v>
      </c>
      <c r="N85" s="122">
        <f t="shared" si="1"/>
        <v>2208864039.1738081</v>
      </c>
      <c r="O85" s="122">
        <f>U31</f>
        <v>133674859.88588828</v>
      </c>
      <c r="P85" s="108">
        <f>P31+S31</f>
        <v>1780619191.8001592</v>
      </c>
      <c r="Q85" s="122">
        <f>Q31</f>
        <v>114564740.14767645</v>
      </c>
    </row>
    <row r="86" spans="2:17" ht="12" customHeight="1" x14ac:dyDescent="0.2">
      <c r="B86" s="135" t="s">
        <v>246</v>
      </c>
      <c r="C86" s="138"/>
      <c r="D86" s="138"/>
      <c r="E86" s="138"/>
      <c r="F86" s="138" t="s">
        <v>97</v>
      </c>
      <c r="J86" s="108">
        <f>SUM(L86:Q86)</f>
        <v>6608444026.7019606</v>
      </c>
      <c r="L86" s="122">
        <f t="shared" si="1"/>
        <v>85929787.491672069</v>
      </c>
      <c r="M86" s="122">
        <f t="shared" si="1"/>
        <v>2227267699.5519772</v>
      </c>
      <c r="N86" s="122">
        <f t="shared" si="1"/>
        <v>2242584564.1130085</v>
      </c>
      <c r="O86" s="122">
        <f>O32</f>
        <v>130593520.99825928</v>
      </c>
      <c r="P86" s="108">
        <f>P32+S32</f>
        <v>1809871466.2664111</v>
      </c>
      <c r="Q86" s="122">
        <f>Q32</f>
        <v>112196988.28063172</v>
      </c>
    </row>
    <row r="88" spans="2:17" ht="12" customHeight="1" x14ac:dyDescent="0.25">
      <c r="B88" s="1" t="s">
        <v>273</v>
      </c>
      <c r="C88" s="2"/>
      <c r="D88" s="2"/>
      <c r="E88" s="2"/>
      <c r="F88" s="2"/>
      <c r="G88" s="2"/>
      <c r="H88" s="2"/>
      <c r="I88" s="2"/>
      <c r="J88" s="2"/>
    </row>
    <row r="89" spans="2:17" ht="12" customHeight="1" x14ac:dyDescent="0.2">
      <c r="B89" s="135" t="s">
        <v>242</v>
      </c>
      <c r="C89" s="138"/>
      <c r="D89" s="138"/>
      <c r="E89" s="138"/>
      <c r="F89" s="138" t="s">
        <v>106</v>
      </c>
      <c r="G89" s="2"/>
      <c r="H89" s="2"/>
      <c r="I89" s="2"/>
      <c r="J89" s="108">
        <f>J84*(1-H48)^3*(1+H52)*(1+H53)*(1+H54)</f>
        <v>6671021972.7888393</v>
      </c>
    </row>
    <row r="90" spans="2:17" ht="12" customHeight="1" x14ac:dyDescent="0.2">
      <c r="B90" s="135" t="s">
        <v>244</v>
      </c>
      <c r="C90" s="138"/>
      <c r="D90" s="138"/>
      <c r="E90" s="138"/>
      <c r="F90" s="138" t="s">
        <v>106</v>
      </c>
      <c r="I90" s="2"/>
      <c r="J90" s="108">
        <f>J85*(1-H48)^2*(1+H53)*(1+H54)</f>
        <v>6687638687.629694</v>
      </c>
    </row>
    <row r="91" spans="2:17" ht="12" customHeight="1" x14ac:dyDescent="0.2">
      <c r="B91" s="135" t="s">
        <v>246</v>
      </c>
      <c r="C91" s="138"/>
      <c r="D91" s="138"/>
      <c r="E91" s="138"/>
      <c r="F91" s="138" t="s">
        <v>106</v>
      </c>
      <c r="I91" s="2"/>
      <c r="J91" s="108">
        <f>J86*(1-H48)*(1+H54)</f>
        <v>6659754962.1233702</v>
      </c>
    </row>
    <row r="93" spans="2:17" ht="12" customHeight="1" x14ac:dyDescent="0.2">
      <c r="B93" s="147" t="s">
        <v>274</v>
      </c>
      <c r="F93" s="138" t="s">
        <v>106</v>
      </c>
      <c r="J93" s="108">
        <f>(J89+J90+J91)/3</f>
        <v>6672805207.5139685</v>
      </c>
    </row>
    <row r="95" spans="2:17" ht="12" customHeight="1" x14ac:dyDescent="0.2">
      <c r="B95" s="216" t="s">
        <v>507</v>
      </c>
      <c r="F95" s="215" t="s">
        <v>142</v>
      </c>
      <c r="J95" s="108">
        <f>J93*(1-H49)^2*(1+H56)^2</f>
        <v>6880042567.4850969</v>
      </c>
    </row>
    <row r="97" spans="2:17" s="6" customFormat="1" ht="12.75" x14ac:dyDescent="0.25">
      <c r="B97" s="6" t="s">
        <v>665</v>
      </c>
    </row>
    <row r="98" spans="2:17" ht="12" customHeight="1" x14ac:dyDescent="0.25">
      <c r="L98" s="2"/>
      <c r="M98" s="2"/>
    </row>
    <row r="99" spans="2:17" ht="12" customHeight="1" x14ac:dyDescent="0.25">
      <c r="B99" s="2" t="s">
        <v>666</v>
      </c>
      <c r="F99" s="132" t="s">
        <v>73</v>
      </c>
      <c r="H99" s="141">
        <f>H37-2*(H37-H38)/5</f>
        <v>3.5200000000000002E-2</v>
      </c>
    </row>
    <row r="100" spans="2:17" ht="12" customHeight="1" x14ac:dyDescent="0.25">
      <c r="B100" s="2"/>
    </row>
    <row r="101" spans="2:17" ht="12" customHeight="1" x14ac:dyDescent="0.2">
      <c r="B101" s="241" t="s">
        <v>667</v>
      </c>
      <c r="F101" s="215" t="s">
        <v>142</v>
      </c>
      <c r="J101" s="108">
        <f>J79*H99</f>
        <v>67091758.669891723</v>
      </c>
    </row>
    <row r="102" spans="2:17" ht="12" customHeight="1" x14ac:dyDescent="0.2">
      <c r="B102" s="216" t="s">
        <v>509</v>
      </c>
      <c r="F102" s="215" t="s">
        <v>142</v>
      </c>
      <c r="J102" s="108">
        <f>J79*H41</f>
        <v>95300793.565187097</v>
      </c>
    </row>
    <row r="104" spans="2:17" ht="12" customHeight="1" x14ac:dyDescent="0.2">
      <c r="B104" s="216" t="s">
        <v>510</v>
      </c>
      <c r="F104" s="215" t="s">
        <v>142</v>
      </c>
      <c r="J104" s="108">
        <f>J102-J101</f>
        <v>28209034.895295374</v>
      </c>
    </row>
    <row r="106" spans="2:17" ht="12" customHeight="1" x14ac:dyDescent="0.25">
      <c r="B106" s="147" t="s">
        <v>297</v>
      </c>
      <c r="F106" s="2" t="s">
        <v>511</v>
      </c>
      <c r="H106" s="142">
        <f>J104/J60</f>
        <v>0.10061476296746112</v>
      </c>
    </row>
    <row r="108" spans="2:17" ht="12" customHeight="1" x14ac:dyDescent="0.2">
      <c r="B108" s="147" t="s">
        <v>298</v>
      </c>
      <c r="F108" s="215" t="s">
        <v>142</v>
      </c>
      <c r="L108" s="108">
        <f t="shared" ref="L108:Q108" si="2">$H$106*L59</f>
        <v>515231.94846909377</v>
      </c>
      <c r="M108" s="108">
        <f t="shared" si="2"/>
        <v>8433673.659979403</v>
      </c>
      <c r="N108" s="108">
        <f t="shared" si="2"/>
        <v>9519727.1939314511</v>
      </c>
      <c r="O108" s="108">
        <f t="shared" si="2"/>
        <v>374187.69408296142</v>
      </c>
      <c r="P108" s="108">
        <f t="shared" si="2"/>
        <v>7429124.2518757088</v>
      </c>
      <c r="Q108" s="108">
        <f t="shared" si="2"/>
        <v>343139.28743824869</v>
      </c>
    </row>
    <row r="110" spans="2:17" s="6" customFormat="1" ht="12.75" x14ac:dyDescent="0.25">
      <c r="B110" s="6" t="s">
        <v>664</v>
      </c>
    </row>
    <row r="111" spans="2:17" ht="12" customHeight="1" x14ac:dyDescent="0.25">
      <c r="L111" s="2"/>
      <c r="M111" s="2"/>
    </row>
    <row r="112" spans="2:17" ht="12" customHeight="1" x14ac:dyDescent="0.25">
      <c r="B112" s="2" t="s">
        <v>666</v>
      </c>
      <c r="F112" s="132" t="s">
        <v>73</v>
      </c>
      <c r="H112" s="141">
        <f>H37-2*(H37-H38)/5</f>
        <v>3.5200000000000002E-2</v>
      </c>
    </row>
    <row r="113" spans="2:17" ht="12" customHeight="1" x14ac:dyDescent="0.25">
      <c r="B113" s="2"/>
    </row>
    <row r="114" spans="2:17" ht="12" customHeight="1" x14ac:dyDescent="0.2">
      <c r="B114" s="241" t="s">
        <v>668</v>
      </c>
      <c r="F114" s="215" t="s">
        <v>142</v>
      </c>
      <c r="J114" s="108">
        <f>J95*H112</f>
        <v>242177498.37547544</v>
      </c>
    </row>
    <row r="115" spans="2:17" ht="12" customHeight="1" x14ac:dyDescent="0.2">
      <c r="B115" s="216" t="s">
        <v>512</v>
      </c>
      <c r="F115" s="215" t="s">
        <v>142</v>
      </c>
      <c r="J115" s="108">
        <f>J95*H41</f>
        <v>344002128.37425488</v>
      </c>
    </row>
    <row r="117" spans="2:17" ht="12" customHeight="1" x14ac:dyDescent="0.2">
      <c r="B117" s="216" t="s">
        <v>513</v>
      </c>
      <c r="F117" s="215" t="s">
        <v>142</v>
      </c>
      <c r="J117" s="108">
        <f>J115-J114</f>
        <v>101824629.99877945</v>
      </c>
    </row>
    <row r="119" spans="2:17" ht="12" customHeight="1" x14ac:dyDescent="0.25">
      <c r="B119" s="147" t="s">
        <v>295</v>
      </c>
      <c r="F119" s="2" t="s">
        <v>511</v>
      </c>
      <c r="H119" s="142">
        <f>J117/J61</f>
        <v>0.12271011453824955</v>
      </c>
    </row>
    <row r="121" spans="2:17" ht="12" customHeight="1" x14ac:dyDescent="0.2">
      <c r="B121" s="147" t="s">
        <v>296</v>
      </c>
      <c r="F121" s="215" t="s">
        <v>142</v>
      </c>
      <c r="L121" s="108">
        <f>$H$119*L61</f>
        <v>2012652.0920858399</v>
      </c>
      <c r="M121" s="108">
        <f t="shared" ref="M121:Q121" si="3">$H$119*M61</f>
        <v>32706388.041644767</v>
      </c>
      <c r="N121" s="108">
        <f t="shared" si="3"/>
        <v>35028287.912205249</v>
      </c>
      <c r="O121" s="108">
        <f t="shared" si="3"/>
        <v>1477459.1097635967</v>
      </c>
      <c r="P121" s="108">
        <f t="shared" si="3"/>
        <v>28853828.661014535</v>
      </c>
      <c r="Q121" s="108">
        <f t="shared" si="3"/>
        <v>1746014.182065458</v>
      </c>
    </row>
    <row r="123" spans="2:17" s="143" customFormat="1" ht="12.75" x14ac:dyDescent="0.25">
      <c r="B123" s="143" t="s">
        <v>208</v>
      </c>
    </row>
    <row r="124" spans="2:17" s="144" customFormat="1" ht="12" customHeight="1" x14ac:dyDescent="0.25"/>
    <row r="125" spans="2:17" ht="12" customHeight="1" x14ac:dyDescent="0.2">
      <c r="B125" s="242" t="s">
        <v>557</v>
      </c>
      <c r="F125" s="215" t="s">
        <v>493</v>
      </c>
      <c r="J125" s="108">
        <f>SUM(L125:Q125)</f>
        <v>30328884.760659143</v>
      </c>
      <c r="L125" s="130">
        <f t="shared" ref="L125:Q125" si="4">L108*(1+$H$63)</f>
        <v>587126.09620632743</v>
      </c>
      <c r="M125" s="130">
        <f t="shared" si="4"/>
        <v>9610486.9027912393</v>
      </c>
      <c r="N125" s="130">
        <f t="shared" si="4"/>
        <v>10848085.567926425</v>
      </c>
      <c r="O125" s="130">
        <f t="shared" si="4"/>
        <v>426400.88746079581</v>
      </c>
      <c r="P125" s="130">
        <f t="shared" si="4"/>
        <v>8465765.2406762242</v>
      </c>
      <c r="Q125" s="130">
        <f t="shared" si="4"/>
        <v>391020.06559813477</v>
      </c>
    </row>
    <row r="126" spans="2:17" ht="12" customHeight="1" x14ac:dyDescent="0.2">
      <c r="B126" s="242" t="s">
        <v>558</v>
      </c>
      <c r="F126" s="215" t="s">
        <v>493</v>
      </c>
      <c r="J126" s="108">
        <f>SUM(L126:Q126)</f>
        <v>116032978.32456367</v>
      </c>
      <c r="L126" s="130">
        <f t="shared" ref="L126:Q126" si="5">L121*(1+$H$63)</f>
        <v>2293492.4151325994</v>
      </c>
      <c r="M126" s="130">
        <f t="shared" si="5"/>
        <v>37270153.741353408</v>
      </c>
      <c r="N126" s="130">
        <f t="shared" si="5"/>
        <v>39916045.578679807</v>
      </c>
      <c r="O126" s="130">
        <f t="shared" si="5"/>
        <v>1683619.9734846423</v>
      </c>
      <c r="P126" s="130">
        <f t="shared" si="5"/>
        <v>32880018.082504261</v>
      </c>
      <c r="Q126" s="130">
        <f t="shared" si="5"/>
        <v>1989648.5334089657</v>
      </c>
    </row>
  </sheetData>
  <phoneticPr fontId="61" type="noConversion"/>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F1E0-EB15-43F5-9F8A-B322AD85D02B}">
  <sheetPr>
    <tabColor rgb="FFFFFFCC"/>
  </sheetPr>
  <dimension ref="A1:T49"/>
  <sheetViews>
    <sheetView showGridLines="0" zoomScale="85" zoomScaleNormal="85" workbookViewId="0">
      <pane xSplit="6" ySplit="13" topLeftCell="G14" activePane="bottomRight" state="frozen"/>
      <selection activeCell="Q27" sqref="Q27"/>
      <selection pane="topRight" activeCell="Q27" sqref="Q27"/>
      <selection pane="bottomLeft" activeCell="Q27" sqref="Q27"/>
      <selection pane="bottomRight" activeCell="G14" sqref="G14"/>
    </sheetView>
  </sheetViews>
  <sheetFormatPr defaultColWidth="9.140625" defaultRowHeight="12" customHeight="1" x14ac:dyDescent="0.25"/>
  <cols>
    <col min="1" max="1" width="3" style="101" customWidth="1"/>
    <col min="2" max="2" width="65.85546875" style="101" customWidth="1"/>
    <col min="3" max="3" width="3.7109375" style="101" customWidth="1"/>
    <col min="4" max="4" width="3.42578125" style="101" customWidth="1"/>
    <col min="5" max="5" width="3.140625" style="101" customWidth="1"/>
    <col min="6" max="6" width="13.5703125" style="101" customWidth="1"/>
    <col min="7" max="7" width="2.5703125" style="101" customWidth="1"/>
    <col min="8" max="8" width="13.85546875" style="101" customWidth="1"/>
    <col min="9" max="9" width="2.7109375" style="101" customWidth="1"/>
    <col min="10" max="10" width="14" style="101" customWidth="1"/>
    <col min="11" max="11" width="2.140625" style="101" customWidth="1"/>
    <col min="12" max="17" width="14" style="101" customWidth="1"/>
    <col min="18" max="18" width="2.28515625" style="101" customWidth="1"/>
    <col min="19" max="19" width="2.5703125" style="101" customWidth="1"/>
    <col min="20" max="16384" width="9.140625" style="101"/>
  </cols>
  <sheetData>
    <row r="1" spans="1:20" s="2" customFormat="1" ht="12.75" x14ac:dyDescent="0.25">
      <c r="L1" s="102"/>
      <c r="M1" s="102"/>
      <c r="N1" s="102"/>
      <c r="O1" s="102"/>
      <c r="P1" s="102"/>
      <c r="Q1" s="102"/>
    </row>
    <row r="2" spans="1:20" s="98" customFormat="1" ht="18" x14ac:dyDescent="0.25">
      <c r="B2" s="19" t="s">
        <v>552</v>
      </c>
      <c r="L2" s="107"/>
      <c r="M2" s="107"/>
      <c r="N2" s="107"/>
      <c r="O2" s="107"/>
      <c r="P2" s="107"/>
      <c r="Q2" s="107"/>
    </row>
    <row r="3" spans="1:20" s="2" customFormat="1" ht="12" customHeight="1" x14ac:dyDescent="0.25">
      <c r="L3" s="102"/>
      <c r="M3" s="102"/>
      <c r="N3" s="102"/>
      <c r="O3" s="102"/>
      <c r="P3" s="102"/>
      <c r="Q3" s="102"/>
    </row>
    <row r="4" spans="1:20" s="2" customFormat="1" ht="12" customHeight="1" x14ac:dyDescent="0.25">
      <c r="B4" s="1" t="s">
        <v>59</v>
      </c>
      <c r="L4" s="102"/>
      <c r="M4" s="102"/>
      <c r="N4" s="102"/>
      <c r="O4" s="102"/>
      <c r="P4" s="102"/>
      <c r="Q4" s="102"/>
    </row>
    <row r="5" spans="1:20" s="2" customFormat="1" ht="12.75" x14ac:dyDescent="0.25">
      <c r="B5" s="2" t="s">
        <v>645</v>
      </c>
      <c r="C5" s="1"/>
      <c r="D5" s="1"/>
    </row>
    <row r="6" spans="1:20" s="2" customFormat="1" ht="12.75" x14ac:dyDescent="0.25">
      <c r="H6" s="20"/>
    </row>
    <row r="7" spans="1:20" s="2" customFormat="1" ht="12.75" x14ac:dyDescent="0.25">
      <c r="B7" s="64" t="s">
        <v>308</v>
      </c>
      <c r="H7" s="20"/>
    </row>
    <row r="8" spans="1:20" s="2" customFormat="1" ht="12.75" x14ac:dyDescent="0.25">
      <c r="B8" s="64" t="s">
        <v>673</v>
      </c>
      <c r="H8" s="20"/>
    </row>
    <row r="9" spans="1:20" s="2" customFormat="1" ht="12.75" x14ac:dyDescent="0.25">
      <c r="B9" s="64" t="s">
        <v>674</v>
      </c>
      <c r="H9" s="20"/>
    </row>
    <row r="10" spans="1:20" s="2" customFormat="1" ht="12.75" x14ac:dyDescent="0.25">
      <c r="B10" s="64" t="s">
        <v>675</v>
      </c>
      <c r="H10" s="20"/>
    </row>
    <row r="11" spans="1:20" s="2" customFormat="1" ht="12" customHeight="1" x14ac:dyDescent="0.25">
      <c r="L11" s="102"/>
      <c r="M11" s="102"/>
      <c r="N11" s="102"/>
      <c r="O11" s="102"/>
      <c r="P11" s="102"/>
      <c r="Q11" s="102"/>
    </row>
    <row r="12" spans="1:20" s="6" customFormat="1" ht="12" customHeight="1" x14ac:dyDescent="0.25">
      <c r="B12" s="6" t="s">
        <v>46</v>
      </c>
      <c r="F12" s="6" t="s">
        <v>28</v>
      </c>
      <c r="H12" s="6" t="s">
        <v>29</v>
      </c>
      <c r="J12" s="6" t="s">
        <v>50</v>
      </c>
      <c r="L12" s="103" t="s">
        <v>89</v>
      </c>
      <c r="M12" s="103" t="s">
        <v>66</v>
      </c>
      <c r="N12" s="103" t="s">
        <v>67</v>
      </c>
      <c r="O12" s="103" t="s">
        <v>68</v>
      </c>
      <c r="P12" s="103" t="s">
        <v>69</v>
      </c>
      <c r="Q12" s="103" t="s">
        <v>70</v>
      </c>
      <c r="T12" s="6" t="s">
        <v>48</v>
      </c>
    </row>
    <row r="13" spans="1:20" s="2" customFormat="1" ht="12" customHeight="1" x14ac:dyDescent="0.25">
      <c r="L13" s="102"/>
      <c r="M13" s="102"/>
      <c r="N13" s="102"/>
      <c r="O13" s="102"/>
      <c r="P13" s="102"/>
      <c r="Q13" s="102"/>
    </row>
    <row r="14" spans="1:20" s="2" customFormat="1" ht="12" customHeight="1" x14ac:dyDescent="0.25">
      <c r="L14" s="102"/>
      <c r="M14" s="102"/>
      <c r="N14" s="102"/>
      <c r="O14" s="102"/>
      <c r="P14" s="102"/>
      <c r="Q14" s="102"/>
    </row>
    <row r="15" spans="1:20" s="6" customFormat="1" ht="12" customHeight="1" x14ac:dyDescent="0.25">
      <c r="B15" s="6" t="s">
        <v>151</v>
      </c>
    </row>
    <row r="16" spans="1:20" s="80" customFormat="1" ht="12" customHeight="1" x14ac:dyDescent="0.2">
      <c r="A16" s="2"/>
      <c r="B16" s="90"/>
      <c r="F16" s="97"/>
      <c r="J16" s="92"/>
      <c r="K16" s="2"/>
      <c r="L16" s="100"/>
      <c r="M16" s="100"/>
      <c r="N16" s="100"/>
      <c r="O16" s="100"/>
      <c r="P16" s="100"/>
      <c r="Q16" s="100"/>
      <c r="S16" s="2"/>
    </row>
    <row r="17" spans="2:17" ht="12" customHeight="1" x14ac:dyDescent="0.25">
      <c r="B17" s="1" t="s">
        <v>197</v>
      </c>
      <c r="C17" s="2"/>
      <c r="D17" s="2"/>
      <c r="E17" s="2"/>
      <c r="F17" s="2"/>
    </row>
    <row r="18" spans="2:17" ht="12" customHeight="1" x14ac:dyDescent="0.25">
      <c r="B18" s="2" t="s">
        <v>198</v>
      </c>
      <c r="C18" s="2"/>
      <c r="D18" s="2"/>
      <c r="E18" s="2"/>
      <c r="F18" s="2" t="s">
        <v>71</v>
      </c>
      <c r="J18" s="121">
        <f>SUM(L18:Q18)</f>
        <v>25</v>
      </c>
      <c r="L18" s="48">
        <f>'Input invoeding'!L20</f>
        <v>0</v>
      </c>
      <c r="M18" s="48">
        <f>'Input invoeding'!M20</f>
        <v>0</v>
      </c>
      <c r="N18" s="48">
        <f>'Input invoeding'!N20</f>
        <v>0</v>
      </c>
      <c r="O18" s="48">
        <f>'Input invoeding'!O20</f>
        <v>0</v>
      </c>
      <c r="P18" s="48">
        <f>'Input invoeding'!P20</f>
        <v>25</v>
      </c>
      <c r="Q18" s="48">
        <f>'Input invoeding'!Q20</f>
        <v>0</v>
      </c>
    </row>
    <row r="19" spans="2:17" ht="12" customHeight="1" x14ac:dyDescent="0.25">
      <c r="B19" s="2" t="s">
        <v>230</v>
      </c>
      <c r="C19" s="2"/>
      <c r="D19" s="2"/>
      <c r="E19" s="2"/>
      <c r="F19" s="2" t="s">
        <v>71</v>
      </c>
      <c r="J19" s="121">
        <f t="shared" ref="J19:J32" si="0">SUM(L19:Q19)</f>
        <v>23.333333333333332</v>
      </c>
      <c r="L19" s="48">
        <f>'Input invoeding'!L21</f>
        <v>0</v>
      </c>
      <c r="M19" s="48">
        <f>'Input invoeding'!M21</f>
        <v>0</v>
      </c>
      <c r="N19" s="48">
        <f>'Input invoeding'!N21</f>
        <v>23.333333333333332</v>
      </c>
      <c r="O19" s="48">
        <f>'Input invoeding'!O21</f>
        <v>0</v>
      </c>
      <c r="P19" s="48">
        <f>'Input invoeding'!P21</f>
        <v>0</v>
      </c>
      <c r="Q19" s="48">
        <f>'Input invoeding'!Q21</f>
        <v>0</v>
      </c>
    </row>
    <row r="20" spans="2:17" ht="12" customHeight="1" x14ac:dyDescent="0.25">
      <c r="B20" s="2" t="s">
        <v>231</v>
      </c>
      <c r="C20" s="2"/>
      <c r="D20" s="2"/>
      <c r="E20" s="2"/>
      <c r="F20" s="2" t="s">
        <v>71</v>
      </c>
      <c r="J20" s="121">
        <f t="shared" si="0"/>
        <v>28435.309574131996</v>
      </c>
      <c r="L20" s="48">
        <f>'Input invoeding'!L22</f>
        <v>1069.3333333333333</v>
      </c>
      <c r="M20" s="48">
        <f>'Input invoeding'!M22</f>
        <v>10226.555555555555</v>
      </c>
      <c r="N20" s="48">
        <f>'Input invoeding'!N22</f>
        <v>9187.3333333333339</v>
      </c>
      <c r="O20" s="48">
        <f>'Input invoeding'!O22</f>
        <v>3620.6666666666665</v>
      </c>
      <c r="P20" s="48">
        <f>'Input invoeding'!P22</f>
        <v>3766.0606245853473</v>
      </c>
      <c r="Q20" s="48">
        <f>'Input invoeding'!Q22</f>
        <v>565.36006065775757</v>
      </c>
    </row>
    <row r="21" spans="2:17" ht="12" customHeight="1" x14ac:dyDescent="0.25">
      <c r="B21" s="2"/>
      <c r="C21" s="2"/>
      <c r="D21" s="2"/>
      <c r="E21" s="2"/>
      <c r="F21" s="2"/>
      <c r="J21" s="119"/>
      <c r="L21" s="119"/>
      <c r="M21" s="119"/>
      <c r="N21" s="119"/>
      <c r="O21" s="119"/>
      <c r="P21" s="119"/>
      <c r="Q21" s="119"/>
    </row>
    <row r="22" spans="2:17" ht="12" customHeight="1" x14ac:dyDescent="0.25">
      <c r="B22" s="1" t="s">
        <v>520</v>
      </c>
      <c r="C22" s="2"/>
      <c r="D22" s="2"/>
      <c r="E22" s="2"/>
      <c r="F22" s="2"/>
      <c r="J22" s="119"/>
      <c r="L22" s="119"/>
      <c r="M22" s="119"/>
      <c r="N22" s="119"/>
      <c r="O22" s="119"/>
      <c r="P22" s="119"/>
      <c r="Q22" s="119"/>
    </row>
    <row r="23" spans="2:17" ht="12" customHeight="1" x14ac:dyDescent="0.25">
      <c r="B23" s="2" t="s">
        <v>198</v>
      </c>
      <c r="C23" s="115"/>
      <c r="D23" s="115"/>
      <c r="E23" s="115"/>
      <c r="F23" s="2" t="s">
        <v>71</v>
      </c>
      <c r="J23" s="121">
        <f t="shared" si="0"/>
        <v>25</v>
      </c>
      <c r="L23" s="48">
        <f>'Input invoeding'!L26</f>
        <v>0</v>
      </c>
      <c r="M23" s="48">
        <f>'Input invoeding'!M26</f>
        <v>0</v>
      </c>
      <c r="N23" s="48">
        <f>'Input invoeding'!N26</f>
        <v>0</v>
      </c>
      <c r="O23" s="48">
        <f>'Input invoeding'!O26</f>
        <v>0</v>
      </c>
      <c r="P23" s="48">
        <f>'Input invoeding'!P26</f>
        <v>25</v>
      </c>
      <c r="Q23" s="48">
        <f>'Input invoeding'!Q26</f>
        <v>0</v>
      </c>
    </row>
    <row r="24" spans="2:17" ht="12" customHeight="1" x14ac:dyDescent="0.25">
      <c r="B24" s="2" t="s">
        <v>230</v>
      </c>
      <c r="C24" s="115"/>
      <c r="D24" s="115"/>
      <c r="E24" s="115"/>
      <c r="F24" s="2" t="s">
        <v>71</v>
      </c>
      <c r="J24" s="121">
        <f t="shared" si="0"/>
        <v>0</v>
      </c>
      <c r="L24" s="48">
        <f>'Input invoeding'!L27</f>
        <v>0</v>
      </c>
      <c r="M24" s="48">
        <f>'Input invoeding'!M27</f>
        <v>0</v>
      </c>
      <c r="N24" s="48">
        <f>'Input invoeding'!N27</f>
        <v>0</v>
      </c>
      <c r="O24" s="48">
        <f>'Input invoeding'!O27</f>
        <v>0</v>
      </c>
      <c r="P24" s="48">
        <f>'Input invoeding'!P27</f>
        <v>0</v>
      </c>
      <c r="Q24" s="48">
        <f>'Input invoeding'!Q27</f>
        <v>0</v>
      </c>
    </row>
    <row r="25" spans="2:17" ht="12" customHeight="1" x14ac:dyDescent="0.25">
      <c r="B25" s="2" t="s">
        <v>231</v>
      </c>
      <c r="C25" s="115"/>
      <c r="D25" s="115"/>
      <c r="E25" s="115"/>
      <c r="F25" s="2" t="s">
        <v>71</v>
      </c>
      <c r="J25" s="121">
        <f t="shared" si="0"/>
        <v>49281.75571650554</v>
      </c>
      <c r="L25" s="48">
        <f>'Input invoeding'!L28</f>
        <v>4230</v>
      </c>
      <c r="M25" s="48">
        <f>'Input invoeding'!M28</f>
        <v>19230.272349999999</v>
      </c>
      <c r="N25" s="48">
        <f>'Input invoeding'!N28</f>
        <v>15118</v>
      </c>
      <c r="O25" s="48">
        <f>'Input invoeding'!O28</f>
        <v>5003</v>
      </c>
      <c r="P25" s="48">
        <f>'Input invoeding'!P28</f>
        <v>4907.0798976400338</v>
      </c>
      <c r="Q25" s="48">
        <f>'Input invoeding'!Q28</f>
        <v>793.40346886551038</v>
      </c>
    </row>
    <row r="26" spans="2:17" ht="12" customHeight="1" x14ac:dyDescent="0.25">
      <c r="J26" s="119"/>
    </row>
    <row r="27" spans="2:17" ht="12" customHeight="1" x14ac:dyDescent="0.25">
      <c r="B27" s="1" t="s">
        <v>205</v>
      </c>
      <c r="C27" s="2"/>
      <c r="D27" s="2"/>
      <c r="E27" s="2"/>
      <c r="F27" s="2"/>
      <c r="J27" s="119"/>
    </row>
    <row r="28" spans="2:17" ht="12" customHeight="1" x14ac:dyDescent="0.25">
      <c r="B28" s="2" t="s">
        <v>198</v>
      </c>
      <c r="C28" s="2"/>
      <c r="D28" s="2"/>
      <c r="E28" s="2"/>
      <c r="F28" s="118" t="s">
        <v>201</v>
      </c>
      <c r="H28" s="120">
        <f>'Input invoeding'!H32</f>
        <v>29.102711507316609</v>
      </c>
      <c r="J28" s="119"/>
    </row>
    <row r="29" spans="2:17" ht="12" customHeight="1" x14ac:dyDescent="0.25">
      <c r="B29" s="2" t="s">
        <v>202</v>
      </c>
      <c r="C29" s="2"/>
      <c r="D29" s="2"/>
      <c r="E29" s="2"/>
      <c r="F29" s="118" t="s">
        <v>201</v>
      </c>
      <c r="H29" s="120">
        <f>'Input invoeding'!H33</f>
        <v>28.953357948496151</v>
      </c>
      <c r="J29" s="119"/>
    </row>
    <row r="30" spans="2:17" ht="12" customHeight="1" x14ac:dyDescent="0.25">
      <c r="B30" s="2" t="s">
        <v>203</v>
      </c>
      <c r="C30" s="2"/>
      <c r="D30" s="2"/>
      <c r="E30" s="2"/>
      <c r="F30" s="118" t="s">
        <v>201</v>
      </c>
      <c r="H30" s="120">
        <f>'Input invoeding'!H34</f>
        <v>24.546215564408261</v>
      </c>
      <c r="J30" s="119"/>
    </row>
    <row r="31" spans="2:17" ht="12" customHeight="1" x14ac:dyDescent="0.25">
      <c r="J31" s="119"/>
    </row>
    <row r="32" spans="2:17" ht="12" customHeight="1" x14ac:dyDescent="0.25">
      <c r="B32" s="2" t="s">
        <v>204</v>
      </c>
      <c r="F32" s="218" t="s">
        <v>142</v>
      </c>
      <c r="J32" s="121">
        <f t="shared" si="0"/>
        <v>-39915.914659045935</v>
      </c>
      <c r="L32" s="48">
        <f>'Input invoeding'!L38</f>
        <v>-1302.7506879572629</v>
      </c>
      <c r="M32" s="48">
        <f>'Input invoeding'!M38</f>
        <v>-15083.914607379684</v>
      </c>
      <c r="N32" s="48">
        <f>'Input invoeding'!N38</f>
        <v>-12489.711156663892</v>
      </c>
      <c r="O32" s="48">
        <f>'Input invoeding'!O38</f>
        <v>-4840.1668176388775</v>
      </c>
      <c r="P32" s="48">
        <f>'Input invoeding'!P38</f>
        <v>-5909.5139756060207</v>
      </c>
      <c r="Q32" s="48">
        <f>'Input invoeding'!Q38</f>
        <v>-289.85741380019647</v>
      </c>
    </row>
    <row r="34" spans="2:17" ht="12" customHeight="1" x14ac:dyDescent="0.2">
      <c r="B34" s="41" t="s">
        <v>477</v>
      </c>
      <c r="F34" s="118" t="s">
        <v>73</v>
      </c>
      <c r="H34" s="50">
        <f>Parameters!O71</f>
        <v>0.1395374412453505</v>
      </c>
    </row>
    <row r="36" spans="2:17" s="6" customFormat="1" ht="12" customHeight="1" x14ac:dyDescent="0.25">
      <c r="B36" s="6" t="s">
        <v>672</v>
      </c>
    </row>
    <row r="38" spans="2:17" ht="12" customHeight="1" x14ac:dyDescent="0.25">
      <c r="B38" s="1" t="s">
        <v>206</v>
      </c>
      <c r="C38" s="2"/>
      <c r="D38" s="2"/>
      <c r="E38" s="2"/>
      <c r="F38" s="2"/>
    </row>
    <row r="39" spans="2:17" ht="12" customHeight="1" x14ac:dyDescent="0.25">
      <c r="B39" s="2" t="s">
        <v>198</v>
      </c>
      <c r="C39" s="2"/>
      <c r="D39" s="2"/>
      <c r="E39" s="2"/>
      <c r="F39" s="2" t="s">
        <v>71</v>
      </c>
      <c r="L39" s="121">
        <f>L23-L18</f>
        <v>0</v>
      </c>
      <c r="M39" s="121">
        <f t="shared" ref="M39:Q39" si="1">M23-M18</f>
        <v>0</v>
      </c>
      <c r="N39" s="121">
        <f t="shared" si="1"/>
        <v>0</v>
      </c>
      <c r="O39" s="121">
        <f t="shared" si="1"/>
        <v>0</v>
      </c>
      <c r="P39" s="121">
        <f t="shared" si="1"/>
        <v>0</v>
      </c>
      <c r="Q39" s="121">
        <f t="shared" si="1"/>
        <v>0</v>
      </c>
    </row>
    <row r="40" spans="2:17" ht="12" customHeight="1" x14ac:dyDescent="0.25">
      <c r="B40" s="2" t="s">
        <v>199</v>
      </c>
      <c r="C40" s="2"/>
      <c r="D40" s="2"/>
      <c r="E40" s="2"/>
      <c r="F40" s="2" t="s">
        <v>71</v>
      </c>
      <c r="L40" s="121">
        <f t="shared" ref="L40:Q40" si="2">L24-L19</f>
        <v>0</v>
      </c>
      <c r="M40" s="121">
        <f t="shared" si="2"/>
        <v>0</v>
      </c>
      <c r="N40" s="121">
        <f t="shared" si="2"/>
        <v>-23.333333333333332</v>
      </c>
      <c r="O40" s="121">
        <f t="shared" si="2"/>
        <v>0</v>
      </c>
      <c r="P40" s="121">
        <f t="shared" si="2"/>
        <v>0</v>
      </c>
      <c r="Q40" s="121">
        <f t="shared" si="2"/>
        <v>0</v>
      </c>
    </row>
    <row r="41" spans="2:17" ht="12" customHeight="1" x14ac:dyDescent="0.25">
      <c r="B41" s="2" t="s">
        <v>200</v>
      </c>
      <c r="C41" s="2"/>
      <c r="D41" s="2"/>
      <c r="E41" s="2"/>
      <c r="F41" s="2" t="s">
        <v>71</v>
      </c>
      <c r="L41" s="121">
        <f t="shared" ref="L41:Q41" si="3">L25-L20</f>
        <v>3160.666666666667</v>
      </c>
      <c r="M41" s="121">
        <f t="shared" si="3"/>
        <v>9003.7167944444445</v>
      </c>
      <c r="N41" s="121">
        <f t="shared" si="3"/>
        <v>5930.6666666666661</v>
      </c>
      <c r="O41" s="121">
        <f t="shared" si="3"/>
        <v>1382.3333333333335</v>
      </c>
      <c r="P41" s="121">
        <f t="shared" si="3"/>
        <v>1141.0192730546864</v>
      </c>
      <c r="Q41" s="121">
        <f t="shared" si="3"/>
        <v>228.0434082077528</v>
      </c>
    </row>
    <row r="43" spans="2:17" ht="12" customHeight="1" x14ac:dyDescent="0.25">
      <c r="B43" s="2" t="s">
        <v>670</v>
      </c>
      <c r="C43" s="2"/>
      <c r="D43" s="2"/>
      <c r="E43" s="2"/>
      <c r="F43" s="2" t="s">
        <v>142</v>
      </c>
      <c r="J43" s="108">
        <f>SUM(L43:Q43)</f>
        <v>511025.78241039655</v>
      </c>
      <c r="L43" s="121">
        <f>SUMPRODUCT(L39:L41,$H$28:$H$30)</f>
        <v>77582.405327239714</v>
      </c>
      <c r="M43" s="121">
        <f t="shared" ref="M43:P43" si="4">SUMPRODUCT(M39:M41,$H$28:$H$30)</f>
        <v>221007.17331731628</v>
      </c>
      <c r="N43" s="121">
        <f>SUMPRODUCT(N39:N41,$H$28:$H$30)</f>
        <v>144899.84408851899</v>
      </c>
      <c r="O43" s="121">
        <f t="shared" si="4"/>
        <v>33931.051981867022</v>
      </c>
      <c r="P43" s="121">
        <f t="shared" si="4"/>
        <v>28007.705039544744</v>
      </c>
      <c r="Q43" s="121">
        <f>SUMPRODUCT(Q39:Q41,$H$28:$H$30)</f>
        <v>5597.6026559098482</v>
      </c>
    </row>
    <row r="45" spans="2:17" ht="12" customHeight="1" x14ac:dyDescent="0.25">
      <c r="B45" s="243" t="s">
        <v>671</v>
      </c>
      <c r="F45" s="2" t="s">
        <v>142</v>
      </c>
      <c r="J45" s="108">
        <f>SUM(L45:Q45)</f>
        <v>550941.69706944248</v>
      </c>
      <c r="L45" s="108">
        <f>L43-L32</f>
        <v>78885.156015196975</v>
      </c>
      <c r="M45" s="108">
        <f t="shared" ref="M45:Q45" si="5">M43-M32</f>
        <v>236091.08792469595</v>
      </c>
      <c r="N45" s="108">
        <f t="shared" si="5"/>
        <v>157389.55524518288</v>
      </c>
      <c r="O45" s="108">
        <f t="shared" si="5"/>
        <v>38771.218799505899</v>
      </c>
      <c r="P45" s="108">
        <f t="shared" si="5"/>
        <v>33917.219015150768</v>
      </c>
      <c r="Q45" s="108">
        <f t="shared" si="5"/>
        <v>5887.460069710045</v>
      </c>
    </row>
    <row r="47" spans="2:17" s="6" customFormat="1" ht="12" customHeight="1" x14ac:dyDescent="0.25">
      <c r="B47" s="6" t="s">
        <v>72</v>
      </c>
    </row>
    <row r="49" spans="2:17" ht="12" customHeight="1" x14ac:dyDescent="0.25">
      <c r="B49" s="118" t="s">
        <v>196</v>
      </c>
      <c r="F49" s="2" t="s">
        <v>493</v>
      </c>
      <c r="J49" s="108">
        <f>SUM(L49:Q49)</f>
        <v>627818.69175388338</v>
      </c>
      <c r="L49" s="39">
        <f t="shared" ref="L49:Q49" si="6">L45*(1+$H$34)</f>
        <v>89892.588837797826</v>
      </c>
      <c r="M49" s="39">
        <f t="shared" si="6"/>
        <v>269034.63423453912</v>
      </c>
      <c r="N49" s="39">
        <f t="shared" si="6"/>
        <v>179351.29106283945</v>
      </c>
      <c r="O49" s="39">
        <f t="shared" si="6"/>
        <v>44181.255464752583</v>
      </c>
      <c r="P49" s="39">
        <f t="shared" si="6"/>
        <v>38649.940970683056</v>
      </c>
      <c r="Q49" s="39">
        <f t="shared" si="6"/>
        <v>6708.9811832715577</v>
      </c>
    </row>
  </sheetData>
  <phoneticPr fontId="61"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651F-B772-419A-8124-1F268F928D33}">
  <sheetPr>
    <tabColor rgb="FFFFFFCC"/>
  </sheetPr>
  <dimension ref="B2:U51"/>
  <sheetViews>
    <sheetView showGridLines="0" zoomScale="85" zoomScaleNormal="85" workbookViewId="0">
      <pane xSplit="6" ySplit="14" topLeftCell="G15" activePane="bottomRight" state="frozen"/>
      <selection pane="topRight" activeCell="G1" sqref="G1"/>
      <selection pane="bottomLeft" activeCell="A14" sqref="A14"/>
      <selection pane="bottomRight" activeCell="G15" sqref="G15"/>
    </sheetView>
  </sheetViews>
  <sheetFormatPr defaultColWidth="9.140625" defaultRowHeight="12.75" x14ac:dyDescent="0.25"/>
  <cols>
    <col min="1" max="1" width="4.7109375" style="2" customWidth="1"/>
    <col min="2" max="2" width="79.71093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9" width="2.7109375" style="2" customWidth="1"/>
    <col min="20" max="20" width="13.7109375" style="2" customWidth="1"/>
    <col min="21" max="21" width="2.7109375" style="2" customWidth="1"/>
    <col min="22" max="36" width="13.7109375" style="2" customWidth="1"/>
    <col min="37" max="16384" width="9.140625" style="2"/>
  </cols>
  <sheetData>
    <row r="2" spans="2:21" s="19" customFormat="1" ht="18" x14ac:dyDescent="0.25">
      <c r="B2" s="19" t="s">
        <v>734</v>
      </c>
    </row>
    <row r="4" spans="2:21" x14ac:dyDescent="0.25">
      <c r="B4" s="1" t="s">
        <v>59</v>
      </c>
      <c r="C4" s="1"/>
      <c r="D4" s="1"/>
    </row>
    <row r="5" spans="2:21" x14ac:dyDescent="0.25">
      <c r="B5" s="2" t="s">
        <v>223</v>
      </c>
      <c r="C5" s="1"/>
      <c r="D5" s="1"/>
    </row>
    <row r="6" spans="2:21" x14ac:dyDescent="0.25">
      <c r="B6" s="2" t="s">
        <v>216</v>
      </c>
      <c r="C6" s="1"/>
      <c r="D6" s="1"/>
    </row>
    <row r="7" spans="2:21" x14ac:dyDescent="0.25">
      <c r="B7" s="2" t="s">
        <v>238</v>
      </c>
      <c r="C7" s="1"/>
      <c r="D7" s="1"/>
    </row>
    <row r="8" spans="2:21" x14ac:dyDescent="0.25">
      <c r="C8" s="1"/>
      <c r="D8" s="1"/>
    </row>
    <row r="9" spans="2:21" x14ac:dyDescent="0.25">
      <c r="B9" s="2" t="s">
        <v>532</v>
      </c>
      <c r="C9" s="1"/>
      <c r="D9" s="1"/>
    </row>
    <row r="10" spans="2:21" x14ac:dyDescent="0.25">
      <c r="B10" s="2" t="s">
        <v>224</v>
      </c>
      <c r="C10" s="1"/>
      <c r="D10" s="1"/>
    </row>
    <row r="11" spans="2:21" x14ac:dyDescent="0.25">
      <c r="B11" s="2" t="s">
        <v>533</v>
      </c>
      <c r="C11" s="1"/>
      <c r="D11" s="1"/>
    </row>
    <row r="13" spans="2:21" s="6" customFormat="1" x14ac:dyDescent="0.25">
      <c r="B13" s="6" t="s">
        <v>46</v>
      </c>
      <c r="F13" s="6" t="s">
        <v>28</v>
      </c>
      <c r="H13" s="6" t="s">
        <v>29</v>
      </c>
      <c r="J13" s="6" t="s">
        <v>50</v>
      </c>
      <c r="L13" s="6" t="s">
        <v>89</v>
      </c>
      <c r="M13" s="6" t="s">
        <v>66</v>
      </c>
      <c r="N13" s="6" t="s">
        <v>67</v>
      </c>
      <c r="O13" s="6" t="s">
        <v>68</v>
      </c>
      <c r="P13" s="6" t="s">
        <v>69</v>
      </c>
      <c r="Q13" s="6" t="s">
        <v>70</v>
      </c>
      <c r="R13" s="60"/>
      <c r="S13" s="6" t="s">
        <v>47</v>
      </c>
      <c r="U13" s="6" t="s">
        <v>48</v>
      </c>
    </row>
    <row r="16" spans="2:21" s="6" customFormat="1" x14ac:dyDescent="0.25">
      <c r="B16" s="6" t="s">
        <v>49</v>
      </c>
    </row>
    <row r="18" spans="2:17" x14ac:dyDescent="0.25">
      <c r="B18" s="1" t="s">
        <v>225</v>
      </c>
    </row>
    <row r="19" spans="2:17" x14ac:dyDescent="0.25">
      <c r="B19" s="2" t="s">
        <v>165</v>
      </c>
      <c r="F19" s="2" t="s">
        <v>118</v>
      </c>
      <c r="L19" s="48">
        <f>'Input desinv. afn. benutting'!L17</f>
        <v>15490.305004419772</v>
      </c>
      <c r="M19" s="48">
        <f>'Input desinv. afn. benutting'!M17</f>
        <v>0</v>
      </c>
      <c r="N19" s="48">
        <f>'Input desinv. afn. benutting'!N17</f>
        <v>951006.90913859254</v>
      </c>
      <c r="O19" s="48">
        <f>'Input desinv. afn. benutting'!O17</f>
        <v>0</v>
      </c>
      <c r="P19" s="48">
        <f>'Input desinv. afn. benutting'!P17</f>
        <v>0</v>
      </c>
      <c r="Q19" s="48">
        <f>'Input desinv. afn. benutting'!Q17</f>
        <v>0</v>
      </c>
    </row>
    <row r="20" spans="2:17" x14ac:dyDescent="0.25">
      <c r="B20" s="2" t="s">
        <v>134</v>
      </c>
      <c r="F20" s="2" t="s">
        <v>118</v>
      </c>
      <c r="L20" s="48">
        <f>'Input desinv. afn. benutting'!L18</f>
        <v>197573.01711176615</v>
      </c>
      <c r="M20" s="48">
        <f>'Input desinv. afn. benutting'!M18</f>
        <v>0</v>
      </c>
      <c r="N20" s="48">
        <f>'Input desinv. afn. benutting'!N18</f>
        <v>2238248.8327949201</v>
      </c>
      <c r="O20" s="48">
        <f>'Input desinv. afn. benutting'!O18</f>
        <v>83867.688045710354</v>
      </c>
      <c r="P20" s="48">
        <f>'Input desinv. afn. benutting'!P18</f>
        <v>597079.81353998184</v>
      </c>
      <c r="Q20" s="48">
        <f>'Input desinv. afn. benutting'!Q18</f>
        <v>0</v>
      </c>
    </row>
    <row r="22" spans="2:17" x14ac:dyDescent="0.25">
      <c r="B22" s="1" t="s">
        <v>226</v>
      </c>
    </row>
    <row r="23" spans="2:17" x14ac:dyDescent="0.25">
      <c r="B23" s="2" t="s">
        <v>165</v>
      </c>
      <c r="F23" s="2" t="s">
        <v>142</v>
      </c>
      <c r="L23" s="48">
        <f>'Input desinv. afn. benutting'!L23</f>
        <v>0</v>
      </c>
      <c r="M23" s="48">
        <f>'Input desinv. afn. benutting'!M23</f>
        <v>0</v>
      </c>
      <c r="N23" s="48">
        <f>'Input desinv. afn. benutting'!N23</f>
        <v>0</v>
      </c>
      <c r="O23" s="48">
        <f>'Input desinv. afn. benutting'!O23</f>
        <v>0</v>
      </c>
      <c r="P23" s="48">
        <f>'Input desinv. afn. benutting'!P23</f>
        <v>0</v>
      </c>
      <c r="Q23" s="48">
        <f>'Input desinv. afn. benutting'!Q23</f>
        <v>0</v>
      </c>
    </row>
    <row r="24" spans="2:17" x14ac:dyDescent="0.25">
      <c r="B24" s="2" t="s">
        <v>134</v>
      </c>
      <c r="F24" s="2" t="s">
        <v>142</v>
      </c>
      <c r="L24" s="48">
        <f>'Input desinv. afn. benutting'!L24</f>
        <v>0</v>
      </c>
      <c r="M24" s="48">
        <f>'Input desinv. afn. benutting'!M24</f>
        <v>0</v>
      </c>
      <c r="N24" s="48">
        <f>'Input desinv. afn. benutting'!N24</f>
        <v>0</v>
      </c>
      <c r="O24" s="48">
        <f>'Input desinv. afn. benutting'!O24</f>
        <v>0</v>
      </c>
      <c r="P24" s="48">
        <f>'Input desinv. afn. benutting'!P24</f>
        <v>0</v>
      </c>
      <c r="Q24" s="48">
        <f>'Input desinv. afn. benutting'!Q24</f>
        <v>0</v>
      </c>
    </row>
    <row r="26" spans="2:17" x14ac:dyDescent="0.25">
      <c r="B26" s="1" t="s">
        <v>188</v>
      </c>
    </row>
    <row r="27" spans="2:17" x14ac:dyDescent="0.25">
      <c r="B27" s="2" t="s">
        <v>239</v>
      </c>
      <c r="F27" s="2" t="s">
        <v>142</v>
      </c>
      <c r="L27" s="48">
        <f>'Input desinv. afn. benutting'!L27</f>
        <v>19638</v>
      </c>
      <c r="M27" s="48">
        <f>'Input desinv. afn. benutting'!M27</f>
        <v>0</v>
      </c>
      <c r="N27" s="48">
        <f>'Input desinv. afn. benutting'!N27</f>
        <v>1177056.3599999999</v>
      </c>
      <c r="O27" s="48">
        <f>'Input desinv. afn. benutting'!O27</f>
        <v>22953.81</v>
      </c>
      <c r="P27" s="48">
        <f>'Input desinv. afn. benutting'!P27</f>
        <v>0</v>
      </c>
      <c r="Q27" s="48">
        <f>'Input desinv. afn. benutting'!Q27</f>
        <v>17704.769999999997</v>
      </c>
    </row>
    <row r="29" spans="2:17" x14ac:dyDescent="0.25">
      <c r="B29" s="1" t="s">
        <v>194</v>
      </c>
    </row>
    <row r="30" spans="2:17" x14ac:dyDescent="0.25">
      <c r="B30" s="2" t="s">
        <v>192</v>
      </c>
      <c r="F30" s="2" t="s">
        <v>193</v>
      </c>
      <c r="H30" s="114">
        <f>'Input desinv. afn. benutting'!H31</f>
        <v>1.149628433713165</v>
      </c>
    </row>
    <row r="31" spans="2:17" x14ac:dyDescent="0.25">
      <c r="B31" s="2" t="s">
        <v>530</v>
      </c>
      <c r="F31" s="2" t="s">
        <v>193</v>
      </c>
      <c r="H31" s="114">
        <f>'Input desinv. afn. benutting'!H32</f>
        <v>1.0345798797298151</v>
      </c>
    </row>
    <row r="33" spans="2:17" x14ac:dyDescent="0.2">
      <c r="B33" s="41" t="s">
        <v>477</v>
      </c>
      <c r="C33" s="29"/>
      <c r="D33" s="29"/>
      <c r="E33" s="29"/>
      <c r="F33" s="49" t="s">
        <v>73</v>
      </c>
      <c r="H33" s="50">
        <f>Parameters!O71</f>
        <v>0.1395374412453505</v>
      </c>
    </row>
    <row r="35" spans="2:17" s="6" customFormat="1" x14ac:dyDescent="0.25">
      <c r="B35" s="6" t="s">
        <v>195</v>
      </c>
    </row>
    <row r="37" spans="2:17" x14ac:dyDescent="0.25">
      <c r="B37" s="2" t="s">
        <v>531</v>
      </c>
      <c r="F37" s="2" t="s">
        <v>193</v>
      </c>
      <c r="H37" s="142">
        <f>H30/H31</f>
        <v>1.1112031620152862</v>
      </c>
    </row>
    <row r="39" spans="2:17" x14ac:dyDescent="0.25">
      <c r="B39" s="1" t="s">
        <v>227</v>
      </c>
    </row>
    <row r="40" spans="2:17" x14ac:dyDescent="0.25">
      <c r="B40" s="2" t="s">
        <v>165</v>
      </c>
      <c r="F40" s="2" t="s">
        <v>142</v>
      </c>
      <c r="J40" s="108">
        <f>SUM(L40:Q40)</f>
        <v>869775.43547497271</v>
      </c>
      <c r="L40" s="108">
        <f>L19/$H$37</f>
        <v>13940.119623423714</v>
      </c>
      <c r="M40" s="108">
        <f t="shared" ref="M40:Q40" si="0">M19/$H$37</f>
        <v>0</v>
      </c>
      <c r="N40" s="108">
        <f t="shared" si="0"/>
        <v>855835.31585154904</v>
      </c>
      <c r="O40" s="108">
        <f t="shared" si="0"/>
        <v>0</v>
      </c>
      <c r="P40" s="108">
        <f t="shared" si="0"/>
        <v>0</v>
      </c>
      <c r="Q40" s="108">
        <f t="shared" si="0"/>
        <v>0</v>
      </c>
    </row>
    <row r="41" spans="2:17" x14ac:dyDescent="0.25">
      <c r="B41" s="2" t="s">
        <v>134</v>
      </c>
      <c r="F41" s="2" t="s">
        <v>142</v>
      </c>
      <c r="J41" s="108">
        <f>SUM(L41:Q41)</f>
        <v>2804860.0454302011</v>
      </c>
      <c r="L41" s="108">
        <f>L20/$H$37</f>
        <v>177800.98533327269</v>
      </c>
      <c r="M41" s="108">
        <f t="shared" ref="M41:Q41" si="1">M20/$H$37</f>
        <v>0</v>
      </c>
      <c r="N41" s="108">
        <f t="shared" si="1"/>
        <v>2014257.0767487879</v>
      </c>
      <c r="O41" s="108">
        <f t="shared" si="1"/>
        <v>75474.666480976623</v>
      </c>
      <c r="P41" s="108">
        <f t="shared" si="1"/>
        <v>537327.31686716364</v>
      </c>
      <c r="Q41" s="108">
        <f t="shared" si="1"/>
        <v>0</v>
      </c>
    </row>
    <row r="43" spans="2:17" x14ac:dyDescent="0.25">
      <c r="B43" s="1" t="s">
        <v>363</v>
      </c>
    </row>
    <row r="44" spans="2:17" x14ac:dyDescent="0.25">
      <c r="B44" s="2" t="s">
        <v>165</v>
      </c>
      <c r="F44" s="2" t="s">
        <v>142</v>
      </c>
      <c r="J44" s="108">
        <f>SUM(L44:Q44)</f>
        <v>2107128.3754749727</v>
      </c>
      <c r="L44" s="108">
        <f>L40-L23+L27</f>
        <v>33578.119623423714</v>
      </c>
      <c r="M44" s="108">
        <f>M40-M23+M27</f>
        <v>0</v>
      </c>
      <c r="N44" s="108">
        <f>N40-N23+N27</f>
        <v>2032891.675851549</v>
      </c>
      <c r="O44" s="108">
        <f t="shared" ref="O44:Q44" si="2">O40-O23+O27</f>
        <v>22953.81</v>
      </c>
      <c r="P44" s="108">
        <f t="shared" si="2"/>
        <v>0</v>
      </c>
      <c r="Q44" s="108">
        <f t="shared" si="2"/>
        <v>17704.769999999997</v>
      </c>
    </row>
    <row r="45" spans="2:17" x14ac:dyDescent="0.25">
      <c r="B45" s="2" t="s">
        <v>134</v>
      </c>
      <c r="F45" s="2" t="s">
        <v>142</v>
      </c>
      <c r="J45" s="108">
        <f>SUM(L45:Q45)</f>
        <v>2804860.0454302011</v>
      </c>
      <c r="L45" s="108">
        <f>L41-L24</f>
        <v>177800.98533327269</v>
      </c>
      <c r="M45" s="108">
        <f t="shared" ref="M45:Q45" si="3">M41-M24</f>
        <v>0</v>
      </c>
      <c r="N45" s="108">
        <f t="shared" si="3"/>
        <v>2014257.0767487879</v>
      </c>
      <c r="O45" s="108">
        <f>O41-O24</f>
        <v>75474.666480976623</v>
      </c>
      <c r="P45" s="108">
        <f t="shared" si="3"/>
        <v>537327.31686716364</v>
      </c>
      <c r="Q45" s="108">
        <f t="shared" si="3"/>
        <v>0</v>
      </c>
    </row>
    <row r="47" spans="2:17" s="6" customFormat="1" ht="12.75" customHeight="1" x14ac:dyDescent="0.25">
      <c r="B47" s="6" t="s">
        <v>208</v>
      </c>
    </row>
    <row r="49" spans="2:17" x14ac:dyDescent="0.25">
      <c r="B49" s="2" t="s">
        <v>553</v>
      </c>
      <c r="F49" s="2" t="s">
        <v>493</v>
      </c>
      <c r="J49" s="108">
        <f>SUM(L49:Q49)</f>
        <v>2401151.6773642222</v>
      </c>
      <c r="L49" s="39">
        <f t="shared" ref="L49:Q50" si="4">L44*(1+$H$33)</f>
        <v>38263.52451750655</v>
      </c>
      <c r="M49" s="39">
        <f t="shared" si="4"/>
        <v>0</v>
      </c>
      <c r="N49" s="39">
        <f t="shared" si="4"/>
        <v>2316556.1786288465</v>
      </c>
      <c r="O49" s="39">
        <f t="shared" si="4"/>
        <v>26156.725914231942</v>
      </c>
      <c r="P49" s="39">
        <f t="shared" si="4"/>
        <v>0</v>
      </c>
      <c r="Q49" s="39">
        <f t="shared" si="4"/>
        <v>20175.24830363744</v>
      </c>
    </row>
    <row r="50" spans="2:17" x14ac:dyDescent="0.25">
      <c r="B50" s="2" t="s">
        <v>554</v>
      </c>
      <c r="F50" s="2" t="s">
        <v>493</v>
      </c>
      <c r="J50" s="108">
        <f>SUM(L50:Q50)</f>
        <v>3196243.0392208486</v>
      </c>
      <c r="L50" s="39">
        <f t="shared" si="4"/>
        <v>202610.87987757966</v>
      </c>
      <c r="M50" s="39">
        <f t="shared" si="4"/>
        <v>0</v>
      </c>
      <c r="N50" s="39">
        <f t="shared" si="4"/>
        <v>2295321.3552486533</v>
      </c>
      <c r="O50" s="39">
        <f t="shared" si="4"/>
        <v>86006.208320578327</v>
      </c>
      <c r="P50" s="39">
        <f t="shared" si="4"/>
        <v>612304.5957740373</v>
      </c>
      <c r="Q50" s="39">
        <f t="shared" si="4"/>
        <v>0</v>
      </c>
    </row>
    <row r="51" spans="2:17" x14ac:dyDescent="0.25">
      <c r="J51" s="128"/>
      <c r="L51" s="128"/>
      <c r="M51" s="128"/>
      <c r="N51" s="128"/>
      <c r="O51" s="128"/>
      <c r="P51" s="128"/>
      <c r="Q51" s="128"/>
    </row>
  </sheetData>
  <phoneticPr fontId="6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G30"/>
  <sheetViews>
    <sheetView showGridLines="0" zoomScale="85" zoomScaleNormal="85" workbookViewId="0">
      <pane ySplit="3" topLeftCell="A4" activePane="bottomLeft" state="frozen"/>
      <selection activeCell="Q27" sqref="Q27"/>
      <selection pane="bottomLeft" activeCell="A4" sqref="A4"/>
    </sheetView>
  </sheetViews>
  <sheetFormatPr defaultColWidth="9.140625" defaultRowHeight="15" customHeight="1" x14ac:dyDescent="0.25"/>
  <cols>
    <col min="1" max="1" width="2.85546875" style="2" customWidth="1"/>
    <col min="2" max="2" width="7.5703125" style="2" customWidth="1"/>
    <col min="3" max="3" width="68.140625" style="2" bestFit="1" customWidth="1"/>
    <col min="4" max="4" width="97.85546875" style="72" bestFit="1" customWidth="1"/>
    <col min="5" max="5" width="143.5703125" style="235" bestFit="1" customWidth="1"/>
    <col min="6" max="6" width="4.5703125" style="2" customWidth="1"/>
    <col min="7" max="7" width="43.42578125" style="2" customWidth="1"/>
    <col min="8" max="8" width="28.7109375" style="2" customWidth="1"/>
    <col min="9" max="9" width="26.85546875" style="2" customWidth="1"/>
    <col min="10" max="10" width="58.42578125" style="2" customWidth="1"/>
    <col min="11" max="11" width="22" style="2" customWidth="1"/>
    <col min="12" max="16384" width="9.140625" style="2"/>
  </cols>
  <sheetData>
    <row r="2" spans="2:7" s="10" customFormat="1" ht="18" x14ac:dyDescent="0.25">
      <c r="B2" s="9" t="s">
        <v>25</v>
      </c>
    </row>
    <row r="4" spans="2:7" s="6" customFormat="1" ht="15" customHeight="1" x14ac:dyDescent="0.25">
      <c r="B4" s="6" t="s">
        <v>26</v>
      </c>
      <c r="D4" s="73"/>
      <c r="E4" s="249"/>
    </row>
    <row r="5" spans="2:7" ht="12.75" x14ac:dyDescent="0.25">
      <c r="D5" s="2"/>
    </row>
    <row r="6" spans="2:7" ht="12.75" x14ac:dyDescent="0.25">
      <c r="B6" s="5"/>
      <c r="D6" s="2"/>
    </row>
    <row r="7" spans="2:7" ht="12.75" x14ac:dyDescent="0.25">
      <c r="D7" s="2"/>
    </row>
    <row r="8" spans="2:7" ht="12.75" x14ac:dyDescent="0.25">
      <c r="B8" s="86" t="s">
        <v>56</v>
      </c>
      <c r="C8" s="86" t="s">
        <v>57</v>
      </c>
      <c r="D8" s="86" t="s">
        <v>58</v>
      </c>
      <c r="E8" s="86" t="s">
        <v>62</v>
      </c>
    </row>
    <row r="9" spans="2:7" ht="12.75" x14ac:dyDescent="0.25">
      <c r="B9" s="26"/>
      <c r="C9" s="26" t="s">
        <v>64</v>
      </c>
      <c r="D9" s="26" t="s">
        <v>27</v>
      </c>
      <c r="E9" s="26" t="s">
        <v>63</v>
      </c>
    </row>
    <row r="10" spans="2:7" ht="12" customHeight="1" x14ac:dyDescent="0.25">
      <c r="B10" s="201">
        <v>1</v>
      </c>
      <c r="C10" s="250" t="s">
        <v>705</v>
      </c>
      <c r="D10" s="250" t="s">
        <v>711</v>
      </c>
      <c r="E10" s="250" t="s">
        <v>692</v>
      </c>
    </row>
    <row r="11" spans="2:7" ht="12" customHeight="1" x14ac:dyDescent="0.25">
      <c r="B11" s="201">
        <v>2</v>
      </c>
      <c r="C11" s="250" t="s">
        <v>785</v>
      </c>
      <c r="D11" s="250" t="s">
        <v>784</v>
      </c>
      <c r="E11" s="250" t="s">
        <v>692</v>
      </c>
      <c r="G11" s="87"/>
    </row>
    <row r="12" spans="2:7" ht="12" customHeight="1" x14ac:dyDescent="0.25">
      <c r="B12" s="201">
        <v>3</v>
      </c>
      <c r="C12" s="250" t="s">
        <v>138</v>
      </c>
      <c r="D12" s="247"/>
      <c r="E12" s="150" t="s">
        <v>693</v>
      </c>
    </row>
    <row r="13" spans="2:7" ht="12.75" customHeight="1" x14ac:dyDescent="0.25">
      <c r="B13" s="201">
        <v>4</v>
      </c>
      <c r="C13" s="250" t="s">
        <v>387</v>
      </c>
      <c r="D13" s="248"/>
      <c r="E13" s="251" t="s">
        <v>694</v>
      </c>
    </row>
    <row r="14" spans="2:7" ht="12.75" x14ac:dyDescent="0.25">
      <c r="B14" s="201">
        <v>5</v>
      </c>
      <c r="C14" s="250" t="s">
        <v>706</v>
      </c>
      <c r="D14" s="252"/>
      <c r="E14" s="250" t="s">
        <v>712</v>
      </c>
    </row>
    <row r="15" spans="2:7" ht="12.75" x14ac:dyDescent="0.2">
      <c r="B15" s="201">
        <v>6</v>
      </c>
      <c r="C15" s="250" t="s">
        <v>704</v>
      </c>
      <c r="D15" s="252" t="s">
        <v>716</v>
      </c>
      <c r="E15" s="254" t="s">
        <v>715</v>
      </c>
    </row>
    <row r="16" spans="2:7" ht="12.75" x14ac:dyDescent="0.2">
      <c r="B16" s="201">
        <v>7</v>
      </c>
      <c r="C16" s="250" t="s">
        <v>723</v>
      </c>
      <c r="D16" s="252" t="s">
        <v>725</v>
      </c>
      <c r="E16" s="256" t="s">
        <v>715</v>
      </c>
    </row>
    <row r="17" spans="2:5" ht="12" customHeight="1" x14ac:dyDescent="0.2">
      <c r="B17" s="201">
        <v>8</v>
      </c>
      <c r="C17" s="250" t="s">
        <v>691</v>
      </c>
      <c r="D17" s="250" t="s">
        <v>717</v>
      </c>
      <c r="E17" s="254" t="s">
        <v>715</v>
      </c>
    </row>
    <row r="18" spans="2:5" ht="12" customHeight="1" x14ac:dyDescent="0.25">
      <c r="B18" s="201">
        <v>9</v>
      </c>
      <c r="C18" s="252" t="s">
        <v>775</v>
      </c>
      <c r="D18" s="252"/>
      <c r="E18" s="251"/>
    </row>
    <row r="19" spans="2:5" ht="12" customHeight="1" x14ac:dyDescent="0.25">
      <c r="B19" s="201">
        <v>10</v>
      </c>
      <c r="C19" s="253" t="s">
        <v>506</v>
      </c>
      <c r="D19" s="250" t="s">
        <v>695</v>
      </c>
      <c r="E19" s="250" t="s">
        <v>692</v>
      </c>
    </row>
    <row r="20" spans="2:5" ht="12" customHeight="1" x14ac:dyDescent="0.25">
      <c r="B20" s="201">
        <v>11</v>
      </c>
      <c r="C20" s="250" t="s">
        <v>709</v>
      </c>
      <c r="D20" s="250" t="s">
        <v>710</v>
      </c>
      <c r="E20" s="255"/>
    </row>
    <row r="21" spans="2:5" ht="12" customHeight="1" x14ac:dyDescent="0.25">
      <c r="B21" s="201">
        <v>12</v>
      </c>
      <c r="C21" s="250" t="s">
        <v>724</v>
      </c>
      <c r="D21" s="250" t="s">
        <v>714</v>
      </c>
      <c r="E21" s="202" t="s">
        <v>713</v>
      </c>
    </row>
    <row r="22" spans="2:5" ht="12" customHeight="1" x14ac:dyDescent="0.2">
      <c r="B22" s="201">
        <v>13</v>
      </c>
      <c r="C22" s="250" t="s">
        <v>696</v>
      </c>
      <c r="D22" s="251"/>
      <c r="E22" s="254" t="s">
        <v>697</v>
      </c>
    </row>
    <row r="23" spans="2:5" ht="12" customHeight="1" x14ac:dyDescent="0.2">
      <c r="B23" s="201">
        <v>14</v>
      </c>
      <c r="C23" s="250" t="s">
        <v>703</v>
      </c>
      <c r="D23" s="250" t="s">
        <v>721</v>
      </c>
      <c r="E23" s="254" t="s">
        <v>722</v>
      </c>
    </row>
    <row r="24" spans="2:5" ht="12" customHeight="1" x14ac:dyDescent="0.2">
      <c r="B24" s="201">
        <v>15</v>
      </c>
      <c r="C24" s="250" t="s">
        <v>701</v>
      </c>
      <c r="D24" s="250" t="s">
        <v>720</v>
      </c>
      <c r="E24" s="254" t="s">
        <v>719</v>
      </c>
    </row>
    <row r="25" spans="2:5" ht="12" customHeight="1" x14ac:dyDescent="0.2">
      <c r="B25" s="201">
        <v>16</v>
      </c>
      <c r="C25" s="250" t="s">
        <v>708</v>
      </c>
      <c r="D25" s="250" t="s">
        <v>718</v>
      </c>
      <c r="E25" s="254" t="s">
        <v>783</v>
      </c>
    </row>
    <row r="26" spans="2:5" ht="12.75" x14ac:dyDescent="0.25">
      <c r="C26" s="235"/>
      <c r="D26" s="235"/>
      <c r="E26" s="150"/>
    </row>
    <row r="27" spans="2:5" s="6" customFormat="1" ht="15" customHeight="1" x14ac:dyDescent="0.25">
      <c r="B27" s="6" t="s">
        <v>53</v>
      </c>
      <c r="D27" s="73"/>
      <c r="E27" s="249"/>
    </row>
    <row r="29" spans="2:5" ht="15" customHeight="1" x14ac:dyDescent="0.25">
      <c r="B29" s="4" t="s">
        <v>51</v>
      </c>
    </row>
    <row r="30" spans="2:5" ht="15" customHeight="1" x14ac:dyDescent="0.25">
      <c r="B30" s="4" t="s">
        <v>52</v>
      </c>
    </row>
  </sheetData>
  <sortState xmlns:xlrd2="http://schemas.microsoft.com/office/spreadsheetml/2017/richdata2" ref="C10:E25">
    <sortCondition ref="C10:C25"/>
  </sortState>
  <hyperlinks>
    <hyperlink ref="E12" r:id="rId1" location="/details/wettelijke-rente/dataset/2ed0b77d-72c5-47e8-8a3d-0c213048e11d/resource/b363a333-1ce1-4ba0-83b9-80bdf6f78fa0" xr:uid="{8DE12281-F11E-44C7-B2E5-510FE82BE87F}"/>
    <hyperlink ref="E13" r:id="rId2" xr:uid="{5386D543-4E54-43F2-A70E-0875B93A89E3}"/>
    <hyperlink ref="E21" r:id="rId3" xr:uid="{11C7A965-A330-46D0-8CB5-E522CA864071}"/>
    <hyperlink ref="E17" r:id="rId4" display="https://www.acm.nl/nl/publicaties/berekening-x-factor-bij-gewijzigde-x-factorbesluiten-gas-2022-2026?_exception_statuscode=404&amp;arguments_sanitized=%2BLZFmU3mG3vbbQ%3D%3D" xr:uid="{521F465B-D527-4860-A6F2-98C0DC48C0C1}"/>
    <hyperlink ref="E15" r:id="rId5" display="https://www.acm.nl/nl/publicaties/berekening-x-factor-bij-gewijzigde-x-factorbesluiten-gas-2022-2026?_exception_statuscode=404&amp;arguments_sanitized=%2BLZFmU3mG3vbbQ%3D%3D" xr:uid="{726DB854-E5B4-40DB-9503-51D2918ECA91}"/>
    <hyperlink ref="E24" r:id="rId6" display="https://www.acm.nl/nl/publicaties/de-totale-inkomsten-voor-de-regionale-netbeheerders-gas-voor-2024" xr:uid="{E4732818-E492-4839-AD79-41CC06C2F8FE}"/>
    <hyperlink ref="E23" r:id="rId7" display="https://www.acm.nl/nl/publicaties/berekening-totale-inkomsten-2023-regionaal-netbeheer-gas" xr:uid="{FBC07FDC-2887-4BD9-8F6F-21C2966A5BAC}"/>
    <hyperlink ref="E16" r:id="rId8" display="https://www.acm.nl/nl/publicaties/berekening-x-factor-bij-gewijzigde-x-factorbesluiten-gas-2022-2026?_exception_statuscode=404&amp;arguments_sanitized=%2BLZFmU3mG3vbbQ%3D%3D" xr:uid="{E3197EE2-154F-426A-AFC7-1A830EF97BDD}"/>
    <hyperlink ref="E22" r:id="rId9" location="/CBS/nl/dataset/70936ned/table?ts=1631782812900" xr:uid="{4DA98A92-52D8-4AC0-A572-C37268D7E6DF}"/>
    <hyperlink ref="E25" r:id="rId10" display="https://www.acm.nl/nl/publicaties/herstel-x-factorberekening-regionale-netbeheerders-gas-2021-2026" xr:uid="{51803543-4392-4FE9-950B-11F8735EB64D}"/>
  </hyperlinks>
  <pageMargins left="0.75" right="0.75" top="1" bottom="1" header="0.5" footer="0.5"/>
  <pageSetup paperSize="9" orientation="portrait" r:id="rId1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63D8-18EA-40F2-B65C-7B16624519DD}">
  <sheetPr>
    <tabColor rgb="FFFFFFCC"/>
  </sheetPr>
  <dimension ref="A2:T69"/>
  <sheetViews>
    <sheetView showGridLines="0" zoomScale="85" zoomScaleNormal="85" workbookViewId="0">
      <pane xSplit="6" ySplit="14" topLeftCell="G15" activePane="bottomRight" state="frozen"/>
      <selection activeCell="P67" sqref="P67:T80"/>
      <selection pane="topRight" activeCell="P67" sqref="P67:T80"/>
      <selection pane="bottomLeft" activeCell="P67" sqref="P67:T80"/>
      <selection pane="bottomRight" activeCell="G15" sqref="G15"/>
    </sheetView>
  </sheetViews>
  <sheetFormatPr defaultColWidth="9.140625" defaultRowHeight="12.75" x14ac:dyDescent="0.25"/>
  <cols>
    <col min="1" max="1" width="4.7109375" style="2" customWidth="1"/>
    <col min="2" max="2" width="82.855468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2.5703125" style="2" customWidth="1"/>
    <col min="13" max="14" width="13" style="2" bestFit="1" customWidth="1"/>
    <col min="15" max="15" width="12.5703125" style="2" customWidth="1"/>
    <col min="16" max="16" width="13" style="2" bestFit="1" customWidth="1"/>
    <col min="17" max="17" width="12.5703125" style="2" customWidth="1"/>
    <col min="18" max="19" width="2.7109375" style="2" customWidth="1"/>
    <col min="20" max="20" width="13.7109375" style="2" customWidth="1"/>
    <col min="21" max="21" width="2.7109375" style="2" customWidth="1"/>
    <col min="22" max="36" width="13.7109375" style="2" customWidth="1"/>
    <col min="37" max="16384" width="9.140625" style="2"/>
  </cols>
  <sheetData>
    <row r="2" spans="1:20" s="19" customFormat="1" ht="18" x14ac:dyDescent="0.25">
      <c r="B2" s="19" t="s">
        <v>556</v>
      </c>
    </row>
    <row r="4" spans="1:20" x14ac:dyDescent="0.25">
      <c r="B4" s="1" t="s">
        <v>59</v>
      </c>
    </row>
    <row r="5" spans="1:20" ht="12.75" customHeight="1" x14ac:dyDescent="0.25">
      <c r="B5" s="2" t="s">
        <v>501</v>
      </c>
      <c r="C5" s="1"/>
      <c r="D5" s="1"/>
      <c r="L5"/>
    </row>
    <row r="6" spans="1:20" ht="12.75" customHeight="1" x14ac:dyDescent="0.25">
      <c r="B6" s="2" t="s">
        <v>418</v>
      </c>
      <c r="H6" s="20"/>
    </row>
    <row r="7" spans="1:20" ht="12.75" customHeight="1" x14ac:dyDescent="0.25">
      <c r="B7" s="2" t="s">
        <v>416</v>
      </c>
      <c r="H7" s="20"/>
    </row>
    <row r="9" spans="1:20" x14ac:dyDescent="0.25">
      <c r="B9" s="4" t="s">
        <v>169</v>
      </c>
    </row>
    <row r="10" spans="1:20" s="72" customFormat="1" ht="26.1" customHeight="1" x14ac:dyDescent="0.25">
      <c r="A10" s="2"/>
      <c r="B10" s="261" t="s">
        <v>685</v>
      </c>
      <c r="C10" s="261"/>
      <c r="D10" s="261"/>
      <c r="E10" s="261"/>
      <c r="F10" s="261"/>
      <c r="G10" s="261"/>
      <c r="H10" s="261"/>
      <c r="I10" s="261"/>
      <c r="J10" s="261"/>
      <c r="K10" s="261"/>
      <c r="L10" s="261"/>
      <c r="M10" s="261"/>
      <c r="N10" s="261"/>
      <c r="O10" s="261"/>
      <c r="P10" s="261"/>
      <c r="Q10" s="261"/>
    </row>
    <row r="11" spans="1:20" x14ac:dyDescent="0.25">
      <c r="B11" s="2" t="s">
        <v>502</v>
      </c>
    </row>
    <row r="13" spans="1:20" s="6" customFormat="1" x14ac:dyDescent="0.25">
      <c r="B13" s="6" t="s">
        <v>46</v>
      </c>
      <c r="F13" s="6" t="s">
        <v>28</v>
      </c>
      <c r="H13" s="6" t="s">
        <v>29</v>
      </c>
      <c r="J13" s="6" t="s">
        <v>50</v>
      </c>
      <c r="L13" s="6" t="s">
        <v>89</v>
      </c>
      <c r="M13" s="6" t="s">
        <v>66</v>
      </c>
      <c r="N13" s="6" t="s">
        <v>67</v>
      </c>
      <c r="O13" s="6" t="s">
        <v>68</v>
      </c>
      <c r="P13" s="6" t="s">
        <v>69</v>
      </c>
      <c r="Q13" s="6" t="s">
        <v>70</v>
      </c>
      <c r="T13" s="6" t="s">
        <v>48</v>
      </c>
    </row>
    <row r="16" spans="1:20" s="6" customFormat="1" x14ac:dyDescent="0.25">
      <c r="B16" s="6" t="s">
        <v>151</v>
      </c>
    </row>
    <row r="18" spans="2:17" x14ac:dyDescent="0.2">
      <c r="B18" s="28" t="s">
        <v>155</v>
      </c>
      <c r="F18" s="41"/>
    </row>
    <row r="19" spans="2:17" x14ac:dyDescent="0.2">
      <c r="B19" s="2" t="s">
        <v>160</v>
      </c>
      <c r="F19" s="41" t="s">
        <v>71</v>
      </c>
      <c r="J19" s="40">
        <f>SUM(L19:Q19)</f>
        <v>959</v>
      </c>
      <c r="L19" s="48">
        <f>'Input verwijderingskosten KV'!L16</f>
        <v>42</v>
      </c>
      <c r="M19" s="48">
        <f>'Input verwijderingskosten KV'!M16</f>
        <v>0</v>
      </c>
      <c r="N19" s="48">
        <f>'Input verwijderingskosten KV'!N16</f>
        <v>166</v>
      </c>
      <c r="O19" s="48">
        <f>'Input verwijderingskosten KV'!O16</f>
        <v>10</v>
      </c>
      <c r="P19" s="48">
        <f>'Input verwijderingskosten KV'!P16</f>
        <v>709</v>
      </c>
      <c r="Q19" s="48">
        <f>'Input verwijderingskosten KV'!Q16</f>
        <v>32</v>
      </c>
    </row>
    <row r="20" spans="2:17" x14ac:dyDescent="0.25">
      <c r="B20" s="2" t="s">
        <v>161</v>
      </c>
      <c r="F20" s="2" t="s">
        <v>142</v>
      </c>
      <c r="J20" s="40">
        <f t="shared" ref="J20" si="0">SUM(L20:Q20)</f>
        <v>1763947.8170279386</v>
      </c>
      <c r="L20" s="48">
        <f>'Input verwijderingskosten KV'!L17</f>
        <v>63995</v>
      </c>
      <c r="M20" s="48">
        <f>'Input verwijderingskosten KV'!M17</f>
        <v>0</v>
      </c>
      <c r="N20" s="48">
        <f>'Input verwijderingskosten KV'!N17</f>
        <v>166238.33765503002</v>
      </c>
      <c r="O20" s="48">
        <f>'Input verwijderingskosten KV'!O17</f>
        <v>7282.85</v>
      </c>
      <c r="P20" s="48">
        <f>'Input verwijderingskosten KV'!P17</f>
        <v>1519693.5493729084</v>
      </c>
      <c r="Q20" s="48">
        <f>'Input verwijderingskosten KV'!Q17</f>
        <v>6738.079999999999</v>
      </c>
    </row>
    <row r="21" spans="2:17" x14ac:dyDescent="0.2">
      <c r="F21" s="41"/>
    </row>
    <row r="22" spans="2:17" x14ac:dyDescent="0.25">
      <c r="B22" s="28" t="s">
        <v>154</v>
      </c>
    </row>
    <row r="23" spans="2:17" x14ac:dyDescent="0.2">
      <c r="B23" s="2" t="s">
        <v>160</v>
      </c>
      <c r="F23" s="41" t="s">
        <v>71</v>
      </c>
      <c r="J23" s="40">
        <f>SUM(L23:Q23)</f>
        <v>904</v>
      </c>
      <c r="L23" s="48">
        <f>'Input verwijderingskosten KV'!L20</f>
        <v>0</v>
      </c>
      <c r="M23" s="48">
        <f>'Input verwijderingskosten KV'!M20</f>
        <v>0</v>
      </c>
      <c r="N23" s="48">
        <f>'Input verwijderingskosten KV'!N20</f>
        <v>112</v>
      </c>
      <c r="O23" s="48">
        <f>'Input verwijderingskosten KV'!O20</f>
        <v>1</v>
      </c>
      <c r="P23" s="48">
        <f>'Input verwijderingskosten KV'!P20</f>
        <v>791</v>
      </c>
      <c r="Q23" s="48">
        <f>'Input verwijderingskosten KV'!Q20</f>
        <v>0</v>
      </c>
    </row>
    <row r="24" spans="2:17" x14ac:dyDescent="0.25">
      <c r="B24" s="2" t="s">
        <v>161</v>
      </c>
      <c r="F24" s="2" t="s">
        <v>142</v>
      </c>
      <c r="J24" s="40">
        <f t="shared" ref="J24" si="1">SUM(L24:Q24)</f>
        <v>419177.96142473165</v>
      </c>
      <c r="L24" s="48">
        <f>'Input verwijderingskosten KV'!L21</f>
        <v>0</v>
      </c>
      <c r="M24" s="48">
        <f>'Input verwijderingskosten KV'!M21</f>
        <v>0</v>
      </c>
      <c r="N24" s="48">
        <f>'Input verwijderingskosten KV'!N21</f>
        <v>62170.840797639161</v>
      </c>
      <c r="O24" s="48">
        <f>'Input verwijderingskosten KV'!O21</f>
        <v>130.72</v>
      </c>
      <c r="P24" s="48">
        <f>'Input verwijderingskosten KV'!P21</f>
        <v>356876.40062709252</v>
      </c>
      <c r="Q24" s="48">
        <f>'Input verwijderingskosten KV'!Q21</f>
        <v>0</v>
      </c>
    </row>
    <row r="25" spans="2:17" x14ac:dyDescent="0.2">
      <c r="F25" s="41"/>
    </row>
    <row r="26" spans="2:17" x14ac:dyDescent="0.2">
      <c r="B26" s="1" t="s">
        <v>168</v>
      </c>
      <c r="F26" s="41"/>
    </row>
    <row r="27" spans="2:17" x14ac:dyDescent="0.2">
      <c r="B27" s="2" t="s">
        <v>688</v>
      </c>
      <c r="F27" s="148" t="s">
        <v>106</v>
      </c>
      <c r="J27" s="40">
        <f>SUM(L27:Q27)</f>
        <v>480517.05016735999</v>
      </c>
      <c r="L27" s="48">
        <f>'Input verwijderingskosten KV'!L25</f>
        <v>51201.018277919997</v>
      </c>
      <c r="M27" s="48">
        <f>'Input verwijderingskosten KV'!M25</f>
        <v>0</v>
      </c>
      <c r="N27" s="48">
        <f>'Input verwijderingskosten KV'!N25</f>
        <v>429316.03188944003</v>
      </c>
      <c r="O27" s="48">
        <f>'Input verwijderingskosten KV'!O25</f>
        <v>0</v>
      </c>
      <c r="P27" s="48">
        <f>'Input verwijderingskosten KV'!P25</f>
        <v>0</v>
      </c>
      <c r="Q27" s="48">
        <f>'Input verwijderingskosten KV'!Q25</f>
        <v>0</v>
      </c>
    </row>
    <row r="28" spans="2:17" x14ac:dyDescent="0.2">
      <c r="F28" s="148"/>
    </row>
    <row r="29" spans="2:17" x14ac:dyDescent="0.25">
      <c r="B29" s="2" t="s">
        <v>300</v>
      </c>
      <c r="F29" s="132" t="s">
        <v>71</v>
      </c>
      <c r="J29" s="40">
        <f>SUM(L29:Q29)</f>
        <v>829798182.34168494</v>
      </c>
      <c r="L29" s="48">
        <f>'Input verwijderingskosten KV'!L27</f>
        <v>16401680.494385676</v>
      </c>
      <c r="M29" s="48">
        <f>'Input verwijderingskosten KV'!M27</f>
        <v>266533758.56356135</v>
      </c>
      <c r="N29" s="48">
        <f>'Input verwijderingskosten KV'!N27</f>
        <v>285455588.10709691</v>
      </c>
      <c r="O29" s="48">
        <f>'Input verwijderingskosten KV'!O27</f>
        <v>12040239.024494292</v>
      </c>
      <c r="P29" s="48">
        <f>'Input verwijderingskosten KV'!P27</f>
        <v>235138144.63941851</v>
      </c>
      <c r="Q29" s="48">
        <f>'Input verwijderingskosten KV'!Q27</f>
        <v>14228771.512728186</v>
      </c>
    </row>
    <row r="31" spans="2:17" x14ac:dyDescent="0.25">
      <c r="B31" s="2" t="s">
        <v>163</v>
      </c>
      <c r="F31" s="2" t="s">
        <v>71</v>
      </c>
      <c r="J31" s="92"/>
      <c r="L31" s="106">
        <f>'Input x-factor, begininkomsten'!L19</f>
        <v>1.4000000000000001</v>
      </c>
      <c r="M31" s="106">
        <f>'Input x-factor, begininkomsten'!M19</f>
        <v>1.3900000000000001</v>
      </c>
      <c r="N31" s="106">
        <f>'Input x-factor, begininkomsten'!N19</f>
        <v>1.35</v>
      </c>
      <c r="O31" s="106">
        <f>'Input x-factor, begininkomsten'!O19</f>
        <v>1.4000000000000001</v>
      </c>
      <c r="P31" s="106">
        <f>'Input x-factor, begininkomsten'!P19</f>
        <v>1.3900000000000001</v>
      </c>
      <c r="Q31" s="106">
        <f>'Input x-factor, begininkomsten'!Q19</f>
        <v>1.54</v>
      </c>
    </row>
    <row r="33" spans="2:17" x14ac:dyDescent="0.25">
      <c r="B33" s="1" t="s">
        <v>495</v>
      </c>
      <c r="M33" s="93"/>
      <c r="N33" s="93"/>
      <c r="O33" s="93"/>
      <c r="P33" s="93"/>
      <c r="Q33" s="93"/>
    </row>
    <row r="34" spans="2:17" x14ac:dyDescent="0.25">
      <c r="B34" s="2" t="s">
        <v>496</v>
      </c>
      <c r="F34" s="2" t="s">
        <v>142</v>
      </c>
      <c r="J34" s="40">
        <f>SUM(L34:Q34)</f>
        <v>17642857.687051609</v>
      </c>
      <c r="L34" s="48">
        <f>'Input verwijderingskosten KV'!L31</f>
        <v>393921.27045591816</v>
      </c>
      <c r="M34" s="48">
        <f>'Input verwijderingskosten KV'!M31</f>
        <v>5356376.4892118825</v>
      </c>
      <c r="N34" s="48">
        <f>'Input verwijderingskosten KV'!N31</f>
        <v>7039812.5343119223</v>
      </c>
      <c r="O34" s="48">
        <f>'Input verwijderingskosten KV'!O31</f>
        <v>360459.27892950643</v>
      </c>
      <c r="P34" s="48">
        <f>'Input verwijderingskosten KV'!P31</f>
        <v>4430722.3328737915</v>
      </c>
      <c r="Q34" s="48">
        <f>'Input verwijderingskosten KV'!Q31</f>
        <v>61565.781268589002</v>
      </c>
    </row>
    <row r="36" spans="2:17" x14ac:dyDescent="0.25">
      <c r="B36" s="1" t="s">
        <v>194</v>
      </c>
    </row>
    <row r="37" spans="2:17" x14ac:dyDescent="0.25">
      <c r="B37" s="2" t="s">
        <v>112</v>
      </c>
      <c r="F37" s="2" t="s">
        <v>73</v>
      </c>
      <c r="H37" s="105">
        <f>'Input parameters'!AD19</f>
        <v>2.4E-2</v>
      </c>
    </row>
    <row r="38" spans="2:17" ht="12" customHeight="1" x14ac:dyDescent="0.25">
      <c r="B38" s="2" t="s">
        <v>144</v>
      </c>
      <c r="F38" s="2" t="s">
        <v>73</v>
      </c>
      <c r="H38" s="105">
        <f>'Input parameters'!AE19</f>
        <v>0.12</v>
      </c>
      <c r="J38" s="92"/>
      <c r="L38" s="100"/>
      <c r="M38" s="100"/>
      <c r="N38" s="100"/>
      <c r="O38" s="100"/>
      <c r="P38" s="100"/>
      <c r="Q38" s="100"/>
    </row>
    <row r="39" spans="2:17" ht="12" customHeight="1" x14ac:dyDescent="0.25">
      <c r="J39" s="92"/>
      <c r="L39" s="100"/>
      <c r="M39" s="100"/>
      <c r="N39" s="100"/>
      <c r="O39" s="100"/>
      <c r="P39" s="100"/>
      <c r="Q39" s="100"/>
    </row>
    <row r="40" spans="2:17" ht="12" customHeight="1" x14ac:dyDescent="0.2">
      <c r="B40" s="41" t="s">
        <v>477</v>
      </c>
      <c r="C40" s="29"/>
      <c r="D40" s="29"/>
      <c r="E40" s="29"/>
      <c r="F40" s="49" t="s">
        <v>73</v>
      </c>
      <c r="H40" s="50">
        <f>Parameters!O71</f>
        <v>0.1395374412453505</v>
      </c>
    </row>
    <row r="41" spans="2:17" x14ac:dyDescent="0.25">
      <c r="M41" s="93"/>
      <c r="N41" s="93"/>
      <c r="O41" s="93"/>
      <c r="P41" s="93"/>
      <c r="Q41" s="93"/>
    </row>
    <row r="42" spans="2:17" s="6" customFormat="1" x14ac:dyDescent="0.25">
      <c r="B42" s="6" t="s">
        <v>104</v>
      </c>
    </row>
    <row r="44" spans="2:17" x14ac:dyDescent="0.25">
      <c r="B44" s="1" t="s">
        <v>499</v>
      </c>
    </row>
    <row r="45" spans="2:17" x14ac:dyDescent="0.25">
      <c r="B45" s="2" t="s">
        <v>497</v>
      </c>
      <c r="F45" s="2" t="s">
        <v>142</v>
      </c>
      <c r="J45" s="40">
        <f>J20/J19</f>
        <v>1839.3616444504053</v>
      </c>
    </row>
    <row r="46" spans="2:17" x14ac:dyDescent="0.25">
      <c r="B46" s="2" t="s">
        <v>498</v>
      </c>
      <c r="F46" s="2" t="s">
        <v>142</v>
      </c>
      <c r="J46" s="40">
        <f>J24/J23</f>
        <v>463.69243520434918</v>
      </c>
    </row>
    <row r="48" spans="2:17" x14ac:dyDescent="0.25">
      <c r="B48" s="1" t="s">
        <v>156</v>
      </c>
    </row>
    <row r="49" spans="2:17" x14ac:dyDescent="0.25">
      <c r="B49" s="2" t="s">
        <v>157</v>
      </c>
      <c r="F49" s="2" t="s">
        <v>142</v>
      </c>
      <c r="J49" s="40">
        <f>SUM(L49:Q49)</f>
        <v>2183125.7784526702</v>
      </c>
      <c r="L49" s="40">
        <f t="shared" ref="L49:Q49" si="2">($J$45*L19)+($J$46*L23)</f>
        <v>77253.189066917024</v>
      </c>
      <c r="M49" s="40">
        <f t="shared" si="2"/>
        <v>0</v>
      </c>
      <c r="N49" s="40">
        <f t="shared" si="2"/>
        <v>357267.58572165441</v>
      </c>
      <c r="O49" s="40">
        <f t="shared" si="2"/>
        <v>18857.308879708402</v>
      </c>
      <c r="P49" s="40">
        <f t="shared" si="2"/>
        <v>1670888.1221619775</v>
      </c>
      <c r="Q49" s="40">
        <f t="shared" si="2"/>
        <v>58859.572622412968</v>
      </c>
    </row>
    <row r="51" spans="2:17" s="6" customFormat="1" ht="12.75" customHeight="1" x14ac:dyDescent="0.25">
      <c r="B51" s="6" t="s">
        <v>686</v>
      </c>
    </row>
    <row r="53" spans="2:17" x14ac:dyDescent="0.2">
      <c r="B53" s="1" t="s">
        <v>148</v>
      </c>
      <c r="F53" s="41"/>
    </row>
    <row r="54" spans="2:17" x14ac:dyDescent="0.2">
      <c r="B54" s="2" t="s">
        <v>687</v>
      </c>
      <c r="F54" s="41" t="s">
        <v>106</v>
      </c>
      <c r="J54" s="40">
        <f>SUM(L54:Q54)</f>
        <v>480517.05016735999</v>
      </c>
      <c r="L54" s="48">
        <f t="shared" ref="L54:Q54" si="3">L27</f>
        <v>51201.018277919997</v>
      </c>
      <c r="M54" s="48">
        <f t="shared" si="3"/>
        <v>0</v>
      </c>
      <c r="N54" s="48">
        <f t="shared" si="3"/>
        <v>429316.03188944003</v>
      </c>
      <c r="O54" s="48">
        <f t="shared" si="3"/>
        <v>0</v>
      </c>
      <c r="P54" s="48">
        <f t="shared" si="3"/>
        <v>0</v>
      </c>
      <c r="Q54" s="48">
        <f t="shared" si="3"/>
        <v>0</v>
      </c>
    </row>
    <row r="55" spans="2:17" x14ac:dyDescent="0.25">
      <c r="B55" s="2" t="s">
        <v>301</v>
      </c>
      <c r="F55" s="2" t="s">
        <v>106</v>
      </c>
      <c r="H55" s="149">
        <f>J54/J29</f>
        <v>5.7907700979935154E-4</v>
      </c>
    </row>
    <row r="57" spans="2:17" x14ac:dyDescent="0.25">
      <c r="B57" s="2" t="s">
        <v>302</v>
      </c>
      <c r="F57" s="2" t="s">
        <v>106</v>
      </c>
      <c r="J57" s="40">
        <f>SUM(L57:Q57)</f>
        <v>480517.05016735994</v>
      </c>
      <c r="L57" s="40">
        <f t="shared" ref="L57:Q57" si="4">$H$55*L29</f>
        <v>9497.8360963732066</v>
      </c>
      <c r="M57" s="40">
        <f t="shared" si="4"/>
        <v>154343.57191956943</v>
      </c>
      <c r="N57" s="40">
        <f t="shared" si="4"/>
        <v>165300.76839157302</v>
      </c>
      <c r="O57" s="40">
        <f t="shared" si="4"/>
        <v>6972.2256115736163</v>
      </c>
      <c r="P57" s="40">
        <f t="shared" si="4"/>
        <v>136163.09368756189</v>
      </c>
      <c r="Q57" s="40">
        <f t="shared" si="4"/>
        <v>8239.5544607088341</v>
      </c>
    </row>
    <row r="58" spans="2:17" x14ac:dyDescent="0.25">
      <c r="B58" s="2" t="s">
        <v>500</v>
      </c>
      <c r="F58" s="2" t="s">
        <v>142</v>
      </c>
      <c r="J58" s="40">
        <f>SUM(L58:Q58)</f>
        <v>536978.38700700307</v>
      </c>
      <c r="L58" s="40">
        <f t="shared" ref="L58:Q58" si="5">L57*(1-L31/100+$H$37)*(1-L31/100+$H$38)</f>
        <v>10609.652789814654</v>
      </c>
      <c r="M58" s="40">
        <f t="shared" si="5"/>
        <v>172443.69109172813</v>
      </c>
      <c r="N58" s="40">
        <f t="shared" si="5"/>
        <v>184825.80587764093</v>
      </c>
      <c r="O58" s="40">
        <f t="shared" si="5"/>
        <v>7788.3943416644224</v>
      </c>
      <c r="P58" s="40">
        <f t="shared" si="5"/>
        <v>152131.15890688312</v>
      </c>
      <c r="Q58" s="40">
        <f t="shared" si="5"/>
        <v>9179.6839992717505</v>
      </c>
    </row>
    <row r="60" spans="2:17" x14ac:dyDescent="0.25">
      <c r="B60" s="2" t="s">
        <v>303</v>
      </c>
      <c r="F60" s="2" t="s">
        <v>142</v>
      </c>
      <c r="J60" s="40">
        <f>SUM(L60:Q60)</f>
        <v>1646147.3914456673</v>
      </c>
      <c r="L60" s="40">
        <f>L49-L58</f>
        <v>66643.536277102365</v>
      </c>
      <c r="M60" s="40">
        <f t="shared" ref="M60:Q60" si="6">M49-M58</f>
        <v>-172443.69109172813</v>
      </c>
      <c r="N60" s="40">
        <f t="shared" si="6"/>
        <v>172441.77984401348</v>
      </c>
      <c r="O60" s="40">
        <f t="shared" si="6"/>
        <v>11068.91453804398</v>
      </c>
      <c r="P60" s="40">
        <f t="shared" si="6"/>
        <v>1518756.9632550944</v>
      </c>
      <c r="Q60" s="40">
        <f t="shared" si="6"/>
        <v>49679.888623141218</v>
      </c>
    </row>
    <row r="62" spans="2:17" s="6" customFormat="1" ht="12.75" customHeight="1" x14ac:dyDescent="0.25">
      <c r="B62" s="6" t="s">
        <v>208</v>
      </c>
    </row>
    <row r="64" spans="2:17" x14ac:dyDescent="0.25">
      <c r="B64" s="2" t="s">
        <v>676</v>
      </c>
      <c r="F64" s="2" t="s">
        <v>493</v>
      </c>
      <c r="J64" s="40">
        <f t="shared" ref="J64:J66" si="7">SUM(L64:Q64)</f>
        <v>1875846.5863607039</v>
      </c>
      <c r="L64" s="39">
        <f t="shared" ref="L64:Q64" si="8">L60*(1+$H$40)</f>
        <v>75942.804804750922</v>
      </c>
      <c r="M64" s="39">
        <f t="shared" si="8"/>
        <v>-196506.04250557153</v>
      </c>
      <c r="N64" s="39">
        <f t="shared" si="8"/>
        <v>196503.86456724117</v>
      </c>
      <c r="O64" s="39">
        <f t="shared" si="8"/>
        <v>12613.442550046098</v>
      </c>
      <c r="P64" s="39">
        <f t="shared" si="8"/>
        <v>1730680.423781269</v>
      </c>
      <c r="Q64" s="39">
        <f t="shared" si="8"/>
        <v>56612.09316296834</v>
      </c>
    </row>
    <row r="66" spans="2:17" x14ac:dyDescent="0.25">
      <c r="B66" s="2" t="s">
        <v>495</v>
      </c>
      <c r="F66" s="2" t="s">
        <v>493</v>
      </c>
      <c r="J66" s="40">
        <f t="shared" si="7"/>
        <v>-20104696.904958654</v>
      </c>
      <c r="L66" s="39">
        <f t="shared" ref="L66:Q66" si="9">-L34*(1+$H$40)</f>
        <v>-448888.03658745467</v>
      </c>
      <c r="M66" s="39">
        <f t="shared" si="9"/>
        <v>-6103791.5588632626</v>
      </c>
      <c r="N66" s="39">
        <f t="shared" si="9"/>
        <v>-8022129.9621967543</v>
      </c>
      <c r="O66" s="39">
        <f t="shared" si="9"/>
        <v>-410756.84438447386</v>
      </c>
      <c r="P66" s="39">
        <f t="shared" si="9"/>
        <v>-5048973.9900716301</v>
      </c>
      <c r="Q66" s="39">
        <f t="shared" si="9"/>
        <v>-70156.512855078836</v>
      </c>
    </row>
    <row r="67" spans="2:17" x14ac:dyDescent="0.25">
      <c r="L67" s="85"/>
      <c r="M67" s="85"/>
      <c r="N67" s="85"/>
      <c r="O67" s="85"/>
      <c r="P67" s="85"/>
      <c r="Q67" s="85"/>
    </row>
    <row r="69" spans="2:17" x14ac:dyDescent="0.25">
      <c r="L69" s="85"/>
      <c r="M69" s="85"/>
      <c r="N69" s="85"/>
      <c r="O69" s="85"/>
      <c r="P69" s="85"/>
      <c r="Q69" s="85"/>
    </row>
  </sheetData>
  <mergeCells count="1">
    <mergeCell ref="B10:Q10"/>
  </mergeCells>
  <phoneticPr fontId="61"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A464-35A2-472C-A7E3-E32A06BC783C}">
  <sheetPr>
    <tabColor rgb="FFFFFFCC"/>
  </sheetPr>
  <dimension ref="B2:T60"/>
  <sheetViews>
    <sheetView showGridLines="0" zoomScale="85" zoomScaleNormal="85" workbookViewId="0">
      <pane xSplit="6" ySplit="10" topLeftCell="G11" activePane="bottomRight" state="frozen"/>
      <selection activeCell="P67" sqref="P67:T80"/>
      <selection pane="topRight" activeCell="P67" sqref="P67:T80"/>
      <selection pane="bottomLeft" activeCell="P67" sqref="P67:T80"/>
      <selection pane="bottomRight" activeCell="G11" sqref="G11"/>
    </sheetView>
  </sheetViews>
  <sheetFormatPr defaultColWidth="9.140625" defaultRowHeight="12.75" x14ac:dyDescent="0.25"/>
  <cols>
    <col min="1" max="1" width="4.7109375" style="2" customWidth="1"/>
    <col min="2" max="2" width="68.855468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9" width="2.7109375" style="2" customWidth="1"/>
    <col min="20" max="20" width="13.7109375" style="2" customWidth="1"/>
    <col min="21" max="21" width="2.7109375" style="2" customWidth="1"/>
    <col min="22" max="36" width="13.7109375" style="2" customWidth="1"/>
    <col min="37" max="16384" width="9.140625" style="2"/>
  </cols>
  <sheetData>
    <row r="2" spans="2:20" s="19" customFormat="1" ht="18" x14ac:dyDescent="0.25">
      <c r="B2" s="19" t="s">
        <v>555</v>
      </c>
    </row>
    <row r="4" spans="2:20" x14ac:dyDescent="0.25">
      <c r="B4" s="1" t="s">
        <v>59</v>
      </c>
    </row>
    <row r="5" spans="2:20" ht="12.75" customHeight="1" x14ac:dyDescent="0.25">
      <c r="B5" s="71" t="s">
        <v>218</v>
      </c>
      <c r="C5" s="1"/>
      <c r="D5" s="1"/>
      <c r="L5"/>
    </row>
    <row r="6" spans="2:20" ht="12.75" customHeight="1" x14ac:dyDescent="0.25">
      <c r="B6" s="2" t="s">
        <v>219</v>
      </c>
      <c r="H6" s="20"/>
    </row>
    <row r="7" spans="2:20" x14ac:dyDescent="0.25">
      <c r="B7" s="2" t="s">
        <v>220</v>
      </c>
      <c r="H7" s="20"/>
    </row>
    <row r="9" spans="2:20" s="6" customFormat="1" x14ac:dyDescent="0.25">
      <c r="B9" s="6" t="s">
        <v>46</v>
      </c>
      <c r="F9" s="6" t="s">
        <v>28</v>
      </c>
      <c r="H9" s="6" t="s">
        <v>29</v>
      </c>
      <c r="J9" s="6" t="s">
        <v>50</v>
      </c>
      <c r="L9" s="6" t="s">
        <v>89</v>
      </c>
      <c r="M9" s="6" t="s">
        <v>66</v>
      </c>
      <c r="N9" s="6" t="s">
        <v>67</v>
      </c>
      <c r="O9" s="6" t="s">
        <v>68</v>
      </c>
      <c r="P9" s="6" t="s">
        <v>69</v>
      </c>
      <c r="Q9" s="6" t="s">
        <v>70</v>
      </c>
      <c r="T9" s="6" t="s">
        <v>48</v>
      </c>
    </row>
    <row r="12" spans="2:20" s="6" customFormat="1" x14ac:dyDescent="0.25">
      <c r="B12" s="6" t="s">
        <v>151</v>
      </c>
    </row>
    <row r="14" spans="2:20" ht="12.75" customHeight="1" x14ac:dyDescent="0.25">
      <c r="B14" s="47" t="s">
        <v>171</v>
      </c>
    </row>
    <row r="15" spans="2:20" ht="12.75" customHeight="1" x14ac:dyDescent="0.2">
      <c r="B15" s="90" t="s">
        <v>173</v>
      </c>
      <c r="F15" s="91" t="s">
        <v>71</v>
      </c>
      <c r="J15" s="40">
        <f>SUM(L15:Q15)</f>
        <v>78</v>
      </c>
      <c r="L15" s="48">
        <f>'Input verwijderingskosten GV'!L13</f>
        <v>0</v>
      </c>
      <c r="M15" s="48">
        <f>'Input verwijderingskosten GV'!M13</f>
        <v>0</v>
      </c>
      <c r="N15" s="48">
        <f>'Input verwijderingskosten GV'!N13</f>
        <v>18</v>
      </c>
      <c r="O15" s="48">
        <f>'Input verwijderingskosten GV'!O13</f>
        <v>0</v>
      </c>
      <c r="P15" s="48">
        <f>'Input verwijderingskosten GV'!P13</f>
        <v>60</v>
      </c>
      <c r="Q15" s="48">
        <f>'Input verwijderingskosten GV'!Q13</f>
        <v>0</v>
      </c>
    </row>
    <row r="16" spans="2:20" ht="12.75" customHeight="1" x14ac:dyDescent="0.2">
      <c r="B16" s="90" t="s">
        <v>174</v>
      </c>
      <c r="F16" s="215" t="s">
        <v>142</v>
      </c>
      <c r="J16" s="40">
        <f t="shared" ref="J16:J25" si="0">SUM(L16:Q16)</f>
        <v>532250.99890616699</v>
      </c>
      <c r="L16" s="48">
        <f>'Input verwijderingskosten GV'!L14</f>
        <v>0</v>
      </c>
      <c r="M16" s="48">
        <f>'Input verwijderingskosten GV'!M14</f>
        <v>0</v>
      </c>
      <c r="N16" s="48">
        <f>'Input verwijderingskosten GV'!N14</f>
        <v>228360.70999999996</v>
      </c>
      <c r="O16" s="48">
        <f>'Input verwijderingskosten GV'!O14</f>
        <v>0</v>
      </c>
      <c r="P16" s="48">
        <f>'Input verwijderingskosten GV'!P14</f>
        <v>303890.28890616697</v>
      </c>
      <c r="Q16" s="48">
        <f>'Input verwijderingskosten GV'!Q14</f>
        <v>0</v>
      </c>
    </row>
    <row r="17" spans="2:17" ht="12.75" customHeight="1" x14ac:dyDescent="0.2">
      <c r="B17" s="90"/>
      <c r="F17" s="111"/>
      <c r="J17" s="85"/>
    </row>
    <row r="18" spans="2:17" ht="12.75" customHeight="1" x14ac:dyDescent="0.2">
      <c r="B18" s="90" t="s">
        <v>175</v>
      </c>
      <c r="F18" s="91" t="s">
        <v>71</v>
      </c>
      <c r="J18" s="40">
        <f t="shared" si="0"/>
        <v>477</v>
      </c>
      <c r="L18" s="48">
        <f>'Input verwijderingskosten GV'!L16</f>
        <v>0</v>
      </c>
      <c r="M18" s="48">
        <f>'Input verwijderingskosten GV'!M16</f>
        <v>0</v>
      </c>
      <c r="N18" s="48">
        <f>'Input verwijderingskosten GV'!N16</f>
        <v>257</v>
      </c>
      <c r="O18" s="48">
        <f>'Input verwijderingskosten GV'!O16</f>
        <v>0</v>
      </c>
      <c r="P18" s="48">
        <f>'Input verwijderingskosten GV'!P16</f>
        <v>220</v>
      </c>
      <c r="Q18" s="48">
        <f>'Input verwijderingskosten GV'!Q16</f>
        <v>0</v>
      </c>
    </row>
    <row r="19" spans="2:17" x14ac:dyDescent="0.2">
      <c r="B19" s="90" t="s">
        <v>214</v>
      </c>
      <c r="C19" s="80"/>
      <c r="D19" s="80"/>
      <c r="E19" s="80"/>
      <c r="F19" s="215" t="s">
        <v>142</v>
      </c>
      <c r="J19" s="40">
        <f t="shared" si="0"/>
        <v>63404.441093833462</v>
      </c>
      <c r="L19" s="48">
        <f>'Input verwijderingskosten GV'!L17</f>
        <v>0</v>
      </c>
      <c r="M19" s="48">
        <f>'Input verwijderingskosten GV'!M17</f>
        <v>0</v>
      </c>
      <c r="N19" s="48">
        <f>'Input verwijderingskosten GV'!N17</f>
        <v>29502.289999999997</v>
      </c>
      <c r="O19" s="48">
        <f>'Input verwijderingskosten GV'!O17</f>
        <v>0</v>
      </c>
      <c r="P19" s="48">
        <f>'Input verwijderingskosten GV'!P17</f>
        <v>33902.151093833461</v>
      </c>
      <c r="Q19" s="48">
        <f>'Input verwijderingskosten GV'!Q17</f>
        <v>0</v>
      </c>
    </row>
    <row r="20" spans="2:17" x14ac:dyDescent="0.25">
      <c r="B20" s="47"/>
      <c r="C20" s="80"/>
      <c r="D20" s="80"/>
      <c r="E20" s="80"/>
      <c r="F20" s="80"/>
      <c r="J20" s="85"/>
    </row>
    <row r="21" spans="2:17" x14ac:dyDescent="0.25">
      <c r="B21" s="47" t="s">
        <v>172</v>
      </c>
      <c r="J21" s="85"/>
    </row>
    <row r="22" spans="2:17" x14ac:dyDescent="0.2">
      <c r="B22" s="90" t="s">
        <v>173</v>
      </c>
      <c r="F22" s="91" t="s">
        <v>71</v>
      </c>
      <c r="J22" s="40">
        <f t="shared" si="0"/>
        <v>75</v>
      </c>
      <c r="L22" s="48">
        <f>'Input verwijderingskosten GV'!L20</f>
        <v>0</v>
      </c>
      <c r="M22" s="48">
        <f>'Input verwijderingskosten GV'!M20</f>
        <v>0</v>
      </c>
      <c r="N22" s="48">
        <f>'Input verwijderingskosten GV'!N20</f>
        <v>13</v>
      </c>
      <c r="O22" s="48">
        <f>'Input verwijderingskosten GV'!O20</f>
        <v>0</v>
      </c>
      <c r="P22" s="48">
        <f>'Input verwijderingskosten GV'!P20</f>
        <v>0</v>
      </c>
      <c r="Q22" s="48">
        <f>'Input verwijderingskosten GV'!Q20</f>
        <v>62</v>
      </c>
    </row>
    <row r="23" spans="2:17" x14ac:dyDescent="0.2">
      <c r="B23" s="90" t="s">
        <v>174</v>
      </c>
      <c r="F23" s="215" t="s">
        <v>142</v>
      </c>
      <c r="J23" s="40">
        <f t="shared" si="0"/>
        <v>335703.89</v>
      </c>
      <c r="L23" s="48">
        <f>'Input verwijderingskosten GV'!L21</f>
        <v>0</v>
      </c>
      <c r="M23" s="48">
        <f>'Input verwijderingskosten GV'!M21</f>
        <v>0</v>
      </c>
      <c r="N23" s="48">
        <f>'Input verwijderingskosten GV'!N21</f>
        <v>188359.87</v>
      </c>
      <c r="O23" s="48">
        <f>'Input verwijderingskosten GV'!O21</f>
        <v>0</v>
      </c>
      <c r="P23" s="48">
        <f>'Input verwijderingskosten GV'!P21</f>
        <v>0</v>
      </c>
      <c r="Q23" s="48">
        <f>'Input verwijderingskosten GV'!Q21</f>
        <v>147344.02000000005</v>
      </c>
    </row>
    <row r="24" spans="2:17" x14ac:dyDescent="0.2">
      <c r="B24" s="90"/>
      <c r="F24" s="111"/>
      <c r="J24" s="85"/>
    </row>
    <row r="25" spans="2:17" x14ac:dyDescent="0.2">
      <c r="B25" s="90" t="s">
        <v>175</v>
      </c>
      <c r="F25" s="91" t="s">
        <v>71</v>
      </c>
      <c r="J25" s="40">
        <f t="shared" si="0"/>
        <v>31</v>
      </c>
      <c r="L25" s="48">
        <f>'Input verwijderingskosten GV'!L23</f>
        <v>0</v>
      </c>
      <c r="M25" s="48">
        <f>'Input verwijderingskosten GV'!M23</f>
        <v>0</v>
      </c>
      <c r="N25" s="48">
        <f>'Input verwijderingskosten GV'!N23</f>
        <v>31</v>
      </c>
      <c r="O25" s="48">
        <f>'Input verwijderingskosten GV'!O23</f>
        <v>0</v>
      </c>
      <c r="P25" s="48">
        <f>'Input verwijderingskosten GV'!P23</f>
        <v>0</v>
      </c>
      <c r="Q25" s="48">
        <f>'Input verwijderingskosten GV'!Q23</f>
        <v>0</v>
      </c>
    </row>
    <row r="26" spans="2:17" x14ac:dyDescent="0.2">
      <c r="B26" s="90" t="s">
        <v>214</v>
      </c>
      <c r="C26" s="80"/>
      <c r="D26" s="80"/>
      <c r="E26" s="80"/>
      <c r="F26" s="215" t="s">
        <v>142</v>
      </c>
      <c r="J26" s="40">
        <f>SUM(L26:Q26)</f>
        <v>4247.4799999999996</v>
      </c>
      <c r="L26" s="48">
        <f>'Input verwijderingskosten GV'!L24</f>
        <v>0</v>
      </c>
      <c r="M26" s="48">
        <f>'Input verwijderingskosten GV'!M24</f>
        <v>0</v>
      </c>
      <c r="N26" s="48">
        <f>'Input verwijderingskosten GV'!N24</f>
        <v>4247.4799999999996</v>
      </c>
      <c r="O26" s="48">
        <f>'Input verwijderingskosten GV'!O24</f>
        <v>0</v>
      </c>
      <c r="P26" s="48">
        <f>'Input verwijderingskosten GV'!P24</f>
        <v>0</v>
      </c>
      <c r="Q26" s="48">
        <f>'Input verwijderingskosten GV'!Q24</f>
        <v>0</v>
      </c>
    </row>
    <row r="28" spans="2:17" x14ac:dyDescent="0.2">
      <c r="B28" s="41" t="s">
        <v>477</v>
      </c>
      <c r="C28" s="29"/>
      <c r="D28" s="29"/>
      <c r="E28" s="29"/>
      <c r="F28" s="49" t="s">
        <v>73</v>
      </c>
      <c r="H28" s="50">
        <f>Parameters!O71</f>
        <v>0.1395374412453505</v>
      </c>
    </row>
    <row r="30" spans="2:17" s="6" customFormat="1" x14ac:dyDescent="0.25">
      <c r="B30" s="6" t="s">
        <v>104</v>
      </c>
    </row>
    <row r="32" spans="2:17" x14ac:dyDescent="0.25">
      <c r="B32" s="1" t="s">
        <v>176</v>
      </c>
    </row>
    <row r="33" spans="2:10" x14ac:dyDescent="0.2">
      <c r="B33" s="90" t="s">
        <v>152</v>
      </c>
      <c r="F33" s="91" t="s">
        <v>71</v>
      </c>
      <c r="J33" s="112">
        <f>J15</f>
        <v>78</v>
      </c>
    </row>
    <row r="34" spans="2:10" x14ac:dyDescent="0.2">
      <c r="B34" s="90" t="s">
        <v>179</v>
      </c>
      <c r="F34" s="215" t="s">
        <v>142</v>
      </c>
      <c r="J34" s="112">
        <f>J16</f>
        <v>532250.99890616699</v>
      </c>
    </row>
    <row r="35" spans="2:10" x14ac:dyDescent="0.2">
      <c r="B35" s="2" t="s">
        <v>221</v>
      </c>
      <c r="F35" s="215" t="s">
        <v>142</v>
      </c>
      <c r="J35" s="40">
        <f>J34/J33</f>
        <v>6823.7307552072689</v>
      </c>
    </row>
    <row r="37" spans="2:10" x14ac:dyDescent="0.2">
      <c r="B37" s="90" t="s">
        <v>178</v>
      </c>
      <c r="F37" s="91" t="s">
        <v>71</v>
      </c>
      <c r="J37" s="112">
        <f>J18</f>
        <v>477</v>
      </c>
    </row>
    <row r="38" spans="2:10" x14ac:dyDescent="0.2">
      <c r="B38" s="2" t="s">
        <v>153</v>
      </c>
      <c r="F38" s="215" t="s">
        <v>142</v>
      </c>
      <c r="J38" s="112">
        <f>J19</f>
        <v>63404.441093833462</v>
      </c>
    </row>
    <row r="39" spans="2:10" x14ac:dyDescent="0.2">
      <c r="B39" s="2" t="s">
        <v>180</v>
      </c>
      <c r="F39" s="215" t="s">
        <v>142</v>
      </c>
      <c r="J39" s="40">
        <f>J38/J37</f>
        <v>132.92335659084583</v>
      </c>
    </row>
    <row r="41" spans="2:10" x14ac:dyDescent="0.25">
      <c r="B41" s="1" t="s">
        <v>181</v>
      </c>
    </row>
    <row r="42" spans="2:10" x14ac:dyDescent="0.2">
      <c r="B42" s="90" t="s">
        <v>152</v>
      </c>
      <c r="F42" s="91" t="s">
        <v>71</v>
      </c>
      <c r="J42" s="112">
        <f>J22</f>
        <v>75</v>
      </c>
    </row>
    <row r="43" spans="2:10" x14ac:dyDescent="0.2">
      <c r="B43" s="90" t="s">
        <v>179</v>
      </c>
      <c r="F43" s="215" t="s">
        <v>142</v>
      </c>
      <c r="J43" s="112">
        <f>J23</f>
        <v>335703.89</v>
      </c>
    </row>
    <row r="44" spans="2:10" x14ac:dyDescent="0.2">
      <c r="B44" s="2" t="s">
        <v>177</v>
      </c>
      <c r="F44" s="215" t="s">
        <v>142</v>
      </c>
      <c r="J44" s="40">
        <f>J43/J42</f>
        <v>4476.0518666666667</v>
      </c>
    </row>
    <row r="46" spans="2:10" x14ac:dyDescent="0.2">
      <c r="B46" s="90" t="s">
        <v>178</v>
      </c>
      <c r="F46" s="91" t="s">
        <v>71</v>
      </c>
      <c r="J46" s="112">
        <f>J25</f>
        <v>31</v>
      </c>
    </row>
    <row r="47" spans="2:10" x14ac:dyDescent="0.2">
      <c r="B47" s="2" t="s">
        <v>153</v>
      </c>
      <c r="F47" s="215" t="s">
        <v>142</v>
      </c>
      <c r="J47" s="112">
        <f>J26</f>
        <v>4247.4799999999996</v>
      </c>
    </row>
    <row r="48" spans="2:10" x14ac:dyDescent="0.2">
      <c r="B48" s="2" t="s">
        <v>180</v>
      </c>
      <c r="F48" s="215" t="s">
        <v>142</v>
      </c>
      <c r="J48" s="40">
        <f>J47/J46</f>
        <v>137.01548387096773</v>
      </c>
    </row>
    <row r="50" spans="2:17" x14ac:dyDescent="0.25">
      <c r="B50" s="1" t="s">
        <v>156</v>
      </c>
    </row>
    <row r="51" spans="2:17" x14ac:dyDescent="0.2">
      <c r="B51" s="2" t="s">
        <v>222</v>
      </c>
      <c r="F51" s="215" t="s">
        <v>142</v>
      </c>
      <c r="H51" s="85"/>
      <c r="J51" s="40">
        <f>SUM(L51:Q51)</f>
        <v>935606.81000000029</v>
      </c>
      <c r="L51" s="40">
        <f xml:space="preserve"> L15*$J$35 + L18*$J$39 + L22*$J$44 + L25*$J$48</f>
        <v>0</v>
      </c>
      <c r="M51" s="40">
        <f t="shared" ref="M51:Q51" si="1" xml:space="preserve"> M15*$J$35 + M18*$J$39 + M22*$J$44 + M25*$J$48</f>
        <v>0</v>
      </c>
      <c r="N51" s="40">
        <f t="shared" si="1"/>
        <v>219424.61050424489</v>
      </c>
      <c r="O51" s="40">
        <f t="shared" si="1"/>
        <v>0</v>
      </c>
      <c r="P51" s="40">
        <f xml:space="preserve"> P15*$J$35 + P18*$J$39 + P22*$J$44 + P25*$J$48</f>
        <v>438666.98376242217</v>
      </c>
      <c r="Q51" s="40">
        <f t="shared" si="1"/>
        <v>277515.21573333332</v>
      </c>
    </row>
    <row r="53" spans="2:17" s="6" customFormat="1" ht="12.75" customHeight="1" x14ac:dyDescent="0.25">
      <c r="B53" s="6" t="s">
        <v>72</v>
      </c>
    </row>
    <row r="55" spans="2:17" x14ac:dyDescent="0.25">
      <c r="B55" s="2" t="s">
        <v>677</v>
      </c>
      <c r="F55" s="2" t="s">
        <v>493</v>
      </c>
      <c r="J55" s="40">
        <f t="shared" ref="J55" si="2">SUM(L55:Q55)</f>
        <v>1066158.9902791253</v>
      </c>
      <c r="L55" s="39">
        <f t="shared" ref="L55:Q55" si="3">L51*(1+$H$28)</f>
        <v>0</v>
      </c>
      <c r="M55" s="39">
        <f t="shared" si="3"/>
        <v>0</v>
      </c>
      <c r="N55" s="39">
        <f t="shared" si="3"/>
        <v>250042.55920026489</v>
      </c>
      <c r="O55" s="39">
        <f t="shared" si="3"/>
        <v>0</v>
      </c>
      <c r="P55" s="39">
        <f t="shared" si="3"/>
        <v>499877.45223544625</v>
      </c>
      <c r="Q55" s="39">
        <f t="shared" si="3"/>
        <v>316238.97884341411</v>
      </c>
    </row>
    <row r="58" spans="2:17" x14ac:dyDescent="0.25">
      <c r="L58" s="85"/>
      <c r="M58" s="85"/>
      <c r="N58" s="85"/>
      <c r="O58" s="85"/>
      <c r="P58" s="85"/>
      <c r="Q58" s="85"/>
    </row>
    <row r="60" spans="2:17" x14ac:dyDescent="0.25">
      <c r="L60" s="85"/>
      <c r="M60" s="85"/>
      <c r="N60" s="85"/>
      <c r="O60" s="85"/>
      <c r="P60" s="85"/>
      <c r="Q60" s="85"/>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CC"/>
  </sheetPr>
  <dimension ref="B2:W89"/>
  <sheetViews>
    <sheetView showGridLines="0" zoomScale="85" zoomScaleNormal="85" workbookViewId="0">
      <pane xSplit="6" ySplit="16" topLeftCell="G17" activePane="bottomRight" state="frozen"/>
      <selection activeCell="Q27" sqref="Q27"/>
      <selection pane="topRight" activeCell="Q27" sqref="Q27"/>
      <selection pane="bottomLeft" activeCell="Q27" sqref="Q27"/>
      <selection pane="bottomRight" activeCell="G17" sqref="G17"/>
    </sheetView>
  </sheetViews>
  <sheetFormatPr defaultColWidth="9.140625" defaultRowHeight="12.75" customHeight="1" x14ac:dyDescent="0.25"/>
  <cols>
    <col min="1" max="1" width="4" style="2" customWidth="1"/>
    <col min="2" max="2" width="72.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4.85546875" style="2" bestFit="1" customWidth="1"/>
    <col min="11" max="11" width="2.7109375" style="2" customWidth="1"/>
    <col min="12" max="12" width="12.5703125" style="32" customWidth="1"/>
    <col min="13" max="14" width="15" style="32" bestFit="1" customWidth="1"/>
    <col min="15" max="15" width="12.5703125" style="32" customWidth="1"/>
    <col min="16" max="16" width="15" style="32" bestFit="1" customWidth="1"/>
    <col min="17" max="17" width="12.5703125" style="32" customWidth="1"/>
    <col min="18" max="19" width="2.7109375" style="2" customWidth="1"/>
    <col min="20" max="34" width="13.7109375" style="2" customWidth="1"/>
    <col min="35" max="16384" width="9.140625" style="2"/>
  </cols>
  <sheetData>
    <row r="2" spans="2:20" s="19" customFormat="1" ht="18" x14ac:dyDescent="0.25">
      <c r="B2" s="19" t="s">
        <v>90</v>
      </c>
      <c r="L2" s="31"/>
      <c r="M2" s="31"/>
      <c r="N2" s="31"/>
      <c r="O2" s="31"/>
      <c r="P2" s="31"/>
      <c r="Q2" s="31"/>
    </row>
    <row r="4" spans="2:20" ht="12.75" customHeight="1" x14ac:dyDescent="0.25">
      <c r="B4" s="1" t="s">
        <v>59</v>
      </c>
      <c r="C4" s="1"/>
      <c r="D4" s="1"/>
      <c r="J4"/>
    </row>
    <row r="5" spans="2:20" s="29" customFormat="1" ht="12.75" customHeight="1" x14ac:dyDescent="0.2">
      <c r="B5" s="29" t="s">
        <v>91</v>
      </c>
    </row>
    <row r="6" spans="2:20" s="29" customFormat="1" ht="12.75" customHeight="1" x14ac:dyDescent="0.2">
      <c r="B6" s="78" t="s">
        <v>114</v>
      </c>
    </row>
    <row r="7" spans="2:20" s="29" customFormat="1" ht="12.75" customHeight="1" x14ac:dyDescent="0.2">
      <c r="B7" s="226" t="s">
        <v>559</v>
      </c>
    </row>
    <row r="8" spans="2:20" s="29" customFormat="1" ht="12.75" customHeight="1" x14ac:dyDescent="0.2">
      <c r="B8" s="29" t="s">
        <v>92</v>
      </c>
    </row>
    <row r="9" spans="2:20" s="29" customFormat="1" ht="12.75" customHeight="1" x14ac:dyDescent="0.2">
      <c r="B9" s="244" t="s">
        <v>678</v>
      </c>
    </row>
    <row r="10" spans="2:20" s="29" customFormat="1" ht="12.75" customHeight="1" x14ac:dyDescent="0.2">
      <c r="B10" s="131" t="s">
        <v>233</v>
      </c>
    </row>
    <row r="11" spans="2:20" s="29" customFormat="1" ht="12.75" customHeight="1" x14ac:dyDescent="0.2">
      <c r="B11" s="75" t="s">
        <v>560</v>
      </c>
    </row>
    <row r="12" spans="2:20" s="29" customFormat="1" ht="12.75" customHeight="1" x14ac:dyDescent="0.2">
      <c r="B12" s="229" t="s">
        <v>561</v>
      </c>
    </row>
    <row r="13" spans="2:20" s="29" customFormat="1" ht="12.75" customHeight="1" x14ac:dyDescent="0.2">
      <c r="B13" s="131" t="s">
        <v>234</v>
      </c>
    </row>
    <row r="15" spans="2:20" s="6" customFormat="1" ht="12.75" customHeight="1" x14ac:dyDescent="0.25">
      <c r="B15" s="6" t="s">
        <v>46</v>
      </c>
      <c r="F15" s="6" t="s">
        <v>28</v>
      </c>
      <c r="H15" s="6" t="s">
        <v>29</v>
      </c>
      <c r="J15" s="6" t="s">
        <v>50</v>
      </c>
      <c r="L15" s="33" t="s">
        <v>89</v>
      </c>
      <c r="M15" s="33" t="s">
        <v>66</v>
      </c>
      <c r="N15" s="33" t="s">
        <v>67</v>
      </c>
      <c r="O15" s="33" t="s">
        <v>68</v>
      </c>
      <c r="P15" s="33" t="s">
        <v>69</v>
      </c>
      <c r="Q15" s="33" t="s">
        <v>70</v>
      </c>
      <c r="T15" s="6" t="s">
        <v>48</v>
      </c>
    </row>
    <row r="18" spans="2:20" s="6" customFormat="1" x14ac:dyDescent="0.25">
      <c r="B18" s="6" t="s">
        <v>103</v>
      </c>
    </row>
    <row r="20" spans="2:20" ht="12.75" customHeight="1" x14ac:dyDescent="0.25">
      <c r="B20" s="2" t="s">
        <v>115</v>
      </c>
      <c r="F20" s="2" t="s">
        <v>97</v>
      </c>
      <c r="J20" s="108">
        <f>SUM(L20:Q20)</f>
        <v>23099824.644724157</v>
      </c>
      <c r="L20" s="48">
        <f>'Input richtbedragen'!L19</f>
        <v>411570.22000000003</v>
      </c>
      <c r="M20" s="48">
        <f>'Input richtbedragen'!M19</f>
        <v>6661906.4299997473</v>
      </c>
      <c r="N20" s="48">
        <f>'Input richtbedragen'!N19</f>
        <v>9287762.9469170291</v>
      </c>
      <c r="O20" s="48">
        <f>'Input richtbedragen'!O19</f>
        <v>194478.21000000002</v>
      </c>
      <c r="P20" s="48">
        <f>'Input richtbedragen'!P19</f>
        <v>5870595.3378073797</v>
      </c>
      <c r="Q20" s="48">
        <f>'Input richtbedragen'!Q19</f>
        <v>673511.5</v>
      </c>
      <c r="T20" s="85"/>
    </row>
    <row r="21" spans="2:20" ht="12.75" customHeight="1" x14ac:dyDescent="0.25">
      <c r="T21" s="85"/>
    </row>
    <row r="22" spans="2:20" ht="12.75" customHeight="1" x14ac:dyDescent="0.25">
      <c r="B22" s="2" t="s">
        <v>139</v>
      </c>
      <c r="F22" s="2" t="s">
        <v>73</v>
      </c>
      <c r="H22" s="57">
        <f>'Input richtbedragen'!H23</f>
        <v>2.5444272186812E-3</v>
      </c>
    </row>
    <row r="23" spans="2:20" ht="12.75" customHeight="1" x14ac:dyDescent="0.25">
      <c r="B23" s="2" t="s">
        <v>140</v>
      </c>
      <c r="F23" s="2" t="s">
        <v>73</v>
      </c>
      <c r="H23" s="57">
        <f>'Input richtbedragen'!H24</f>
        <v>-3.1175556579387642E-2</v>
      </c>
    </row>
    <row r="24" spans="2:20" ht="12.75" customHeight="1" x14ac:dyDescent="0.25">
      <c r="H24" s="83"/>
    </row>
    <row r="25" spans="2:20" ht="12.75" customHeight="1" x14ac:dyDescent="0.25">
      <c r="B25" s="2" t="s">
        <v>116</v>
      </c>
      <c r="F25" s="2" t="s">
        <v>73</v>
      </c>
      <c r="H25" s="50">
        <f>'Input richtbedragen'!H26</f>
        <v>1.7999999999999999E-2</v>
      </c>
    </row>
    <row r="27" spans="2:20" ht="12.75" customHeight="1" x14ac:dyDescent="0.25">
      <c r="B27" s="2" t="s">
        <v>128</v>
      </c>
      <c r="F27" s="2" t="s">
        <v>106</v>
      </c>
      <c r="J27" s="108">
        <f>SUM(L27:Q27)</f>
        <v>888260407.80167758</v>
      </c>
      <c r="L27" s="48">
        <f>'Input richtbedragen'!L31</f>
        <v>17509659.581804149</v>
      </c>
      <c r="M27" s="48">
        <f>'Input richtbedragen'!M31</f>
        <v>285208457.58122259</v>
      </c>
      <c r="N27" s="48">
        <f>'Input richtbedragen'!N31</f>
        <v>305251081.66104859</v>
      </c>
      <c r="O27" s="48">
        <f>'Input richtbedragen'!O31</f>
        <v>12863116.073261615</v>
      </c>
      <c r="P27" s="48">
        <f>'Input richtbedragen'!P31</f>
        <v>251539922.51591069</v>
      </c>
      <c r="Q27" s="48">
        <f>'Input richtbedragen'!Q31</f>
        <v>15888170.388429981</v>
      </c>
    </row>
    <row r="28" spans="2:20" ht="12.75" customHeight="1" x14ac:dyDescent="0.25">
      <c r="B28" s="2" t="s">
        <v>119</v>
      </c>
      <c r="F28" s="2" t="s">
        <v>118</v>
      </c>
      <c r="J28" s="108">
        <f>SUM(L28:Q28)</f>
        <v>859426929.27288222</v>
      </c>
      <c r="L28" s="48">
        <f>'Input richtbedragen'!L32</f>
        <v>16935960.356919076</v>
      </c>
      <c r="M28" s="48">
        <f>'Input richtbedragen'!M32</f>
        <v>275938826.4471187</v>
      </c>
      <c r="N28" s="48">
        <f>'Input richtbedragen'!N32</f>
        <v>295307092.08325708</v>
      </c>
      <c r="O28" s="48">
        <f>'Input richtbedragen'!O32</f>
        <v>12442728.574689055</v>
      </c>
      <c r="P28" s="48">
        <f>'Input richtbedragen'!P32</f>
        <v>243356366.79163417</v>
      </c>
      <c r="Q28" s="48">
        <f>'Input richtbedragen'!Q32</f>
        <v>15445955.019264191</v>
      </c>
    </row>
    <row r="30" spans="2:20" ht="12.75" customHeight="1" x14ac:dyDescent="0.25">
      <c r="B30" s="2" t="s">
        <v>126</v>
      </c>
      <c r="F30" s="2" t="s">
        <v>106</v>
      </c>
      <c r="J30" s="108">
        <f>SUM(L30:Q30)</f>
        <v>284524900.33896959</v>
      </c>
      <c r="L30" s="48">
        <f>'Input richtbedragen'!L28</f>
        <v>5508016.3787032366</v>
      </c>
      <c r="M30" s="48">
        <f>'Input richtbedragen'!M28</f>
        <v>90159029.908431798</v>
      </c>
      <c r="N30" s="48">
        <f>'Input richtbedragen'!N28</f>
        <v>101769336.04517412</v>
      </c>
      <c r="O30" s="48">
        <f>'Input richtbedragen'!O28</f>
        <v>4000202.1494243168</v>
      </c>
      <c r="P30" s="48">
        <f>'Input richtbedragen'!P28</f>
        <v>79420032.434590772</v>
      </c>
      <c r="Q30" s="48">
        <f>'Input richtbedragen'!Q28</f>
        <v>3668283.4226453337</v>
      </c>
    </row>
    <row r="31" spans="2:20" ht="12.75" customHeight="1" x14ac:dyDescent="0.25">
      <c r="B31" s="2" t="s">
        <v>117</v>
      </c>
      <c r="F31" s="2" t="s">
        <v>118</v>
      </c>
      <c r="J31" s="108">
        <f>SUM(L31:Q31)</f>
        <v>338005598.12439919</v>
      </c>
      <c r="L31" s="48">
        <f>'Input richtbedragen'!L29</f>
        <v>6543330.1912928689</v>
      </c>
      <c r="M31" s="48">
        <f>'Input richtbedragen'!M29</f>
        <v>107105764.0094399</v>
      </c>
      <c r="N31" s="48">
        <f>'Input richtbedragen'!N29</f>
        <v>120898400.31466901</v>
      </c>
      <c r="O31" s="48">
        <f>'Input richtbedragen'!O29</f>
        <v>4752099.7934586955</v>
      </c>
      <c r="P31" s="48">
        <f>'Input richtbedragen'!P29</f>
        <v>94348211.823049098</v>
      </c>
      <c r="Q31" s="48">
        <f>'Input richtbedragen'!Q29</f>
        <v>4357791.992489568</v>
      </c>
    </row>
    <row r="33" spans="2:20" ht="12.75" customHeight="1" x14ac:dyDescent="0.25">
      <c r="B33" s="2" t="s">
        <v>127</v>
      </c>
      <c r="F33" s="2" t="s">
        <v>106</v>
      </c>
      <c r="H33" s="48">
        <f>'Input richtbedragen'!H21</f>
        <v>24119144.337028138</v>
      </c>
    </row>
    <row r="35" spans="2:20" s="6" customFormat="1" x14ac:dyDescent="0.25">
      <c r="B35" s="6" t="s">
        <v>104</v>
      </c>
    </row>
    <row r="37" spans="2:20" ht="12.75" customHeight="1" x14ac:dyDescent="0.25">
      <c r="B37" s="2" t="s">
        <v>128</v>
      </c>
      <c r="F37" s="2" t="s">
        <v>106</v>
      </c>
      <c r="J37" s="108">
        <f>SUM(L37:Q37)</f>
        <v>888260407.80167758</v>
      </c>
      <c r="L37" s="48">
        <f>L27</f>
        <v>17509659.581804149</v>
      </c>
      <c r="M37" s="48">
        <f t="shared" ref="M37:Q37" si="0">M27</f>
        <v>285208457.58122259</v>
      </c>
      <c r="N37" s="48">
        <f t="shared" si="0"/>
        <v>305251081.66104859</v>
      </c>
      <c r="O37" s="48">
        <f t="shared" si="0"/>
        <v>12863116.073261615</v>
      </c>
      <c r="P37" s="48">
        <f t="shared" si="0"/>
        <v>251539922.51591069</v>
      </c>
      <c r="Q37" s="48">
        <f t="shared" si="0"/>
        <v>15888170.388429981</v>
      </c>
    </row>
    <row r="38" spans="2:20" ht="12.75" customHeight="1" x14ac:dyDescent="0.25">
      <c r="B38" s="2" t="s">
        <v>130</v>
      </c>
      <c r="F38" s="2" t="s">
        <v>106</v>
      </c>
      <c r="J38" s="108">
        <f>SUM(L38:Q38)</f>
        <v>24119144.337028135</v>
      </c>
      <c r="L38" s="108">
        <f t="shared" ref="L38:Q38" si="1">$H$33*(L20/$J$20)</f>
        <v>429731.46738884971</v>
      </c>
      <c r="M38" s="108">
        <f t="shared" si="1"/>
        <v>6955874.5668503521</v>
      </c>
      <c r="N38" s="108">
        <f t="shared" si="1"/>
        <v>9697601.5415751934</v>
      </c>
      <c r="O38" s="108">
        <f t="shared" si="1"/>
        <v>203059.89718706295</v>
      </c>
      <c r="P38" s="108">
        <f t="shared" si="1"/>
        <v>6129645.5048718173</v>
      </c>
      <c r="Q38" s="108">
        <f t="shared" si="1"/>
        <v>703231.35915486119</v>
      </c>
      <c r="T38" s="85"/>
    </row>
    <row r="39" spans="2:20" ht="12.75" customHeight="1" x14ac:dyDescent="0.25">
      <c r="B39" s="2" t="s">
        <v>129</v>
      </c>
      <c r="F39" s="2" t="s">
        <v>106</v>
      </c>
      <c r="J39" s="108">
        <f>SUM(L39:Q39)</f>
        <v>260405756.00194147</v>
      </c>
      <c r="L39" s="40">
        <f t="shared" ref="L39:Q39" si="2">L30-L38</f>
        <v>5078284.9113143869</v>
      </c>
      <c r="M39" s="40">
        <f t="shared" si="2"/>
        <v>83203155.341581449</v>
      </c>
      <c r="N39" s="40">
        <f t="shared" si="2"/>
        <v>92071734.503598928</v>
      </c>
      <c r="O39" s="40">
        <f t="shared" si="2"/>
        <v>3797142.2522372538</v>
      </c>
      <c r="P39" s="40">
        <f t="shared" si="2"/>
        <v>73290386.929718956</v>
      </c>
      <c r="Q39" s="40">
        <f t="shared" si="2"/>
        <v>2965052.0634904727</v>
      </c>
    </row>
    <row r="40" spans="2:20" ht="12.75" customHeight="1" x14ac:dyDescent="0.25">
      <c r="B40" s="2" t="s">
        <v>235</v>
      </c>
      <c r="F40" s="2" t="s">
        <v>106</v>
      </c>
      <c r="J40" s="108">
        <f>SUM(L40:Q40)</f>
        <v>1172785308.1406469</v>
      </c>
      <c r="L40" s="40">
        <f t="shared" ref="L40:Q40" si="3">SUM(L37:L39)</f>
        <v>23017675.960507385</v>
      </c>
      <c r="M40" s="40">
        <f t="shared" si="3"/>
        <v>375367487.48965442</v>
      </c>
      <c r="N40" s="40">
        <f t="shared" si="3"/>
        <v>407020417.70622271</v>
      </c>
      <c r="O40" s="40">
        <f t="shared" si="3"/>
        <v>16863318.222685933</v>
      </c>
      <c r="P40" s="40">
        <f t="shared" si="3"/>
        <v>330959954.95050144</v>
      </c>
      <c r="Q40" s="40">
        <f t="shared" si="3"/>
        <v>19556453.811075315</v>
      </c>
    </row>
    <row r="42" spans="2:20" ht="12.75" customHeight="1" x14ac:dyDescent="0.2">
      <c r="B42" s="29" t="s">
        <v>120</v>
      </c>
      <c r="F42" s="29" t="s">
        <v>118</v>
      </c>
      <c r="H42" s="40">
        <f>H33*(1-H23)^5*(1+H25)^5</f>
        <v>30744245.211121149</v>
      </c>
    </row>
    <row r="44" spans="2:20" ht="12.75" customHeight="1" x14ac:dyDescent="0.25">
      <c r="B44" s="2" t="s">
        <v>119</v>
      </c>
      <c r="F44" s="2" t="s">
        <v>118</v>
      </c>
      <c r="J44" s="108">
        <f t="shared" ref="J44:J47" si="4">SUM(L44:Q44)</f>
        <v>859426929.27288222</v>
      </c>
      <c r="L44" s="48">
        <f t="shared" ref="L44:Q44" si="5">L28</f>
        <v>16935960.356919076</v>
      </c>
      <c r="M44" s="48">
        <f t="shared" si="5"/>
        <v>275938826.4471187</v>
      </c>
      <c r="N44" s="48">
        <f t="shared" si="5"/>
        <v>295307092.08325708</v>
      </c>
      <c r="O44" s="48">
        <f t="shared" si="5"/>
        <v>12442728.574689055</v>
      </c>
      <c r="P44" s="48">
        <f t="shared" si="5"/>
        <v>243356366.79163417</v>
      </c>
      <c r="Q44" s="48">
        <f t="shared" si="5"/>
        <v>15445955.019264191</v>
      </c>
    </row>
    <row r="45" spans="2:20" ht="12.75" customHeight="1" x14ac:dyDescent="0.25">
      <c r="B45" s="2" t="s">
        <v>122</v>
      </c>
      <c r="F45" s="2" t="s">
        <v>118</v>
      </c>
      <c r="J45" s="108">
        <f t="shared" si="4"/>
        <v>30744245.211121149</v>
      </c>
      <c r="L45" s="108">
        <f t="shared" ref="L45:Q45" si="6">$H$42*(L20/$J$20)</f>
        <v>547771.0744512094</v>
      </c>
      <c r="M45" s="108">
        <f t="shared" si="6"/>
        <v>8866529.8549889792</v>
      </c>
      <c r="N45" s="108">
        <f t="shared" si="6"/>
        <v>12361360.568509724</v>
      </c>
      <c r="O45" s="108">
        <f t="shared" si="6"/>
        <v>258836.84696392261</v>
      </c>
      <c r="P45" s="108">
        <f t="shared" si="6"/>
        <v>7813350.3338968726</v>
      </c>
      <c r="Q45" s="108">
        <f t="shared" si="6"/>
        <v>896396.53231044195</v>
      </c>
    </row>
    <row r="46" spans="2:20" ht="12.75" customHeight="1" x14ac:dyDescent="0.25">
      <c r="B46" s="2" t="s">
        <v>121</v>
      </c>
      <c r="F46" s="2" t="s">
        <v>118</v>
      </c>
      <c r="J46" s="108">
        <f t="shared" si="4"/>
        <v>307261352.91327804</v>
      </c>
      <c r="L46" s="40">
        <f t="shared" ref="L46:Q46" si="7">L31-L45</f>
        <v>5995559.1168416599</v>
      </c>
      <c r="M46" s="40">
        <f t="shared" si="7"/>
        <v>98239234.154450923</v>
      </c>
      <c r="N46" s="40">
        <f t="shared" si="7"/>
        <v>108537039.74615929</v>
      </c>
      <c r="O46" s="40">
        <f t="shared" si="7"/>
        <v>4493262.946494773</v>
      </c>
      <c r="P46" s="40">
        <f t="shared" si="7"/>
        <v>86534861.489152223</v>
      </c>
      <c r="Q46" s="40">
        <f t="shared" si="7"/>
        <v>3461395.4601791259</v>
      </c>
    </row>
    <row r="47" spans="2:20" ht="12.75" customHeight="1" x14ac:dyDescent="0.25">
      <c r="B47" s="2" t="s">
        <v>236</v>
      </c>
      <c r="F47" s="2" t="s">
        <v>118</v>
      </c>
      <c r="J47" s="108">
        <f t="shared" si="4"/>
        <v>1197432527.3972814</v>
      </c>
      <c r="L47" s="40">
        <f t="shared" ref="L47:Q47" si="8">SUM(L44:L46)</f>
        <v>23479290.548211943</v>
      </c>
      <c r="M47" s="40">
        <f t="shared" si="8"/>
        <v>383044590.45655859</v>
      </c>
      <c r="N47" s="40">
        <f t="shared" si="8"/>
        <v>416205492.39792609</v>
      </c>
      <c r="O47" s="40">
        <f t="shared" si="8"/>
        <v>17194828.368147753</v>
      </c>
      <c r="P47" s="40">
        <f t="shared" si="8"/>
        <v>337704578.61468327</v>
      </c>
      <c r="Q47" s="40">
        <f t="shared" si="8"/>
        <v>19803747.01175376</v>
      </c>
    </row>
    <row r="49" spans="2:17" s="6" customFormat="1" x14ac:dyDescent="0.25">
      <c r="B49" s="6" t="s">
        <v>105</v>
      </c>
    </row>
    <row r="51" spans="2:17" ht="12.75" customHeight="1" x14ac:dyDescent="0.25">
      <c r="B51" s="2" t="s">
        <v>131</v>
      </c>
      <c r="F51" s="2" t="s">
        <v>73</v>
      </c>
      <c r="L51" s="51">
        <f t="shared" ref="L51:Q51" si="9">L37/L$40</f>
        <v>0.76070493006532791</v>
      </c>
      <c r="M51" s="51">
        <f t="shared" si="9"/>
        <v>0.75981129716004847</v>
      </c>
      <c r="N51" s="51">
        <f t="shared" si="9"/>
        <v>0.74996503463217234</v>
      </c>
      <c r="O51" s="51">
        <f t="shared" si="9"/>
        <v>0.7627867720575352</v>
      </c>
      <c r="P51" s="51">
        <f t="shared" si="9"/>
        <v>0.76003129307148698</v>
      </c>
      <c r="Q51" s="51">
        <f t="shared" si="9"/>
        <v>0.81242594091532627</v>
      </c>
    </row>
    <row r="52" spans="2:17" ht="12.75" customHeight="1" x14ac:dyDescent="0.25">
      <c r="B52" s="2" t="s">
        <v>132</v>
      </c>
      <c r="F52" s="2" t="s">
        <v>73</v>
      </c>
      <c r="L52" s="51">
        <f t="shared" ref="L52:Q52" si="10">L39/L$40</f>
        <v>0.22062544107526158</v>
      </c>
      <c r="M52" s="51">
        <f t="shared" si="10"/>
        <v>0.22165786359926717</v>
      </c>
      <c r="N52" s="51">
        <f t="shared" si="10"/>
        <v>0.22620912980845603</v>
      </c>
      <c r="O52" s="51">
        <f t="shared" si="10"/>
        <v>0.22517171306943751</v>
      </c>
      <c r="P52" s="51">
        <f t="shared" si="10"/>
        <v>0.22144789976382584</v>
      </c>
      <c r="Q52" s="51">
        <f t="shared" si="10"/>
        <v>0.15161501630787932</v>
      </c>
    </row>
    <row r="53" spans="2:17" ht="12.75" customHeight="1" x14ac:dyDescent="0.25">
      <c r="B53" s="2" t="s">
        <v>133</v>
      </c>
      <c r="F53" s="2" t="s">
        <v>73</v>
      </c>
      <c r="L53" s="51">
        <f t="shared" ref="L53:Q53" si="11">L38/L$40</f>
        <v>1.8669628859410575E-2</v>
      </c>
      <c r="M53" s="51">
        <f t="shared" si="11"/>
        <v>1.8530839240684275E-2</v>
      </c>
      <c r="N53" s="51">
        <f t="shared" si="11"/>
        <v>2.3825835559371577E-2</v>
      </c>
      <c r="O53" s="51">
        <f t="shared" si="11"/>
        <v>1.2041514873027181E-2</v>
      </c>
      <c r="P53" s="51">
        <f t="shared" si="11"/>
        <v>1.8520807164687254E-2</v>
      </c>
      <c r="Q53" s="51">
        <f t="shared" si="11"/>
        <v>3.5959042776794403E-2</v>
      </c>
    </row>
    <row r="55" spans="2:17" ht="12.75" customHeight="1" x14ac:dyDescent="0.25">
      <c r="B55" s="2" t="s">
        <v>123</v>
      </c>
      <c r="F55" s="2" t="s">
        <v>73</v>
      </c>
      <c r="L55" s="51">
        <f t="shared" ref="L55:Q55" si="12">L44/L$47</f>
        <v>0.72131482517084944</v>
      </c>
      <c r="M55" s="51">
        <f t="shared" si="12"/>
        <v>0.72038303978714757</v>
      </c>
      <c r="N55" s="51">
        <f t="shared" si="12"/>
        <v>0.7095223332634919</v>
      </c>
      <c r="O55" s="51">
        <f t="shared" si="12"/>
        <v>0.72363203099708517</v>
      </c>
      <c r="P55" s="51">
        <f t="shared" si="12"/>
        <v>0.72061909195877605</v>
      </c>
      <c r="Q55" s="51">
        <f t="shared" si="12"/>
        <v>0.7799511380395252</v>
      </c>
    </row>
    <row r="56" spans="2:17" ht="12.75" customHeight="1" x14ac:dyDescent="0.25">
      <c r="B56" s="2" t="s">
        <v>124</v>
      </c>
      <c r="F56" s="2" t="s">
        <v>73</v>
      </c>
      <c r="L56" s="51">
        <f t="shared" ref="L56:Q56" si="13">L46/L$47</f>
        <v>0.25535520779601451</v>
      </c>
      <c r="M56" s="51">
        <f t="shared" si="13"/>
        <v>0.25646944664420818</v>
      </c>
      <c r="N56" s="51">
        <f t="shared" si="13"/>
        <v>0.26077752871744686</v>
      </c>
      <c r="O56" s="51">
        <f t="shared" si="13"/>
        <v>0.26131478897563387</v>
      </c>
      <c r="P56" s="51">
        <f t="shared" si="13"/>
        <v>0.25624426486644536</v>
      </c>
      <c r="Q56" s="51">
        <f t="shared" si="13"/>
        <v>0.17478487571694115</v>
      </c>
    </row>
    <row r="57" spans="2:17" ht="12.75" customHeight="1" x14ac:dyDescent="0.25">
      <c r="B57" s="2" t="s">
        <v>125</v>
      </c>
      <c r="F57" s="2" t="s">
        <v>73</v>
      </c>
      <c r="L57" s="51">
        <f t="shared" ref="L57:Q57" si="14">L45/L$47</f>
        <v>2.3329967033136129E-2</v>
      </c>
      <c r="M57" s="51">
        <f t="shared" si="14"/>
        <v>2.3147513568644276E-2</v>
      </c>
      <c r="N57" s="51">
        <f t="shared" si="14"/>
        <v>2.9700138019061181E-2</v>
      </c>
      <c r="O57" s="51">
        <f t="shared" si="14"/>
        <v>1.5053180027280772E-2</v>
      </c>
      <c r="P57" s="51">
        <f t="shared" si="14"/>
        <v>2.3136643174778534E-2</v>
      </c>
      <c r="Q57" s="51">
        <f t="shared" si="14"/>
        <v>4.5263986243533602E-2</v>
      </c>
    </row>
    <row r="59" spans="2:17" ht="12.75" customHeight="1" x14ac:dyDescent="0.25">
      <c r="B59" s="2" t="s">
        <v>562</v>
      </c>
      <c r="F59" s="2" t="s">
        <v>73</v>
      </c>
      <c r="L59" s="51">
        <f>(1/5)*L51+(4/5)*L55</f>
        <v>0.72919284614974511</v>
      </c>
      <c r="M59" s="51">
        <f t="shared" ref="M59:Q59" si="15">(1/5)*M51+(4/5)*M55</f>
        <v>0.72826869126172777</v>
      </c>
      <c r="N59" s="51">
        <f t="shared" si="15"/>
        <v>0.71761087353722797</v>
      </c>
      <c r="O59" s="51">
        <f t="shared" si="15"/>
        <v>0.73146297920917525</v>
      </c>
      <c r="P59" s="51">
        <f t="shared" si="15"/>
        <v>0.7285015321813183</v>
      </c>
      <c r="Q59" s="51">
        <f t="shared" si="15"/>
        <v>0.7864460986146854</v>
      </c>
    </row>
    <row r="60" spans="2:17" ht="12.75" customHeight="1" x14ac:dyDescent="0.25">
      <c r="B60" s="2" t="s">
        <v>563</v>
      </c>
      <c r="F60" s="2" t="s">
        <v>73</v>
      </c>
      <c r="L60" s="51">
        <f t="shared" ref="L60:Q60" si="16">(1/5)*L52+(4/5)*L56</f>
        <v>0.24840925445186393</v>
      </c>
      <c r="M60" s="51">
        <f t="shared" si="16"/>
        <v>0.24950713003521999</v>
      </c>
      <c r="N60" s="51">
        <f t="shared" si="16"/>
        <v>0.25386384893564873</v>
      </c>
      <c r="O60" s="51">
        <f t="shared" si="16"/>
        <v>0.25408617379439458</v>
      </c>
      <c r="P60" s="51">
        <f t="shared" si="16"/>
        <v>0.24928499184592146</v>
      </c>
      <c r="Q60" s="51">
        <f t="shared" si="16"/>
        <v>0.17015090383512879</v>
      </c>
    </row>
    <row r="61" spans="2:17" ht="12.75" customHeight="1" x14ac:dyDescent="0.25">
      <c r="B61" s="2" t="s">
        <v>564</v>
      </c>
      <c r="F61" s="2" t="s">
        <v>73</v>
      </c>
      <c r="L61" s="51">
        <f t="shared" ref="L61:Q61" si="17">(1/5)*L53+(4/5)*L57</f>
        <v>2.239789939839102E-2</v>
      </c>
      <c r="M61" s="51">
        <f t="shared" si="17"/>
        <v>2.2224178703052277E-2</v>
      </c>
      <c r="N61" s="51">
        <f t="shared" si="17"/>
        <v>2.8525277527123263E-2</v>
      </c>
      <c r="O61" s="51">
        <f t="shared" si="17"/>
        <v>1.4450846996430056E-2</v>
      </c>
      <c r="P61" s="51">
        <f t="shared" si="17"/>
        <v>2.2213475972760278E-2</v>
      </c>
      <c r="Q61" s="51">
        <f t="shared" si="17"/>
        <v>4.3402997550185771E-2</v>
      </c>
    </row>
    <row r="63" spans="2:17" s="6" customFormat="1" x14ac:dyDescent="0.25">
      <c r="B63" s="6" t="s">
        <v>90</v>
      </c>
    </row>
    <row r="65" spans="2:23" ht="12.75" customHeight="1" x14ac:dyDescent="0.2">
      <c r="B65" s="2" t="s">
        <v>565</v>
      </c>
      <c r="F65" s="226" t="s">
        <v>493</v>
      </c>
      <c r="J65" s="108">
        <f>SUM(L65:Q65)</f>
        <v>1361420325.3127162</v>
      </c>
      <c r="L65" s="48">
        <f>'TI-berekening 2025'!L24</f>
        <v>26698236.530603435</v>
      </c>
      <c r="M65" s="48">
        <f>'TI-berekening 2025'!M24</f>
        <v>435557259.43002003</v>
      </c>
      <c r="N65" s="48">
        <f>'TI-berekening 2025'!N24</f>
        <v>473014693.23453444</v>
      </c>
      <c r="O65" s="48">
        <f>'TI-berekening 2025'!O24</f>
        <v>19559787.850544572</v>
      </c>
      <c r="P65" s="48">
        <f>'TI-berekening 2025'!P24</f>
        <v>384029026.92337286</v>
      </c>
      <c r="Q65" s="48">
        <f>'TI-berekening 2025'!Q24</f>
        <v>22561321.343640953</v>
      </c>
      <c r="T65" s="2" t="s">
        <v>570</v>
      </c>
    </row>
    <row r="66" spans="2:23" ht="12.75" customHeight="1" x14ac:dyDescent="0.2">
      <c r="F66" s="29"/>
    </row>
    <row r="67" spans="2:23" ht="12.75" customHeight="1" x14ac:dyDescent="0.25">
      <c r="B67" s="2" t="s">
        <v>409</v>
      </c>
      <c r="F67" s="2" t="s">
        <v>493</v>
      </c>
      <c r="J67" s="108">
        <f t="shared" ref="J67:J76" si="18">SUM(L67:Q67)</f>
        <v>-19665.311948179173</v>
      </c>
      <c r="L67" s="152"/>
      <c r="M67" s="152"/>
      <c r="N67" s="152"/>
      <c r="O67" s="152"/>
      <c r="P67" s="48">
        <f>'TI-berekening 2025'!P26</f>
        <v>-19665.311948179173</v>
      </c>
      <c r="Q67" s="152"/>
      <c r="T67" s="2" t="s">
        <v>333</v>
      </c>
    </row>
    <row r="68" spans="2:23" ht="12.75" customHeight="1" x14ac:dyDescent="0.25">
      <c r="B68" s="2" t="s">
        <v>410</v>
      </c>
      <c r="F68" s="2" t="s">
        <v>493</v>
      </c>
      <c r="J68" s="108">
        <f t="shared" si="18"/>
        <v>-970.41601222098939</v>
      </c>
      <c r="L68" s="152"/>
      <c r="M68" s="152"/>
      <c r="N68" s="152"/>
      <c r="O68" s="152"/>
      <c r="P68" s="48">
        <f>'TI-berekening 2025'!P27</f>
        <v>-970.41601222098939</v>
      </c>
      <c r="Q68" s="152"/>
      <c r="T68" s="2" t="s">
        <v>571</v>
      </c>
    </row>
    <row r="69" spans="2:23" ht="12.75" customHeight="1" x14ac:dyDescent="0.25">
      <c r="B69" s="2" t="s">
        <v>185</v>
      </c>
      <c r="F69" s="2" t="s">
        <v>493</v>
      </c>
      <c r="J69" s="108">
        <f t="shared" si="18"/>
        <v>-1343282.3341567724</v>
      </c>
      <c r="L69" s="48">
        <f>'TI-berekening 2025'!L33</f>
        <v>0</v>
      </c>
      <c r="M69" s="48">
        <f>'TI-berekening 2025'!M33</f>
        <v>-660884.84243624622</v>
      </c>
      <c r="N69" s="48">
        <f>'TI-berekening 2025'!N33</f>
        <v>0</v>
      </c>
      <c r="O69" s="48">
        <f>'TI-berekening 2025'!O33</f>
        <v>0</v>
      </c>
      <c r="P69" s="48">
        <f>'TI-berekening 2025'!P33</f>
        <v>-704141.68935939344</v>
      </c>
      <c r="Q69" s="48">
        <f>'TI-berekening 2025'!Q33</f>
        <v>21744.197638867277</v>
      </c>
      <c r="T69" s="2" t="s">
        <v>333</v>
      </c>
    </row>
    <row r="70" spans="2:23" ht="12.75" customHeight="1" x14ac:dyDescent="0.25">
      <c r="B70" s="2" t="s">
        <v>635</v>
      </c>
      <c r="F70" s="2" t="s">
        <v>493</v>
      </c>
      <c r="J70" s="108">
        <f t="shared" si="18"/>
        <v>151055588.94970042</v>
      </c>
      <c r="L70" s="48">
        <f>'TI-berekening 2025'!L34</f>
        <v>2966751.2500131493</v>
      </c>
      <c r="M70" s="48">
        <f>'TI-berekening 2025'!M34</f>
        <v>48343056.078641154</v>
      </c>
      <c r="N70" s="48">
        <f>'TI-berekening 2025'!N34</f>
        <v>52396174.932323143</v>
      </c>
      <c r="O70" s="48">
        <f>'TI-berekening 2025'!O34</f>
        <v>2184888.2906332142</v>
      </c>
      <c r="P70" s="48">
        <f>'TI-berekening 2025'!P34</f>
        <v>42621808.316330433</v>
      </c>
      <c r="Q70" s="48">
        <f>'TI-berekening 2025'!Q34</f>
        <v>2542910.0817593355</v>
      </c>
      <c r="T70" s="2" t="s">
        <v>572</v>
      </c>
    </row>
    <row r="71" spans="2:23" ht="12.75" customHeight="1" x14ac:dyDescent="0.25">
      <c r="B71" s="2" t="s">
        <v>490</v>
      </c>
      <c r="F71" s="2" t="s">
        <v>493</v>
      </c>
      <c r="J71" s="108">
        <f t="shared" si="18"/>
        <v>-77762131.834431142</v>
      </c>
      <c r="L71" s="48">
        <f>'TI-berekening 2025'!L35</f>
        <v>-2875127.3625508407</v>
      </c>
      <c r="M71" s="48">
        <f>'TI-berekening 2025'!M35</f>
        <v>-4462138.8819786245</v>
      </c>
      <c r="N71" s="48">
        <f>'TI-berekening 2025'!N35</f>
        <v>-62806977.953577958</v>
      </c>
      <c r="O71" s="48">
        <f>'TI-berekening 2025'!O35</f>
        <v>-656956.0300955103</v>
      </c>
      <c r="P71" s="48">
        <f>'TI-berekening 2025'!P35</f>
        <v>-4493530.8487443412</v>
      </c>
      <c r="Q71" s="48">
        <f>'TI-berekening 2025'!Q35</f>
        <v>-2467400.7574838549</v>
      </c>
      <c r="T71" s="2" t="s">
        <v>333</v>
      </c>
    </row>
    <row r="72" spans="2:23" ht="12.75" customHeight="1" x14ac:dyDescent="0.25">
      <c r="B72" s="2" t="s">
        <v>558</v>
      </c>
      <c r="F72" s="2" t="s">
        <v>493</v>
      </c>
      <c r="J72" s="108">
        <f t="shared" si="18"/>
        <v>116032978.32456367</v>
      </c>
      <c r="L72" s="48">
        <f>'TI-berekening 2025'!L36</f>
        <v>2293492.4151325994</v>
      </c>
      <c r="M72" s="48">
        <f>'TI-berekening 2025'!M36</f>
        <v>37270153.741353408</v>
      </c>
      <c r="N72" s="48">
        <f>'TI-berekening 2025'!N36</f>
        <v>39916045.578679807</v>
      </c>
      <c r="O72" s="48">
        <f>'TI-berekening 2025'!O36</f>
        <v>1683619.9734846423</v>
      </c>
      <c r="P72" s="48">
        <f>'TI-berekening 2025'!P36</f>
        <v>32880018.082504261</v>
      </c>
      <c r="Q72" s="48">
        <f>'TI-berekening 2025'!Q36</f>
        <v>1989648.5334089657</v>
      </c>
      <c r="T72" s="2" t="s">
        <v>333</v>
      </c>
    </row>
    <row r="73" spans="2:23" ht="12.75" customHeight="1" x14ac:dyDescent="0.25">
      <c r="B73" s="2" t="s">
        <v>557</v>
      </c>
      <c r="F73" s="2" t="s">
        <v>493</v>
      </c>
      <c r="J73" s="108">
        <f t="shared" si="18"/>
        <v>30328884.760659143</v>
      </c>
      <c r="L73" s="48">
        <f>'TI-berekening 2025'!L37</f>
        <v>587126.09620632743</v>
      </c>
      <c r="M73" s="48">
        <f>'TI-berekening 2025'!M37</f>
        <v>9610486.9027912393</v>
      </c>
      <c r="N73" s="48">
        <f>'TI-berekening 2025'!N37</f>
        <v>10848085.567926425</v>
      </c>
      <c r="O73" s="48">
        <f>'TI-berekening 2025'!O37</f>
        <v>426400.88746079581</v>
      </c>
      <c r="P73" s="48">
        <f>'TI-berekening 2025'!P37</f>
        <v>8465765.2406762242</v>
      </c>
      <c r="Q73" s="48">
        <f>'TI-berekening 2025'!Q37</f>
        <v>391020.06559813477</v>
      </c>
      <c r="T73" s="2" t="s">
        <v>573</v>
      </c>
      <c r="W73" s="85"/>
    </row>
    <row r="74" spans="2:23" ht="12.75" customHeight="1" x14ac:dyDescent="0.25">
      <c r="B74" s="2" t="s">
        <v>552</v>
      </c>
      <c r="F74" s="2" t="s">
        <v>493</v>
      </c>
      <c r="J74" s="108">
        <f t="shared" si="18"/>
        <v>627818.69175388338</v>
      </c>
      <c r="L74" s="48">
        <f>'TI-berekening 2025'!L38</f>
        <v>89892.588837797826</v>
      </c>
      <c r="M74" s="48">
        <f>'TI-berekening 2025'!M38</f>
        <v>269034.63423453912</v>
      </c>
      <c r="N74" s="48">
        <f>'TI-berekening 2025'!N38</f>
        <v>179351.29106283945</v>
      </c>
      <c r="O74" s="48">
        <f>'TI-berekening 2025'!O38</f>
        <v>44181.255464752583</v>
      </c>
      <c r="P74" s="48">
        <f>'TI-berekening 2025'!P38</f>
        <v>38649.940970683056</v>
      </c>
      <c r="Q74" s="48">
        <f>'TI-berekening 2025'!Q38</f>
        <v>6708.9811832715577</v>
      </c>
      <c r="T74" s="2" t="s">
        <v>333</v>
      </c>
    </row>
    <row r="75" spans="2:23" ht="12.75" customHeight="1" x14ac:dyDescent="0.25">
      <c r="B75" s="2" t="s">
        <v>553</v>
      </c>
      <c r="F75" s="2" t="s">
        <v>493</v>
      </c>
      <c r="J75" s="108">
        <f t="shared" si="18"/>
        <v>2401151.6773642222</v>
      </c>
      <c r="L75" s="48">
        <f>'TI-berekening 2025'!L39</f>
        <v>38263.52451750655</v>
      </c>
      <c r="M75" s="48">
        <f>'TI-berekening 2025'!M39</f>
        <v>0</v>
      </c>
      <c r="N75" s="48">
        <f>'TI-berekening 2025'!N39</f>
        <v>2316556.1786288465</v>
      </c>
      <c r="O75" s="48">
        <f>'TI-berekening 2025'!O39</f>
        <v>26156.725914231942</v>
      </c>
      <c r="P75" s="48">
        <f>'TI-berekening 2025'!P39</f>
        <v>0</v>
      </c>
      <c r="Q75" s="48">
        <f>'TI-berekening 2025'!Q39</f>
        <v>20175.24830363744</v>
      </c>
      <c r="T75" s="2" t="s">
        <v>333</v>
      </c>
    </row>
    <row r="76" spans="2:23" ht="12.75" customHeight="1" x14ac:dyDescent="0.25">
      <c r="B76" s="2" t="s">
        <v>554</v>
      </c>
      <c r="F76" s="2" t="s">
        <v>493</v>
      </c>
      <c r="J76" s="108">
        <f t="shared" si="18"/>
        <v>3196243.0392208486</v>
      </c>
      <c r="L76" s="48">
        <f>'TI-berekening 2025'!L40</f>
        <v>202610.87987757966</v>
      </c>
      <c r="M76" s="48">
        <f>'TI-berekening 2025'!M40</f>
        <v>0</v>
      </c>
      <c r="N76" s="48">
        <f>'TI-berekening 2025'!N40</f>
        <v>2295321.3552486533</v>
      </c>
      <c r="O76" s="48">
        <f>'TI-berekening 2025'!O40</f>
        <v>86006.208320578327</v>
      </c>
      <c r="P76" s="48">
        <f>'TI-berekening 2025'!P40</f>
        <v>612304.5957740373</v>
      </c>
      <c r="Q76" s="48">
        <f>'TI-berekening 2025'!Q40</f>
        <v>0</v>
      </c>
      <c r="T76" s="2" t="s">
        <v>573</v>
      </c>
    </row>
    <row r="77" spans="2:23" ht="12.75" customHeight="1" x14ac:dyDescent="0.25">
      <c r="B77" s="2" t="s">
        <v>556</v>
      </c>
      <c r="F77" s="2" t="s">
        <v>493</v>
      </c>
      <c r="J77" s="108">
        <f>SUM(L77:Q77)</f>
        <v>1875846.5863607039</v>
      </c>
      <c r="L77" s="48">
        <f>'TI-berekening 2025'!L41</f>
        <v>75942.804804750922</v>
      </c>
      <c r="M77" s="48">
        <f>'TI-berekening 2025'!M41</f>
        <v>-196506.04250557153</v>
      </c>
      <c r="N77" s="48">
        <f>'TI-berekening 2025'!N41</f>
        <v>196503.86456724117</v>
      </c>
      <c r="O77" s="48">
        <f>'TI-berekening 2025'!O41</f>
        <v>12613.442550046098</v>
      </c>
      <c r="P77" s="48">
        <f>'TI-berekening 2025'!P41</f>
        <v>1730680.423781269</v>
      </c>
      <c r="Q77" s="48">
        <f>'TI-berekening 2025'!Q41</f>
        <v>56612.09316296834</v>
      </c>
      <c r="T77" s="2" t="s">
        <v>333</v>
      </c>
    </row>
    <row r="78" spans="2:23" ht="12.75" customHeight="1" x14ac:dyDescent="0.25">
      <c r="B78" s="2" t="s">
        <v>555</v>
      </c>
      <c r="F78" s="2" t="s">
        <v>493</v>
      </c>
      <c r="J78" s="108">
        <f>SUM(L78:Q78)</f>
        <v>1066158.9902791253</v>
      </c>
      <c r="L78" s="48">
        <f>'TI-berekening 2025'!L42</f>
        <v>0</v>
      </c>
      <c r="M78" s="48">
        <f>'TI-berekening 2025'!M42</f>
        <v>0</v>
      </c>
      <c r="N78" s="48">
        <f>'TI-berekening 2025'!N42</f>
        <v>250042.55920026489</v>
      </c>
      <c r="O78" s="48">
        <f>'TI-berekening 2025'!O42</f>
        <v>0</v>
      </c>
      <c r="P78" s="48">
        <f>'TI-berekening 2025'!P42</f>
        <v>499877.45223544625</v>
      </c>
      <c r="Q78" s="48">
        <f>'TI-berekening 2025'!Q42</f>
        <v>316238.97884341411</v>
      </c>
      <c r="T78" s="2" t="s">
        <v>333</v>
      </c>
    </row>
    <row r="79" spans="2:23" ht="12.75" customHeight="1" x14ac:dyDescent="0.25">
      <c r="B79" s="2" t="s">
        <v>567</v>
      </c>
      <c r="F79" s="2" t="s">
        <v>493</v>
      </c>
      <c r="J79" s="108">
        <f>SUM(L79:Q79)</f>
        <v>-20104696.904958654</v>
      </c>
      <c r="L79" s="48">
        <f>'TI-berekening 2025'!L43</f>
        <v>-448888.03658745467</v>
      </c>
      <c r="M79" s="48">
        <f>'TI-berekening 2025'!M43</f>
        <v>-6103791.5588632626</v>
      </c>
      <c r="N79" s="48">
        <f>'TI-berekening 2025'!N43</f>
        <v>-8022129.9621967543</v>
      </c>
      <c r="O79" s="48">
        <f>'TI-berekening 2025'!O43</f>
        <v>-410756.84438447386</v>
      </c>
      <c r="P79" s="48">
        <f>'TI-berekening 2025'!P43</f>
        <v>-5048973.9900716301</v>
      </c>
      <c r="Q79" s="48">
        <f>'TI-berekening 2025'!Q43</f>
        <v>-70156.512855078836</v>
      </c>
      <c r="T79" s="2" t="s">
        <v>573</v>
      </c>
    </row>
    <row r="81" spans="2:21" ht="12.75" customHeight="1" x14ac:dyDescent="0.25">
      <c r="B81" s="2" t="s">
        <v>569</v>
      </c>
      <c r="F81" s="2" t="s">
        <v>493</v>
      </c>
      <c r="J81" s="108">
        <f>SUM(L81:Q81)</f>
        <v>1568774249.5311112</v>
      </c>
      <c r="L81" s="40">
        <f t="shared" ref="L81:Q81" si="19">SUM(L65,L67:L79)</f>
        <v>29628300.690854851</v>
      </c>
      <c r="M81" s="40">
        <f t="shared" si="19"/>
        <v>519626669.46125668</v>
      </c>
      <c r="N81" s="40">
        <f t="shared" si="19"/>
        <v>510583666.64639693</v>
      </c>
      <c r="O81" s="40">
        <f t="shared" si="19"/>
        <v>22955941.759892844</v>
      </c>
      <c r="P81" s="40">
        <f t="shared" si="19"/>
        <v>460610848.71950948</v>
      </c>
      <c r="Q81" s="40">
        <f t="shared" si="19"/>
        <v>25368822.253200613</v>
      </c>
      <c r="T81" s="85"/>
    </row>
    <row r="83" spans="2:21" ht="12.75" customHeight="1" x14ac:dyDescent="0.25">
      <c r="B83" s="2" t="s">
        <v>728</v>
      </c>
      <c r="F83" s="2" t="s">
        <v>493</v>
      </c>
      <c r="J83" s="108">
        <f>SUM(L83:Q83)</f>
        <v>1143198116.4362874</v>
      </c>
      <c r="L83" s="39">
        <f>L59*L$65 + L$67 + L$69 + L$71 + L$77 + L$78 + L$72 + L$74 + L$75 + L$59/(L$59+L$60)*L$70</f>
        <v>21303525.109520841</v>
      </c>
      <c r="M83" s="39">
        <f t="shared" ref="M83:Q83" si="20">M59*M$65 + M$67 + M$69 + M$71 + M$77 + M$78 + M$72 + M$74 + M$75 + M$59/(M$59+M$60)*M$70</f>
        <v>385429333.18287998</v>
      </c>
      <c r="N83" s="39">
        <f t="shared" si="20"/>
        <v>358196119.07897675</v>
      </c>
      <c r="O83" s="39">
        <f t="shared" si="20"/>
        <v>17038474.42939147</v>
      </c>
      <c r="P83" s="39">
        <f t="shared" si="20"/>
        <v>341453074.18966669</v>
      </c>
      <c r="Q83" s="39">
        <f t="shared" si="20"/>
        <v>19777590.445851494</v>
      </c>
    </row>
    <row r="84" spans="2:21" ht="12.75" customHeight="1" x14ac:dyDescent="0.25">
      <c r="B84" s="2" t="s">
        <v>726</v>
      </c>
      <c r="F84" s="2" t="s">
        <v>493</v>
      </c>
      <c r="J84" s="108">
        <f>SUM(L84:Q84)</f>
        <v>392012946.26961654</v>
      </c>
      <c r="L84" s="39">
        <f t="shared" ref="L84:Q84" si="21">L60*(L$65) + L60/(L60+L61)*L$68 + L$60/(L$59+L$60)*L$70 + L$79 + L$73 + L$76</f>
        <v>7726791.1654071109</v>
      </c>
      <c r="M84" s="39">
        <f t="shared" si="21"/>
        <v>124517433.90939227</v>
      </c>
      <c r="N84" s="39">
        <f t="shared" si="21"/>
        <v>138894672.16849807</v>
      </c>
      <c r="O84" s="39">
        <f t="shared" si="21"/>
        <v>5634811.8289905284</v>
      </c>
      <c r="P84" s="39">
        <f t="shared" si="21"/>
        <v>110627234.36498649</v>
      </c>
      <c r="Q84" s="39">
        <f t="shared" si="21"/>
        <v>4612002.8323421143</v>
      </c>
    </row>
    <row r="85" spans="2:21" ht="12.75" customHeight="1" x14ac:dyDescent="0.25">
      <c r="B85" s="2" t="s">
        <v>727</v>
      </c>
      <c r="F85" s="2" t="s">
        <v>493</v>
      </c>
      <c r="J85" s="108">
        <f>SUM(L85:Q85)</f>
        <v>33563186.825207733</v>
      </c>
      <c r="L85" s="39">
        <f>L61*L$65 + (L61/(L60+L61))*L$68</f>
        <v>597984.41592690384</v>
      </c>
      <c r="M85" s="39">
        <f t="shared" ref="M85:Q85" si="22">M61*M$65 + (M61/(M60+M61))*M$68</f>
        <v>9679902.3689844664</v>
      </c>
      <c r="N85" s="39">
        <f t="shared" si="22"/>
        <v>13492875.39892217</v>
      </c>
      <c r="O85" s="39">
        <f t="shared" si="22"/>
        <v>282655.50151085114</v>
      </c>
      <c r="P85" s="39">
        <f t="shared" si="22"/>
        <v>8530540.1648563351</v>
      </c>
      <c r="Q85" s="39">
        <f t="shared" si="22"/>
        <v>979228.97500700224</v>
      </c>
      <c r="U85" s="85"/>
    </row>
    <row r="86" spans="2:21" ht="12.75" customHeight="1" x14ac:dyDescent="0.2">
      <c r="F86" s="29"/>
      <c r="J86" s="124"/>
      <c r="L86" s="2"/>
      <c r="M86" s="2"/>
      <c r="N86" s="2"/>
      <c r="O86" s="2"/>
      <c r="P86" s="2"/>
      <c r="Q86" s="2"/>
      <c r="U86" s="85"/>
    </row>
    <row r="87" spans="2:21" ht="12.75" customHeight="1" x14ac:dyDescent="0.25">
      <c r="J87" s="124"/>
      <c r="L87" s="2"/>
      <c r="M87" s="2"/>
      <c r="N87" s="2"/>
      <c r="O87" s="2"/>
      <c r="P87" s="2"/>
      <c r="Q87" s="2"/>
    </row>
    <row r="88" spans="2:21" ht="12.75" customHeight="1" x14ac:dyDescent="0.25">
      <c r="J88" s="124"/>
      <c r="L88" s="2"/>
      <c r="M88" s="2"/>
      <c r="N88" s="2"/>
      <c r="O88" s="2"/>
      <c r="P88" s="2"/>
      <c r="Q88" s="2"/>
    </row>
    <row r="89" spans="2:21" ht="12.75" customHeight="1" x14ac:dyDescent="0.25">
      <c r="J89" s="124"/>
      <c r="L89" s="109"/>
    </row>
  </sheetData>
  <phoneticPr fontId="6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B2:U59"/>
  <sheetViews>
    <sheetView showGridLines="0" zoomScale="85" zoomScaleNormal="85" workbookViewId="0">
      <pane xSplit="6" ySplit="9" topLeftCell="G10" activePane="bottomRight" state="frozen"/>
      <selection activeCell="Q27" sqref="Q27"/>
      <selection pane="topRight" activeCell="Q27" sqref="Q27"/>
      <selection pane="bottomLeft" activeCell="Q27" sqref="Q27"/>
      <selection pane="bottomRight" activeCell="G10" sqref="G10"/>
    </sheetView>
  </sheetViews>
  <sheetFormatPr defaultColWidth="9.140625" defaultRowHeight="12.75" x14ac:dyDescent="0.25"/>
  <cols>
    <col min="1" max="1" width="4" style="2" customWidth="1"/>
    <col min="2" max="2" width="70.1406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4.85546875" style="2" bestFit="1" customWidth="1"/>
    <col min="11" max="11" width="2.7109375" style="2" customWidth="1"/>
    <col min="12" max="12" width="15.28515625" style="2" bestFit="1" customWidth="1"/>
    <col min="13" max="14" width="15.85546875" style="2" bestFit="1" customWidth="1"/>
    <col min="15" max="15" width="14.7109375" style="2" bestFit="1" customWidth="1"/>
    <col min="16" max="16" width="15.85546875" style="2" bestFit="1" customWidth="1"/>
    <col min="17" max="17" width="14.7109375" style="2" bestFit="1" customWidth="1"/>
    <col min="18" max="19" width="2.7109375" style="2" customWidth="1"/>
    <col min="20" max="34" width="13.7109375" style="2" customWidth="1"/>
    <col min="35" max="16384" width="9.140625" style="2"/>
  </cols>
  <sheetData>
    <row r="2" spans="2:21" s="19" customFormat="1" ht="18" x14ac:dyDescent="0.25">
      <c r="B2" s="19" t="s">
        <v>550</v>
      </c>
    </row>
    <row r="4" spans="2:21" x14ac:dyDescent="0.25">
      <c r="B4" s="1" t="s">
        <v>60</v>
      </c>
      <c r="C4" s="1"/>
      <c r="D4" s="1"/>
    </row>
    <row r="5" spans="2:21" x14ac:dyDescent="0.2">
      <c r="B5" s="237" t="s">
        <v>636</v>
      </c>
      <c r="C5" s="3"/>
      <c r="D5" s="3"/>
      <c r="H5" s="20"/>
    </row>
    <row r="6" spans="2:21" x14ac:dyDescent="0.2">
      <c r="B6" s="245" t="s">
        <v>679</v>
      </c>
      <c r="C6" s="3"/>
      <c r="D6" s="3"/>
      <c r="H6" s="20"/>
    </row>
    <row r="8" spans="2:21" s="6" customFormat="1" x14ac:dyDescent="0.25">
      <c r="B8" s="6" t="s">
        <v>46</v>
      </c>
      <c r="F8" s="6" t="s">
        <v>28</v>
      </c>
      <c r="H8" s="6" t="s">
        <v>29</v>
      </c>
      <c r="J8" s="6" t="s">
        <v>50</v>
      </c>
      <c r="L8" s="6" t="s">
        <v>89</v>
      </c>
      <c r="M8" s="6" t="s">
        <v>66</v>
      </c>
      <c r="N8" s="6" t="s">
        <v>67</v>
      </c>
      <c r="O8" s="6" t="s">
        <v>68</v>
      </c>
      <c r="P8" s="6" t="s">
        <v>69</v>
      </c>
      <c r="Q8" s="6" t="s">
        <v>70</v>
      </c>
      <c r="T8" s="6" t="s">
        <v>48</v>
      </c>
    </row>
    <row r="11" spans="2:21" s="6" customFormat="1" x14ac:dyDescent="0.25">
      <c r="B11" s="6" t="s">
        <v>85</v>
      </c>
    </row>
    <row r="13" spans="2:21" x14ac:dyDescent="0.2">
      <c r="B13" s="2" t="s">
        <v>109</v>
      </c>
      <c r="F13" s="88" t="s">
        <v>106</v>
      </c>
      <c r="J13" s="40">
        <f>SUM(L13:Q13)</f>
        <v>1172785308.1406469</v>
      </c>
      <c r="L13" s="48">
        <f>'Input x-factor, begininkomsten'!L16</f>
        <v>23017675.960507385</v>
      </c>
      <c r="M13" s="48">
        <f>'Input x-factor, begininkomsten'!M16</f>
        <v>375367487.48965442</v>
      </c>
      <c r="N13" s="48">
        <f>'Input x-factor, begininkomsten'!N16</f>
        <v>407020417.70622271</v>
      </c>
      <c r="O13" s="48">
        <f>'Input x-factor, begininkomsten'!O16</f>
        <v>16863318.222685933</v>
      </c>
      <c r="P13" s="48">
        <f>'Input x-factor, begininkomsten'!P16</f>
        <v>330959954.95050144</v>
      </c>
      <c r="Q13" s="48">
        <f>'Input x-factor, begininkomsten'!Q16</f>
        <v>19556453.811075315</v>
      </c>
    </row>
    <row r="14" spans="2:21" x14ac:dyDescent="0.2">
      <c r="B14" s="2" t="s">
        <v>110</v>
      </c>
      <c r="F14" s="29" t="s">
        <v>71</v>
      </c>
      <c r="L14" s="37">
        <f>'Input x-factor, begininkomsten'!L19</f>
        <v>1.4000000000000001</v>
      </c>
      <c r="M14" s="37">
        <f>'Input x-factor, begininkomsten'!M19</f>
        <v>1.3900000000000001</v>
      </c>
      <c r="N14" s="37">
        <f>'Input x-factor, begininkomsten'!N19</f>
        <v>1.35</v>
      </c>
      <c r="O14" s="37">
        <f>'Input x-factor, begininkomsten'!O19</f>
        <v>1.4000000000000001</v>
      </c>
      <c r="P14" s="37">
        <f>'Input x-factor, begininkomsten'!P19</f>
        <v>1.3900000000000001</v>
      </c>
      <c r="Q14" s="37">
        <f>'Input x-factor, begininkomsten'!Q19</f>
        <v>1.54</v>
      </c>
    </row>
    <row r="15" spans="2:21" x14ac:dyDescent="0.2">
      <c r="F15" s="29"/>
    </row>
    <row r="16" spans="2:21" x14ac:dyDescent="0.2">
      <c r="B16" s="2" t="s">
        <v>112</v>
      </c>
      <c r="F16" s="29" t="s">
        <v>73</v>
      </c>
      <c r="H16" s="50">
        <f>'Input parameters'!AD19</f>
        <v>2.4E-2</v>
      </c>
      <c r="U16" s="20"/>
    </row>
    <row r="17" spans="2:17" x14ac:dyDescent="0.2">
      <c r="B17" s="2" t="s">
        <v>144</v>
      </c>
      <c r="F17" s="94" t="s">
        <v>73</v>
      </c>
      <c r="H17" s="50">
        <f>'Input parameters'!AE19</f>
        <v>0.12</v>
      </c>
    </row>
    <row r="18" spans="2:17" x14ac:dyDescent="0.2">
      <c r="B18" s="2" t="s">
        <v>183</v>
      </c>
      <c r="F18" s="94" t="s">
        <v>73</v>
      </c>
      <c r="H18" s="50">
        <f>'Input parameters'!AF19</f>
        <v>0.03</v>
      </c>
    </row>
    <row r="19" spans="2:17" x14ac:dyDescent="0.2">
      <c r="B19" s="2" t="s">
        <v>548</v>
      </c>
      <c r="F19" s="94" t="s">
        <v>73</v>
      </c>
      <c r="H19" s="50">
        <f>'Input parameters'!AG19</f>
        <v>3.5999999999999997E-2</v>
      </c>
    </row>
    <row r="20" spans="2:17" x14ac:dyDescent="0.2">
      <c r="F20" s="29"/>
    </row>
    <row r="21" spans="2:17" x14ac:dyDescent="0.2">
      <c r="B21" s="2" t="s">
        <v>135</v>
      </c>
      <c r="F21" s="2" t="s">
        <v>111</v>
      </c>
      <c r="J21" s="40">
        <f>SUM(L21:Q21)</f>
        <v>1184759925.1398156</v>
      </c>
      <c r="L21" s="53">
        <f>(L13)*(1-L14/100+$H16)</f>
        <v>23247852.720112458</v>
      </c>
      <c r="M21" s="53">
        <f t="shared" ref="M21:Q21" si="0">(M13)*(1-M14/100+$H16)</f>
        <v>379158699.11329991</v>
      </c>
      <c r="N21" s="53">
        <f t="shared" si="0"/>
        <v>411294132.09213805</v>
      </c>
      <c r="O21" s="53">
        <f>(O13)*(1-O14/100+$H16)</f>
        <v>17031951.404912792</v>
      </c>
      <c r="P21" s="53">
        <f t="shared" si="0"/>
        <v>334302650.49550152</v>
      </c>
      <c r="Q21" s="53">
        <f t="shared" si="0"/>
        <v>19724639.313850563</v>
      </c>
    </row>
    <row r="22" spans="2:17" x14ac:dyDescent="0.2">
      <c r="B22" s="2" t="s">
        <v>143</v>
      </c>
      <c r="F22" s="2" t="s">
        <v>142</v>
      </c>
      <c r="J22" s="40">
        <f>SUM(L22:Q22)</f>
        <v>1310593855.9106033</v>
      </c>
      <c r="L22" s="53">
        <f>(L21)*(1-L$14/100+$H17)</f>
        <v>25712125.108444374</v>
      </c>
      <c r="M22" s="53">
        <f>(M21)*(1-M$14/100+$H17)</f>
        <v>419387437.08922106</v>
      </c>
      <c r="N22" s="53">
        <f t="shared" ref="N22:P22" si="1">(N21)*(1-N$14/100+$H17)</f>
        <v>455096957.15995079</v>
      </c>
      <c r="O22" s="53">
        <f t="shared" si="1"/>
        <v>18837338.253833547</v>
      </c>
      <c r="P22" s="53">
        <f t="shared" si="1"/>
        <v>369772161.71307427</v>
      </c>
      <c r="Q22" s="53">
        <f>(Q21)*(1-Q$14/100+$H17)</f>
        <v>21787836.586079333</v>
      </c>
    </row>
    <row r="23" spans="2:17" x14ac:dyDescent="0.2">
      <c r="B23" s="2" t="s">
        <v>184</v>
      </c>
      <c r="F23" s="2" t="s">
        <v>167</v>
      </c>
      <c r="J23" s="40">
        <f>SUM(L23:Q23)</f>
        <v>1331839319.0724127</v>
      </c>
      <c r="L23" s="53">
        <f>(L22)*(1-L$14/100+$H18)</f>
        <v>26123519.110179484</v>
      </c>
      <c r="M23" s="53">
        <f>(M22)*(1-M$14/100+$H18)</f>
        <v>426139574.82635754</v>
      </c>
      <c r="N23" s="53">
        <f t="shared" ref="N23:N24" si="2">(N22)*(1-N$14/100+$H18)</f>
        <v>462606056.95308995</v>
      </c>
      <c r="O23" s="53">
        <f t="shared" ref="O23:O24" si="3">(O22)*(1-O$14/100+$H18)</f>
        <v>19138735.665894885</v>
      </c>
      <c r="P23" s="53">
        <f t="shared" ref="P23:P24" si="4">(P22)*(1-P$14/100+$H18)</f>
        <v>375725493.51665479</v>
      </c>
      <c r="Q23" s="53">
        <f t="shared" ref="Q23:Q24" si="5">(Q22)*(1-Q$14/100+$H18)</f>
        <v>22105939.00023609</v>
      </c>
    </row>
    <row r="24" spans="2:17" x14ac:dyDescent="0.2">
      <c r="B24" s="2" t="s">
        <v>565</v>
      </c>
      <c r="F24" s="2" t="s">
        <v>493</v>
      </c>
      <c r="J24" s="40">
        <f>SUM(L24:Q24)</f>
        <v>1361420325.3127162</v>
      </c>
      <c r="L24" s="53">
        <f>(L23)*(1-L$14/100+$H19)</f>
        <v>26698236.530603435</v>
      </c>
      <c r="M24" s="53">
        <f t="shared" ref="M24" si="6">(M23)*(1-M$14/100+$H19)</f>
        <v>435557259.43002003</v>
      </c>
      <c r="N24" s="53">
        <f t="shared" si="2"/>
        <v>473014693.23453444</v>
      </c>
      <c r="O24" s="53">
        <f t="shared" si="3"/>
        <v>19559787.850544572</v>
      </c>
      <c r="P24" s="53">
        <f t="shared" si="4"/>
        <v>384029026.92337286</v>
      </c>
      <c r="Q24" s="53">
        <f t="shared" si="5"/>
        <v>22561321.343640953</v>
      </c>
    </row>
    <row r="26" spans="2:17" x14ac:dyDescent="0.25">
      <c r="B26" s="2" t="s">
        <v>409</v>
      </c>
      <c r="F26" s="2" t="s">
        <v>493</v>
      </c>
      <c r="J26" s="40">
        <f>SUM(L26:Q26)</f>
        <v>-19665.311948179173</v>
      </c>
      <c r="L26" s="152"/>
      <c r="M26" s="152"/>
      <c r="N26" s="152"/>
      <c r="O26" s="152"/>
      <c r="P26" s="48">
        <f>'Overname private netten'!P134</f>
        <v>-19665.311948179173</v>
      </c>
      <c r="Q26" s="152"/>
    </row>
    <row r="27" spans="2:17" x14ac:dyDescent="0.25">
      <c r="B27" s="2" t="s">
        <v>410</v>
      </c>
      <c r="F27" s="2" t="s">
        <v>493</v>
      </c>
      <c r="J27" s="40">
        <f>SUM(L27:Q27)</f>
        <v>-970.41601222098939</v>
      </c>
      <c r="L27" s="152"/>
      <c r="M27" s="152"/>
      <c r="N27" s="152"/>
      <c r="O27" s="152"/>
      <c r="P27" s="48">
        <f>'Overname private netten'!P143</f>
        <v>-970.41601222098939</v>
      </c>
      <c r="Q27" s="152"/>
    </row>
    <row r="29" spans="2:17" x14ac:dyDescent="0.25">
      <c r="B29" s="2" t="s">
        <v>568</v>
      </c>
      <c r="F29" s="2" t="s">
        <v>493</v>
      </c>
      <c r="J29" s="40">
        <f>SUM(L29:Q29)</f>
        <v>1361399689.5847559</v>
      </c>
      <c r="L29" s="40">
        <f>L24+L26+L27</f>
        <v>26698236.530603435</v>
      </c>
      <c r="M29" s="40">
        <f t="shared" ref="M29:Q29" si="7">M24+M26+M27</f>
        <v>435557259.43002003</v>
      </c>
      <c r="N29" s="40">
        <f t="shared" si="7"/>
        <v>473014693.23453444</v>
      </c>
      <c r="O29" s="40">
        <f t="shared" si="7"/>
        <v>19559787.850544572</v>
      </c>
      <c r="P29" s="40">
        <f t="shared" si="7"/>
        <v>384008391.19541246</v>
      </c>
      <c r="Q29" s="40">
        <f t="shared" si="7"/>
        <v>22561321.343640953</v>
      </c>
    </row>
    <row r="31" spans="2:17" s="6" customFormat="1" x14ac:dyDescent="0.25">
      <c r="B31" s="6" t="s">
        <v>730</v>
      </c>
    </row>
    <row r="33" spans="2:21" x14ac:dyDescent="0.25">
      <c r="B33" s="2" t="s">
        <v>566</v>
      </c>
      <c r="F33" s="2" t="s">
        <v>493</v>
      </c>
      <c r="J33" s="40">
        <f>SUM(L33:Q33)</f>
        <v>-1343282.3341567724</v>
      </c>
      <c r="L33" s="152"/>
      <c r="M33" s="48">
        <f>'Lokale heffingen 2023'!M21</f>
        <v>-660884.84243624622</v>
      </c>
      <c r="N33" s="48">
        <f>'Lokale heffingen 2023'!N21</f>
        <v>0</v>
      </c>
      <c r="O33" s="152"/>
      <c r="P33" s="48">
        <f>'Lokale heffingen 2023'!P21</f>
        <v>-704141.68935939344</v>
      </c>
      <c r="Q33" s="48">
        <f>'Lokale heffingen 2023'!Q21</f>
        <v>21744.197638867277</v>
      </c>
    </row>
    <row r="34" spans="2:21" x14ac:dyDescent="0.25">
      <c r="B34" s="2" t="s">
        <v>635</v>
      </c>
      <c r="F34" s="2" t="s">
        <v>493</v>
      </c>
      <c r="J34" s="40">
        <f>SUM(L34:Q34)</f>
        <v>151055588.94970042</v>
      </c>
      <c r="L34" s="48">
        <f>'Gewijzigd methodebesluit'!L59</f>
        <v>2966751.2500131493</v>
      </c>
      <c r="M34" s="48">
        <f>'Gewijzigd methodebesluit'!M59</f>
        <v>48343056.078641154</v>
      </c>
      <c r="N34" s="48">
        <f>'Gewijzigd methodebesluit'!N59</f>
        <v>52396174.932323143</v>
      </c>
      <c r="O34" s="48">
        <f>'Gewijzigd methodebesluit'!O59</f>
        <v>2184888.2906332142</v>
      </c>
      <c r="P34" s="48">
        <f>'Gewijzigd methodebesluit'!P59</f>
        <v>42621808.316330433</v>
      </c>
      <c r="Q34" s="48">
        <f>'Gewijzigd methodebesluit'!Q59</f>
        <v>2542910.0817593355</v>
      </c>
    </row>
    <row r="35" spans="2:21" x14ac:dyDescent="0.2">
      <c r="B35" s="2" t="s">
        <v>633</v>
      </c>
      <c r="F35" s="2" t="s">
        <v>493</v>
      </c>
      <c r="J35" s="40">
        <f>SUM(L35:Q35)</f>
        <v>-77762131.834431142</v>
      </c>
      <c r="L35" s="54">
        <f>'Netverliezen 2023'!L135</f>
        <v>-2875127.3625508407</v>
      </c>
      <c r="M35" s="54">
        <f>'Netverliezen 2023'!M135</f>
        <v>-4462138.8819786245</v>
      </c>
      <c r="N35" s="54">
        <f>'Netverliezen 2023'!N135</f>
        <v>-62806977.953577958</v>
      </c>
      <c r="O35" s="54">
        <f>'Netverliezen 2023'!O135</f>
        <v>-656956.0300955103</v>
      </c>
      <c r="P35" s="54">
        <f>'Netverliezen 2023'!P135</f>
        <v>-4493530.8487443412</v>
      </c>
      <c r="Q35" s="54">
        <f>'Netverliezen 2023'!Q135</f>
        <v>-2467400.7574838549</v>
      </c>
    </row>
    <row r="36" spans="2:21" x14ac:dyDescent="0.2">
      <c r="B36" s="2" t="s">
        <v>558</v>
      </c>
      <c r="F36" s="2" t="s">
        <v>493</v>
      </c>
      <c r="J36" s="108">
        <f t="shared" ref="J36:J40" si="8">SUM(L36:Q36)</f>
        <v>116032978.32456367</v>
      </c>
      <c r="L36" s="54">
        <f>'Rente 2023'!L126</f>
        <v>2293492.4151325994</v>
      </c>
      <c r="M36" s="54">
        <f>'Rente 2023'!M126</f>
        <v>37270153.741353408</v>
      </c>
      <c r="N36" s="54">
        <f>'Rente 2023'!N126</f>
        <v>39916045.578679807</v>
      </c>
      <c r="O36" s="54">
        <f>'Rente 2023'!O126</f>
        <v>1683619.9734846423</v>
      </c>
      <c r="P36" s="54">
        <f>'Rente 2023'!P126</f>
        <v>32880018.082504261</v>
      </c>
      <c r="Q36" s="54">
        <f>'Rente 2023'!Q126</f>
        <v>1989648.5334089657</v>
      </c>
      <c r="U36" s="20"/>
    </row>
    <row r="37" spans="2:21" x14ac:dyDescent="0.2">
      <c r="B37" s="2" t="s">
        <v>557</v>
      </c>
      <c r="F37" s="2" t="s">
        <v>493</v>
      </c>
      <c r="J37" s="108">
        <f t="shared" si="8"/>
        <v>30328884.760659143</v>
      </c>
      <c r="L37" s="54">
        <f>'Rente 2023'!L125</f>
        <v>587126.09620632743</v>
      </c>
      <c r="M37" s="54">
        <f>'Rente 2023'!M125</f>
        <v>9610486.9027912393</v>
      </c>
      <c r="N37" s="54">
        <f>'Rente 2023'!N125</f>
        <v>10848085.567926425</v>
      </c>
      <c r="O37" s="54">
        <f>'Rente 2023'!O125</f>
        <v>426400.88746079581</v>
      </c>
      <c r="P37" s="54">
        <f>'Rente 2023'!P125</f>
        <v>8465765.2406762242</v>
      </c>
      <c r="Q37" s="54">
        <f>'Rente 2023'!Q125</f>
        <v>391020.06559813477</v>
      </c>
    </row>
    <row r="38" spans="2:21" x14ac:dyDescent="0.2">
      <c r="B38" s="2" t="s">
        <v>552</v>
      </c>
      <c r="F38" s="2" t="s">
        <v>493</v>
      </c>
      <c r="J38" s="40">
        <f t="shared" si="8"/>
        <v>627818.69175388338</v>
      </c>
      <c r="L38" s="54">
        <f>'Invoeding 2023'!L49</f>
        <v>89892.588837797826</v>
      </c>
      <c r="M38" s="54">
        <f>'Invoeding 2023'!M49</f>
        <v>269034.63423453912</v>
      </c>
      <c r="N38" s="54">
        <f>'Invoeding 2023'!N49</f>
        <v>179351.29106283945</v>
      </c>
      <c r="O38" s="54">
        <f>'Invoeding 2023'!O49</f>
        <v>44181.255464752583</v>
      </c>
      <c r="P38" s="54">
        <f>'Invoeding 2023'!P49</f>
        <v>38649.940970683056</v>
      </c>
      <c r="Q38" s="54">
        <f>'Invoeding 2023'!Q49</f>
        <v>6708.9811832715577</v>
      </c>
    </row>
    <row r="39" spans="2:21" x14ac:dyDescent="0.2">
      <c r="B39" s="2" t="s">
        <v>553</v>
      </c>
      <c r="F39" s="2" t="s">
        <v>493</v>
      </c>
      <c r="J39" s="108">
        <f t="shared" si="8"/>
        <v>2401151.6773642222</v>
      </c>
      <c r="L39" s="54">
        <f>'Desinv. afn. benuttingsgraad'!L49</f>
        <v>38263.52451750655</v>
      </c>
      <c r="M39" s="152"/>
      <c r="N39" s="54">
        <f>'Desinv. afn. benuttingsgraad'!N49</f>
        <v>2316556.1786288465</v>
      </c>
      <c r="O39" s="54">
        <f>'Desinv. afn. benuttingsgraad'!O49</f>
        <v>26156.725914231942</v>
      </c>
      <c r="P39" s="152"/>
      <c r="Q39" s="54">
        <f>'Desinv. afn. benuttingsgraad'!Q49</f>
        <v>20175.24830363744</v>
      </c>
    </row>
    <row r="40" spans="2:21" x14ac:dyDescent="0.2">
      <c r="B40" s="2" t="s">
        <v>554</v>
      </c>
      <c r="F40" s="2" t="s">
        <v>493</v>
      </c>
      <c r="J40" s="108">
        <f t="shared" si="8"/>
        <v>3196243.0392208486</v>
      </c>
      <c r="L40" s="54">
        <f>'Desinv. afn. benuttingsgraad'!L50</f>
        <v>202610.87987757966</v>
      </c>
      <c r="M40" s="152"/>
      <c r="N40" s="54">
        <f>'Desinv. afn. benuttingsgraad'!N50</f>
        <v>2295321.3552486533</v>
      </c>
      <c r="O40" s="54">
        <f>'Desinv. afn. benuttingsgraad'!O50</f>
        <v>86006.208320578327</v>
      </c>
      <c r="P40" s="54">
        <f>'Desinv. afn. benuttingsgraad'!P50</f>
        <v>612304.5957740373</v>
      </c>
      <c r="Q40" s="152"/>
    </row>
    <row r="41" spans="2:21" x14ac:dyDescent="0.2">
      <c r="B41" s="2" t="s">
        <v>556</v>
      </c>
      <c r="F41" s="2" t="s">
        <v>493</v>
      </c>
      <c r="J41" s="40">
        <f t="shared" ref="J41:J43" si="9">SUM(L41:Q41)</f>
        <v>1875846.5863607039</v>
      </c>
      <c r="L41" s="54">
        <f>'Verwijderingskosten KV'!L64</f>
        <v>75942.804804750922</v>
      </c>
      <c r="M41" s="54">
        <f>'Verwijderingskosten KV'!M64</f>
        <v>-196506.04250557153</v>
      </c>
      <c r="N41" s="54">
        <f>'Verwijderingskosten KV'!N64</f>
        <v>196503.86456724117</v>
      </c>
      <c r="O41" s="54">
        <f>'Verwijderingskosten KV'!O64</f>
        <v>12613.442550046098</v>
      </c>
      <c r="P41" s="54">
        <f>'Verwijderingskosten KV'!P64</f>
        <v>1730680.423781269</v>
      </c>
      <c r="Q41" s="54">
        <f>'Verwijderingskosten KV'!Q64</f>
        <v>56612.09316296834</v>
      </c>
    </row>
    <row r="42" spans="2:21" x14ac:dyDescent="0.2">
      <c r="B42" s="2" t="s">
        <v>555</v>
      </c>
      <c r="F42" s="2" t="s">
        <v>493</v>
      </c>
      <c r="J42" s="40">
        <f t="shared" si="9"/>
        <v>1066158.9902791253</v>
      </c>
      <c r="L42" s="152"/>
      <c r="M42" s="152"/>
      <c r="N42" s="54">
        <f>'Verwijderingskosten GV'!N55</f>
        <v>250042.55920026489</v>
      </c>
      <c r="O42" s="152"/>
      <c r="P42" s="54">
        <f>'Verwijderingskosten GV'!P55</f>
        <v>499877.45223544625</v>
      </c>
      <c r="Q42" s="54">
        <f>'Verwijderingskosten GV'!Q55</f>
        <v>316238.97884341411</v>
      </c>
    </row>
    <row r="43" spans="2:21" x14ac:dyDescent="0.2">
      <c r="B43" s="2" t="s">
        <v>567</v>
      </c>
      <c r="F43" s="2" t="s">
        <v>493</v>
      </c>
      <c r="J43" s="40">
        <f t="shared" si="9"/>
        <v>-20104696.904958654</v>
      </c>
      <c r="L43" s="54">
        <f>'Verwijderingskosten KV'!L66</f>
        <v>-448888.03658745467</v>
      </c>
      <c r="M43" s="54">
        <f>'Verwijderingskosten KV'!M66</f>
        <v>-6103791.5588632626</v>
      </c>
      <c r="N43" s="54">
        <f>'Verwijderingskosten KV'!N66</f>
        <v>-8022129.9621967543</v>
      </c>
      <c r="O43" s="54">
        <f>'Verwijderingskosten KV'!O66</f>
        <v>-410756.84438447386</v>
      </c>
      <c r="P43" s="54">
        <f>'Verwijderingskosten KV'!P66</f>
        <v>-5048973.9900716301</v>
      </c>
      <c r="Q43" s="54">
        <f>'Verwijderingskosten KV'!Q66</f>
        <v>-70156.512855078836</v>
      </c>
    </row>
    <row r="45" spans="2:21" x14ac:dyDescent="0.2">
      <c r="B45" s="1" t="s">
        <v>551</v>
      </c>
      <c r="F45" s="2" t="s">
        <v>493</v>
      </c>
      <c r="J45" s="40">
        <f>SUM(L45:Q45)</f>
        <v>207374559.94635546</v>
      </c>
      <c r="L45" s="55">
        <f t="shared" ref="L45:Q45" si="10">SUM(L33:L43)</f>
        <v>2930064.1602514153</v>
      </c>
      <c r="M45" s="55">
        <f t="shared" si="10"/>
        <v>84069410.031236604</v>
      </c>
      <c r="N45" s="55">
        <f t="shared" si="10"/>
        <v>37568973.411862507</v>
      </c>
      <c r="O45" s="55">
        <f t="shared" si="10"/>
        <v>3396153.9093482769</v>
      </c>
      <c r="P45" s="55">
        <f t="shared" si="10"/>
        <v>76602457.52409701</v>
      </c>
      <c r="Q45" s="55">
        <f t="shared" si="10"/>
        <v>2807500.9095596606</v>
      </c>
    </row>
    <row r="47" spans="2:21" s="6" customFormat="1" x14ac:dyDescent="0.25">
      <c r="B47" s="6" t="s">
        <v>162</v>
      </c>
    </row>
    <row r="49" spans="2:17" x14ac:dyDescent="0.2">
      <c r="B49" s="2" t="s">
        <v>549</v>
      </c>
      <c r="F49" s="2" t="s">
        <v>493</v>
      </c>
      <c r="J49" s="40">
        <f>SUM(L49:Q49)</f>
        <v>1568774249.5311112</v>
      </c>
      <c r="L49" s="56">
        <f t="shared" ref="L49:Q49" si="11">L29+L45</f>
        <v>29628300.690854851</v>
      </c>
      <c r="M49" s="56">
        <f t="shared" si="11"/>
        <v>519626669.46125662</v>
      </c>
      <c r="N49" s="56">
        <f t="shared" si="11"/>
        <v>510583666.64639693</v>
      </c>
      <c r="O49" s="56">
        <f t="shared" si="11"/>
        <v>22955941.759892847</v>
      </c>
      <c r="P49" s="56">
        <f t="shared" si="11"/>
        <v>460610848.71950948</v>
      </c>
      <c r="Q49" s="56">
        <f t="shared" si="11"/>
        <v>25368822.253200613</v>
      </c>
    </row>
    <row r="51" spans="2:17" x14ac:dyDescent="0.25">
      <c r="L51" s="32"/>
      <c r="M51" s="32"/>
      <c r="N51" s="32"/>
      <c r="O51" s="32"/>
      <c r="P51" s="32"/>
      <c r="Q51" s="32"/>
    </row>
    <row r="52" spans="2:17" x14ac:dyDescent="0.25">
      <c r="M52" s="32"/>
      <c r="N52" s="32"/>
      <c r="O52" s="32"/>
      <c r="P52" s="32"/>
      <c r="Q52" s="32"/>
    </row>
    <row r="54" spans="2:17" x14ac:dyDescent="0.25">
      <c r="L54" s="61"/>
      <c r="M54" s="61"/>
      <c r="N54" s="61"/>
      <c r="O54" s="61"/>
      <c r="P54" s="61"/>
      <c r="Q54" s="61"/>
    </row>
    <row r="55" spans="2:17" x14ac:dyDescent="0.25">
      <c r="L55" s="74"/>
      <c r="M55" s="74"/>
      <c r="N55" s="74"/>
      <c r="O55" s="74"/>
      <c r="P55" s="74"/>
      <c r="Q55" s="74"/>
    </row>
    <row r="56" spans="2:17" x14ac:dyDescent="0.25">
      <c r="L56" s="74"/>
      <c r="M56" s="74"/>
      <c r="N56" s="74"/>
      <c r="O56" s="74"/>
      <c r="P56" s="74"/>
      <c r="Q56" s="74"/>
    </row>
    <row r="57" spans="2:17" x14ac:dyDescent="0.25">
      <c r="L57" s="74"/>
      <c r="M57" s="74"/>
      <c r="N57" s="74"/>
      <c r="O57" s="74"/>
      <c r="P57" s="74"/>
      <c r="Q57" s="74"/>
    </row>
    <row r="58" spans="2:17" x14ac:dyDescent="0.25">
      <c r="L58" s="74"/>
      <c r="M58" s="74"/>
      <c r="N58" s="74"/>
      <c r="O58" s="74"/>
      <c r="P58" s="74"/>
      <c r="Q58" s="74"/>
    </row>
    <row r="59" spans="2:17" x14ac:dyDescent="0.25">
      <c r="L59" s="74"/>
      <c r="M59" s="74"/>
      <c r="N59" s="74"/>
      <c r="O59" s="74"/>
      <c r="P59" s="74"/>
      <c r="Q59" s="74"/>
    </row>
  </sheetData>
  <phoneticPr fontId="6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
  <sheetViews>
    <sheetView showGridLines="0" zoomScale="85" zoomScaleNormal="85" workbookViewId="0"/>
  </sheetViews>
  <sheetFormatPr defaultColWidth="9.140625" defaultRowHeight="12.75" x14ac:dyDescent="0.25"/>
  <cols>
    <col min="1" max="16384" width="9.140625" style="24"/>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1FFE1"/>
  </sheetPr>
  <dimension ref="B2:AK36"/>
  <sheetViews>
    <sheetView showGridLines="0" zoomScale="85" zoomScaleNormal="85" workbookViewId="0">
      <pane xSplit="6" ySplit="12" topLeftCell="G13" activePane="bottomRight" state="frozen"/>
      <selection activeCell="Q27" sqref="Q27"/>
      <selection pane="topRight" activeCell="Q27" sqref="Q27"/>
      <selection pane="bottomLeft" activeCell="Q27" sqref="Q27"/>
      <selection pane="bottomRight" activeCell="G13" sqref="G13"/>
    </sheetView>
  </sheetViews>
  <sheetFormatPr defaultColWidth="9.140625"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5" width="17" style="2" hidden="1" customWidth="1"/>
    <col min="26" max="26" width="17" style="2" customWidth="1"/>
    <col min="27" max="27" width="14.28515625" style="2" customWidth="1"/>
    <col min="28" max="28" width="17.42578125" style="2" customWidth="1"/>
    <col min="29" max="29" width="19.85546875" style="2" customWidth="1"/>
    <col min="30" max="30" width="12.5703125" style="2" customWidth="1"/>
    <col min="31" max="31" width="13.7109375" style="2" customWidth="1"/>
    <col min="32" max="33" width="12.5703125" style="2" customWidth="1"/>
    <col min="34" max="34" width="2.7109375" style="2" customWidth="1"/>
    <col min="35" max="35" width="24.7109375" style="2" customWidth="1"/>
    <col min="36" max="36" width="2.7109375" style="2" customWidth="1"/>
    <col min="37" max="37" width="13.7109375" style="2" customWidth="1"/>
    <col min="38" max="38" width="2.7109375" style="2" customWidth="1"/>
    <col min="39" max="53" width="13.7109375" style="2" customWidth="1"/>
    <col min="54" max="16384" width="9.140625" style="2"/>
  </cols>
  <sheetData>
    <row r="2" spans="2:37" s="19" customFormat="1" ht="18" x14ac:dyDescent="0.25">
      <c r="B2" s="19" t="s">
        <v>380</v>
      </c>
    </row>
    <row r="4" spans="2:37" x14ac:dyDescent="0.25">
      <c r="B4" s="28" t="s">
        <v>30</v>
      </c>
      <c r="C4" s="1"/>
      <c r="D4" s="1"/>
    </row>
    <row r="5" spans="2:37" x14ac:dyDescent="0.25">
      <c r="B5" s="2" t="s">
        <v>382</v>
      </c>
      <c r="H5" s="20"/>
    </row>
    <row r="6" spans="2:37" x14ac:dyDescent="0.25">
      <c r="B6" s="2" t="s">
        <v>381</v>
      </c>
      <c r="H6" s="20"/>
    </row>
    <row r="7" spans="2:37" x14ac:dyDescent="0.25">
      <c r="H7" s="20"/>
    </row>
    <row r="8" spans="2:37" x14ac:dyDescent="0.25">
      <c r="B8" s="2" t="s">
        <v>41</v>
      </c>
      <c r="H8" s="20"/>
    </row>
    <row r="9" spans="2:37" x14ac:dyDescent="0.25">
      <c r="B9" s="4" t="s">
        <v>680</v>
      </c>
      <c r="H9" s="20"/>
    </row>
    <row r="11" spans="2:37" s="6" customFormat="1" x14ac:dyDescent="0.25">
      <c r="B11" s="6" t="s">
        <v>46</v>
      </c>
      <c r="F11" s="6" t="s">
        <v>28</v>
      </c>
      <c r="H11" s="6" t="s">
        <v>29</v>
      </c>
      <c r="J11" s="6" t="s">
        <v>50</v>
      </c>
      <c r="L11" s="6">
        <v>2004</v>
      </c>
      <c r="M11" s="6">
        <v>2005</v>
      </c>
      <c r="N11" s="6">
        <v>2006</v>
      </c>
      <c r="O11" s="6">
        <v>2007</v>
      </c>
      <c r="P11" s="6">
        <v>2008</v>
      </c>
      <c r="Q11" s="6">
        <v>2009</v>
      </c>
      <c r="R11" s="6">
        <v>2010</v>
      </c>
      <c r="S11" s="6">
        <v>2011</v>
      </c>
      <c r="T11" s="6">
        <v>2012</v>
      </c>
      <c r="U11" s="6">
        <v>2013</v>
      </c>
      <c r="V11" s="6">
        <v>2014</v>
      </c>
      <c r="W11" s="6">
        <v>2015</v>
      </c>
      <c r="X11" s="6">
        <v>2016</v>
      </c>
      <c r="Y11" s="6">
        <v>2017</v>
      </c>
      <c r="Z11" s="6">
        <v>2018</v>
      </c>
      <c r="AA11" s="6" t="s">
        <v>267</v>
      </c>
      <c r="AB11" s="6" t="s">
        <v>268</v>
      </c>
      <c r="AC11" s="6" t="s">
        <v>269</v>
      </c>
      <c r="AD11" s="6" t="s">
        <v>108</v>
      </c>
      <c r="AE11" s="6" t="s">
        <v>141</v>
      </c>
      <c r="AF11" s="6" t="s">
        <v>164</v>
      </c>
      <c r="AG11" s="6" t="s">
        <v>444</v>
      </c>
      <c r="AI11" s="6" t="s">
        <v>47</v>
      </c>
      <c r="AK11" s="6" t="s">
        <v>48</v>
      </c>
    </row>
    <row r="14" spans="2:37" s="6" customFormat="1" x14ac:dyDescent="0.25">
      <c r="B14" s="6" t="s">
        <v>94</v>
      </c>
    </row>
    <row r="16" spans="2:37" x14ac:dyDescent="0.25">
      <c r="B16" s="28" t="s">
        <v>95</v>
      </c>
    </row>
    <row r="17" spans="2:35" x14ac:dyDescent="0.25">
      <c r="B17" s="2" t="s">
        <v>637</v>
      </c>
    </row>
    <row r="18" spans="2:35" x14ac:dyDescent="0.2">
      <c r="B18" s="41"/>
    </row>
    <row r="19" spans="2:35" ht="12" customHeight="1" x14ac:dyDescent="0.25">
      <c r="B19" s="2" t="s">
        <v>96</v>
      </c>
      <c r="F19" s="2" t="s">
        <v>73</v>
      </c>
      <c r="L19" s="136">
        <v>2.1000000000000001E-2</v>
      </c>
      <c r="M19" s="136">
        <v>1.0999999999999999E-2</v>
      </c>
      <c r="N19" s="136">
        <v>1.7999999999999999E-2</v>
      </c>
      <c r="O19" s="136">
        <v>1.4E-2</v>
      </c>
      <c r="P19" s="136">
        <v>1.0999999999999999E-2</v>
      </c>
      <c r="Q19" s="136">
        <v>3.2000000000000001E-2</v>
      </c>
      <c r="R19" s="136">
        <v>3.0000000000000001E-3</v>
      </c>
      <c r="S19" s="136">
        <v>1.4999999999999999E-2</v>
      </c>
      <c r="T19" s="136">
        <v>2.5999999999999999E-2</v>
      </c>
      <c r="U19" s="136">
        <v>2.3E-2</v>
      </c>
      <c r="V19" s="136">
        <v>2.8000000000000001E-2</v>
      </c>
      <c r="W19" s="136">
        <v>0.01</v>
      </c>
      <c r="X19" s="136">
        <v>8.0000000000000002E-3</v>
      </c>
      <c r="Y19" s="136">
        <v>2E-3</v>
      </c>
      <c r="Z19" s="136">
        <v>1.4E-2</v>
      </c>
      <c r="AA19" s="68">
        <v>2.1000000000000001E-2</v>
      </c>
      <c r="AB19" s="68">
        <v>2.8000000000000001E-2</v>
      </c>
      <c r="AC19" s="68">
        <v>7.0000000000000001E-3</v>
      </c>
      <c r="AD19" s="68">
        <v>2.4E-2</v>
      </c>
      <c r="AE19" s="68">
        <v>0.12</v>
      </c>
      <c r="AF19" s="68">
        <v>0.03</v>
      </c>
      <c r="AG19" s="260">
        <v>3.5999999999999997E-2</v>
      </c>
      <c r="AI19" s="2" t="s">
        <v>137</v>
      </c>
    </row>
    <row r="22" spans="2:35" s="6" customFormat="1" x14ac:dyDescent="0.25">
      <c r="B22" s="6" t="s">
        <v>74</v>
      </c>
    </row>
    <row r="24" spans="2:35" x14ac:dyDescent="0.25">
      <c r="B24" s="1" t="s">
        <v>75</v>
      </c>
    </row>
    <row r="25" spans="2:35" x14ac:dyDescent="0.25">
      <c r="B25" s="2" t="s">
        <v>383</v>
      </c>
    </row>
    <row r="26" spans="2:35" x14ac:dyDescent="0.25">
      <c r="B26" s="2" t="s">
        <v>384</v>
      </c>
    </row>
    <row r="27" spans="2:35" x14ac:dyDescent="0.25">
      <c r="B27" s="2" t="s">
        <v>638</v>
      </c>
    </row>
    <row r="29" spans="2:35" x14ac:dyDescent="0.25">
      <c r="B29" s="1" t="s">
        <v>385</v>
      </c>
    </row>
    <row r="30" spans="2:35" ht="12" customHeight="1" x14ac:dyDescent="0.25">
      <c r="B30" s="2" t="s">
        <v>77</v>
      </c>
      <c r="F30" s="2" t="s">
        <v>73</v>
      </c>
      <c r="AE30" s="68">
        <v>0.04</v>
      </c>
      <c r="AF30" s="68">
        <v>7.0000000000000007E-2</v>
      </c>
      <c r="AI30" s="2" t="s">
        <v>138</v>
      </c>
    </row>
    <row r="31" spans="2:35" x14ac:dyDescent="0.25">
      <c r="B31" s="2" t="s">
        <v>78</v>
      </c>
      <c r="F31" s="2" t="s">
        <v>73</v>
      </c>
      <c r="AE31" s="68">
        <v>0.04</v>
      </c>
      <c r="AF31" s="68">
        <v>7.0000000000000007E-2</v>
      </c>
    </row>
    <row r="32" spans="2:35" x14ac:dyDescent="0.25">
      <c r="B32" s="2" t="s">
        <v>79</v>
      </c>
      <c r="F32" s="2" t="s">
        <v>73</v>
      </c>
      <c r="AD32" s="68">
        <v>0.02</v>
      </c>
      <c r="AE32" s="68">
        <v>0.06</v>
      </c>
      <c r="AF32" s="68">
        <v>7.0000000000000007E-2</v>
      </c>
    </row>
    <row r="33" spans="2:35" x14ac:dyDescent="0.25">
      <c r="B33" s="2" t="s">
        <v>80</v>
      </c>
      <c r="F33" s="2" t="s">
        <v>73</v>
      </c>
      <c r="AD33" s="68">
        <v>0.02</v>
      </c>
      <c r="AE33" s="68">
        <v>0.06</v>
      </c>
      <c r="AF33" s="68">
        <v>7.0000000000000007E-2</v>
      </c>
    </row>
    <row r="35" spans="2:35" x14ac:dyDescent="0.25">
      <c r="B35" s="1" t="s">
        <v>386</v>
      </c>
    </row>
    <row r="36" spans="2:35" x14ac:dyDescent="0.25">
      <c r="B36" s="2" t="s">
        <v>454</v>
      </c>
      <c r="F36" s="2" t="s">
        <v>73</v>
      </c>
      <c r="H36" s="260">
        <v>4.2500000000000003E-2</v>
      </c>
      <c r="AI36" s="2" t="s">
        <v>387</v>
      </c>
    </row>
  </sheetData>
  <phoneticPr fontId="6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1FFE1"/>
  </sheetPr>
  <dimension ref="A2:V25"/>
  <sheetViews>
    <sheetView showGridLines="0" zoomScale="85" zoomScaleNormal="85" workbookViewId="0">
      <pane xSplit="6" ySplit="8" topLeftCell="G9" activePane="bottomRight" state="frozen"/>
      <selection activeCell="Q27" sqref="Q27"/>
      <selection pane="topRight" activeCell="Q27" sqref="Q27"/>
      <selection pane="bottomLeft" activeCell="Q27" sqref="Q27"/>
      <selection pane="bottomRight" activeCell="G9" sqref="G9"/>
    </sheetView>
  </sheetViews>
  <sheetFormatPr defaultColWidth="9.140625"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3.28515625" style="2" customWidth="1"/>
    <col min="14" max="14" width="14.140625" style="2" bestFit="1" customWidth="1"/>
    <col min="15" max="17" width="13.28515625" style="2" customWidth="1"/>
    <col min="18" max="19" width="2.7109375" style="2" customWidth="1"/>
    <col min="20" max="20" width="24.710937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1:22" s="19" customFormat="1" ht="18" x14ac:dyDescent="0.25">
      <c r="B2" s="19" t="s">
        <v>88</v>
      </c>
    </row>
    <row r="4" spans="1:22" x14ac:dyDescent="0.25">
      <c r="B4" s="1" t="s">
        <v>30</v>
      </c>
      <c r="C4" s="1"/>
      <c r="D4" s="1"/>
    </row>
    <row r="5" spans="1:22" x14ac:dyDescent="0.25">
      <c r="B5" s="2" t="s">
        <v>213</v>
      </c>
      <c r="H5" s="20"/>
    </row>
    <row r="7" spans="1:22" s="6" customFormat="1" x14ac:dyDescent="0.25">
      <c r="B7" s="6" t="s">
        <v>46</v>
      </c>
      <c r="F7" s="6" t="s">
        <v>28</v>
      </c>
      <c r="H7" s="6" t="s">
        <v>29</v>
      </c>
      <c r="J7" s="6" t="s">
        <v>50</v>
      </c>
      <c r="L7" s="6" t="s">
        <v>89</v>
      </c>
      <c r="M7" s="6" t="s">
        <v>66</v>
      </c>
      <c r="N7" s="6" t="s">
        <v>67</v>
      </c>
      <c r="O7" s="6" t="s">
        <v>68</v>
      </c>
      <c r="P7" s="6" t="s">
        <v>69</v>
      </c>
      <c r="Q7" s="6" t="s">
        <v>70</v>
      </c>
      <c r="T7" s="6" t="s">
        <v>47</v>
      </c>
      <c r="V7" s="6" t="s">
        <v>48</v>
      </c>
    </row>
    <row r="10" spans="1:22" s="6" customFormat="1" x14ac:dyDescent="0.25">
      <c r="B10" s="6" t="s">
        <v>113</v>
      </c>
    </row>
    <row r="11" spans="1:22" x14ac:dyDescent="0.25">
      <c r="M11" s="85"/>
      <c r="N11" s="85"/>
      <c r="O11" s="85"/>
      <c r="P11" s="85"/>
      <c r="Q11" s="85"/>
    </row>
    <row r="12" spans="1:22" x14ac:dyDescent="0.25">
      <c r="B12" s="1" t="s">
        <v>87</v>
      </c>
    </row>
    <row r="13" spans="1:22" x14ac:dyDescent="0.2">
      <c r="B13" s="2" t="s">
        <v>165</v>
      </c>
      <c r="F13" s="77" t="s">
        <v>106</v>
      </c>
      <c r="L13" s="67">
        <v>17509659.581804149</v>
      </c>
      <c r="M13" s="67">
        <v>285208457.58122259</v>
      </c>
      <c r="N13" s="67">
        <v>305251081.66104859</v>
      </c>
      <c r="O13" s="67">
        <v>12863116.073261615</v>
      </c>
      <c r="P13" s="67">
        <v>251539922.51591069</v>
      </c>
      <c r="Q13" s="67">
        <v>15888170.388429981</v>
      </c>
      <c r="T13" s="2" t="s">
        <v>310</v>
      </c>
    </row>
    <row r="14" spans="1:22" x14ac:dyDescent="0.2">
      <c r="B14" s="2" t="s">
        <v>134</v>
      </c>
      <c r="F14" s="77" t="s">
        <v>106</v>
      </c>
      <c r="L14" s="67">
        <v>5508016.3787032366</v>
      </c>
      <c r="M14" s="67">
        <v>90159029.908431798</v>
      </c>
      <c r="N14" s="67">
        <v>101769336.04517412</v>
      </c>
      <c r="O14" s="67">
        <v>4000202.1494243168</v>
      </c>
      <c r="P14" s="67">
        <v>79420032.434590772</v>
      </c>
      <c r="Q14" s="67">
        <v>3668283.4226453337</v>
      </c>
      <c r="T14" s="2" t="s">
        <v>311</v>
      </c>
    </row>
    <row r="15" spans="1:22" s="80" customFormat="1" x14ac:dyDescent="0.2">
      <c r="A15" s="2"/>
      <c r="F15" s="81"/>
      <c r="J15" s="2"/>
      <c r="L15" s="82"/>
      <c r="M15" s="82"/>
      <c r="N15" s="82"/>
      <c r="O15" s="82"/>
      <c r="P15" s="82"/>
      <c r="Q15" s="82"/>
      <c r="T15" s="2"/>
    </row>
    <row r="16" spans="1:22" s="80" customFormat="1" x14ac:dyDescent="0.2">
      <c r="A16" s="2"/>
      <c r="B16" s="80" t="s">
        <v>109</v>
      </c>
      <c r="F16" s="77" t="s">
        <v>106</v>
      </c>
      <c r="J16" s="2"/>
      <c r="L16" s="40">
        <f>L13+L14</f>
        <v>23017675.960507385</v>
      </c>
      <c r="M16" s="40">
        <f t="shared" ref="M16:Q16" si="0">M13+M14</f>
        <v>375367487.48965442</v>
      </c>
      <c r="N16" s="40">
        <f t="shared" si="0"/>
        <v>407020417.70622271</v>
      </c>
      <c r="O16" s="40">
        <f t="shared" si="0"/>
        <v>16863318.222685933</v>
      </c>
      <c r="P16" s="40">
        <f t="shared" si="0"/>
        <v>330959954.95050144</v>
      </c>
      <c r="Q16" s="40">
        <f t="shared" si="0"/>
        <v>19556453.811075315</v>
      </c>
      <c r="T16" s="2"/>
    </row>
    <row r="18" spans="2:20" x14ac:dyDescent="0.25">
      <c r="B18" s="1" t="s">
        <v>86</v>
      </c>
    </row>
    <row r="19" spans="2:20" x14ac:dyDescent="0.2">
      <c r="B19" s="2" t="s">
        <v>110</v>
      </c>
      <c r="F19" s="77" t="s">
        <v>71</v>
      </c>
      <c r="L19" s="63">
        <v>1.4000000000000001</v>
      </c>
      <c r="M19" s="63">
        <v>1.3900000000000001</v>
      </c>
      <c r="N19" s="63">
        <v>1.35</v>
      </c>
      <c r="O19" s="63">
        <v>1.4000000000000001</v>
      </c>
      <c r="P19" s="63">
        <v>1.3900000000000001</v>
      </c>
      <c r="Q19" s="63">
        <v>1.54</v>
      </c>
      <c r="T19" s="2" t="s">
        <v>312</v>
      </c>
    </row>
    <row r="23" spans="2:20" x14ac:dyDescent="0.25">
      <c r="L23" s="85"/>
      <c r="M23" s="85"/>
      <c r="N23" s="85"/>
      <c r="O23" s="85"/>
      <c r="P23" s="85"/>
      <c r="Q23" s="85"/>
    </row>
    <row r="25" spans="2:20" x14ac:dyDescent="0.25">
      <c r="L25" s="85"/>
      <c r="M25" s="85"/>
      <c r="N25" s="85"/>
      <c r="O25" s="85"/>
      <c r="P25" s="85"/>
      <c r="Q25" s="8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3D908-47F5-44D2-9064-782F31607046}">
  <sheetPr>
    <tabColor rgb="FFE1FFE1"/>
  </sheetPr>
  <dimension ref="A1:U59"/>
  <sheetViews>
    <sheetView showGridLines="0" zoomScale="85" zoomScaleNormal="85" workbookViewId="0">
      <pane xSplit="6" ySplit="10" topLeftCell="G29" activePane="bottomRight" state="frozen"/>
      <selection activeCell="D53" sqref="D53"/>
      <selection pane="topRight" activeCell="D53" sqref="D53"/>
      <selection pane="bottomLeft" activeCell="D53" sqref="D53"/>
      <selection pane="bottomRight" activeCell="G11" sqref="G11"/>
    </sheetView>
  </sheetViews>
  <sheetFormatPr defaultColWidth="9.140625" defaultRowHeight="12.75" x14ac:dyDescent="0.25"/>
  <cols>
    <col min="1" max="1" width="4.7109375" style="188" customWidth="1"/>
    <col min="2" max="2" width="58.140625" style="188" customWidth="1"/>
    <col min="3" max="3" width="1.85546875" style="188" customWidth="1"/>
    <col min="4" max="4" width="2.5703125" style="188" customWidth="1"/>
    <col min="5" max="5" width="2.42578125" style="188" customWidth="1"/>
    <col min="6" max="6" width="13" style="188" customWidth="1"/>
    <col min="7" max="7" width="9.140625" style="188"/>
    <col min="8" max="8" width="11.42578125" style="188" customWidth="1"/>
    <col min="9" max="9" width="2.42578125" style="188" customWidth="1"/>
    <col min="10" max="10" width="14" style="188" bestFit="1" customWidth="1"/>
    <col min="11" max="11" width="2.5703125" style="188" customWidth="1"/>
    <col min="12" max="18" width="14" style="188" customWidth="1"/>
    <col min="19" max="19" width="2.42578125" style="188" customWidth="1"/>
    <col min="20" max="16384" width="9.140625" style="188"/>
  </cols>
  <sheetData>
    <row r="1" spans="2:21" s="2" customFormat="1" x14ac:dyDescent="0.25"/>
    <row r="2" spans="2:21" s="184" customFormat="1" ht="18" x14ac:dyDescent="0.25">
      <c r="B2" s="184" t="s">
        <v>394</v>
      </c>
    </row>
    <row r="3" spans="2:21" s="2" customFormat="1" ht="12" customHeight="1" x14ac:dyDescent="0.25"/>
    <row r="4" spans="2:21" s="2" customFormat="1" ht="12" customHeight="1" x14ac:dyDescent="0.25">
      <c r="B4" s="1" t="s">
        <v>30</v>
      </c>
      <c r="C4" s="1"/>
      <c r="D4" s="1"/>
    </row>
    <row r="5" spans="2:21" s="2" customFormat="1" ht="12" customHeight="1" x14ac:dyDescent="0.25">
      <c r="B5" s="2" t="s">
        <v>395</v>
      </c>
      <c r="C5" s="1"/>
      <c r="D5" s="1"/>
    </row>
    <row r="6" spans="2:21" s="2" customFormat="1" ht="12" customHeight="1" x14ac:dyDescent="0.25">
      <c r="B6" s="2" t="s">
        <v>396</v>
      </c>
      <c r="H6" s="20"/>
    </row>
    <row r="7" spans="2:21" s="2" customFormat="1" ht="12" customHeight="1" x14ac:dyDescent="0.25">
      <c r="B7" s="2" t="s">
        <v>735</v>
      </c>
      <c r="H7" s="20"/>
    </row>
    <row r="8" spans="2:21" s="2" customFormat="1" ht="12" customHeight="1" x14ac:dyDescent="0.25"/>
    <row r="9" spans="2:21" s="143" customFormat="1" ht="12" customHeight="1" x14ac:dyDescent="0.25">
      <c r="B9" s="143" t="s">
        <v>46</v>
      </c>
      <c r="F9" s="143" t="s">
        <v>28</v>
      </c>
      <c r="H9" s="143" t="s">
        <v>29</v>
      </c>
      <c r="J9" s="143" t="s">
        <v>50</v>
      </c>
      <c r="L9" s="143" t="s">
        <v>89</v>
      </c>
      <c r="M9" s="143" t="s">
        <v>66</v>
      </c>
      <c r="N9" s="143" t="s">
        <v>67</v>
      </c>
      <c r="O9" s="143" t="s">
        <v>68</v>
      </c>
      <c r="P9" s="143" t="s">
        <v>69</v>
      </c>
      <c r="Q9" s="143" t="s">
        <v>70</v>
      </c>
      <c r="S9" s="143" t="s">
        <v>47</v>
      </c>
      <c r="U9" s="143" t="s">
        <v>48</v>
      </c>
    </row>
    <row r="10" spans="2:21" s="2" customFormat="1" ht="12" customHeight="1" x14ac:dyDescent="0.25"/>
    <row r="11" spans="2:21" s="2" customFormat="1" ht="12" customHeight="1" x14ac:dyDescent="0.25"/>
    <row r="12" spans="2:21" s="143" customFormat="1" ht="12" customHeight="1" x14ac:dyDescent="0.25">
      <c r="B12" s="143" t="s">
        <v>409</v>
      </c>
    </row>
    <row r="13" spans="2:21" s="2" customFormat="1" ht="12" customHeight="1" x14ac:dyDescent="0.25">
      <c r="B13" s="173"/>
      <c r="C13" s="173"/>
      <c r="D13" s="173"/>
      <c r="E13" s="173"/>
      <c r="F13" s="173"/>
      <c r="G13" s="173"/>
      <c r="H13" s="173"/>
      <c r="I13" s="173"/>
      <c r="J13" s="173"/>
      <c r="K13" s="173"/>
      <c r="L13" s="173"/>
      <c r="M13" s="173"/>
      <c r="N13" s="173"/>
      <c r="O13" s="173"/>
      <c r="P13" s="102"/>
      <c r="Q13" s="173"/>
      <c r="R13" s="173"/>
      <c r="S13" s="173"/>
      <c r="T13" s="173"/>
      <c r="U13" s="173"/>
    </row>
    <row r="14" spans="2:21" s="2" customFormat="1" ht="12" customHeight="1" x14ac:dyDescent="0.25">
      <c r="B14" s="178" t="s">
        <v>736</v>
      </c>
      <c r="C14" s="173"/>
      <c r="D14" s="173"/>
      <c r="E14" s="173"/>
      <c r="F14" s="173"/>
      <c r="G14" s="173"/>
      <c r="H14" s="173"/>
      <c r="I14" s="173"/>
      <c r="J14" s="173"/>
      <c r="K14" s="173"/>
      <c r="L14" s="102"/>
      <c r="M14" s="102"/>
      <c r="N14" s="102"/>
      <c r="O14" s="173"/>
      <c r="P14" s="102"/>
      <c r="Q14" s="173"/>
      <c r="R14" s="173"/>
      <c r="S14" s="173"/>
      <c r="T14" s="173"/>
      <c r="U14" s="173"/>
    </row>
    <row r="15" spans="2:21" s="2" customFormat="1" ht="12" customHeight="1" x14ac:dyDescent="0.25">
      <c r="B15" s="173" t="s">
        <v>737</v>
      </c>
      <c r="C15" s="173"/>
      <c r="D15" s="173"/>
      <c r="E15" s="173"/>
      <c r="F15" s="173" t="s">
        <v>111</v>
      </c>
      <c r="G15" s="173"/>
      <c r="H15" s="173"/>
      <c r="I15" s="173"/>
      <c r="J15" s="173"/>
      <c r="K15" s="173"/>
      <c r="L15" s="102"/>
      <c r="M15" s="102"/>
      <c r="N15" s="102"/>
      <c r="P15" s="99">
        <v>19934</v>
      </c>
      <c r="Q15" s="173"/>
      <c r="R15" s="173"/>
      <c r="S15" s="173" t="s">
        <v>397</v>
      </c>
      <c r="T15" s="173"/>
      <c r="U15" s="257"/>
    </row>
    <row r="16" spans="2:21" s="2" customFormat="1" ht="12" customHeight="1" x14ac:dyDescent="0.25">
      <c r="B16" s="173" t="s">
        <v>738</v>
      </c>
      <c r="C16" s="173"/>
      <c r="D16" s="173"/>
      <c r="E16" s="173"/>
      <c r="F16" s="173" t="s">
        <v>111</v>
      </c>
      <c r="G16" s="173"/>
      <c r="H16" s="173"/>
      <c r="I16" s="173"/>
      <c r="J16" s="173"/>
      <c r="K16" s="173"/>
      <c r="L16" s="102"/>
      <c r="M16" s="102"/>
      <c r="N16" s="102"/>
      <c r="P16" s="99">
        <v>47737.720171059314</v>
      </c>
      <c r="Q16" s="173"/>
      <c r="R16" s="173"/>
      <c r="S16" s="173" t="s">
        <v>739</v>
      </c>
      <c r="T16" s="173"/>
      <c r="U16" s="257"/>
    </row>
    <row r="17" spans="1:21" s="115" customFormat="1" ht="12" customHeight="1" x14ac:dyDescent="0.25"/>
    <row r="18" spans="1:21" s="2" customFormat="1" ht="12" customHeight="1" x14ac:dyDescent="0.25">
      <c r="B18" s="176" t="s">
        <v>740</v>
      </c>
      <c r="C18" s="173"/>
      <c r="D18" s="173"/>
      <c r="E18" s="173"/>
      <c r="F18" s="173"/>
      <c r="G18" s="173"/>
      <c r="H18" s="173"/>
      <c r="I18" s="173"/>
      <c r="J18" s="173"/>
      <c r="K18" s="173"/>
      <c r="L18" s="102"/>
      <c r="M18" s="102"/>
      <c r="N18" s="102"/>
      <c r="P18" s="186"/>
      <c r="Q18" s="173"/>
      <c r="R18" s="173"/>
      <c r="S18" s="173"/>
      <c r="T18" s="173"/>
      <c r="U18" s="173"/>
    </row>
    <row r="19" spans="1:21" s="2" customFormat="1" ht="12" customHeight="1" x14ac:dyDescent="0.25">
      <c r="B19" s="2" t="s">
        <v>741</v>
      </c>
      <c r="C19" s="173"/>
      <c r="D19" s="173"/>
      <c r="E19" s="173"/>
      <c r="F19" s="173" t="s">
        <v>111</v>
      </c>
      <c r="G19" s="173"/>
      <c r="H19" s="173"/>
      <c r="I19" s="173"/>
      <c r="J19" s="173"/>
      <c r="K19" s="173"/>
      <c r="L19" s="102"/>
      <c r="M19" s="102"/>
      <c r="N19" s="102"/>
      <c r="P19" s="185"/>
      <c r="Q19" s="173"/>
      <c r="R19" s="173"/>
      <c r="S19" s="173" t="s">
        <v>397</v>
      </c>
      <c r="T19" s="173"/>
      <c r="U19" s="173"/>
    </row>
    <row r="20" spans="1:21" s="2" customFormat="1" ht="12" customHeight="1" x14ac:dyDescent="0.25">
      <c r="B20" s="2" t="s">
        <v>742</v>
      </c>
      <c r="C20" s="173"/>
      <c r="D20" s="173"/>
      <c r="E20" s="173"/>
      <c r="F20" s="173" t="s">
        <v>142</v>
      </c>
      <c r="G20" s="173"/>
      <c r="H20" s="173"/>
      <c r="I20" s="173"/>
      <c r="J20" s="173"/>
      <c r="K20" s="173"/>
      <c r="L20" s="102"/>
      <c r="M20" s="102"/>
      <c r="N20" s="102"/>
      <c r="P20" s="185"/>
      <c r="Q20" s="173"/>
      <c r="R20" s="173"/>
      <c r="S20" s="173" t="s">
        <v>739</v>
      </c>
      <c r="T20" s="173"/>
      <c r="U20" s="173"/>
    </row>
    <row r="21" spans="1:21" s="2" customFormat="1" ht="12" customHeight="1" x14ac:dyDescent="0.25">
      <c r="B21" s="173"/>
      <c r="C21" s="173"/>
      <c r="D21" s="173"/>
      <c r="E21" s="173"/>
      <c r="F21" s="173"/>
      <c r="G21" s="173"/>
      <c r="H21" s="173"/>
      <c r="I21" s="173"/>
      <c r="J21" s="173"/>
      <c r="K21" s="173"/>
      <c r="L21" s="102"/>
      <c r="M21" s="102"/>
      <c r="N21" s="102"/>
      <c r="P21" s="186"/>
      <c r="Q21" s="173"/>
      <c r="R21" s="173"/>
      <c r="S21" s="173"/>
      <c r="T21" s="173"/>
      <c r="U21" s="173"/>
    </row>
    <row r="22" spans="1:21" s="2" customFormat="1" ht="12" customHeight="1" x14ac:dyDescent="0.25">
      <c r="B22" s="176" t="s">
        <v>743</v>
      </c>
      <c r="C22" s="173"/>
      <c r="D22" s="173"/>
      <c r="E22" s="173"/>
      <c r="F22" s="173"/>
      <c r="G22" s="173"/>
      <c r="H22" s="173"/>
      <c r="I22" s="173"/>
      <c r="J22" s="173"/>
      <c r="K22" s="173"/>
      <c r="L22" s="102"/>
      <c r="M22" s="102"/>
      <c r="N22" s="102"/>
      <c r="P22" s="186"/>
      <c r="Q22" s="173"/>
      <c r="R22" s="173"/>
      <c r="S22" s="173"/>
      <c r="T22" s="173"/>
      <c r="U22" s="173"/>
    </row>
    <row r="23" spans="1:21" s="2" customFormat="1" ht="12" customHeight="1" x14ac:dyDescent="0.25">
      <c r="B23" s="173" t="s">
        <v>744</v>
      </c>
      <c r="C23" s="173"/>
      <c r="D23" s="173"/>
      <c r="E23" s="173"/>
      <c r="F23" s="173" t="s">
        <v>398</v>
      </c>
      <c r="G23" s="173"/>
      <c r="H23" s="173"/>
      <c r="I23" s="173"/>
      <c r="J23" s="173"/>
      <c r="K23" s="173"/>
      <c r="L23" s="102"/>
      <c r="M23" s="102"/>
      <c r="N23" s="102"/>
      <c r="P23" s="99">
        <v>5</v>
      </c>
      <c r="Q23" s="173"/>
      <c r="R23" s="173"/>
      <c r="S23" s="173" t="s">
        <v>397</v>
      </c>
      <c r="T23" s="173"/>
      <c r="U23" s="173"/>
    </row>
    <row r="24" spans="1:21" s="80" customFormat="1" ht="12" customHeight="1" x14ac:dyDescent="0.25">
      <c r="A24" s="2"/>
      <c r="B24" s="173" t="s">
        <v>745</v>
      </c>
      <c r="C24" s="173"/>
      <c r="D24" s="173"/>
      <c r="E24" s="173"/>
      <c r="F24" s="173" t="s">
        <v>398</v>
      </c>
      <c r="G24" s="173"/>
      <c r="H24" s="173"/>
      <c r="I24" s="173"/>
      <c r="J24" s="173"/>
      <c r="K24" s="173"/>
      <c r="L24" s="102"/>
      <c r="M24" s="102"/>
      <c r="N24" s="102"/>
      <c r="P24" s="185"/>
      <c r="Q24" s="173"/>
      <c r="R24" s="173"/>
      <c r="S24" s="173" t="s">
        <v>739</v>
      </c>
      <c r="T24" s="173"/>
      <c r="U24" s="173"/>
    </row>
    <row r="25" spans="1:21" s="80" customFormat="1" ht="12" customHeight="1" x14ac:dyDescent="0.25">
      <c r="A25" s="2"/>
      <c r="B25" s="173" t="s">
        <v>746</v>
      </c>
      <c r="C25" s="173"/>
      <c r="D25" s="173"/>
      <c r="E25" s="173"/>
      <c r="F25" s="173" t="s">
        <v>398</v>
      </c>
      <c r="G25" s="173"/>
      <c r="H25" s="173"/>
      <c r="I25" s="173"/>
      <c r="J25" s="173"/>
      <c r="K25" s="173"/>
      <c r="L25" s="102"/>
      <c r="M25" s="102"/>
      <c r="N25" s="102"/>
      <c r="P25" s="185"/>
      <c r="Q25" s="173"/>
      <c r="R25" s="173"/>
      <c r="S25" s="173" t="s">
        <v>739</v>
      </c>
      <c r="T25" s="173"/>
      <c r="U25" s="173"/>
    </row>
    <row r="26" spans="1:21" s="80" customFormat="1" ht="12" customHeight="1" x14ac:dyDescent="0.25">
      <c r="A26" s="2"/>
      <c r="B26" s="173"/>
      <c r="C26" s="173"/>
      <c r="D26" s="173"/>
      <c r="E26" s="173"/>
      <c r="F26" s="173"/>
      <c r="G26" s="173"/>
      <c r="H26" s="173"/>
      <c r="I26" s="173"/>
      <c r="J26" s="173"/>
      <c r="K26" s="173"/>
      <c r="L26" s="102"/>
      <c r="M26" s="102"/>
      <c r="N26" s="102"/>
      <c r="P26" s="187"/>
      <c r="Q26" s="173"/>
      <c r="R26" s="173"/>
      <c r="S26" s="173"/>
      <c r="T26" s="173"/>
      <c r="U26" s="173"/>
    </row>
    <row r="27" spans="1:21" s="80" customFormat="1" ht="12" customHeight="1" x14ac:dyDescent="0.25">
      <c r="A27" s="2"/>
      <c r="B27" s="178" t="s">
        <v>399</v>
      </c>
      <c r="C27" s="173"/>
      <c r="D27" s="173"/>
      <c r="E27" s="173"/>
      <c r="F27" s="173"/>
      <c r="G27" s="173"/>
      <c r="H27" s="173"/>
      <c r="I27" s="173"/>
      <c r="J27" s="173"/>
      <c r="K27" s="173"/>
      <c r="L27" s="102"/>
      <c r="M27" s="102"/>
      <c r="N27" s="102"/>
      <c r="P27" s="187"/>
      <c r="Q27" s="173"/>
      <c r="R27" s="173"/>
      <c r="S27" s="173"/>
      <c r="T27" s="173"/>
      <c r="U27" s="173"/>
    </row>
    <row r="28" spans="1:21" s="80" customFormat="1" ht="12" customHeight="1" x14ac:dyDescent="0.25">
      <c r="A28" s="2"/>
      <c r="B28" s="173" t="s">
        <v>747</v>
      </c>
      <c r="C28" s="173"/>
      <c r="D28" s="173"/>
      <c r="E28" s="173"/>
      <c r="F28" s="173" t="s">
        <v>142</v>
      </c>
      <c r="G28" s="173"/>
      <c r="H28" s="173"/>
      <c r="I28" s="173"/>
      <c r="J28" s="173"/>
      <c r="K28" s="173"/>
      <c r="L28" s="102"/>
      <c r="M28" s="102"/>
      <c r="N28" s="102"/>
      <c r="P28" s="185"/>
      <c r="Q28" s="173"/>
      <c r="R28" s="173"/>
      <c r="S28" s="173" t="s">
        <v>739</v>
      </c>
      <c r="T28" s="173"/>
      <c r="U28" s="173"/>
    </row>
    <row r="29" spans="1:21" s="115" customFormat="1" ht="12" customHeight="1" x14ac:dyDescent="0.25">
      <c r="B29" s="173"/>
      <c r="C29" s="173"/>
      <c r="D29" s="173"/>
      <c r="E29" s="173"/>
      <c r="F29" s="173"/>
      <c r="G29" s="173"/>
      <c r="H29" s="173"/>
      <c r="I29" s="173"/>
      <c r="J29" s="173"/>
      <c r="K29" s="173"/>
      <c r="L29" s="102"/>
      <c r="M29" s="102"/>
      <c r="N29" s="102"/>
      <c r="P29" s="189"/>
      <c r="Q29" s="173"/>
      <c r="R29" s="173"/>
      <c r="S29" s="173"/>
      <c r="T29" s="173"/>
      <c r="U29" s="173"/>
    </row>
    <row r="30" spans="1:21" s="115" customFormat="1" ht="12" customHeight="1" x14ac:dyDescent="0.25">
      <c r="B30" s="178" t="s">
        <v>400</v>
      </c>
      <c r="C30" s="173"/>
      <c r="D30" s="173"/>
      <c r="E30" s="173"/>
      <c r="F30" s="173"/>
      <c r="G30" s="173"/>
      <c r="H30" s="173"/>
      <c r="I30" s="173"/>
      <c r="J30" s="173"/>
      <c r="K30" s="173"/>
      <c r="L30" s="102"/>
      <c r="M30" s="102"/>
      <c r="N30" s="102"/>
      <c r="P30" s="186"/>
      <c r="Q30" s="173"/>
      <c r="R30" s="173"/>
      <c r="S30" s="173"/>
      <c r="T30" s="173"/>
      <c r="U30" s="173"/>
    </row>
    <row r="31" spans="1:21" s="115" customFormat="1" ht="12" customHeight="1" x14ac:dyDescent="0.25">
      <c r="B31" s="173" t="s">
        <v>748</v>
      </c>
      <c r="C31" s="173"/>
      <c r="D31" s="173"/>
      <c r="E31" s="173"/>
      <c r="F31" s="173" t="s">
        <v>142</v>
      </c>
      <c r="G31" s="173"/>
      <c r="H31" s="173"/>
      <c r="I31" s="173"/>
      <c r="J31" s="173"/>
      <c r="K31" s="173"/>
      <c r="L31" s="102"/>
      <c r="M31" s="102"/>
      <c r="N31" s="102"/>
      <c r="P31" s="99">
        <v>32266.227499999997</v>
      </c>
      <c r="Q31" s="173"/>
      <c r="R31" s="173"/>
      <c r="S31" s="173" t="s">
        <v>739</v>
      </c>
      <c r="T31" s="173"/>
      <c r="U31" s="173"/>
    </row>
    <row r="32" spans="1:21" ht="12" customHeight="1" x14ac:dyDescent="0.25">
      <c r="B32" s="173"/>
      <c r="C32" s="173"/>
      <c r="D32" s="173"/>
      <c r="E32" s="173"/>
      <c r="F32" s="173"/>
      <c r="G32" s="173"/>
      <c r="H32" s="173"/>
      <c r="I32" s="173"/>
      <c r="J32" s="173"/>
      <c r="K32" s="173"/>
      <c r="L32" s="102"/>
      <c r="M32" s="102"/>
      <c r="N32" s="102"/>
      <c r="P32" s="186"/>
      <c r="Q32" s="173"/>
      <c r="R32" s="173"/>
      <c r="S32" s="173"/>
      <c r="T32" s="173"/>
      <c r="U32" s="173"/>
    </row>
    <row r="33" spans="1:21" s="143" customFormat="1" ht="12" customHeight="1" x14ac:dyDescent="0.25">
      <c r="B33" s="143" t="s">
        <v>410</v>
      </c>
    </row>
    <row r="34" spans="1:21" s="2" customFormat="1" ht="12" customHeight="1" x14ac:dyDescent="0.25">
      <c r="B34" s="173"/>
      <c r="C34" s="173"/>
      <c r="D34" s="173"/>
      <c r="E34" s="173"/>
      <c r="F34" s="173"/>
      <c r="G34" s="173"/>
      <c r="H34" s="173"/>
      <c r="I34" s="173"/>
      <c r="J34" s="173"/>
      <c r="K34" s="173"/>
      <c r="L34" s="173"/>
      <c r="M34" s="173"/>
      <c r="N34" s="173"/>
      <c r="O34" s="173"/>
      <c r="P34" s="102"/>
      <c r="Q34" s="173"/>
      <c r="R34" s="173"/>
      <c r="S34" s="173"/>
      <c r="T34" s="173"/>
      <c r="U34" s="173"/>
    </row>
    <row r="35" spans="1:21" s="2" customFormat="1" ht="12" customHeight="1" x14ac:dyDescent="0.25">
      <c r="B35" s="178" t="s">
        <v>736</v>
      </c>
      <c r="C35" s="173"/>
      <c r="D35" s="173"/>
      <c r="E35" s="173"/>
      <c r="F35" s="173"/>
      <c r="G35" s="173"/>
      <c r="H35" s="173"/>
      <c r="I35" s="173"/>
      <c r="J35" s="173"/>
      <c r="K35" s="173"/>
      <c r="L35" s="102"/>
      <c r="M35" s="102"/>
      <c r="N35" s="102"/>
      <c r="O35" s="173"/>
      <c r="P35" s="102"/>
      <c r="Q35" s="173"/>
      <c r="R35" s="173"/>
      <c r="S35" s="173"/>
      <c r="T35" s="173"/>
      <c r="U35" s="173"/>
    </row>
    <row r="36" spans="1:21" s="2" customFormat="1" ht="12" customHeight="1" x14ac:dyDescent="0.25">
      <c r="B36" s="173" t="s">
        <v>737</v>
      </c>
      <c r="C36" s="173"/>
      <c r="D36" s="173"/>
      <c r="E36" s="173"/>
      <c r="F36" s="173" t="s">
        <v>111</v>
      </c>
      <c r="G36" s="173"/>
      <c r="H36" s="173"/>
      <c r="I36" s="173"/>
      <c r="J36" s="173"/>
      <c r="K36" s="173"/>
      <c r="L36" s="102"/>
      <c r="M36" s="102"/>
      <c r="N36" s="102"/>
      <c r="P36" s="99">
        <v>8616</v>
      </c>
      <c r="Q36" s="173"/>
      <c r="R36" s="173"/>
      <c r="S36" s="173" t="s">
        <v>397</v>
      </c>
      <c r="T36" s="173"/>
      <c r="U36" s="257"/>
    </row>
    <row r="37" spans="1:21" s="2" customFormat="1" ht="12" customHeight="1" x14ac:dyDescent="0.25">
      <c r="B37" s="173" t="s">
        <v>738</v>
      </c>
      <c r="C37" s="173"/>
      <c r="D37" s="173"/>
      <c r="E37" s="173"/>
      <c r="F37" s="173" t="s">
        <v>111</v>
      </c>
      <c r="G37" s="173"/>
      <c r="H37" s="173"/>
      <c r="I37" s="173"/>
      <c r="J37" s="173"/>
      <c r="K37" s="173"/>
      <c r="L37" s="102"/>
      <c r="M37" s="102"/>
      <c r="N37" s="102"/>
      <c r="P37" s="99">
        <v>20633.500401015703</v>
      </c>
      <c r="Q37" s="173"/>
      <c r="R37" s="173"/>
      <c r="S37" s="173" t="s">
        <v>739</v>
      </c>
      <c r="T37" s="173"/>
      <c r="U37" s="257"/>
    </row>
    <row r="38" spans="1:21" s="115" customFormat="1" ht="12" customHeight="1" x14ac:dyDescent="0.25"/>
    <row r="39" spans="1:21" s="2" customFormat="1" ht="12" customHeight="1" x14ac:dyDescent="0.25">
      <c r="B39" s="176" t="s">
        <v>740</v>
      </c>
      <c r="C39" s="173"/>
      <c r="D39" s="173"/>
      <c r="E39" s="173"/>
      <c r="F39" s="173"/>
      <c r="G39" s="173"/>
      <c r="H39" s="173"/>
      <c r="I39" s="173"/>
      <c r="J39" s="173"/>
      <c r="K39" s="173"/>
      <c r="L39" s="102"/>
      <c r="M39" s="102"/>
      <c r="N39" s="102"/>
      <c r="P39" s="186"/>
      <c r="Q39" s="173"/>
      <c r="R39" s="173"/>
      <c r="S39" s="173"/>
      <c r="T39" s="173"/>
      <c r="U39" s="173"/>
    </row>
    <row r="40" spans="1:21" s="2" customFormat="1" ht="12" customHeight="1" x14ac:dyDescent="0.25">
      <c r="B40" s="2" t="s">
        <v>741</v>
      </c>
      <c r="C40" s="173"/>
      <c r="D40" s="173"/>
      <c r="E40" s="173"/>
      <c r="F40" s="173" t="s">
        <v>111</v>
      </c>
      <c r="G40" s="173"/>
      <c r="H40" s="173"/>
      <c r="I40" s="173"/>
      <c r="J40" s="173"/>
      <c r="K40" s="173"/>
      <c r="L40" s="102"/>
      <c r="M40" s="102"/>
      <c r="N40" s="102"/>
      <c r="P40" s="185"/>
      <c r="Q40" s="173"/>
      <c r="R40" s="173"/>
      <c r="S40" s="173" t="s">
        <v>397</v>
      </c>
      <c r="T40" s="173"/>
      <c r="U40" s="173"/>
    </row>
    <row r="41" spans="1:21" s="2" customFormat="1" ht="12" customHeight="1" x14ac:dyDescent="0.25">
      <c r="B41" s="2" t="s">
        <v>742</v>
      </c>
      <c r="C41" s="173"/>
      <c r="D41" s="173"/>
      <c r="E41" s="173"/>
      <c r="F41" s="173" t="s">
        <v>142</v>
      </c>
      <c r="G41" s="173"/>
      <c r="H41" s="173"/>
      <c r="I41" s="173"/>
      <c r="J41" s="173"/>
      <c r="K41" s="173"/>
      <c r="L41" s="102"/>
      <c r="M41" s="102"/>
      <c r="N41" s="102"/>
      <c r="P41" s="185"/>
      <c r="Q41" s="173"/>
      <c r="R41" s="173"/>
      <c r="S41" s="173" t="s">
        <v>739</v>
      </c>
      <c r="T41" s="173"/>
      <c r="U41" s="173"/>
    </row>
    <row r="42" spans="1:21" s="2" customFormat="1" ht="12" customHeight="1" x14ac:dyDescent="0.25">
      <c r="B42" s="173"/>
      <c r="C42" s="173"/>
      <c r="D42" s="173"/>
      <c r="E42" s="173"/>
      <c r="F42" s="173"/>
      <c r="G42" s="173"/>
      <c r="H42" s="173"/>
      <c r="I42" s="173"/>
      <c r="J42" s="173"/>
      <c r="K42" s="173"/>
      <c r="L42" s="102"/>
      <c r="M42" s="102"/>
      <c r="N42" s="102"/>
      <c r="P42" s="186"/>
      <c r="Q42" s="173"/>
      <c r="R42" s="173"/>
      <c r="S42" s="173"/>
      <c r="T42" s="173"/>
      <c r="U42" s="173"/>
    </row>
    <row r="43" spans="1:21" s="2" customFormat="1" ht="12" customHeight="1" x14ac:dyDescent="0.25">
      <c r="B43" s="176" t="s">
        <v>743</v>
      </c>
      <c r="C43" s="173"/>
      <c r="D43" s="173"/>
      <c r="E43" s="173"/>
      <c r="F43" s="173"/>
      <c r="G43" s="173"/>
      <c r="H43" s="173"/>
      <c r="I43" s="173"/>
      <c r="J43" s="173"/>
      <c r="K43" s="173"/>
      <c r="L43" s="102"/>
      <c r="M43" s="102"/>
      <c r="N43" s="102"/>
      <c r="P43" s="186"/>
      <c r="Q43" s="173"/>
      <c r="R43" s="173"/>
      <c r="S43" s="173"/>
      <c r="T43" s="173"/>
      <c r="U43" s="173"/>
    </row>
    <row r="44" spans="1:21" s="80" customFormat="1" ht="12" customHeight="1" x14ac:dyDescent="0.25">
      <c r="A44" s="2"/>
      <c r="B44" s="173" t="s">
        <v>744</v>
      </c>
      <c r="C44" s="173"/>
      <c r="D44" s="173"/>
      <c r="E44" s="173"/>
      <c r="F44" s="173" t="s">
        <v>398</v>
      </c>
      <c r="G44" s="173"/>
      <c r="H44" s="173"/>
      <c r="I44" s="173"/>
      <c r="J44" s="173"/>
      <c r="K44" s="173"/>
      <c r="L44" s="102"/>
      <c r="M44" s="102"/>
      <c r="N44" s="102"/>
      <c r="O44" s="2"/>
      <c r="P44" s="99">
        <v>5</v>
      </c>
      <c r="Q44" s="173"/>
      <c r="R44" s="173"/>
      <c r="S44" s="173" t="s">
        <v>397</v>
      </c>
      <c r="T44" s="173"/>
      <c r="U44" s="173"/>
    </row>
    <row r="45" spans="1:21" s="80" customFormat="1" ht="12" customHeight="1" x14ac:dyDescent="0.25">
      <c r="A45" s="2"/>
      <c r="B45" s="173" t="s">
        <v>745</v>
      </c>
      <c r="C45" s="173"/>
      <c r="D45" s="173"/>
      <c r="E45" s="173"/>
      <c r="F45" s="173" t="s">
        <v>398</v>
      </c>
      <c r="G45" s="173"/>
      <c r="H45" s="173"/>
      <c r="I45" s="173"/>
      <c r="J45" s="173"/>
      <c r="K45" s="173"/>
      <c r="L45" s="102"/>
      <c r="M45" s="102"/>
      <c r="N45" s="102"/>
      <c r="P45" s="185"/>
      <c r="Q45" s="173"/>
      <c r="R45" s="173"/>
      <c r="S45" s="173" t="s">
        <v>739</v>
      </c>
      <c r="T45" s="173"/>
      <c r="U45" s="173"/>
    </row>
    <row r="46" spans="1:21" s="80" customFormat="1" ht="12" customHeight="1" x14ac:dyDescent="0.25">
      <c r="A46" s="2"/>
      <c r="B46" s="173" t="s">
        <v>746</v>
      </c>
      <c r="C46" s="173"/>
      <c r="D46" s="173"/>
      <c r="E46" s="173"/>
      <c r="F46" s="173" t="s">
        <v>398</v>
      </c>
      <c r="G46" s="173"/>
      <c r="H46" s="173"/>
      <c r="I46" s="173"/>
      <c r="J46" s="173"/>
      <c r="K46" s="173"/>
      <c r="L46" s="102"/>
      <c r="M46" s="102"/>
      <c r="N46" s="102"/>
      <c r="P46" s="185"/>
      <c r="Q46" s="173"/>
      <c r="R46" s="173"/>
      <c r="S46" s="173" t="s">
        <v>739</v>
      </c>
      <c r="T46" s="173"/>
      <c r="U46" s="173"/>
    </row>
    <row r="47" spans="1:21" s="80" customFormat="1" ht="12" customHeight="1" x14ac:dyDescent="0.25">
      <c r="A47" s="2"/>
      <c r="B47" s="173"/>
      <c r="C47" s="173"/>
      <c r="D47" s="173"/>
      <c r="E47" s="173"/>
      <c r="F47" s="173"/>
      <c r="G47" s="173"/>
      <c r="H47" s="173"/>
      <c r="I47" s="173"/>
      <c r="J47" s="173"/>
      <c r="K47" s="173"/>
      <c r="L47" s="102"/>
      <c r="M47" s="102"/>
      <c r="N47" s="102"/>
      <c r="P47" s="187"/>
      <c r="Q47" s="173"/>
      <c r="R47" s="173"/>
      <c r="S47" s="173"/>
      <c r="T47" s="173"/>
      <c r="U47" s="173"/>
    </row>
    <row r="48" spans="1:21" s="80" customFormat="1" ht="12" customHeight="1" x14ac:dyDescent="0.25">
      <c r="A48" s="2"/>
      <c r="B48" s="178" t="s">
        <v>399</v>
      </c>
      <c r="C48" s="173"/>
      <c r="D48" s="173"/>
      <c r="E48" s="173"/>
      <c r="F48" s="173"/>
      <c r="G48" s="173"/>
      <c r="H48" s="173"/>
      <c r="I48" s="173"/>
      <c r="J48" s="173"/>
      <c r="K48" s="173"/>
      <c r="L48" s="102"/>
      <c r="M48" s="102"/>
      <c r="N48" s="102"/>
      <c r="P48" s="187"/>
      <c r="Q48" s="173"/>
      <c r="R48" s="173"/>
      <c r="S48" s="173"/>
      <c r="T48" s="173"/>
      <c r="U48" s="173"/>
    </row>
    <row r="49" spans="1:21" s="80" customFormat="1" ht="12" customHeight="1" x14ac:dyDescent="0.25">
      <c r="A49" s="2"/>
      <c r="B49" s="173" t="s">
        <v>747</v>
      </c>
      <c r="C49" s="173"/>
      <c r="D49" s="173"/>
      <c r="E49" s="173"/>
      <c r="F49" s="173" t="s">
        <v>142</v>
      </c>
      <c r="G49" s="173"/>
      <c r="H49" s="173"/>
      <c r="I49" s="173"/>
      <c r="J49" s="173"/>
      <c r="K49" s="173"/>
      <c r="L49" s="102"/>
      <c r="M49" s="102"/>
      <c r="N49" s="102"/>
      <c r="P49" s="185"/>
      <c r="Q49" s="173"/>
      <c r="R49" s="173"/>
      <c r="S49" s="173" t="s">
        <v>739</v>
      </c>
      <c r="T49" s="173"/>
      <c r="U49" s="173"/>
    </row>
    <row r="50" spans="1:21" s="115" customFormat="1" ht="12" customHeight="1" x14ac:dyDescent="0.25">
      <c r="B50" s="173"/>
      <c r="C50" s="173"/>
      <c r="D50" s="173"/>
      <c r="E50" s="173"/>
      <c r="F50" s="173"/>
      <c r="G50" s="173"/>
      <c r="H50" s="173"/>
      <c r="I50" s="173"/>
      <c r="J50" s="173"/>
      <c r="K50" s="173"/>
      <c r="L50" s="102"/>
      <c r="M50" s="102"/>
      <c r="N50" s="102"/>
      <c r="P50" s="189"/>
      <c r="Q50" s="173"/>
      <c r="R50" s="173"/>
      <c r="S50" s="173"/>
      <c r="T50" s="173"/>
      <c r="U50" s="173"/>
    </row>
    <row r="51" spans="1:21" s="115" customFormat="1" ht="12" customHeight="1" x14ac:dyDescent="0.25">
      <c r="B51" s="178" t="s">
        <v>400</v>
      </c>
      <c r="C51" s="173"/>
      <c r="D51" s="173"/>
      <c r="E51" s="173"/>
      <c r="F51" s="173"/>
      <c r="G51" s="173"/>
      <c r="H51" s="173"/>
      <c r="I51" s="173"/>
      <c r="J51" s="173"/>
      <c r="K51" s="173"/>
      <c r="L51" s="102"/>
      <c r="M51" s="102"/>
      <c r="N51" s="102"/>
      <c r="P51" s="186"/>
      <c r="Q51" s="173"/>
      <c r="R51" s="173"/>
      <c r="S51" s="173"/>
      <c r="T51" s="173"/>
      <c r="U51" s="173"/>
    </row>
    <row r="52" spans="1:21" s="115" customFormat="1" ht="12" customHeight="1" x14ac:dyDescent="0.25">
      <c r="B52" s="173" t="s">
        <v>748</v>
      </c>
      <c r="C52" s="173"/>
      <c r="D52" s="173"/>
      <c r="E52" s="173"/>
      <c r="F52" s="173" t="s">
        <v>142</v>
      </c>
      <c r="G52" s="173"/>
      <c r="H52" s="173"/>
      <c r="I52" s="173"/>
      <c r="J52" s="173"/>
      <c r="K52" s="173"/>
      <c r="L52" s="102"/>
      <c r="M52" s="102"/>
      <c r="N52" s="102"/>
      <c r="P52" s="99">
        <v>7338.851999999999</v>
      </c>
      <c r="Q52" s="173"/>
      <c r="R52" s="173"/>
      <c r="S52" s="173" t="s">
        <v>739</v>
      </c>
      <c r="T52" s="173"/>
      <c r="U52" s="173"/>
    </row>
    <row r="53" spans="1:21" ht="12" customHeight="1" x14ac:dyDescent="0.25">
      <c r="B53" s="173"/>
      <c r="C53" s="173"/>
      <c r="D53" s="173"/>
      <c r="E53" s="173"/>
      <c r="F53" s="173"/>
      <c r="G53" s="173"/>
      <c r="H53" s="173"/>
      <c r="I53" s="173"/>
      <c r="J53" s="173"/>
      <c r="K53" s="173"/>
      <c r="L53" s="102"/>
      <c r="M53" s="102"/>
      <c r="N53" s="102"/>
      <c r="P53" s="186"/>
      <c r="Q53" s="173"/>
      <c r="R53" s="173"/>
      <c r="S53" s="173"/>
      <c r="T53" s="173"/>
      <c r="U53" s="173"/>
    </row>
    <row r="54" spans="1:21" s="143" customFormat="1" ht="12" customHeight="1" x14ac:dyDescent="0.25">
      <c r="B54" s="143" t="s">
        <v>194</v>
      </c>
    </row>
    <row r="55" spans="1:21" s="2" customFormat="1" ht="12" customHeight="1" x14ac:dyDescent="0.25">
      <c r="B55" s="173"/>
      <c r="C55" s="173"/>
      <c r="D55" s="173"/>
      <c r="E55" s="173"/>
      <c r="F55" s="173"/>
      <c r="G55" s="173"/>
      <c r="H55" s="173"/>
      <c r="I55" s="173"/>
      <c r="J55" s="173"/>
      <c r="K55" s="173"/>
      <c r="L55" s="173"/>
      <c r="M55" s="173"/>
      <c r="N55" s="173"/>
      <c r="O55" s="173"/>
      <c r="P55" s="102"/>
      <c r="Q55" s="173"/>
      <c r="R55" s="173"/>
      <c r="S55" s="173"/>
      <c r="T55" s="173"/>
      <c r="U55" s="173"/>
    </row>
    <row r="56" spans="1:21" s="2" customFormat="1" ht="12" customHeight="1" x14ac:dyDescent="0.25">
      <c r="B56" s="176" t="s">
        <v>749</v>
      </c>
      <c r="C56" s="173"/>
      <c r="D56" s="173"/>
      <c r="E56" s="173"/>
      <c r="F56" s="173"/>
      <c r="G56" s="173"/>
      <c r="H56" s="173"/>
      <c r="I56" s="173"/>
      <c r="J56" s="173"/>
      <c r="K56" s="173"/>
      <c r="L56" s="173"/>
      <c r="M56" s="173"/>
      <c r="N56" s="173"/>
      <c r="O56" s="173"/>
      <c r="P56" s="102"/>
      <c r="Q56" s="173"/>
      <c r="R56" s="173"/>
      <c r="S56" s="173"/>
      <c r="T56" s="173"/>
      <c r="U56" s="173"/>
    </row>
    <row r="57" spans="1:21" ht="12" customHeight="1" x14ac:dyDescent="0.25">
      <c r="A57" s="190"/>
      <c r="B57" s="173" t="s">
        <v>413</v>
      </c>
      <c r="C57" s="173"/>
      <c r="D57" s="173"/>
      <c r="E57" s="173"/>
      <c r="F57" s="173" t="s">
        <v>73</v>
      </c>
      <c r="G57" s="173"/>
      <c r="H57" s="191">
        <v>4.5999999999999999E-2</v>
      </c>
      <c r="I57" s="173"/>
      <c r="J57" s="173"/>
      <c r="K57" s="173"/>
      <c r="L57" s="186"/>
      <c r="M57" s="186"/>
      <c r="N57" s="186"/>
      <c r="O57" s="173"/>
      <c r="P57" s="102"/>
      <c r="Q57" s="173"/>
      <c r="R57" s="173"/>
      <c r="S57" s="173" t="s">
        <v>750</v>
      </c>
      <c r="T57" s="173"/>
    </row>
    <row r="58" spans="1:21" ht="12" customHeight="1" x14ac:dyDescent="0.25">
      <c r="B58" s="173" t="s">
        <v>751</v>
      </c>
      <c r="F58" s="173" t="s">
        <v>73</v>
      </c>
      <c r="H58" s="191">
        <v>0.06</v>
      </c>
      <c r="S58" s="173" t="s">
        <v>752</v>
      </c>
    </row>
    <row r="59" spans="1:21" ht="12" customHeight="1"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A1:V179"/>
  <sheetViews>
    <sheetView showGridLines="0" zoomScale="85" zoomScaleNormal="85" workbookViewId="0">
      <pane xSplit="6" ySplit="12" topLeftCell="G13" activePane="bottomRight" state="frozen"/>
      <selection pane="topRight" activeCell="G1" sqref="G1"/>
      <selection pane="bottomLeft" activeCell="A13" sqref="A13"/>
      <selection pane="bottomRight" activeCell="G13" sqref="G13"/>
    </sheetView>
  </sheetViews>
  <sheetFormatPr defaultColWidth="9.140625" defaultRowHeight="12.75" x14ac:dyDescent="0.25"/>
  <cols>
    <col min="1" max="1" width="4" style="2" customWidth="1"/>
    <col min="2" max="2" width="63" style="2" customWidth="1"/>
    <col min="3" max="5" width="4.5703125" style="2" customWidth="1"/>
    <col min="6" max="6" width="13.2851562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3.28515625" style="2" customWidth="1"/>
    <col min="18" max="19" width="2.7109375" style="2" customWidth="1"/>
    <col min="20" max="20" width="17.14062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1" spans="1:22" x14ac:dyDescent="0.25">
      <c r="A1" s="1"/>
    </row>
    <row r="2" spans="1:22" s="19" customFormat="1" ht="18" x14ac:dyDescent="0.25">
      <c r="B2" s="19" t="s">
        <v>450</v>
      </c>
    </row>
    <row r="4" spans="1:22" x14ac:dyDescent="0.25">
      <c r="B4" s="1" t="s">
        <v>30</v>
      </c>
      <c r="C4" s="1"/>
      <c r="D4" s="1"/>
    </row>
    <row r="5" spans="1:22" x14ac:dyDescent="0.2">
      <c r="B5" s="41" t="s">
        <v>451</v>
      </c>
      <c r="L5" s="32"/>
      <c r="M5" s="32"/>
      <c r="N5" s="32"/>
      <c r="O5" s="32"/>
      <c r="P5" s="32"/>
      <c r="Q5" s="32"/>
    </row>
    <row r="6" spans="1:22" x14ac:dyDescent="0.2">
      <c r="B6" s="41"/>
      <c r="L6" s="32"/>
      <c r="M6" s="32"/>
      <c r="N6" s="32"/>
      <c r="O6" s="32"/>
      <c r="P6" s="32"/>
      <c r="Q6" s="32"/>
    </row>
    <row r="7" spans="1:22" x14ac:dyDescent="0.2">
      <c r="B7" s="41" t="s">
        <v>362</v>
      </c>
      <c r="L7" s="32"/>
      <c r="M7" s="32"/>
      <c r="N7" s="32"/>
      <c r="O7" s="32"/>
      <c r="P7" s="32"/>
      <c r="Q7" s="32"/>
    </row>
    <row r="8" spans="1:22" x14ac:dyDescent="0.2">
      <c r="B8" s="41" t="s">
        <v>359</v>
      </c>
      <c r="L8" s="32"/>
      <c r="M8" s="32"/>
      <c r="N8" s="32"/>
      <c r="O8" s="32"/>
      <c r="P8" s="32"/>
      <c r="Q8" s="32"/>
    </row>
    <row r="9" spans="1:22" x14ac:dyDescent="0.2">
      <c r="B9" s="41" t="s">
        <v>304</v>
      </c>
      <c r="L9" s="32"/>
      <c r="M9" s="32"/>
      <c r="N9" s="32"/>
      <c r="O9" s="32"/>
      <c r="P9" s="32"/>
      <c r="Q9" s="32"/>
    </row>
    <row r="11" spans="1:22" s="6" customFormat="1" x14ac:dyDescent="0.25">
      <c r="B11" s="6" t="s">
        <v>46</v>
      </c>
      <c r="F11" s="6" t="s">
        <v>28</v>
      </c>
      <c r="H11" s="6" t="s">
        <v>29</v>
      </c>
      <c r="J11" s="6" t="s">
        <v>50</v>
      </c>
      <c r="L11" s="6" t="s">
        <v>89</v>
      </c>
      <c r="M11" s="6" t="s">
        <v>66</v>
      </c>
      <c r="N11" s="6" t="s">
        <v>67</v>
      </c>
      <c r="O11" s="6" t="s">
        <v>68</v>
      </c>
      <c r="P11" s="6" t="s">
        <v>69</v>
      </c>
      <c r="Q11" s="6" t="s">
        <v>70</v>
      </c>
      <c r="T11" s="6" t="s">
        <v>47</v>
      </c>
      <c r="V11" s="6" t="s">
        <v>48</v>
      </c>
    </row>
    <row r="14" spans="1:22" s="6" customFormat="1" x14ac:dyDescent="0.25">
      <c r="B14" s="6" t="s">
        <v>449</v>
      </c>
    </row>
    <row r="15" spans="1:22" x14ac:dyDescent="0.2">
      <c r="A15" s="123"/>
      <c r="B15" s="123"/>
      <c r="C15" s="123"/>
      <c r="D15" s="123"/>
    </row>
    <row r="16" spans="1:22" x14ac:dyDescent="0.2">
      <c r="A16" s="123"/>
      <c r="B16" s="76" t="s">
        <v>211</v>
      </c>
      <c r="C16" s="123"/>
      <c r="D16" s="123"/>
      <c r="F16" s="76" t="s">
        <v>142</v>
      </c>
      <c r="L16" s="67">
        <v>0</v>
      </c>
      <c r="M16" s="67">
        <v>-579958.86621679948</v>
      </c>
      <c r="N16" s="67">
        <v>0</v>
      </c>
      <c r="O16" s="67">
        <v>0</v>
      </c>
      <c r="P16" s="99">
        <v>-617918.871178</v>
      </c>
      <c r="Q16" s="67">
        <v>19081.599999999999</v>
      </c>
      <c r="T16" s="2" t="s">
        <v>503</v>
      </c>
    </row>
    <row r="17" spans="1:6" x14ac:dyDescent="0.2">
      <c r="A17" s="123"/>
      <c r="B17" s="123"/>
      <c r="C17" s="123"/>
      <c r="D17" s="123"/>
    </row>
    <row r="19" spans="1:6" x14ac:dyDescent="0.2">
      <c r="B19" s="29"/>
      <c r="F19" s="41"/>
    </row>
    <row r="20" spans="1:6" x14ac:dyDescent="0.2">
      <c r="B20" s="29"/>
      <c r="F20" s="41"/>
    </row>
    <row r="21" spans="1:6" x14ac:dyDescent="0.2">
      <c r="B21" s="29"/>
      <c r="F21" s="41"/>
    </row>
    <row r="22" spans="1:6" x14ac:dyDescent="0.2">
      <c r="B22" s="29"/>
      <c r="F22" s="41"/>
    </row>
    <row r="23" spans="1:6" x14ac:dyDescent="0.2">
      <c r="B23" s="29"/>
      <c r="F23" s="41"/>
    </row>
    <row r="24" spans="1:6" x14ac:dyDescent="0.2">
      <c r="B24" s="29"/>
      <c r="F24" s="41"/>
    </row>
    <row r="25" spans="1:6" x14ac:dyDescent="0.2">
      <c r="B25" s="29"/>
      <c r="F25" s="41"/>
    </row>
    <row r="26" spans="1:6" x14ac:dyDescent="0.2">
      <c r="B26" s="29"/>
      <c r="F26" s="41"/>
    </row>
    <row r="27" spans="1:6" x14ac:dyDescent="0.2">
      <c r="B27" s="29"/>
      <c r="F27" s="41"/>
    </row>
    <row r="28" spans="1:6" x14ac:dyDescent="0.2">
      <c r="B28" s="29"/>
      <c r="F28" s="41"/>
    </row>
    <row r="29" spans="1:6" x14ac:dyDescent="0.2">
      <c r="B29" s="29"/>
      <c r="F29" s="41"/>
    </row>
    <row r="30" spans="1:6" x14ac:dyDescent="0.2">
      <c r="B30" s="29"/>
      <c r="F30" s="41"/>
    </row>
    <row r="31" spans="1:6" x14ac:dyDescent="0.2">
      <c r="B31" s="29"/>
      <c r="F31" s="41"/>
    </row>
    <row r="32" spans="1:6" x14ac:dyDescent="0.2">
      <c r="B32" s="29"/>
      <c r="F32" s="41"/>
    </row>
    <row r="33" spans="2:6" x14ac:dyDescent="0.2">
      <c r="B33" s="29"/>
      <c r="F33" s="41"/>
    </row>
    <row r="34" spans="2:6" x14ac:dyDescent="0.2">
      <c r="B34" s="29"/>
      <c r="F34" s="41"/>
    </row>
    <row r="35" spans="2:6" x14ac:dyDescent="0.2">
      <c r="B35" s="29"/>
      <c r="F35" s="41"/>
    </row>
    <row r="36" spans="2:6" x14ac:dyDescent="0.2">
      <c r="B36" s="29"/>
      <c r="F36" s="41"/>
    </row>
    <row r="37" spans="2:6" x14ac:dyDescent="0.2">
      <c r="B37" s="29"/>
      <c r="F37" s="41"/>
    </row>
    <row r="38" spans="2:6" x14ac:dyDescent="0.2">
      <c r="B38" s="29"/>
      <c r="F38" s="41"/>
    </row>
    <row r="39" spans="2:6" x14ac:dyDescent="0.2">
      <c r="B39" s="29"/>
      <c r="F39" s="41"/>
    </row>
    <row r="40" spans="2:6" x14ac:dyDescent="0.2">
      <c r="B40" s="29"/>
      <c r="F40" s="41"/>
    </row>
    <row r="41" spans="2:6" x14ac:dyDescent="0.2">
      <c r="B41" s="29"/>
      <c r="F41" s="41"/>
    </row>
    <row r="42" spans="2:6" x14ac:dyDescent="0.2">
      <c r="B42" s="29"/>
      <c r="F42" s="41"/>
    </row>
    <row r="43" spans="2:6" x14ac:dyDescent="0.2">
      <c r="B43" s="29"/>
      <c r="F43" s="41"/>
    </row>
    <row r="44" spans="2:6" x14ac:dyDescent="0.2">
      <c r="B44" s="29"/>
      <c r="F44" s="41"/>
    </row>
    <row r="45" spans="2:6" x14ac:dyDescent="0.2">
      <c r="B45" s="29"/>
      <c r="F45" s="41"/>
    </row>
    <row r="46" spans="2:6" x14ac:dyDescent="0.2">
      <c r="B46" s="29"/>
      <c r="F46" s="41"/>
    </row>
    <row r="47" spans="2:6" x14ac:dyDescent="0.2">
      <c r="B47" s="29"/>
      <c r="F47" s="41"/>
    </row>
    <row r="48" spans="2:6" x14ac:dyDescent="0.2">
      <c r="B48" s="29"/>
      <c r="F48" s="41"/>
    </row>
    <row r="49" spans="2:20" x14ac:dyDescent="0.2">
      <c r="B49" s="29"/>
      <c r="F49" s="41"/>
    </row>
    <row r="50" spans="2:20" x14ac:dyDescent="0.2">
      <c r="B50" s="29"/>
      <c r="F50" s="41"/>
    </row>
    <row r="51" spans="2:20" x14ac:dyDescent="0.2">
      <c r="B51" s="29"/>
      <c r="F51" s="41"/>
    </row>
    <row r="52" spans="2:20" x14ac:dyDescent="0.2">
      <c r="B52" s="29"/>
      <c r="F52" s="41"/>
    </row>
    <row r="53" spans="2:20" x14ac:dyDescent="0.2">
      <c r="B53" s="41"/>
      <c r="F53" s="41"/>
    </row>
    <row r="54" spans="2:20" ht="15" x14ac:dyDescent="0.25">
      <c r="B54" s="41"/>
      <c r="F54" s="41"/>
      <c r="J54" s="29"/>
      <c r="L54" s="30"/>
      <c r="M54" s="30"/>
      <c r="N54" s="30"/>
      <c r="O54" s="30"/>
      <c r="P54" s="30"/>
      <c r="Q54" s="30"/>
      <c r="T54"/>
    </row>
    <row r="55" spans="2:20" ht="15" x14ac:dyDescent="0.25">
      <c r="B55" s="41"/>
      <c r="F55" s="41"/>
      <c r="J55" s="29"/>
      <c r="L55" s="30"/>
      <c r="M55" s="30"/>
      <c r="N55" s="30"/>
      <c r="O55" s="30"/>
      <c r="P55" s="30"/>
      <c r="Q55" s="30"/>
      <c r="T55"/>
    </row>
    <row r="56" spans="2:20" ht="15" x14ac:dyDescent="0.25">
      <c r="F56" s="29"/>
      <c r="J56" s="29"/>
      <c r="L56" s="30"/>
      <c r="M56" s="30"/>
      <c r="N56" s="30"/>
      <c r="O56" s="30"/>
      <c r="P56" s="30"/>
      <c r="Q56" s="30"/>
      <c r="T56"/>
    </row>
    <row r="57" spans="2:20" ht="15" x14ac:dyDescent="0.25">
      <c r="F57" s="29"/>
      <c r="J57" s="29"/>
      <c r="L57" s="30"/>
      <c r="M57" s="30"/>
      <c r="N57" s="30"/>
      <c r="O57" s="30"/>
      <c r="P57" s="30"/>
      <c r="Q57" s="30"/>
      <c r="T57"/>
    </row>
    <row r="58" spans="2:20" ht="15" x14ac:dyDescent="0.25">
      <c r="F58" s="29"/>
      <c r="J58" s="29"/>
      <c r="L58" s="30"/>
      <c r="M58" s="30"/>
      <c r="N58" s="30"/>
      <c r="O58" s="30"/>
      <c r="P58" s="30"/>
      <c r="Q58" s="30"/>
      <c r="T58"/>
    </row>
    <row r="59" spans="2:20" ht="15" x14ac:dyDescent="0.25">
      <c r="F59" s="29"/>
      <c r="J59" s="29"/>
      <c r="L59" s="30"/>
      <c r="M59" s="30"/>
      <c r="N59" s="30"/>
      <c r="O59" s="30"/>
      <c r="P59" s="30"/>
      <c r="Q59" s="30"/>
      <c r="T59"/>
    </row>
    <row r="60" spans="2:20" x14ac:dyDescent="0.2">
      <c r="F60" s="29"/>
      <c r="J60" s="29"/>
      <c r="L60" s="30"/>
      <c r="M60" s="30"/>
      <c r="N60" s="30"/>
      <c r="O60" s="30"/>
      <c r="P60" s="30"/>
      <c r="Q60" s="30"/>
    </row>
    <row r="61" spans="2:20" x14ac:dyDescent="0.2">
      <c r="B61" s="1"/>
      <c r="F61" s="29"/>
      <c r="J61" s="29"/>
      <c r="L61" s="30"/>
      <c r="M61" s="30"/>
      <c r="N61" s="30"/>
      <c r="O61" s="30"/>
      <c r="P61" s="30"/>
      <c r="Q61" s="30"/>
    </row>
    <row r="62" spans="2:20" ht="15" x14ac:dyDescent="0.25">
      <c r="F62" s="29"/>
      <c r="J62" s="29"/>
      <c r="L62" s="30"/>
      <c r="M62" s="30"/>
      <c r="N62" s="30"/>
      <c r="O62" s="30"/>
      <c r="P62" s="30"/>
      <c r="Q62" s="30"/>
      <c r="T62"/>
    </row>
    <row r="63" spans="2:20" ht="15" x14ac:dyDescent="0.25">
      <c r="F63" s="29"/>
      <c r="J63" s="29"/>
      <c r="L63" s="30"/>
      <c r="M63" s="30"/>
      <c r="N63" s="30"/>
      <c r="O63" s="30"/>
      <c r="P63" s="30"/>
      <c r="Q63" s="30"/>
      <c r="T63"/>
    </row>
    <row r="64" spans="2:20" ht="15" x14ac:dyDescent="0.25">
      <c r="F64" s="29"/>
      <c r="J64" s="29"/>
      <c r="L64" s="30"/>
      <c r="M64" s="30"/>
      <c r="N64" s="30"/>
      <c r="O64" s="30"/>
      <c r="P64" s="30"/>
      <c r="Q64" s="30"/>
      <c r="T64"/>
    </row>
    <row r="65" spans="2:20" ht="15" x14ac:dyDescent="0.25">
      <c r="F65" s="29"/>
      <c r="J65" s="29"/>
      <c r="L65" s="30"/>
      <c r="M65" s="30"/>
      <c r="N65" s="30"/>
      <c r="O65" s="30"/>
      <c r="P65" s="30"/>
      <c r="Q65" s="30"/>
      <c r="T65"/>
    </row>
    <row r="66" spans="2:20" ht="15" x14ac:dyDescent="0.25">
      <c r="F66" s="29"/>
      <c r="J66" s="29"/>
      <c r="L66" s="30"/>
      <c r="M66" s="30"/>
      <c r="N66" s="30"/>
      <c r="O66" s="30"/>
      <c r="P66" s="30"/>
      <c r="Q66" s="30"/>
      <c r="T66"/>
    </row>
    <row r="67" spans="2:20" ht="15" x14ac:dyDescent="0.25">
      <c r="F67" s="29"/>
      <c r="J67" s="29"/>
      <c r="L67" s="30"/>
      <c r="M67" s="30"/>
      <c r="N67" s="30"/>
      <c r="O67" s="30"/>
      <c r="P67" s="30"/>
      <c r="Q67" s="30"/>
      <c r="T67"/>
    </row>
    <row r="68" spans="2:20" x14ac:dyDescent="0.2">
      <c r="F68" s="29"/>
      <c r="J68" s="29"/>
      <c r="L68" s="30"/>
      <c r="M68" s="30"/>
      <c r="N68" s="30"/>
      <c r="O68" s="30"/>
      <c r="P68" s="30"/>
      <c r="Q68" s="30"/>
    </row>
    <row r="69" spans="2:20" x14ac:dyDescent="0.2">
      <c r="B69" s="1"/>
      <c r="F69" s="29"/>
      <c r="J69" s="29"/>
      <c r="L69" s="30"/>
      <c r="M69" s="30"/>
      <c r="N69" s="30"/>
      <c r="O69" s="30"/>
      <c r="P69" s="30"/>
      <c r="Q69" s="30"/>
    </row>
    <row r="70" spans="2:20" x14ac:dyDescent="0.2">
      <c r="F70" s="29"/>
      <c r="J70" s="29"/>
      <c r="L70" s="30"/>
      <c r="M70" s="30"/>
      <c r="N70" s="30"/>
      <c r="O70" s="30"/>
      <c r="P70" s="30"/>
      <c r="Q70" s="30"/>
    </row>
    <row r="71" spans="2:20" ht="15" x14ac:dyDescent="0.25">
      <c r="B71" s="1"/>
      <c r="F71" s="29"/>
      <c r="J71"/>
      <c r="L71"/>
      <c r="M71"/>
      <c r="N71"/>
      <c r="O71"/>
      <c r="P71"/>
      <c r="Q71"/>
    </row>
    <row r="72" spans="2:20" ht="15" x14ac:dyDescent="0.25">
      <c r="F72" s="29"/>
      <c r="J72" s="29"/>
      <c r="L72" s="30"/>
      <c r="M72" s="30"/>
      <c r="N72" s="30"/>
      <c r="O72" s="30"/>
      <c r="P72" s="30"/>
      <c r="Q72" s="30"/>
      <c r="T72"/>
    </row>
    <row r="73" spans="2:20" ht="15" x14ac:dyDescent="0.25">
      <c r="F73" s="29"/>
      <c r="J73" s="29"/>
      <c r="L73" s="30"/>
      <c r="M73" s="30"/>
      <c r="N73" s="30"/>
      <c r="O73" s="30"/>
      <c r="P73" s="30"/>
      <c r="Q73" s="30"/>
      <c r="T73"/>
    </row>
    <row r="74" spans="2:20" ht="15" x14ac:dyDescent="0.25">
      <c r="F74" s="29"/>
      <c r="J74" s="29"/>
      <c r="L74" s="30"/>
      <c r="M74" s="30"/>
      <c r="N74" s="30"/>
      <c r="O74" s="30"/>
      <c r="P74" s="30"/>
      <c r="Q74" s="30"/>
      <c r="T74"/>
    </row>
    <row r="75" spans="2:20" ht="15" x14ac:dyDescent="0.25">
      <c r="F75" s="29"/>
      <c r="J75" s="29"/>
      <c r="L75" s="30"/>
      <c r="M75" s="30"/>
      <c r="N75" s="30"/>
      <c r="O75" s="30"/>
      <c r="P75" s="30"/>
      <c r="Q75" s="30"/>
      <c r="T75"/>
    </row>
    <row r="76" spans="2:20" x14ac:dyDescent="0.2">
      <c r="F76" s="29"/>
      <c r="J76" s="29"/>
      <c r="L76" s="30"/>
      <c r="M76" s="30"/>
      <c r="N76" s="30"/>
      <c r="O76" s="30"/>
      <c r="P76" s="30"/>
      <c r="Q76" s="30"/>
    </row>
    <row r="77" spans="2:20" x14ac:dyDescent="0.2">
      <c r="B77" s="1"/>
      <c r="F77" s="29"/>
      <c r="J77" s="29"/>
      <c r="L77" s="30"/>
      <c r="M77" s="30"/>
      <c r="N77" s="30"/>
      <c r="O77" s="30"/>
      <c r="P77" s="30"/>
      <c r="Q77" s="30"/>
    </row>
    <row r="78" spans="2:20" x14ac:dyDescent="0.2">
      <c r="F78" s="29"/>
      <c r="J78" s="29"/>
      <c r="L78" s="30"/>
      <c r="M78" s="30"/>
      <c r="N78" s="30"/>
      <c r="O78" s="30"/>
      <c r="P78" s="30"/>
      <c r="Q78" s="30"/>
    </row>
    <row r="79" spans="2:20" x14ac:dyDescent="0.2">
      <c r="B79" s="1"/>
      <c r="F79" s="29"/>
      <c r="J79" s="29"/>
      <c r="L79" s="30"/>
      <c r="M79" s="30"/>
      <c r="N79" s="30"/>
      <c r="O79" s="30"/>
      <c r="P79" s="30"/>
      <c r="Q79" s="30"/>
    </row>
    <row r="80" spans="2:20" ht="15" x14ac:dyDescent="0.25">
      <c r="F80" s="29"/>
      <c r="J80" s="29"/>
      <c r="L80" s="30"/>
      <c r="M80" s="30"/>
      <c r="N80" s="30"/>
      <c r="O80" s="30"/>
      <c r="P80" s="30"/>
      <c r="Q80" s="30"/>
      <c r="T80"/>
    </row>
    <row r="81" spans="2:20" ht="15" x14ac:dyDescent="0.25">
      <c r="F81" s="29"/>
      <c r="J81" s="29"/>
      <c r="L81" s="30"/>
      <c r="M81" s="30"/>
      <c r="N81" s="30"/>
      <c r="O81" s="30"/>
      <c r="P81" s="30"/>
      <c r="Q81" s="30"/>
      <c r="T81"/>
    </row>
    <row r="82" spans="2:20" ht="15" x14ac:dyDescent="0.25">
      <c r="F82" s="29"/>
      <c r="J82" s="29"/>
      <c r="L82" s="30"/>
      <c r="M82" s="30"/>
      <c r="N82" s="30"/>
      <c r="O82" s="30"/>
      <c r="P82" s="30"/>
      <c r="Q82" s="30"/>
      <c r="T82"/>
    </row>
    <row r="83" spans="2:20" ht="15" x14ac:dyDescent="0.25">
      <c r="F83" s="29"/>
      <c r="J83" s="29"/>
      <c r="L83" s="30"/>
      <c r="M83" s="30"/>
      <c r="N83" s="30"/>
      <c r="O83" s="30"/>
      <c r="P83" s="30"/>
      <c r="Q83" s="30"/>
      <c r="T83"/>
    </row>
    <row r="84" spans="2:20" x14ac:dyDescent="0.25">
      <c r="J84" s="38"/>
    </row>
    <row r="85" spans="2:20" s="42" customFormat="1" x14ac:dyDescent="0.25"/>
    <row r="87" spans="2:20" x14ac:dyDescent="0.25">
      <c r="B87" s="1"/>
    </row>
    <row r="89" spans="2:20" x14ac:dyDescent="0.25">
      <c r="B89" s="1"/>
      <c r="J89" s="38"/>
    </row>
    <row r="90" spans="2:20" ht="15" x14ac:dyDescent="0.25">
      <c r="F90" s="29"/>
      <c r="J90" s="29"/>
      <c r="L90" s="30"/>
      <c r="M90" s="30"/>
      <c r="N90" s="30"/>
      <c r="O90" s="30"/>
      <c r="P90" s="30"/>
      <c r="Q90" s="30"/>
      <c r="T90"/>
    </row>
    <row r="91" spans="2:20" ht="15" x14ac:dyDescent="0.25">
      <c r="F91" s="29"/>
      <c r="J91" s="29"/>
      <c r="L91" s="30"/>
      <c r="M91" s="30"/>
      <c r="N91" s="30"/>
      <c r="O91" s="30"/>
      <c r="P91" s="30"/>
      <c r="Q91" s="30"/>
      <c r="T91"/>
    </row>
    <row r="92" spans="2:20" ht="15" x14ac:dyDescent="0.25">
      <c r="F92" s="29"/>
      <c r="J92" s="29"/>
      <c r="L92" s="30"/>
      <c r="M92" s="30"/>
      <c r="N92" s="30"/>
      <c r="O92" s="30"/>
      <c r="P92" s="30"/>
      <c r="Q92" s="30"/>
      <c r="T92"/>
    </row>
    <row r="93" spans="2:20" ht="15" x14ac:dyDescent="0.25">
      <c r="F93" s="29"/>
      <c r="J93" s="29"/>
      <c r="L93" s="30"/>
      <c r="M93" s="30"/>
      <c r="N93" s="30"/>
      <c r="O93" s="30"/>
      <c r="P93" s="30"/>
      <c r="Q93" s="30"/>
      <c r="T93"/>
    </row>
    <row r="94" spans="2:20" ht="15" x14ac:dyDescent="0.25">
      <c r="F94" s="29"/>
      <c r="J94" s="29"/>
      <c r="L94" s="30"/>
      <c r="M94" s="30"/>
      <c r="N94" s="30"/>
      <c r="O94" s="30"/>
      <c r="P94" s="30"/>
      <c r="Q94" s="30"/>
      <c r="T94"/>
    </row>
    <row r="95" spans="2:20" ht="15" x14ac:dyDescent="0.25">
      <c r="F95" s="29"/>
      <c r="J95" s="29"/>
      <c r="L95" s="30"/>
      <c r="M95" s="30"/>
      <c r="N95" s="30"/>
      <c r="O95" s="30"/>
      <c r="P95" s="30"/>
      <c r="Q95" s="30"/>
      <c r="T95"/>
    </row>
    <row r="96" spans="2:20" x14ac:dyDescent="0.2">
      <c r="F96" s="29"/>
      <c r="J96" s="29"/>
      <c r="L96" s="30"/>
      <c r="M96" s="30"/>
      <c r="N96" s="30"/>
      <c r="O96" s="30"/>
      <c r="P96" s="30"/>
      <c r="Q96" s="30"/>
    </row>
    <row r="97" spans="2:20" x14ac:dyDescent="0.2">
      <c r="B97" s="1"/>
      <c r="F97" s="29"/>
      <c r="J97" s="29"/>
      <c r="L97" s="30"/>
      <c r="M97" s="30"/>
      <c r="N97" s="30"/>
      <c r="O97" s="30"/>
      <c r="P97" s="30"/>
      <c r="Q97" s="30"/>
    </row>
    <row r="98" spans="2:20" ht="15" x14ac:dyDescent="0.25">
      <c r="F98" s="29"/>
      <c r="J98" s="29"/>
      <c r="L98" s="30"/>
      <c r="M98" s="30"/>
      <c r="N98" s="30"/>
      <c r="O98" s="30"/>
      <c r="P98" s="30"/>
      <c r="Q98" s="30"/>
      <c r="T98"/>
    </row>
    <row r="99" spans="2:20" ht="15" x14ac:dyDescent="0.25">
      <c r="F99" s="29"/>
      <c r="J99" s="29"/>
      <c r="L99" s="30"/>
      <c r="M99" s="30"/>
      <c r="N99" s="30"/>
      <c r="O99" s="30"/>
      <c r="P99" s="30"/>
      <c r="Q99" s="30"/>
      <c r="T99"/>
    </row>
    <row r="100" spans="2:20" ht="15" x14ac:dyDescent="0.25">
      <c r="F100" s="29"/>
      <c r="J100" s="29"/>
      <c r="L100" s="30"/>
      <c r="M100" s="30"/>
      <c r="N100" s="30"/>
      <c r="O100" s="30"/>
      <c r="P100" s="30"/>
      <c r="Q100" s="30"/>
      <c r="T100"/>
    </row>
    <row r="101" spans="2:20" ht="15" x14ac:dyDescent="0.25">
      <c r="F101" s="29"/>
      <c r="J101" s="29"/>
      <c r="L101" s="30"/>
      <c r="M101" s="30"/>
      <c r="N101" s="30"/>
      <c r="O101" s="30"/>
      <c r="P101" s="30"/>
      <c r="Q101" s="30"/>
      <c r="T101"/>
    </row>
    <row r="102" spans="2:20" ht="15" x14ac:dyDescent="0.25">
      <c r="F102" s="29"/>
      <c r="J102" s="29"/>
      <c r="L102" s="30"/>
      <c r="M102" s="30"/>
      <c r="N102" s="30"/>
      <c r="O102" s="30"/>
      <c r="P102" s="30"/>
      <c r="Q102" s="30"/>
      <c r="T102"/>
    </row>
    <row r="103" spans="2:20" ht="15" x14ac:dyDescent="0.25">
      <c r="F103" s="29"/>
      <c r="J103" s="29"/>
      <c r="L103" s="30"/>
      <c r="M103" s="30"/>
      <c r="N103" s="30"/>
      <c r="O103" s="30"/>
      <c r="P103" s="30"/>
      <c r="Q103" s="30"/>
      <c r="T103"/>
    </row>
    <row r="104" spans="2:20" x14ac:dyDescent="0.2">
      <c r="F104" s="29"/>
      <c r="J104" s="29"/>
      <c r="L104" s="30"/>
      <c r="M104" s="30"/>
      <c r="N104" s="30"/>
      <c r="O104" s="30"/>
      <c r="P104" s="30"/>
      <c r="Q104" s="30"/>
    </row>
    <row r="105" spans="2:20" x14ac:dyDescent="0.2">
      <c r="B105" s="1"/>
      <c r="F105" s="29"/>
      <c r="J105" s="29"/>
      <c r="L105" s="30"/>
      <c r="M105" s="30"/>
      <c r="N105" s="30"/>
      <c r="O105" s="30"/>
      <c r="P105" s="30"/>
      <c r="Q105" s="30"/>
    </row>
    <row r="106" spans="2:20" x14ac:dyDescent="0.2">
      <c r="F106" s="29"/>
      <c r="J106" s="29"/>
      <c r="L106" s="30"/>
      <c r="M106" s="30"/>
      <c r="N106" s="30"/>
      <c r="O106" s="30"/>
      <c r="P106" s="30"/>
      <c r="Q106" s="30"/>
    </row>
    <row r="107" spans="2:20" ht="15" x14ac:dyDescent="0.25">
      <c r="B107" s="1"/>
      <c r="F107" s="29"/>
      <c r="J107"/>
      <c r="L107"/>
      <c r="M107"/>
      <c r="N107"/>
      <c r="O107"/>
      <c r="P107"/>
      <c r="Q107"/>
    </row>
    <row r="108" spans="2:20" ht="15" x14ac:dyDescent="0.25">
      <c r="F108" s="29"/>
      <c r="J108" s="29"/>
      <c r="L108" s="30"/>
      <c r="M108" s="30"/>
      <c r="N108" s="30"/>
      <c r="O108" s="30"/>
      <c r="P108" s="30"/>
      <c r="Q108" s="30"/>
      <c r="T108"/>
    </row>
    <row r="109" spans="2:20" ht="15" x14ac:dyDescent="0.25">
      <c r="F109" s="29"/>
      <c r="J109" s="29"/>
      <c r="L109" s="30"/>
      <c r="M109" s="30"/>
      <c r="N109" s="30"/>
      <c r="O109" s="30"/>
      <c r="P109" s="30"/>
      <c r="Q109" s="30"/>
      <c r="T109"/>
    </row>
    <row r="110" spans="2:20" ht="15" x14ac:dyDescent="0.25">
      <c r="F110" s="29"/>
      <c r="J110" s="29"/>
      <c r="L110" s="30"/>
      <c r="M110" s="30"/>
      <c r="N110" s="30"/>
      <c r="O110" s="30"/>
      <c r="P110" s="30"/>
      <c r="Q110" s="30"/>
      <c r="T110"/>
    </row>
    <row r="111" spans="2:20" ht="15" x14ac:dyDescent="0.25">
      <c r="F111" s="29"/>
      <c r="J111" s="29"/>
      <c r="L111" s="30"/>
      <c r="M111" s="30"/>
      <c r="N111" s="30"/>
      <c r="O111" s="30"/>
      <c r="P111" s="30"/>
      <c r="Q111" s="30"/>
      <c r="T111"/>
    </row>
    <row r="112" spans="2:20" x14ac:dyDescent="0.2">
      <c r="F112" s="29"/>
      <c r="J112" s="29"/>
      <c r="L112" s="30"/>
      <c r="M112" s="30"/>
      <c r="N112" s="30"/>
      <c r="O112" s="30"/>
      <c r="P112" s="30"/>
      <c r="Q112" s="30"/>
    </row>
    <row r="113" spans="1:20" x14ac:dyDescent="0.2">
      <c r="B113" s="1"/>
      <c r="F113" s="29"/>
      <c r="J113" s="29"/>
      <c r="L113" s="30"/>
      <c r="M113" s="30"/>
      <c r="N113" s="30"/>
      <c r="O113" s="30"/>
      <c r="P113" s="30"/>
      <c r="Q113" s="30"/>
    </row>
    <row r="114" spans="1:20" x14ac:dyDescent="0.2">
      <c r="F114" s="29"/>
      <c r="J114" s="29"/>
      <c r="L114" s="30"/>
      <c r="M114" s="30"/>
      <c r="N114" s="30"/>
      <c r="O114" s="30"/>
      <c r="P114" s="30"/>
      <c r="Q114" s="30"/>
    </row>
    <row r="115" spans="1:20" x14ac:dyDescent="0.2">
      <c r="B115" s="1"/>
      <c r="F115" s="29"/>
      <c r="J115" s="29"/>
      <c r="L115" s="30"/>
      <c r="M115" s="30"/>
      <c r="N115" s="30"/>
      <c r="O115" s="30"/>
      <c r="P115" s="30"/>
      <c r="Q115" s="30"/>
    </row>
    <row r="116" spans="1:20" ht="15" x14ac:dyDescent="0.25">
      <c r="F116" s="29"/>
      <c r="J116" s="29"/>
      <c r="L116" s="30"/>
      <c r="M116" s="30"/>
      <c r="N116" s="30"/>
      <c r="O116" s="30"/>
      <c r="P116" s="30"/>
      <c r="Q116" s="30"/>
      <c r="T116"/>
    </row>
    <row r="117" spans="1:20" ht="15" x14ac:dyDescent="0.25">
      <c r="F117" s="29"/>
      <c r="J117" s="29"/>
      <c r="L117" s="30"/>
      <c r="M117" s="30"/>
      <c r="N117" s="30"/>
      <c r="O117" s="30"/>
      <c r="P117" s="30"/>
      <c r="Q117" s="30"/>
      <c r="T117"/>
    </row>
    <row r="118" spans="1:20" ht="15" x14ac:dyDescent="0.25">
      <c r="F118" s="29"/>
      <c r="J118" s="29"/>
      <c r="L118" s="30"/>
      <c r="M118" s="30"/>
      <c r="N118" s="30"/>
      <c r="O118" s="30"/>
      <c r="P118" s="30"/>
      <c r="Q118" s="30"/>
      <c r="T118"/>
    </row>
    <row r="119" spans="1:20" ht="15" x14ac:dyDescent="0.25">
      <c r="F119" s="29"/>
      <c r="J119" s="29"/>
      <c r="L119" s="30"/>
      <c r="M119" s="30"/>
      <c r="N119" s="30"/>
      <c r="O119" s="30"/>
      <c r="P119" s="30"/>
      <c r="Q119" s="30"/>
      <c r="T119"/>
    </row>
    <row r="121" spans="1:20" s="42" customFormat="1" x14ac:dyDescent="0.25">
      <c r="L121" s="43"/>
      <c r="M121" s="43"/>
      <c r="N121" s="43"/>
      <c r="O121" s="43"/>
      <c r="P121" s="43"/>
      <c r="Q121" s="43"/>
    </row>
    <row r="122" spans="1:20" customFormat="1" ht="15" x14ac:dyDescent="0.25">
      <c r="A122" s="29"/>
      <c r="B122" s="29"/>
      <c r="C122" s="29"/>
      <c r="D122" s="29"/>
      <c r="E122" s="29"/>
      <c r="F122" s="34"/>
      <c r="G122" s="29"/>
      <c r="H122" s="30"/>
      <c r="I122" s="30"/>
      <c r="J122" s="30"/>
      <c r="K122" s="30"/>
      <c r="L122" s="30"/>
      <c r="M122" s="30"/>
      <c r="N122" s="30"/>
    </row>
    <row r="123" spans="1:20" customFormat="1" ht="15" x14ac:dyDescent="0.25">
      <c r="B123" s="44"/>
      <c r="C123" s="29"/>
      <c r="D123" s="29"/>
      <c r="E123" s="29"/>
      <c r="F123" s="34"/>
      <c r="G123" s="29"/>
      <c r="H123" s="30"/>
      <c r="I123" s="30"/>
      <c r="J123" s="30"/>
      <c r="K123" s="30"/>
      <c r="L123" s="30"/>
      <c r="M123" s="30"/>
      <c r="N123" s="30"/>
    </row>
    <row r="124" spans="1:20" customFormat="1" ht="15" x14ac:dyDescent="0.25">
      <c r="B124" s="29"/>
      <c r="C124" s="29"/>
      <c r="D124" s="29"/>
      <c r="E124" s="29"/>
      <c r="F124" s="34"/>
      <c r="G124" s="29"/>
      <c r="H124" s="30"/>
      <c r="I124" s="30"/>
      <c r="J124" s="30"/>
      <c r="K124" s="30"/>
      <c r="L124" s="30"/>
      <c r="M124" s="30"/>
      <c r="N124" s="30"/>
    </row>
    <row r="125" spans="1:20" customFormat="1" ht="15" x14ac:dyDescent="0.25">
      <c r="B125" s="44"/>
      <c r="C125" s="29"/>
      <c r="D125" s="29"/>
      <c r="E125" s="29"/>
      <c r="F125" s="34"/>
      <c r="G125" s="29"/>
      <c r="H125" s="30"/>
      <c r="I125" s="30"/>
      <c r="J125" s="30"/>
      <c r="K125" s="30"/>
      <c r="L125" s="30"/>
      <c r="M125" s="30"/>
      <c r="N125" s="30"/>
    </row>
    <row r="126" spans="1:20" customFormat="1" ht="15" x14ac:dyDescent="0.25">
      <c r="B126" s="29"/>
      <c r="C126" s="2"/>
      <c r="D126" s="2"/>
      <c r="E126" s="29"/>
      <c r="F126" s="29"/>
      <c r="G126" s="2"/>
      <c r="H126" s="2"/>
      <c r="I126" s="2"/>
      <c r="J126" s="29"/>
      <c r="K126" s="29"/>
      <c r="L126" s="30"/>
      <c r="M126" s="30"/>
      <c r="N126" s="30"/>
      <c r="O126" s="30"/>
      <c r="P126" s="30"/>
      <c r="Q126" s="30"/>
    </row>
    <row r="127" spans="1:20" customFormat="1" ht="15" x14ac:dyDescent="0.25">
      <c r="B127" s="29"/>
      <c r="C127" s="2"/>
      <c r="D127" s="2"/>
      <c r="E127" s="29"/>
      <c r="F127" s="29"/>
      <c r="G127" s="2"/>
      <c r="H127" s="2"/>
      <c r="I127" s="2"/>
      <c r="J127" s="29"/>
      <c r="K127" s="29"/>
      <c r="L127" s="30"/>
      <c r="M127" s="30"/>
      <c r="N127" s="30"/>
      <c r="O127" s="30"/>
      <c r="P127" s="30"/>
      <c r="Q127" s="30"/>
    </row>
    <row r="128" spans="1:20" customFormat="1" ht="15" x14ac:dyDescent="0.25">
      <c r="B128" s="29"/>
      <c r="C128" s="2"/>
      <c r="D128" s="2"/>
      <c r="E128" s="29"/>
      <c r="F128" s="29"/>
      <c r="G128" s="2"/>
      <c r="H128" s="2"/>
      <c r="I128" s="2"/>
      <c r="J128" s="29"/>
      <c r="K128" s="29"/>
      <c r="L128" s="30"/>
      <c r="M128" s="30"/>
      <c r="N128" s="30"/>
      <c r="O128" s="30"/>
      <c r="P128" s="30"/>
      <c r="Q128" s="30"/>
    </row>
    <row r="129" spans="2:17" customFormat="1" ht="15" x14ac:dyDescent="0.25">
      <c r="B129" s="29"/>
      <c r="C129" s="2"/>
      <c r="D129" s="2"/>
      <c r="E129" s="29"/>
      <c r="F129" s="29"/>
      <c r="G129" s="2"/>
      <c r="H129" s="2"/>
      <c r="I129" s="2"/>
      <c r="J129" s="29"/>
      <c r="K129" s="29"/>
      <c r="L129" s="30"/>
      <c r="M129" s="30"/>
      <c r="N129" s="30"/>
      <c r="O129" s="30"/>
      <c r="P129" s="30"/>
      <c r="Q129" s="30"/>
    </row>
    <row r="130" spans="2:17" customFormat="1" ht="15" x14ac:dyDescent="0.25">
      <c r="B130" s="29"/>
      <c r="C130" s="2"/>
      <c r="D130" s="2"/>
      <c r="E130" s="29"/>
      <c r="F130" s="29"/>
      <c r="G130" s="2"/>
      <c r="H130" s="2"/>
      <c r="I130" s="2"/>
      <c r="J130" s="29"/>
      <c r="K130" s="29"/>
      <c r="L130" s="30"/>
      <c r="M130" s="30"/>
      <c r="N130" s="30"/>
      <c r="O130" s="30"/>
      <c r="P130" s="30"/>
      <c r="Q130" s="30"/>
    </row>
    <row r="131" spans="2:17" customFormat="1" ht="15" x14ac:dyDescent="0.25">
      <c r="B131" s="29"/>
      <c r="C131" s="2"/>
      <c r="D131" s="2"/>
      <c r="E131" s="29"/>
      <c r="F131" s="29"/>
      <c r="G131" s="2"/>
      <c r="H131" s="2"/>
      <c r="I131" s="2"/>
      <c r="J131" s="29"/>
      <c r="K131" s="29"/>
      <c r="L131" s="30"/>
      <c r="M131" s="30"/>
      <c r="N131" s="30"/>
      <c r="O131" s="30"/>
      <c r="P131" s="30"/>
      <c r="Q131" s="30"/>
    </row>
    <row r="132" spans="2:17" customFormat="1" ht="15" x14ac:dyDescent="0.25">
      <c r="B132" s="29"/>
      <c r="C132" s="2"/>
      <c r="D132" s="2"/>
      <c r="E132" s="29"/>
      <c r="F132" s="29"/>
      <c r="G132" s="2"/>
      <c r="H132" s="2"/>
      <c r="I132" s="2"/>
      <c r="J132" s="29"/>
      <c r="K132" s="29"/>
      <c r="L132" s="30"/>
      <c r="M132" s="30"/>
      <c r="N132" s="30"/>
      <c r="O132" s="30"/>
      <c r="P132" s="30"/>
      <c r="Q132" s="30"/>
    </row>
    <row r="133" spans="2:17" customFormat="1" ht="15" x14ac:dyDescent="0.25">
      <c r="B133" s="44"/>
      <c r="C133" s="2"/>
      <c r="D133" s="2"/>
      <c r="E133" s="29"/>
      <c r="F133" s="29"/>
      <c r="G133" s="2"/>
      <c r="H133" s="2"/>
      <c r="I133" s="2"/>
      <c r="J133" s="29"/>
      <c r="K133" s="29"/>
      <c r="L133" s="30"/>
      <c r="M133" s="30"/>
      <c r="N133" s="30"/>
      <c r="O133" s="30"/>
      <c r="P133" s="30"/>
      <c r="Q133" s="30"/>
    </row>
    <row r="134" spans="2:17" customFormat="1" ht="15" x14ac:dyDescent="0.25">
      <c r="B134" s="29"/>
      <c r="C134" s="2"/>
      <c r="D134" s="2"/>
      <c r="E134" s="29"/>
      <c r="F134" s="29"/>
      <c r="G134" s="2"/>
      <c r="H134" s="2"/>
      <c r="I134" s="2"/>
      <c r="J134" s="29"/>
      <c r="K134" s="29"/>
      <c r="L134" s="30"/>
      <c r="M134" s="30"/>
      <c r="N134" s="30"/>
      <c r="O134" s="30"/>
      <c r="P134" s="30"/>
      <c r="Q134" s="30"/>
    </row>
    <row r="135" spans="2:17" customFormat="1" ht="15" x14ac:dyDescent="0.25">
      <c r="B135" s="29"/>
      <c r="C135" s="2"/>
      <c r="D135" s="2"/>
      <c r="E135" s="29"/>
      <c r="F135" s="29"/>
      <c r="G135" s="2"/>
      <c r="H135" s="2"/>
      <c r="I135" s="2"/>
      <c r="J135" s="29"/>
      <c r="K135" s="29"/>
      <c r="L135" s="30"/>
      <c r="M135" s="30"/>
      <c r="N135" s="30"/>
      <c r="O135" s="30"/>
      <c r="P135" s="30"/>
      <c r="Q135" s="30"/>
    </row>
    <row r="136" spans="2:17" customFormat="1" ht="15" x14ac:dyDescent="0.25">
      <c r="B136" s="29"/>
      <c r="C136" s="2"/>
      <c r="D136" s="2"/>
      <c r="E136" s="29"/>
      <c r="F136" s="29"/>
      <c r="G136" s="2"/>
      <c r="H136" s="2"/>
      <c r="I136" s="2"/>
      <c r="J136" s="29"/>
      <c r="K136" s="29"/>
      <c r="L136" s="30"/>
      <c r="M136" s="30"/>
      <c r="N136" s="30"/>
      <c r="O136" s="30"/>
      <c r="P136" s="30"/>
      <c r="Q136" s="30"/>
    </row>
    <row r="137" spans="2:17" customFormat="1" ht="15" x14ac:dyDescent="0.25">
      <c r="B137" s="29"/>
      <c r="C137" s="2"/>
      <c r="D137" s="2"/>
      <c r="E137" s="29"/>
      <c r="F137" s="29"/>
      <c r="G137" s="2"/>
      <c r="H137" s="2"/>
      <c r="I137" s="2"/>
      <c r="J137" s="29"/>
      <c r="K137" s="29"/>
      <c r="L137" s="30"/>
      <c r="M137" s="30"/>
      <c r="N137" s="30"/>
      <c r="O137" s="30"/>
      <c r="P137" s="30"/>
      <c r="Q137" s="30"/>
    </row>
    <row r="138" spans="2:17" customFormat="1" ht="15" x14ac:dyDescent="0.25">
      <c r="B138" s="29"/>
      <c r="C138" s="2"/>
      <c r="D138" s="2"/>
      <c r="E138" s="29"/>
      <c r="F138" s="29"/>
      <c r="G138" s="2"/>
      <c r="H138" s="2"/>
      <c r="I138" s="2"/>
      <c r="J138" s="29"/>
      <c r="K138" s="29"/>
      <c r="L138" s="30"/>
      <c r="M138" s="30"/>
      <c r="N138" s="30"/>
      <c r="O138" s="30"/>
      <c r="P138" s="30"/>
      <c r="Q138" s="30"/>
    </row>
    <row r="139" spans="2:17" customFormat="1" ht="15" x14ac:dyDescent="0.25">
      <c r="B139" s="29"/>
      <c r="C139" s="2"/>
      <c r="D139" s="2"/>
      <c r="E139" s="29"/>
      <c r="F139" s="29"/>
      <c r="G139" s="2"/>
      <c r="H139" s="2"/>
      <c r="I139" s="2"/>
      <c r="J139" s="29"/>
      <c r="K139" s="29"/>
      <c r="L139" s="30"/>
      <c r="M139" s="30"/>
      <c r="N139" s="30"/>
      <c r="O139" s="30"/>
      <c r="P139" s="30"/>
      <c r="Q139" s="30"/>
    </row>
    <row r="140" spans="2:17" customFormat="1" ht="15" x14ac:dyDescent="0.25">
      <c r="B140" s="44"/>
      <c r="C140" s="2"/>
      <c r="D140" s="2"/>
      <c r="E140" s="29"/>
      <c r="F140" s="29"/>
      <c r="G140" s="2"/>
      <c r="H140" s="2"/>
      <c r="I140" s="2"/>
      <c r="J140" s="29"/>
      <c r="K140" s="29"/>
      <c r="L140" s="30"/>
      <c r="M140" s="30"/>
      <c r="N140" s="30"/>
      <c r="O140" s="30"/>
      <c r="P140" s="30"/>
      <c r="Q140" s="30"/>
    </row>
    <row r="141" spans="2:17" customFormat="1" ht="15" x14ac:dyDescent="0.25">
      <c r="B141" s="29"/>
      <c r="C141" s="2"/>
      <c r="D141" s="2"/>
      <c r="E141" s="29"/>
      <c r="F141" s="29"/>
      <c r="G141" s="2"/>
      <c r="H141" s="2"/>
      <c r="I141" s="2"/>
      <c r="J141" s="29"/>
      <c r="K141" s="29"/>
      <c r="L141" s="30"/>
      <c r="M141" s="30"/>
      <c r="N141" s="30"/>
      <c r="O141" s="30"/>
      <c r="P141" s="30"/>
      <c r="Q141" s="30"/>
    </row>
    <row r="142" spans="2:17" customFormat="1" ht="15" x14ac:dyDescent="0.25">
      <c r="B142" s="44"/>
      <c r="C142" s="2"/>
      <c r="D142" s="2"/>
      <c r="E142" s="29"/>
      <c r="F142" s="29"/>
      <c r="G142" s="2"/>
      <c r="H142" s="2"/>
      <c r="I142" s="2"/>
      <c r="K142" s="29"/>
      <c r="L142" s="30"/>
      <c r="M142" s="30"/>
      <c r="N142" s="30"/>
      <c r="O142" s="30"/>
      <c r="P142" s="30"/>
      <c r="Q142" s="30"/>
    </row>
    <row r="143" spans="2:17" customFormat="1" ht="15" x14ac:dyDescent="0.25">
      <c r="B143" s="29"/>
      <c r="C143" s="2"/>
      <c r="D143" s="2"/>
      <c r="E143" s="29"/>
      <c r="F143" s="29"/>
      <c r="G143" s="2"/>
      <c r="H143" s="2"/>
      <c r="I143" s="2"/>
      <c r="J143" s="29"/>
      <c r="K143" s="29"/>
      <c r="L143" s="30"/>
      <c r="M143" s="30"/>
      <c r="N143" s="30"/>
      <c r="O143" s="30"/>
      <c r="P143" s="30"/>
      <c r="Q143" s="30"/>
    </row>
    <row r="144" spans="2:17" customFormat="1" ht="15" x14ac:dyDescent="0.25">
      <c r="B144" s="29"/>
      <c r="C144" s="2"/>
      <c r="D144" s="2"/>
      <c r="E144" s="29"/>
      <c r="F144" s="29"/>
      <c r="G144" s="2"/>
      <c r="H144" s="2"/>
      <c r="I144" s="2"/>
      <c r="J144" s="29"/>
      <c r="K144" s="29"/>
      <c r="L144" s="30"/>
      <c r="M144" s="30"/>
      <c r="N144" s="30"/>
      <c r="O144" s="30"/>
      <c r="P144" s="30"/>
      <c r="Q144" s="30"/>
    </row>
    <row r="145" spans="1:17" customFormat="1" ht="15" x14ac:dyDescent="0.25">
      <c r="C145" s="2"/>
      <c r="D145" s="2"/>
      <c r="E145" s="29"/>
      <c r="F145" s="29"/>
      <c r="G145" s="2"/>
      <c r="H145" s="2"/>
      <c r="I145" s="2"/>
      <c r="J145" s="29"/>
      <c r="K145" s="29"/>
      <c r="L145" s="30"/>
      <c r="M145" s="30"/>
      <c r="N145" s="30"/>
      <c r="O145" s="30"/>
      <c r="P145" s="30"/>
      <c r="Q145" s="30"/>
    </row>
    <row r="146" spans="1:17" customFormat="1" ht="15" x14ac:dyDescent="0.25">
      <c r="B146" s="29"/>
      <c r="C146" s="2"/>
      <c r="D146" s="2"/>
      <c r="E146" s="29"/>
      <c r="F146" s="29"/>
      <c r="G146" s="2"/>
      <c r="H146" s="2"/>
      <c r="I146" s="2"/>
      <c r="J146" s="29"/>
      <c r="K146" s="29"/>
      <c r="L146" s="30"/>
      <c r="M146" s="30"/>
      <c r="N146" s="30"/>
      <c r="O146" s="30"/>
      <c r="P146" s="30"/>
      <c r="Q146" s="30"/>
    </row>
    <row r="147" spans="1:17" customFormat="1" ht="15" x14ac:dyDescent="0.25">
      <c r="B147" s="29"/>
      <c r="C147" s="2"/>
      <c r="D147" s="2"/>
      <c r="E147" s="29"/>
      <c r="F147" s="29"/>
      <c r="G147" s="2"/>
      <c r="H147" s="2"/>
      <c r="I147" s="2"/>
      <c r="J147" s="29"/>
      <c r="K147" s="29"/>
      <c r="L147" s="30"/>
      <c r="M147" s="30"/>
      <c r="N147" s="30"/>
      <c r="O147" s="30"/>
      <c r="P147" s="30"/>
      <c r="Q147" s="30"/>
    </row>
    <row r="148" spans="1:17" customFormat="1" ht="15" x14ac:dyDescent="0.25">
      <c r="B148" s="44"/>
      <c r="C148" s="2"/>
      <c r="D148" s="2"/>
      <c r="E148" s="29"/>
      <c r="F148" s="29"/>
      <c r="G148" s="2"/>
      <c r="H148" s="2"/>
      <c r="I148" s="2"/>
      <c r="J148" s="29"/>
      <c r="K148" s="29"/>
      <c r="L148" s="30"/>
      <c r="M148" s="30"/>
      <c r="N148" s="30"/>
      <c r="O148" s="30"/>
      <c r="P148" s="30"/>
      <c r="Q148" s="30"/>
    </row>
    <row r="149" spans="1:17" customFormat="1" ht="15" x14ac:dyDescent="0.25">
      <c r="B149" s="29"/>
      <c r="C149" s="2"/>
      <c r="D149" s="2"/>
      <c r="E149" s="29"/>
      <c r="F149" s="29"/>
      <c r="G149" s="2"/>
      <c r="H149" s="2"/>
      <c r="I149" s="2"/>
      <c r="J149" s="29"/>
      <c r="K149" s="29"/>
      <c r="L149" s="30"/>
      <c r="M149" s="30"/>
      <c r="N149" s="30"/>
      <c r="O149" s="30"/>
      <c r="P149" s="30"/>
      <c r="Q149" s="30"/>
    </row>
    <row r="150" spans="1:17" customFormat="1" ht="15" x14ac:dyDescent="0.25">
      <c r="B150" s="44"/>
      <c r="C150" s="2"/>
      <c r="D150" s="2"/>
      <c r="E150" s="29"/>
      <c r="F150" s="29"/>
      <c r="G150" s="2"/>
      <c r="H150" s="2"/>
      <c r="I150" s="2"/>
      <c r="J150" s="29"/>
      <c r="K150" s="29"/>
      <c r="L150" s="30"/>
      <c r="M150" s="30"/>
      <c r="N150" s="30"/>
      <c r="O150" s="30"/>
      <c r="P150" s="30"/>
      <c r="Q150" s="30"/>
    </row>
    <row r="151" spans="1:17" customFormat="1" ht="15" x14ac:dyDescent="0.25">
      <c r="B151" s="29"/>
      <c r="C151" s="2"/>
      <c r="D151" s="2"/>
      <c r="E151" s="29"/>
      <c r="F151" s="29"/>
      <c r="G151" s="2"/>
      <c r="H151" s="2"/>
      <c r="I151" s="2"/>
      <c r="J151" s="29"/>
      <c r="K151" s="29"/>
      <c r="L151" s="30"/>
      <c r="M151" s="30"/>
      <c r="N151" s="30"/>
      <c r="O151" s="30"/>
      <c r="P151" s="30"/>
      <c r="Q151" s="30"/>
    </row>
    <row r="152" spans="1:17" customFormat="1" ht="15" x14ac:dyDescent="0.25">
      <c r="B152" s="29"/>
      <c r="C152" s="2"/>
      <c r="D152" s="2"/>
      <c r="E152" s="29"/>
      <c r="F152" s="29"/>
      <c r="G152" s="2"/>
      <c r="H152" s="2"/>
      <c r="I152" s="2"/>
      <c r="J152" s="29"/>
      <c r="K152" s="29"/>
      <c r="L152" s="30"/>
      <c r="M152" s="30"/>
      <c r="N152" s="30"/>
      <c r="O152" s="30"/>
      <c r="P152" s="30"/>
      <c r="Q152" s="30"/>
    </row>
    <row r="153" spans="1:17" customFormat="1" ht="15" x14ac:dyDescent="0.25">
      <c r="B153" s="29"/>
      <c r="C153" s="2"/>
      <c r="D153" s="2"/>
      <c r="E153" s="29"/>
      <c r="F153" s="29"/>
      <c r="G153" s="2"/>
      <c r="H153" s="2"/>
      <c r="I153" s="2"/>
      <c r="J153" s="29"/>
      <c r="K153" s="29"/>
      <c r="L153" s="30"/>
      <c r="M153" s="30"/>
      <c r="N153" s="30"/>
      <c r="O153" s="30"/>
      <c r="P153" s="30"/>
      <c r="Q153" s="30"/>
    </row>
    <row r="154" spans="1:17" customFormat="1" ht="15" x14ac:dyDescent="0.25">
      <c r="B154" s="29"/>
      <c r="C154" s="2"/>
      <c r="D154" s="2"/>
      <c r="E154" s="29"/>
      <c r="F154" s="29"/>
      <c r="G154" s="2"/>
      <c r="H154" s="2"/>
      <c r="I154" s="2"/>
      <c r="J154" s="29"/>
      <c r="K154" s="29"/>
      <c r="L154" s="30"/>
      <c r="M154" s="30"/>
      <c r="N154" s="30"/>
      <c r="O154" s="30"/>
      <c r="P154" s="30"/>
      <c r="Q154" s="30"/>
    </row>
    <row r="155" spans="1:17" customFormat="1" ht="15" x14ac:dyDescent="0.25">
      <c r="C155" s="2"/>
      <c r="D155" s="2"/>
    </row>
    <row r="156" spans="1:17" s="42" customFormat="1" x14ac:dyDescent="0.25"/>
    <row r="157" spans="1:17" customFormat="1" ht="15" x14ac:dyDescent="0.25">
      <c r="A157" s="29"/>
      <c r="B157" s="29"/>
      <c r="C157" s="29"/>
      <c r="D157" s="29"/>
      <c r="E157" s="29"/>
      <c r="F157" s="34"/>
      <c r="G157" s="29"/>
      <c r="H157" s="30"/>
      <c r="I157" s="30"/>
      <c r="J157" s="30"/>
      <c r="K157" s="30"/>
      <c r="L157" s="30"/>
      <c r="M157" s="30"/>
      <c r="N157" s="30"/>
    </row>
    <row r="158" spans="1:17" customFormat="1" ht="15" x14ac:dyDescent="0.25">
      <c r="B158" s="44"/>
      <c r="C158" s="29"/>
      <c r="D158" s="29"/>
      <c r="E158" s="29"/>
      <c r="F158" s="34"/>
      <c r="G158" s="29"/>
      <c r="H158" s="30"/>
      <c r="I158" s="30"/>
      <c r="J158" s="30"/>
      <c r="K158" s="30"/>
      <c r="L158" s="30"/>
      <c r="M158" s="30"/>
      <c r="N158" s="30"/>
    </row>
    <row r="159" spans="1:17" customFormat="1" ht="15" x14ac:dyDescent="0.25">
      <c r="B159" s="29"/>
      <c r="C159" s="29"/>
      <c r="D159" s="29"/>
      <c r="E159" s="29"/>
      <c r="F159" s="34"/>
      <c r="G159" s="29"/>
      <c r="H159" s="30"/>
      <c r="I159" s="30"/>
      <c r="J159" s="30"/>
      <c r="K159" s="30"/>
      <c r="L159" s="30"/>
      <c r="M159" s="30"/>
      <c r="N159" s="30"/>
    </row>
    <row r="160" spans="1:17" customFormat="1" ht="15" x14ac:dyDescent="0.25">
      <c r="B160" s="44"/>
      <c r="C160" s="29"/>
      <c r="D160" s="29"/>
      <c r="E160" s="29"/>
      <c r="F160" s="34"/>
      <c r="G160" s="29"/>
      <c r="H160" s="30"/>
      <c r="I160" s="30"/>
      <c r="J160" s="30"/>
      <c r="K160" s="30"/>
      <c r="L160" s="30"/>
      <c r="M160" s="30"/>
      <c r="N160" s="30"/>
    </row>
    <row r="161" spans="2:17" customFormat="1" ht="15" x14ac:dyDescent="0.25">
      <c r="B161" s="29"/>
      <c r="C161" s="29"/>
      <c r="D161" s="2"/>
      <c r="E161" s="29"/>
      <c r="F161" s="29"/>
      <c r="G161" s="29"/>
      <c r="H161" s="2"/>
      <c r="I161" s="2"/>
      <c r="J161" s="2"/>
      <c r="K161" s="2"/>
      <c r="L161" s="36"/>
      <c r="M161" s="36"/>
      <c r="N161" s="36"/>
      <c r="O161" s="36"/>
      <c r="P161" s="36"/>
      <c r="Q161" s="36"/>
    </row>
    <row r="162" spans="2:17" customFormat="1" ht="15" x14ac:dyDescent="0.25">
      <c r="B162" s="29"/>
      <c r="C162" s="29"/>
      <c r="D162" s="2"/>
      <c r="E162" s="29"/>
      <c r="F162" s="29"/>
      <c r="G162" s="29"/>
      <c r="H162" s="2"/>
      <c r="I162" s="2"/>
      <c r="J162" s="2"/>
      <c r="K162" s="2"/>
      <c r="L162" s="36"/>
      <c r="M162" s="36"/>
      <c r="N162" s="36"/>
      <c r="O162" s="36"/>
      <c r="P162" s="36"/>
      <c r="Q162" s="36"/>
    </row>
    <row r="163" spans="2:17" customFormat="1" ht="15" x14ac:dyDescent="0.25">
      <c r="B163" s="29"/>
      <c r="C163" s="29"/>
      <c r="D163" s="2"/>
      <c r="E163" s="29"/>
      <c r="F163" s="29"/>
      <c r="G163" s="29"/>
      <c r="H163" s="2"/>
      <c r="I163" s="2"/>
      <c r="J163" s="2"/>
      <c r="K163" s="2"/>
      <c r="L163" s="36"/>
      <c r="M163" s="36"/>
      <c r="N163" s="36"/>
      <c r="O163" s="36"/>
      <c r="P163" s="36"/>
      <c r="Q163" s="36"/>
    </row>
    <row r="164" spans="2:17" customFormat="1" ht="15" x14ac:dyDescent="0.25">
      <c r="B164" s="44"/>
      <c r="C164" s="29"/>
      <c r="D164" s="2"/>
      <c r="E164" s="29"/>
      <c r="F164" s="29"/>
      <c r="G164" s="29"/>
      <c r="H164" s="2"/>
      <c r="I164" s="2"/>
      <c r="J164" s="2"/>
      <c r="K164" s="2"/>
      <c r="L164" s="36"/>
      <c r="M164" s="36"/>
      <c r="N164" s="36"/>
      <c r="O164" s="36"/>
      <c r="P164" s="36"/>
      <c r="Q164" s="36"/>
    </row>
    <row r="165" spans="2:17" customFormat="1" ht="15" x14ac:dyDescent="0.25">
      <c r="B165" s="29"/>
      <c r="C165" s="29"/>
      <c r="D165" s="2"/>
      <c r="E165" s="29"/>
      <c r="F165" s="29"/>
      <c r="G165" s="29"/>
      <c r="H165" s="2"/>
      <c r="I165" s="2"/>
      <c r="J165" s="2"/>
      <c r="K165" s="2"/>
      <c r="L165" s="36"/>
      <c r="M165" s="36"/>
      <c r="N165" s="36"/>
      <c r="O165" s="36"/>
      <c r="P165" s="36"/>
      <c r="Q165" s="36"/>
    </row>
    <row r="166" spans="2:17" customFormat="1" ht="15" x14ac:dyDescent="0.25">
      <c r="B166" s="29"/>
      <c r="C166" s="29"/>
      <c r="D166" s="2"/>
      <c r="E166" s="29"/>
      <c r="F166" s="29"/>
      <c r="G166" s="29"/>
      <c r="H166" s="2"/>
      <c r="I166" s="2"/>
      <c r="J166" s="2"/>
      <c r="K166" s="2"/>
      <c r="L166" s="36"/>
      <c r="M166" s="36"/>
      <c r="N166" s="36"/>
      <c r="O166" s="36"/>
      <c r="P166" s="36"/>
      <c r="Q166" s="36"/>
    </row>
    <row r="167" spans="2:17" customFormat="1" ht="15" x14ac:dyDescent="0.25">
      <c r="B167" s="29"/>
      <c r="C167" s="29"/>
      <c r="D167" s="2"/>
      <c r="E167" s="29"/>
      <c r="F167" s="29"/>
      <c r="G167" s="29"/>
      <c r="H167" s="2"/>
      <c r="I167" s="2"/>
      <c r="J167" s="2"/>
      <c r="K167" s="2"/>
      <c r="L167" s="36"/>
      <c r="M167" s="36"/>
      <c r="N167" s="36"/>
      <c r="O167" s="36"/>
      <c r="P167" s="36"/>
      <c r="Q167" s="36"/>
    </row>
    <row r="168" spans="2:17" customFormat="1" ht="15" x14ac:dyDescent="0.25">
      <c r="B168" s="44"/>
      <c r="C168" s="29"/>
      <c r="D168" s="2"/>
      <c r="E168" s="29"/>
      <c r="F168" s="29"/>
      <c r="G168" s="34"/>
      <c r="H168" s="2"/>
      <c r="I168" s="2"/>
      <c r="J168" s="2"/>
      <c r="K168" s="2"/>
      <c r="L168" s="45"/>
      <c r="M168" s="45"/>
      <c r="N168" s="45"/>
      <c r="O168" s="45"/>
      <c r="P168" s="45"/>
      <c r="Q168" s="45"/>
    </row>
    <row r="169" spans="2:17" customFormat="1" ht="15" x14ac:dyDescent="0.25">
      <c r="B169" s="29"/>
      <c r="C169" s="29"/>
      <c r="D169" s="2"/>
      <c r="E169" s="29"/>
      <c r="F169" s="29"/>
      <c r="G169" s="29"/>
      <c r="H169" s="2"/>
      <c r="I169" s="2"/>
      <c r="J169" s="2"/>
      <c r="K169" s="2"/>
      <c r="L169" s="36"/>
      <c r="M169" s="36"/>
      <c r="N169" s="36"/>
      <c r="O169" s="36"/>
      <c r="P169" s="36"/>
      <c r="Q169" s="36"/>
    </row>
    <row r="170" spans="2:17" customFormat="1" ht="15" x14ac:dyDescent="0.25">
      <c r="B170" s="29"/>
      <c r="C170" s="29"/>
      <c r="D170" s="2"/>
      <c r="E170" s="29"/>
      <c r="F170" s="29"/>
      <c r="G170" s="29"/>
      <c r="H170" s="2"/>
      <c r="I170" s="2"/>
      <c r="J170" s="2"/>
      <c r="K170" s="2"/>
      <c r="L170" s="36"/>
      <c r="M170" s="36"/>
      <c r="N170" s="36"/>
      <c r="O170" s="36"/>
      <c r="P170" s="36"/>
      <c r="Q170" s="36"/>
    </row>
    <row r="171" spans="2:17" customFormat="1" ht="15" x14ac:dyDescent="0.25">
      <c r="B171" s="29"/>
      <c r="C171" s="29"/>
      <c r="D171" s="2"/>
      <c r="E171" s="29"/>
      <c r="F171" s="29"/>
      <c r="G171" s="29"/>
      <c r="H171" s="2"/>
      <c r="I171" s="2"/>
      <c r="J171" s="2"/>
      <c r="K171" s="2"/>
      <c r="L171" s="36"/>
      <c r="M171" s="36"/>
      <c r="N171" s="36"/>
      <c r="O171" s="36"/>
      <c r="P171" s="36"/>
      <c r="Q171" s="36"/>
    </row>
    <row r="172" spans="2:17" customFormat="1" ht="15" x14ac:dyDescent="0.25">
      <c r="B172" s="29"/>
      <c r="C172" s="29"/>
      <c r="D172" s="2"/>
      <c r="E172" s="29"/>
      <c r="F172" s="29"/>
      <c r="G172" s="29"/>
      <c r="H172" s="2"/>
      <c r="I172" s="2"/>
      <c r="J172" s="2"/>
      <c r="K172" s="2"/>
      <c r="L172" s="36"/>
      <c r="M172" s="36"/>
      <c r="N172" s="36"/>
      <c r="O172" s="36"/>
      <c r="P172" s="36"/>
      <c r="Q172" s="36"/>
    </row>
    <row r="173" spans="2:17" customFormat="1" ht="15" x14ac:dyDescent="0.25">
      <c r="D173" s="2"/>
      <c r="H173" s="2"/>
      <c r="I173" s="2"/>
      <c r="J173" s="2"/>
      <c r="K173" s="2"/>
      <c r="L173" s="35"/>
      <c r="M173" s="35"/>
      <c r="N173" s="35"/>
      <c r="O173" s="35"/>
      <c r="P173" s="35"/>
      <c r="Q173" s="35"/>
    </row>
    <row r="174" spans="2:17" customFormat="1" ht="15" x14ac:dyDescent="0.25">
      <c r="B174" s="46"/>
      <c r="D174" s="2"/>
      <c r="H174" s="2"/>
      <c r="I174" s="2"/>
      <c r="J174" s="2"/>
      <c r="K174" s="2"/>
      <c r="L174" s="35"/>
      <c r="M174" s="35"/>
      <c r="N174" s="35"/>
      <c r="O174" s="35"/>
      <c r="P174" s="35"/>
      <c r="Q174" s="35"/>
    </row>
    <row r="175" spans="2:17" customFormat="1" ht="15" x14ac:dyDescent="0.25">
      <c r="D175" s="2"/>
      <c r="H175" s="2"/>
      <c r="I175" s="2"/>
      <c r="J175" s="2"/>
      <c r="K175" s="2"/>
      <c r="L175" s="35"/>
      <c r="M175" s="35"/>
      <c r="N175" s="35"/>
      <c r="O175" s="35"/>
      <c r="P175" s="35"/>
      <c r="Q175" s="35"/>
    </row>
    <row r="176" spans="2:17" customFormat="1" ht="15" x14ac:dyDescent="0.25">
      <c r="D176" s="2"/>
      <c r="F176" s="29"/>
      <c r="H176" s="2"/>
      <c r="I176" s="2"/>
      <c r="J176" s="2"/>
      <c r="K176" s="2"/>
      <c r="L176" s="35"/>
      <c r="M176" s="35"/>
      <c r="N176" s="35"/>
      <c r="O176" s="35"/>
      <c r="P176" s="35"/>
      <c r="Q176" s="36"/>
    </row>
    <row r="177" spans="4:17" customFormat="1" ht="15" x14ac:dyDescent="0.25">
      <c r="D177" s="2"/>
      <c r="F177" s="29"/>
      <c r="H177" s="2"/>
      <c r="I177" s="2"/>
      <c r="J177" s="2"/>
      <c r="K177" s="2"/>
      <c r="L177" s="35"/>
      <c r="M177" s="35"/>
      <c r="N177" s="35"/>
      <c r="O177" s="36"/>
      <c r="P177" s="35"/>
      <c r="Q177" s="35"/>
    </row>
    <row r="178" spans="4:17" customFormat="1" ht="15" x14ac:dyDescent="0.25"/>
    <row r="179" spans="4:17" customFormat="1" 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42BCD4D3B3464A9D2A7788490F1CE1" ma:contentTypeVersion="0" ma:contentTypeDescription="Een nieuw document maken." ma:contentTypeScope="" ma:versionID="167cf73272f810ef01c088e1633461d1">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B3A86E-602F-4E80-A341-BED6C4CC9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schemas.openxmlformats.org/package/2006/metadata/core-properties"/>
    <ds:schemaRef ds:uri="http://purl.org/dc/dcmitype/"/>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32</vt:i4>
      </vt:variant>
    </vt:vector>
  </HeadingPairs>
  <TitlesOfParts>
    <vt:vector size="32" baseType="lpstr">
      <vt:lpstr>Titelblad</vt:lpstr>
      <vt:lpstr>Toelichting</vt:lpstr>
      <vt:lpstr>Bronnen en toepassingen</vt:lpstr>
      <vt:lpstr>TI-berekening 2025</vt:lpstr>
      <vt:lpstr>Input --&gt;</vt:lpstr>
      <vt:lpstr>Input parameters</vt:lpstr>
      <vt:lpstr>Input x-factor, begininkomsten</vt:lpstr>
      <vt:lpstr>Input overname private netten</vt:lpstr>
      <vt:lpstr>Input lokale heffingen</vt:lpstr>
      <vt:lpstr>Input gewijzigd methodebesluit</vt:lpstr>
      <vt:lpstr>Input SO transportdienst 2023</vt:lpstr>
      <vt:lpstr>Input netverliezen</vt:lpstr>
      <vt:lpstr>Input rente</vt:lpstr>
      <vt:lpstr>Input invoeding</vt:lpstr>
      <vt:lpstr>Herijking GAW</vt:lpstr>
      <vt:lpstr>Input desinv. afn. benutting</vt:lpstr>
      <vt:lpstr>Input verwijderingskosten KV</vt:lpstr>
      <vt:lpstr>Input verwijderingskosten GV</vt:lpstr>
      <vt:lpstr>Input richtbedragen</vt:lpstr>
      <vt:lpstr>Berekeningen --&gt;</vt:lpstr>
      <vt:lpstr>Parameters</vt:lpstr>
      <vt:lpstr>Overname private netten</vt:lpstr>
      <vt:lpstr>Lokale heffingen 2023</vt:lpstr>
      <vt:lpstr>Gewijzigd methodebesluit</vt:lpstr>
      <vt:lpstr>SO transportdienst 2023</vt:lpstr>
      <vt:lpstr>Netverliezen 2023</vt:lpstr>
      <vt:lpstr>Rente 2023</vt:lpstr>
      <vt:lpstr>Invoeding 2023</vt:lpstr>
      <vt:lpstr>Desinv. afn. benuttingsgraad</vt:lpstr>
      <vt:lpstr>Verwijderingskosten KV</vt:lpstr>
      <vt:lpstr>Verwijderingskosten GV</vt:lpstr>
      <vt:lpstr>Richtbedragen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2024-11-20T13:00:53Z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0x010100DC42BCD4D3B3464A9D2A7788490F1CE1</vt:lpwstr>
  </property>
</Properties>
</file>