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0" documentId="13_ncr:1_{B8A5ABF9-30EE-489C-ADE8-7CE24996FEED}" xr6:coauthVersionLast="47" xr6:coauthVersionMax="47" xr10:uidLastSave="{00000000-0000-0000-0000-000000000000}"/>
  <bookViews>
    <workbookView xWindow="-120" yWindow="-120" windowWidth="29040" windowHeight="15840" xr2:uid="{00000000-000D-0000-FFFF-FFFF00000000}"/>
  </bookViews>
  <sheets>
    <sheet name="Titelblad" sheetId="9" r:id="rId1"/>
    <sheet name="Toelichting" sheetId="10" r:id="rId2"/>
    <sheet name="Bronnen en toepassingen" sheetId="11" r:id="rId3"/>
    <sheet name="Resultaat" sheetId="27" r:id="rId4"/>
    <sheet name="Dictum &amp; Bijlagen Elektriciteit" sheetId="28" r:id="rId5"/>
    <sheet name="Dictum &amp; Bijlagen Drinkwater" sheetId="29" r:id="rId6"/>
    <sheet name="Input --&gt;" sheetId="30" r:id="rId7"/>
    <sheet name="Parameters" sheetId="31" r:id="rId8"/>
    <sheet name="Gegevens kosten 2023" sheetId="32" r:id="rId9"/>
    <sheet name="Gegevens volumes 2023" sheetId="33" r:id="rId10"/>
    <sheet name="Gegevens raming 2025" sheetId="34" r:id="rId11"/>
    <sheet name="Omvangrijke gebeurtenissen" sheetId="35" r:id="rId12"/>
    <sheet name="Input voor correcties" sheetId="36" r:id="rId13"/>
    <sheet name="Berekening correcties --&gt;" sheetId="37" r:id="rId14"/>
    <sheet name="Volumecorrecties" sheetId="38" r:id="rId15"/>
    <sheet name="Profit sharing" sheetId="39" r:id="rId16"/>
    <sheet name="Totaaloverzicht correcties" sheetId="40" r:id="rId17"/>
    <sheet name="Berekening tarieven --&gt;" sheetId="41" r:id="rId18"/>
    <sheet name="Berekening kostenbasis" sheetId="42" r:id="rId19"/>
    <sheet name="Variabel tarief elektriciteit" sheetId="43" r:id="rId20"/>
    <sheet name="Vaste tarieven elektriciteit" sheetId="44" r:id="rId21"/>
    <sheet name="Variabel tarief drinkwater" sheetId="45" r:id="rId22"/>
    <sheet name="Vaste tarieven drinkwater" sheetId="46"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0" i="38" l="1"/>
  <c r="M20" i="38"/>
  <c r="O20" i="38"/>
  <c r="P20" i="38"/>
  <c r="L20" i="38"/>
  <c r="N23" i="36"/>
  <c r="O75" i="34" l="1"/>
  <c r="F73" i="29" l="1"/>
  <c r="F38" i="29" l="1"/>
  <c r="G47" i="28"/>
  <c r="G46" i="28"/>
  <c r="H74" i="29" l="1"/>
  <c r="I58" i="28" l="1"/>
  <c r="G58" i="28"/>
  <c r="M44" i="39"/>
  <c r="N44" i="39"/>
  <c r="O44" i="39"/>
  <c r="P44" i="39"/>
  <c r="L44" i="39"/>
  <c r="M43" i="39"/>
  <c r="O43" i="39"/>
  <c r="P43" i="39"/>
  <c r="L43" i="39"/>
  <c r="N43" i="39"/>
  <c r="P17" i="40" l="1"/>
  <c r="M17" i="40"/>
  <c r="N17" i="40"/>
  <c r="O17" i="40"/>
  <c r="L17" i="40"/>
  <c r="J60" i="36"/>
  <c r="F50" i="29" l="1"/>
  <c r="H50" i="29"/>
  <c r="J50" i="29"/>
  <c r="J17" i="40"/>
  <c r="M48" i="40" l="1"/>
  <c r="I66" i="28" s="1"/>
  <c r="N48" i="40"/>
  <c r="F57" i="29" s="1"/>
  <c r="O48" i="40"/>
  <c r="H57" i="29" s="1"/>
  <c r="L48" i="40"/>
  <c r="G66" i="28" s="1"/>
  <c r="J48" i="40" l="1"/>
  <c r="P87" i="42" l="1"/>
  <c r="M68" i="42"/>
  <c r="M87" i="42" s="1"/>
  <c r="N68" i="42"/>
  <c r="N87" i="42" s="1"/>
  <c r="O68" i="42"/>
  <c r="O87" i="42" s="1"/>
  <c r="L68" i="42"/>
  <c r="J68" i="42" l="1"/>
  <c r="L87" i="42"/>
  <c r="J87" i="42" s="1"/>
  <c r="P86" i="42" l="1"/>
  <c r="M65" i="42"/>
  <c r="M62" i="42"/>
  <c r="P16" i="39"/>
  <c r="O16" i="39"/>
  <c r="N16" i="39"/>
  <c r="M16" i="39"/>
  <c r="L16" i="39"/>
  <c r="J63" i="36" l="1"/>
  <c r="N92" i="35"/>
  <c r="O92" i="35"/>
  <c r="L92" i="35"/>
  <c r="M92" i="35"/>
  <c r="M89" i="35"/>
  <c r="M87" i="35"/>
  <c r="M84" i="35"/>
  <c r="M83" i="35"/>
  <c r="M82" i="35"/>
  <c r="M79" i="35"/>
  <c r="M78" i="35"/>
  <c r="M77" i="35"/>
  <c r="M76" i="35"/>
  <c r="M75" i="35"/>
  <c r="M74" i="35"/>
  <c r="M73" i="35"/>
  <c r="M72" i="35"/>
  <c r="J92" i="35"/>
  <c r="O50" i="35"/>
  <c r="N50" i="35"/>
  <c r="M50" i="35"/>
  <c r="L50" i="35"/>
  <c r="M44" i="35"/>
  <c r="M85" i="35" l="1"/>
  <c r="M86" i="35" s="1"/>
  <c r="M88" i="35" s="1"/>
  <c r="J50" i="35"/>
  <c r="M64" i="35" l="1"/>
  <c r="N64" i="35"/>
  <c r="O64" i="35"/>
  <c r="L64" i="35"/>
  <c r="N56" i="35"/>
  <c r="J64" i="35" l="1"/>
  <c r="N57" i="35" l="1"/>
  <c r="N58" i="35" s="1"/>
  <c r="N59" i="35" l="1"/>
  <c r="N60" i="35" s="1"/>
  <c r="N44" i="36" l="1"/>
  <c r="F40" i="29" l="1"/>
  <c r="F39" i="29"/>
  <c r="G49" i="28"/>
  <c r="G48" i="28"/>
  <c r="H14" i="46"/>
  <c r="H14" i="44"/>
  <c r="H17" i="42"/>
  <c r="H16" i="42"/>
  <c r="H55" i="40"/>
  <c r="H54" i="40"/>
  <c r="M59" i="40" l="1"/>
  <c r="O60" i="40"/>
  <c r="P59" i="40"/>
  <c r="M60" i="40"/>
  <c r="N58" i="40"/>
  <c r="N78" i="40"/>
  <c r="J78" i="40" s="1"/>
  <c r="O80" i="40"/>
  <c r="M79" i="40"/>
  <c r="J79" i="40" s="1"/>
  <c r="M80" i="40"/>
  <c r="H24" i="31"/>
  <c r="H25" i="31"/>
  <c r="J58" i="40" l="1"/>
  <c r="J80" i="40"/>
  <c r="J60" i="40"/>
  <c r="J59" i="40"/>
  <c r="H57" i="46"/>
  <c r="H53" i="46"/>
  <c r="H22" i="45"/>
  <c r="H57" i="44"/>
  <c r="H53" i="44"/>
  <c r="C40" i="44"/>
  <c r="C39" i="44"/>
  <c r="C38" i="44"/>
  <c r="C37" i="44"/>
  <c r="C36" i="44"/>
  <c r="C35" i="44"/>
  <c r="C34" i="44"/>
  <c r="C33" i="44"/>
  <c r="C32" i="44"/>
  <c r="C31" i="44"/>
  <c r="C30" i="44"/>
  <c r="C29" i="44"/>
  <c r="C28" i="44"/>
  <c r="H33" i="43"/>
  <c r="H22" i="43"/>
  <c r="H21" i="43"/>
  <c r="N45" i="42"/>
  <c r="N39" i="42"/>
  <c r="N38" i="42"/>
  <c r="N37" i="42"/>
  <c r="O27" i="42"/>
  <c r="N27" i="42"/>
  <c r="M27" i="42"/>
  <c r="L27" i="42"/>
  <c r="P26" i="42"/>
  <c r="O26" i="42"/>
  <c r="N26" i="42"/>
  <c r="M26" i="42"/>
  <c r="L26" i="42"/>
  <c r="P25" i="42"/>
  <c r="O25" i="42"/>
  <c r="N25" i="42"/>
  <c r="M25" i="42"/>
  <c r="L25" i="42"/>
  <c r="P22" i="42"/>
  <c r="O22" i="42"/>
  <c r="N22" i="42"/>
  <c r="M22" i="42"/>
  <c r="L22" i="42"/>
  <c r="P21" i="42"/>
  <c r="O21" i="42"/>
  <c r="N21" i="42"/>
  <c r="M21" i="42"/>
  <c r="L21" i="42"/>
  <c r="P20" i="42"/>
  <c r="O20" i="42"/>
  <c r="N20" i="42"/>
  <c r="M20" i="42"/>
  <c r="L20" i="42"/>
  <c r="P15" i="42"/>
  <c r="O15" i="42"/>
  <c r="N15" i="42"/>
  <c r="M15" i="42"/>
  <c r="L15" i="42"/>
  <c r="J75" i="40"/>
  <c r="N38" i="40"/>
  <c r="N37" i="40"/>
  <c r="N36" i="40"/>
  <c r="N35" i="40"/>
  <c r="N34" i="40"/>
  <c r="M28" i="40"/>
  <c r="P53" i="39"/>
  <c r="O53" i="39"/>
  <c r="N53" i="39"/>
  <c r="M53" i="39"/>
  <c r="L53" i="39"/>
  <c r="P52" i="39"/>
  <c r="O52" i="39"/>
  <c r="N52" i="39"/>
  <c r="M52" i="39"/>
  <c r="L52" i="39"/>
  <c r="P51" i="39"/>
  <c r="O51" i="39"/>
  <c r="N51" i="39"/>
  <c r="M51" i="39"/>
  <c r="L51" i="39"/>
  <c r="N37" i="39"/>
  <c r="N55" i="39" s="1"/>
  <c r="N36" i="39"/>
  <c r="N35" i="39"/>
  <c r="O32" i="39"/>
  <c r="M32" i="39"/>
  <c r="O31" i="39"/>
  <c r="M31" i="39"/>
  <c r="N23" i="39"/>
  <c r="L21" i="39"/>
  <c r="L20" i="39"/>
  <c r="L19" i="39"/>
  <c r="H15" i="39"/>
  <c r="P42" i="38"/>
  <c r="O42" i="38"/>
  <c r="M42" i="38"/>
  <c r="L34" i="38"/>
  <c r="L33" i="38"/>
  <c r="L32" i="38"/>
  <c r="L30" i="38"/>
  <c r="M51" i="38" s="1"/>
  <c r="P24" i="38"/>
  <c r="O24" i="38"/>
  <c r="N24" i="38"/>
  <c r="M24" i="38"/>
  <c r="L24" i="38"/>
  <c r="N54" i="39"/>
  <c r="J39" i="36"/>
  <c r="O30" i="35"/>
  <c r="N30" i="35"/>
  <c r="N65" i="35" s="1"/>
  <c r="N66" i="35" s="1"/>
  <c r="M30" i="35"/>
  <c r="M65" i="35" s="1"/>
  <c r="M66" i="35" s="1"/>
  <c r="L30" i="35"/>
  <c r="L65" i="35" s="1"/>
  <c r="O14" i="35"/>
  <c r="N14" i="35"/>
  <c r="M14" i="35"/>
  <c r="L14" i="35"/>
  <c r="N83" i="34"/>
  <c r="N82" i="34"/>
  <c r="F72" i="29" s="1"/>
  <c r="M82" i="34"/>
  <c r="I81" i="28" s="1"/>
  <c r="C74" i="34"/>
  <c r="C33" i="46" s="1"/>
  <c r="C73" i="34"/>
  <c r="C32" i="46" s="1"/>
  <c r="C72" i="34"/>
  <c r="C31" i="46" s="1"/>
  <c r="C71" i="34"/>
  <c r="C30" i="46" s="1"/>
  <c r="C70" i="34"/>
  <c r="C29" i="46" s="1"/>
  <c r="C69" i="34"/>
  <c r="C28" i="46" s="1"/>
  <c r="M37" i="34"/>
  <c r="P36" i="34"/>
  <c r="P82" i="34" s="1"/>
  <c r="O35" i="34"/>
  <c r="H33" i="45" s="1"/>
  <c r="M35" i="34"/>
  <c r="H40" i="43" s="1"/>
  <c r="L15" i="34"/>
  <c r="L83" i="34" s="1"/>
  <c r="G80" i="28" s="1"/>
  <c r="L67" i="33"/>
  <c r="L28" i="39" s="1"/>
  <c r="P66" i="33"/>
  <c r="P31" i="42" s="1"/>
  <c r="O66" i="33"/>
  <c r="O27" i="38" s="1"/>
  <c r="N66" i="33"/>
  <c r="L66" i="33"/>
  <c r="L31" i="42" s="1"/>
  <c r="O55" i="33"/>
  <c r="C27" i="33"/>
  <c r="M66" i="33" s="1"/>
  <c r="P43" i="32"/>
  <c r="P27" i="42" s="1"/>
  <c r="J35" i="32"/>
  <c r="J34" i="32"/>
  <c r="J21" i="32"/>
  <c r="J20" i="32"/>
  <c r="J46" i="29"/>
  <c r="H46" i="29"/>
  <c r="F46" i="29"/>
  <c r="J45" i="29"/>
  <c r="H45" i="29"/>
  <c r="F45" i="29"/>
  <c r="J44" i="29"/>
  <c r="H44" i="29"/>
  <c r="F44" i="29"/>
  <c r="F41" i="29"/>
  <c r="F37" i="29"/>
  <c r="I63" i="28"/>
  <c r="I55" i="28"/>
  <c r="G55" i="28"/>
  <c r="I54" i="28"/>
  <c r="G54" i="28"/>
  <c r="I53" i="28"/>
  <c r="G53" i="28"/>
  <c r="G50" i="28"/>
  <c r="G45" i="28"/>
  <c r="G44" i="28"/>
  <c r="M56" i="39" l="1"/>
  <c r="H54" i="46"/>
  <c r="H54" i="44"/>
  <c r="L56" i="39"/>
  <c r="O56" i="39"/>
  <c r="P56" i="39"/>
  <c r="N56" i="39"/>
  <c r="N61" i="35"/>
  <c r="N53" i="42" s="1"/>
  <c r="L22" i="39"/>
  <c r="M66" i="39" s="1"/>
  <c r="M67" i="39" s="1"/>
  <c r="J20" i="38"/>
  <c r="N67" i="35"/>
  <c r="N68" i="35" s="1"/>
  <c r="M67" i="35"/>
  <c r="M68" i="35" s="1"/>
  <c r="O65" i="35"/>
  <c r="O66" i="35" s="1"/>
  <c r="L66" i="35"/>
  <c r="J30" i="35"/>
  <c r="H76" i="29"/>
  <c r="I82" i="28"/>
  <c r="L27" i="38"/>
  <c r="P27" i="39"/>
  <c r="P45" i="39" s="1"/>
  <c r="O39" i="38"/>
  <c r="O40" i="38" s="1"/>
  <c r="P27" i="38"/>
  <c r="P39" i="38" s="1"/>
  <c r="P40" i="38" s="1"/>
  <c r="P44" i="38" s="1"/>
  <c r="N42" i="40"/>
  <c r="J42" i="38"/>
  <c r="N41" i="40"/>
  <c r="P76" i="42"/>
  <c r="N74" i="42"/>
  <c r="M75" i="42"/>
  <c r="L76" i="42"/>
  <c r="J52" i="39"/>
  <c r="P74" i="42"/>
  <c r="O74" i="42"/>
  <c r="O76" i="42"/>
  <c r="L74" i="42"/>
  <c r="J53" i="39"/>
  <c r="J21" i="42"/>
  <c r="N76" i="42"/>
  <c r="J51" i="39"/>
  <c r="N40" i="42"/>
  <c r="N41" i="42" s="1"/>
  <c r="N75" i="42"/>
  <c r="M74" i="40"/>
  <c r="F47" i="29"/>
  <c r="M31" i="42"/>
  <c r="M27" i="38"/>
  <c r="M39" i="38" s="1"/>
  <c r="M40" i="38" s="1"/>
  <c r="M44" i="38" s="1"/>
  <c r="M27" i="39"/>
  <c r="M45" i="39" s="1"/>
  <c r="H58" i="46"/>
  <c r="N27" i="39"/>
  <c r="N45" i="39" s="1"/>
  <c r="N31" i="42"/>
  <c r="N27" i="38"/>
  <c r="N39" i="38" s="1"/>
  <c r="N40" i="38" s="1"/>
  <c r="N44" i="38" s="1"/>
  <c r="H45" i="44"/>
  <c r="I83" i="28"/>
  <c r="L82" i="34"/>
  <c r="H43" i="46"/>
  <c r="J75" i="29"/>
  <c r="P96" i="42"/>
  <c r="L39" i="38"/>
  <c r="M74" i="42"/>
  <c r="O75" i="42"/>
  <c r="M55" i="38"/>
  <c r="M54" i="38"/>
  <c r="M56" i="38" s="1"/>
  <c r="J43" i="39"/>
  <c r="O82" i="34"/>
  <c r="M76" i="42"/>
  <c r="H58" i="44"/>
  <c r="O31" i="42"/>
  <c r="O27" i="39"/>
  <c r="O45" i="39" s="1"/>
  <c r="M96" i="42"/>
  <c r="H23" i="44"/>
  <c r="L75" i="42"/>
  <c r="P75" i="42"/>
  <c r="H14" i="45"/>
  <c r="N96" i="42"/>
  <c r="L31" i="38"/>
  <c r="M50" i="38" s="1"/>
  <c r="M52" i="38" s="1"/>
  <c r="L27" i="39"/>
  <c r="L45" i="39" s="1"/>
  <c r="J28" i="40"/>
  <c r="J20" i="42"/>
  <c r="J22" i="42"/>
  <c r="H66" i="27" l="1"/>
  <c r="H65" i="27"/>
  <c r="H42" i="27"/>
  <c r="H41" i="27"/>
  <c r="N83" i="42"/>
  <c r="P82" i="42"/>
  <c r="N82" i="42"/>
  <c r="O82" i="42"/>
  <c r="M83" i="42"/>
  <c r="P83" i="42"/>
  <c r="O83" i="42"/>
  <c r="P84" i="42"/>
  <c r="M84" i="42"/>
  <c r="M82" i="42"/>
  <c r="L82" i="42"/>
  <c r="N84" i="42"/>
  <c r="O84" i="42"/>
  <c r="L84" i="42"/>
  <c r="F67" i="29"/>
  <c r="O44" i="38"/>
  <c r="N69" i="35"/>
  <c r="N57" i="42" s="1"/>
  <c r="N86" i="42" s="1"/>
  <c r="M69" i="35"/>
  <c r="M57" i="42" s="1"/>
  <c r="M86" i="42" s="1"/>
  <c r="J65" i="35"/>
  <c r="O66" i="39"/>
  <c r="O67" i="39" s="1"/>
  <c r="O25" i="40" s="1"/>
  <c r="O69" i="40" s="1"/>
  <c r="O84" i="40" s="1"/>
  <c r="O67" i="35"/>
  <c r="O68" i="35" s="1"/>
  <c r="L67" i="35"/>
  <c r="J66" i="35"/>
  <c r="P62" i="39"/>
  <c r="P63" i="39" s="1"/>
  <c r="P24" i="40" s="1"/>
  <c r="P69" i="40" s="1"/>
  <c r="P20" i="40"/>
  <c r="P64" i="40" s="1"/>
  <c r="J51" i="29"/>
  <c r="O62" i="39"/>
  <c r="O63" i="39" s="1"/>
  <c r="H52" i="29" s="1"/>
  <c r="N43" i="40"/>
  <c r="J74" i="42"/>
  <c r="J76" i="42"/>
  <c r="M62" i="39"/>
  <c r="M63" i="39" s="1"/>
  <c r="M24" i="40" s="1"/>
  <c r="M70" i="40" s="1"/>
  <c r="M85" i="40"/>
  <c r="J74" i="40"/>
  <c r="N20" i="40"/>
  <c r="N63" i="40" s="1"/>
  <c r="F51" i="29"/>
  <c r="L62" i="39"/>
  <c r="J45" i="39"/>
  <c r="M78" i="42"/>
  <c r="M25" i="40"/>
  <c r="I62" i="28"/>
  <c r="M20" i="40"/>
  <c r="M65" i="40" s="1"/>
  <c r="I59" i="28"/>
  <c r="H16" i="43"/>
  <c r="G79" i="28"/>
  <c r="L96" i="42"/>
  <c r="J75" i="42"/>
  <c r="L83" i="42"/>
  <c r="M58" i="38"/>
  <c r="J39" i="38"/>
  <c r="L40" i="38"/>
  <c r="L44" i="38" s="1"/>
  <c r="O96" i="42"/>
  <c r="H23" i="46"/>
  <c r="O20" i="40" l="1"/>
  <c r="O65" i="40" s="1"/>
  <c r="P84" i="40"/>
  <c r="M86" i="40"/>
  <c r="F28" i="29"/>
  <c r="G35" i="28"/>
  <c r="G36" i="28"/>
  <c r="F29" i="29"/>
  <c r="H25" i="43"/>
  <c r="J67" i="39"/>
  <c r="J66" i="39"/>
  <c r="H53" i="29"/>
  <c r="H51" i="29"/>
  <c r="J82" i="42"/>
  <c r="M79" i="42"/>
  <c r="M89" i="42"/>
  <c r="P89" i="42"/>
  <c r="J52" i="29"/>
  <c r="J56" i="39"/>
  <c r="O24" i="40"/>
  <c r="O70" i="40" s="1"/>
  <c r="O86" i="40" s="1"/>
  <c r="O69" i="35"/>
  <c r="O57" i="42" s="1"/>
  <c r="O86" i="42" s="1"/>
  <c r="J67" i="35"/>
  <c r="L68" i="35"/>
  <c r="J25" i="40"/>
  <c r="N73" i="40"/>
  <c r="J73" i="40" s="1"/>
  <c r="F54" i="29"/>
  <c r="N62" i="39"/>
  <c r="N63" i="39" s="1"/>
  <c r="F52" i="29" s="1"/>
  <c r="L78" i="42"/>
  <c r="I61" i="28"/>
  <c r="J40" i="38"/>
  <c r="J83" i="42"/>
  <c r="N78" i="42"/>
  <c r="O78" i="42"/>
  <c r="L63" i="39"/>
  <c r="J63" i="40"/>
  <c r="J85" i="40"/>
  <c r="H32" i="43"/>
  <c r="I70" i="28"/>
  <c r="I60" i="28"/>
  <c r="M21" i="40"/>
  <c r="J21" i="40" s="1"/>
  <c r="J84" i="42"/>
  <c r="J65" i="40"/>
  <c r="P78" i="42"/>
  <c r="H30" i="45"/>
  <c r="H61" i="29"/>
  <c r="H31" i="45" l="1"/>
  <c r="J61" i="29"/>
  <c r="H36" i="43"/>
  <c r="N79" i="42"/>
  <c r="O89" i="42"/>
  <c r="P79" i="42"/>
  <c r="O79" i="42"/>
  <c r="L79" i="42"/>
  <c r="M97" i="42"/>
  <c r="H40" i="46"/>
  <c r="J70" i="40"/>
  <c r="J68" i="35"/>
  <c r="L69" i="35"/>
  <c r="N24" i="40"/>
  <c r="N68" i="40" s="1"/>
  <c r="N83" i="40" s="1"/>
  <c r="J62" i="39"/>
  <c r="L20" i="40"/>
  <c r="J44" i="38"/>
  <c r="G59" i="28"/>
  <c r="I71" i="28"/>
  <c r="H20" i="44"/>
  <c r="J63" i="39"/>
  <c r="L24" i="40"/>
  <c r="G61" i="28"/>
  <c r="J78" i="42"/>
  <c r="J86" i="40" l="1"/>
  <c r="H62" i="29"/>
  <c r="H20" i="46"/>
  <c r="P97" i="42"/>
  <c r="I75" i="28"/>
  <c r="M98" i="42"/>
  <c r="L97" i="42"/>
  <c r="O97" i="42"/>
  <c r="N97" i="42"/>
  <c r="F66" i="29" s="1"/>
  <c r="J69" i="35"/>
  <c r="L57" i="42"/>
  <c r="L86" i="42" s="1"/>
  <c r="J68" i="40"/>
  <c r="H18" i="45"/>
  <c r="J24" i="40"/>
  <c r="M69" i="40"/>
  <c r="J20" i="40"/>
  <c r="M64" i="40"/>
  <c r="M84" i="40" l="1"/>
  <c r="L89" i="42"/>
  <c r="H66" i="29"/>
  <c r="O98" i="42"/>
  <c r="H19" i="44"/>
  <c r="I74" i="28"/>
  <c r="J97" i="42"/>
  <c r="G75" i="28"/>
  <c r="J66" i="29"/>
  <c r="P98" i="42"/>
  <c r="J83" i="40"/>
  <c r="F60" i="29"/>
  <c r="J69" i="40"/>
  <c r="J64" i="40"/>
  <c r="H21" i="44" l="1"/>
  <c r="I76" i="28" s="1"/>
  <c r="H65" i="29"/>
  <c r="H19" i="46"/>
  <c r="J65" i="29"/>
  <c r="H39" i="46"/>
  <c r="H31" i="43"/>
  <c r="J84" i="40"/>
  <c r="I69" i="28"/>
  <c r="H24" i="44" l="1"/>
  <c r="H37" i="44" s="1"/>
  <c r="H33" i="44"/>
  <c r="H21" i="46"/>
  <c r="H41" i="46"/>
  <c r="H32" i="44"/>
  <c r="H30" i="27" s="1"/>
  <c r="H36" i="44"/>
  <c r="H34" i="27" s="1"/>
  <c r="H38" i="44"/>
  <c r="H36" i="27" s="1"/>
  <c r="H31" i="27"/>
  <c r="H35" i="27"/>
  <c r="H39" i="44"/>
  <c r="H34" i="44"/>
  <c r="H28" i="44"/>
  <c r="H35" i="44"/>
  <c r="H30" i="44"/>
  <c r="H40" i="44"/>
  <c r="H29" i="44"/>
  <c r="H31" i="44"/>
  <c r="H35" i="43"/>
  <c r="J57" i="42"/>
  <c r="H68" i="29" l="1"/>
  <c r="H24" i="46"/>
  <c r="H28" i="46" s="1"/>
  <c r="H45" i="46"/>
  <c r="G25" i="28"/>
  <c r="G29" i="28"/>
  <c r="G24" i="28"/>
  <c r="G30" i="28"/>
  <c r="G28" i="28"/>
  <c r="J68" i="29"/>
  <c r="H44" i="42"/>
  <c r="N46" i="42" s="1"/>
  <c r="N89" i="42" s="1"/>
  <c r="N98" i="42" s="1"/>
  <c r="H38" i="27"/>
  <c r="H27" i="27"/>
  <c r="H28" i="27"/>
  <c r="H29" i="27"/>
  <c r="H33" i="27"/>
  <c r="H37" i="27"/>
  <c r="H26" i="27"/>
  <c r="H47" i="44"/>
  <c r="H32" i="27"/>
  <c r="J86" i="42"/>
  <c r="H29" i="46" l="1"/>
  <c r="H58" i="27" s="1"/>
  <c r="H32" i="46"/>
  <c r="H30" i="46"/>
  <c r="H59" i="27" s="1"/>
  <c r="H33" i="46"/>
  <c r="H62" i="27" s="1"/>
  <c r="H31" i="46"/>
  <c r="H60" i="27" s="1"/>
  <c r="G26" i="28"/>
  <c r="G21" i="28"/>
  <c r="G31" i="28"/>
  <c r="G23" i="28"/>
  <c r="G32" i="28"/>
  <c r="G20" i="28"/>
  <c r="G27" i="28"/>
  <c r="G22" i="28"/>
  <c r="H57" i="27"/>
  <c r="H61" i="27"/>
  <c r="F65" i="29"/>
  <c r="H17" i="45"/>
  <c r="J89" i="42"/>
  <c r="L98" i="42"/>
  <c r="F24" i="29" l="1"/>
  <c r="F20" i="29"/>
  <c r="F25" i="29"/>
  <c r="F21" i="29"/>
  <c r="F23" i="29"/>
  <c r="F22" i="29"/>
  <c r="H19" i="45"/>
  <c r="H14" i="43"/>
  <c r="G74" i="28"/>
  <c r="J98" i="42"/>
  <c r="F68" i="29" l="1"/>
  <c r="H17" i="43"/>
  <c r="G76" i="28"/>
  <c r="H18" i="43" l="1"/>
  <c r="H24" i="43" s="1"/>
  <c r="H17" i="27" l="1"/>
  <c r="G9" i="28" s="1"/>
  <c r="H38" i="43"/>
  <c r="H18" i="27"/>
  <c r="H42" i="43" l="1"/>
  <c r="H43" i="43" l="1"/>
  <c r="H46" i="44" l="1"/>
  <c r="H21" i="45"/>
  <c r="H21" i="27"/>
  <c r="G15" i="28" l="1"/>
  <c r="H23" i="45"/>
  <c r="H48" i="44"/>
  <c r="F69" i="29" l="1"/>
  <c r="H22" i="27"/>
  <c r="H25" i="45"/>
  <c r="B19" i="10"/>
  <c r="G16" i="28" l="1"/>
  <c r="H26" i="45"/>
  <c r="B20" i="10"/>
  <c r="H46" i="46" l="1"/>
  <c r="H49" i="27"/>
  <c r="H34" i="45"/>
  <c r="B21" i="10"/>
  <c r="B25" i="10" s="1"/>
  <c r="F9" i="29" l="1"/>
  <c r="H35" i="45"/>
  <c r="H47" i="46"/>
  <c r="H48" i="46" l="1"/>
  <c r="H52" i="27"/>
  <c r="F15" i="29" l="1"/>
  <c r="H53" i="27"/>
  <c r="F16"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25" authorId="0" shapeId="0" xr:uid="{00000000-0006-0000-0300-000001000000}">
      <text>
        <r>
          <rPr>
            <sz val="8"/>
            <color indexed="81"/>
            <rFont val="Tahoma"/>
            <family val="2"/>
          </rPr>
          <t xml:space="preserve">In alle gevallen wordt een (groep van) roze cel(len) voorzien van een notitie die uitlegt wat er bijzonder is aan de betreffende gegevens of berekening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P43" authorId="0" shapeId="0" xr:uid="{1212EB3B-CF13-42C4-9B7A-608FF4169035}">
      <text>
        <r>
          <rPr>
            <sz val="8"/>
            <color indexed="81"/>
            <rFont val="Tahoma"/>
            <family val="2"/>
          </rPr>
          <t>Percentaqe niet afzonderlijk bepaald voor drinkwater per truck. Aanname: gelijkgesteld aan drinkwater via het netwerk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24" authorId="0" shapeId="0" xr:uid="{B224436C-385E-4D20-9CA2-069F2BEAA2A8}">
      <text>
        <r>
          <rPr>
            <sz val="8"/>
            <color indexed="81"/>
            <rFont val="Tahoma"/>
            <family val="2"/>
          </rPr>
          <t xml:space="preserve">Voor de categorieën 3*25 en 3*35 wordt een rekencapaciteit van 4,4 gehanteerd (in plaats van de hogere technische capaciteit)
</t>
        </r>
      </text>
    </comment>
    <comment ref="M42" authorId="0" shapeId="0" xr:uid="{57C95EC7-1B9D-443F-A722-45EAC9B98F7A}">
      <text>
        <r>
          <rPr>
            <sz val="8"/>
            <color indexed="81"/>
            <rFont val="Tahoma"/>
            <family val="2"/>
          </rPr>
          <t>Op basis van vastgesteld gemiddeld verwacht verbruik van 2500 kWh per aansluiting per jaar.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C72" authorId="0" shapeId="0" xr:uid="{D204EBE9-A40D-4481-AEF4-9627F59D91BD}">
      <text>
        <r>
          <rPr>
            <sz val="9"/>
            <color indexed="81"/>
            <rFont val="Tahoma"/>
            <family val="2"/>
          </rPr>
          <t xml:space="preserve">Nieuwe categorie. Rekencapaciteit voorgesteld door WEB, overgenomen door ACM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N18" authorId="0" shapeId="0" xr:uid="{272BFFE7-0710-495F-9469-6E5280D82AB4}">
      <text>
        <r>
          <rPr>
            <sz val="8"/>
            <color indexed="81"/>
            <rFont val="Tahoma"/>
            <family val="2"/>
          </rPr>
          <t>Inclusief kosten nieuwe drinkwaterfaciliteit (kapitaalkosten en OPEX)  en kosten elektriciteitsaansluiting (dit betreft allemaal vaste kosten)</t>
        </r>
      </text>
    </comment>
    <comment ref="N21" authorId="0" shapeId="0" xr:uid="{04A0E86A-CF56-40FD-A2F8-6378260917BC}">
      <text>
        <r>
          <rPr>
            <sz val="8"/>
            <color indexed="81"/>
            <rFont val="Tahoma"/>
            <family val="2"/>
          </rPr>
          <t>Inclusief kosten nieuwe drinkwaterfaciliteit (kapitaalkosten en OPEX)  en kosten elektriciteitsaansluiting (dit betreft allemaal vaste kosten)</t>
        </r>
      </text>
    </comment>
    <comment ref="N23" authorId="0" shapeId="0" xr:uid="{F1AE3C91-3254-472D-9581-00C8E9D45BB1}">
      <text>
        <r>
          <rPr>
            <sz val="8"/>
            <color indexed="81"/>
            <rFont val="Tahoma"/>
            <family val="2"/>
          </rPr>
          <t>Inclusief kosten nieuwe drinkwaterfaciliteit (kapitaalkosten en OPEX)  en kosten elektriciteitsaansluiting (dit betreft allemaal vaste kosten)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L58" authorId="0" shapeId="0" xr:uid="{2D852B13-430C-413F-ACF8-CE294730B619}">
      <text>
        <r>
          <rPr>
            <sz val="8"/>
            <color indexed="81"/>
            <rFont val="Tahoma"/>
            <family val="2"/>
          </rPr>
          <t xml:space="preserve">Correctiebedragen die zien op productie elektriciteit gaan mee in totale correctie op variabel gebruikstarief elektriciteit
</t>
        </r>
      </text>
    </comment>
    <comment ref="M59" authorId="0" shapeId="0" xr:uid="{35523D96-C014-467E-900D-D1EAEF3AC259}">
      <text>
        <r>
          <rPr>
            <sz val="8"/>
            <color indexed="81"/>
            <rFont val="Tahoma"/>
            <family val="2"/>
          </rPr>
          <t xml:space="preserve">Correctiebedragen die zien op productie elektriciteit gaan mee in totale correctie op variabel gebruikstarief elektriciteit
</t>
        </r>
      </text>
    </comment>
    <comment ref="L63" authorId="0" shapeId="0" xr:uid="{8D6A1535-A606-4D46-82F8-DE61FF0A0682}">
      <text>
        <r>
          <rPr>
            <sz val="8"/>
            <color indexed="81"/>
            <rFont val="Tahoma"/>
            <family val="2"/>
          </rPr>
          <t xml:space="preserve">Correctiebedragen die zien op productie elektriciteit gaan mee in totale correctie op variabel gebruikstarief elektriciteit
</t>
        </r>
      </text>
    </comment>
    <comment ref="M64" authorId="0" shapeId="0" xr:uid="{93B17CB6-F2CD-4332-8B11-628042D67B6E}">
      <text>
        <r>
          <rPr>
            <sz val="8"/>
            <color indexed="81"/>
            <rFont val="Tahoma"/>
            <family val="2"/>
          </rPr>
          <t xml:space="preserve">Correctiebedragen die zien op productie elektriciteit gaan mee in totale correctie op variabel gebruikstarief elektriciteit
</t>
        </r>
      </text>
    </comment>
    <comment ref="L68" authorId="0" shapeId="0" xr:uid="{19AC6725-4C0A-42FF-9031-BE9E044E478D}">
      <text>
        <r>
          <rPr>
            <sz val="8"/>
            <color indexed="81"/>
            <rFont val="Tahoma"/>
            <family val="2"/>
          </rPr>
          <t xml:space="preserve">Correctiebedragen die zien op productie elektriciteit gaan mee in totale correctie op variabel gebruikstarief elektriciteit
</t>
        </r>
      </text>
    </comment>
    <comment ref="M69" authorId="0" shapeId="0" xr:uid="{F3919196-CC21-4A63-A8C1-F7FF555CA1DE}">
      <text>
        <r>
          <rPr>
            <sz val="8"/>
            <color indexed="81"/>
            <rFont val="Tahoma"/>
            <family val="2"/>
          </rPr>
          <t xml:space="preserve">Correctiebedragen die zien op productie elektriciteit gaan mee in totale correctie op variabel gebruikstarief elektriciteit
</t>
        </r>
      </text>
    </comment>
    <comment ref="L78" authorId="0" shapeId="0" xr:uid="{175BA3A9-5170-4C97-B7B1-17CCB347346F}">
      <text>
        <r>
          <rPr>
            <sz val="8"/>
            <color indexed="81"/>
            <rFont val="Tahoma"/>
            <family val="2"/>
          </rPr>
          <t xml:space="preserve">Correctiebedragen die zien op productie elektriciteit gaan mee in totale correctie op variabel gebruikstarief elektriciteit
</t>
        </r>
      </text>
    </comment>
    <comment ref="M79" authorId="0" shapeId="0" xr:uid="{ED6C5153-2DB3-4909-81CA-934818E13922}">
      <text>
        <r>
          <rPr>
            <sz val="8"/>
            <color indexed="81"/>
            <rFont val="Tahoma"/>
            <family val="2"/>
          </rPr>
          <t xml:space="preserve">Correctiebedragen die zien op productie elektriciteit gaan mee in totale correctie op variabel gebruikstarief elektriciteit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N89" authorId="0" shapeId="0" xr:uid="{F1B557CA-0246-416E-9890-3783858076BF}">
      <text>
        <r>
          <rPr>
            <sz val="8"/>
            <color indexed="81"/>
            <rFont val="Tahoma"/>
            <family val="2"/>
          </rPr>
          <t>Inclusief kosten elektriciteitsaansluiting</t>
        </r>
      </text>
    </comment>
  </commentList>
</comments>
</file>

<file path=xl/sharedStrings.xml><?xml version="1.0" encoding="utf-8"?>
<sst xmlns="http://schemas.openxmlformats.org/spreadsheetml/2006/main" count="1789" uniqueCount="790">
  <si>
    <t>Titelblad</t>
  </si>
  <si>
    <t>Over dit bestand</t>
  </si>
  <si>
    <t>Zaaknummer</t>
  </si>
  <si>
    <t>Titel</t>
  </si>
  <si>
    <t>Ondertitel</t>
  </si>
  <si>
    <t>Hoort bij besluit(en):</t>
  </si>
  <si>
    <t>Samenhang met andere rekenbestanden</t>
  </si>
  <si>
    <t>Overig opmerkingen</t>
  </si>
  <si>
    <t>Over de status van dit bestand</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</si>
  <si>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</si>
  <si>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</si>
  <si>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</si>
  <si>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</si>
  <si>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</si>
  <si>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</si>
  <si>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</si>
  <si>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</si>
  <si>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Bronnenoverzicht en specifieke toepassingen</t>
  </si>
  <si>
    <t>Bronnenoverzicht</t>
  </si>
  <si>
    <t>Eenheid</t>
  </si>
  <si>
    <t>Constante</t>
  </si>
  <si>
    <t>Beschrijving gegevens</t>
  </si>
  <si>
    <t>Toelichting bij bijzonderheden</t>
  </si>
  <si>
    <t>Data</t>
  </si>
  <si>
    <t>Berekening</t>
  </si>
  <si>
    <t>Resultaat</t>
  </si>
  <si>
    <t>Tabkleur</t>
  </si>
  <si>
    <t>Tabblad met input</t>
  </si>
  <si>
    <t>Tabblad met berekeningen</t>
  </si>
  <si>
    <t>Input --&gt;</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</si>
  <si>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</si>
  <si>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</si>
  <si>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</si>
  <si>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</si>
  <si>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</si>
  <si>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</si>
  <si>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</si>
  <si>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</si>
  <si>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</si>
  <si>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Ophalen gegevens voor berekening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</si>
  <si>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</si>
  <si>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</si>
  <si>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</si>
  <si>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</si>
  <si>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</si>
  <si>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Nr.</t>
  </si>
  <si>
    <t xml:space="preserve">Verkorte naam </t>
  </si>
  <si>
    <t>Beschrijving berekening</t>
  </si>
  <si>
    <t>Beschrijving resultaat</t>
  </si>
  <si>
    <t xml:space="preserve">Bij inhoudelijke verschillen tussen de berekening in dit bestand en de berekening zoals die volgt uit het bijbehorende besluit, is het besluit leidend. </t>
  </si>
  <si>
    <t>Zoals gebruikt in dit bestand</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</si>
  <si>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</si>
  <si>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</si>
  <si>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Mogelijkheden van bezwaar en beroep staan open tegen het besluit waarbij dit bestand hoort (zie kenmerken hierboven)</t>
  </si>
  <si>
    <t>Data en input (bron wordt vermeld)</t>
  </si>
  <si>
    <t>Berekende waarde die wordt opgehaald op een ander tabblad, incl. (eind)resultaat van berekening</t>
  </si>
  <si>
    <t>Gestandaardiseerde tabbladen, omvat tenminste: 'Titelblad', 'Toelichting' en 'Bronnen en toepassingen' (kleur: ACM-lichtpaars)</t>
  </si>
  <si>
    <t>Definitief? (ja/nee)</t>
  </si>
  <si>
    <t>Indien publicatie, datum van dit bestand:</t>
  </si>
  <si>
    <t>Indien definitief, wordt bestand openbaar en/of gepubliceerd? (ja/nee)</t>
  </si>
  <si>
    <t>Juridisch integraal onderdeel van bovenstaande besluit(en) (ja/nee)?</t>
  </si>
  <si>
    <t>Indien publicatie, bevat bedrijfsvertrouwelijke gegevens? (ja/nee)</t>
  </si>
  <si>
    <t>[ EINDE TABBLAD ]</t>
  </si>
  <si>
    <t>Naam bestand</t>
  </si>
  <si>
    <t>Aanvullende gegevens bestand</t>
  </si>
  <si>
    <t>Datum/wijze ontvangst, versie nr., URL, etc.</t>
  </si>
  <si>
    <t>Dit blad dient als scheidingstabblad en moet leeg blijven</t>
  </si>
  <si>
    <t>Op dit blad mogen geen teksten, gegevens of berekeningen worden opgenomen</t>
  </si>
  <si>
    <t>Waarde of berekening die speciale aandacht vraagt (zie toelichting in notitie)</t>
  </si>
  <si>
    <t>Deze berekening is ontwikkeld in het standaardsjabloon van ACM Directie Toezicht Energie, versie 6 (april 2024)</t>
  </si>
  <si>
    <t>Periode van toepassing</t>
  </si>
  <si>
    <t>Productieprijzen</t>
  </si>
  <si>
    <t>USD, pp 2024 / kWh</t>
  </si>
  <si>
    <t>Omdat het tarief voor WEB niet langer een brandstofcomponent bevat, is dit tarief geldig voor 12 maanden.</t>
  </si>
  <si>
    <t>maandelijkse aanpassing</t>
  </si>
  <si>
    <t>Deze productieprijs (die overigens niet formeel wordt vastgesteld) volgt uit het gewogen gemiddelde van productieprijs WEB en maandelijks bijgestelde productieprijs van CGB.</t>
  </si>
  <si>
    <t>Variabele distributietarieven</t>
  </si>
  <si>
    <t>Pagabontarief elektriciteit</t>
  </si>
  <si>
    <t>Vaste distributietarieven elektriciteit</t>
  </si>
  <si>
    <t>Aansluitcategorie</t>
  </si>
  <si>
    <t>Rekencapaciteit</t>
  </si>
  <si>
    <t>1*25</t>
  </si>
  <si>
    <t>3*25</t>
  </si>
  <si>
    <t>3*35</t>
  </si>
  <si>
    <t>3*50</t>
  </si>
  <si>
    <t>3*63</t>
  </si>
  <si>
    <t>3*80</t>
  </si>
  <si>
    <t>3*100</t>
  </si>
  <si>
    <t>3*125</t>
  </si>
  <si>
    <t>3*80 (380Volt)</t>
  </si>
  <si>
    <t>3*160</t>
  </si>
  <si>
    <t>3*100 (380Volt)</t>
  </si>
  <si>
    <t>3*200</t>
  </si>
  <si>
    <t xml:space="preserve">Grootverbruikers </t>
  </si>
  <si>
    <t>Grootverbruikers betalen dit tarief per kVA per maand.</t>
  </si>
  <si>
    <t>Aansluittarieven</t>
  </si>
  <si>
    <t>Heraansluittarief</t>
  </si>
  <si>
    <t>USD, pp 2024</t>
  </si>
  <si>
    <t>Aansluittarief (standaardaansluiting)</t>
  </si>
  <si>
    <t>Tarief voor meerlengte valt onder maatwerk</t>
  </si>
  <si>
    <t>Productieprijs</t>
  </si>
  <si>
    <t>Variabel distributietarief</t>
  </si>
  <si>
    <t>Tarief voor levering drinkwater per truck</t>
  </si>
  <si>
    <t>Vaste distributietarieven drinkwater</t>
  </si>
  <si>
    <t>1/2 ''</t>
  </si>
  <si>
    <t>3/4 ''</t>
  </si>
  <si>
    <t>1''</t>
  </si>
  <si>
    <t>1 1/4"</t>
  </si>
  <si>
    <t>2''</t>
  </si>
  <si>
    <t>4''</t>
  </si>
  <si>
    <t>Dictum en Bijlagen Besluit: tarieven en belangrijkste gegevens Elektriciteit</t>
  </si>
  <si>
    <t>Tarieven voor in het dictum van het besluit over productieprijs</t>
  </si>
  <si>
    <t>Productieprijs WEB excl. brandstofkosten</t>
  </si>
  <si>
    <t>Tarief</t>
  </si>
  <si>
    <t>Variabel gebruikstarief</t>
  </si>
  <si>
    <t>Vaste gebruikstarieven elektriciteit</t>
  </si>
  <si>
    <t xml:space="preserve">grootverbruikers </t>
  </si>
  <si>
    <t xml:space="preserve">Eenheid </t>
  </si>
  <si>
    <t>Parameters</t>
  </si>
  <si>
    <t>%</t>
  </si>
  <si>
    <t>Geschatte inflatie 2024</t>
  </si>
  <si>
    <t>Percentage voor profit sharing</t>
  </si>
  <si>
    <t>Elektriciteit productie</t>
  </si>
  <si>
    <t>Elektriciteit distributie</t>
  </si>
  <si>
    <t>Reguliere correcties</t>
  </si>
  <si>
    <t>USD, pp 2023</t>
  </si>
  <si>
    <t>Eenmalige correcties</t>
  </si>
  <si>
    <t>Correctiebedragen per tarief</t>
  </si>
  <si>
    <t>Correctiebedrag te verrekenen in vast gebruikstarief</t>
  </si>
  <si>
    <t xml:space="preserve">   waarvan bedrag aan variabele kosten</t>
  </si>
  <si>
    <t>kWh</t>
  </si>
  <si>
    <t>Totale geraamde netwerkcapaciteit (in aansluitwaarde)</t>
  </si>
  <si>
    <t>kVA</t>
  </si>
  <si>
    <t>Rekenwaarde Pagabonverbruik</t>
  </si>
  <si>
    <t>kWh / maand</t>
  </si>
  <si>
    <t>Opmerkingen:</t>
  </si>
  <si>
    <t>pp staat voor prijspeil</t>
  </si>
  <si>
    <t>* In verband met het sterk afgenomen productieniveau van WEB zijn alle correcties over productie verwerkt in het variabel gebruikstarief.</t>
  </si>
  <si>
    <t>Dictum en Bijlagen Besluit: tarieven en belangrijkste gegevens Drinkwater</t>
  </si>
  <si>
    <t>Productieprijs drinkwater</t>
  </si>
  <si>
    <t>Vastgestelde distributietarieven voor WEB 2024 - drinkwater</t>
  </si>
  <si>
    <t>Variabele gebruikstarieven</t>
  </si>
  <si>
    <t>Vaste gebruikstarieven drinkwater</t>
  </si>
  <si>
    <t>Drinkwater  productie</t>
  </si>
  <si>
    <t>Drinkwater distributie</t>
  </si>
  <si>
    <t>Drinkwater via wegtransport</t>
  </si>
  <si>
    <t>Correctiebedrag te verrekenen in productieprijs</t>
  </si>
  <si>
    <t>Correctiebedrag te verrekenen in variabel gebruikstarief</t>
  </si>
  <si>
    <t xml:space="preserve">   waarvan bedrag vergoeding nieuwe waterplant</t>
  </si>
  <si>
    <t xml:space="preserve">   aanvullend: geraamde elektriciteitskosten voor drinkwaterproductie</t>
  </si>
  <si>
    <t>Schatting productievolume (totaal) voor 2024</t>
  </si>
  <si>
    <t>m3</t>
  </si>
  <si>
    <t>Geschat rendement productie WEB</t>
  </si>
  <si>
    <t>kWh / m3</t>
  </si>
  <si>
    <t>Schatting distributievolume drinkwater via netwerk (aansluitcapaciteit)</t>
  </si>
  <si>
    <t>inch^2</t>
  </si>
  <si>
    <t>Schatting distributievolume drinkwater via wegtransport</t>
  </si>
  <si>
    <t>* Exclusief kosten nieuwe drinkwaterplant geactiveerd in 2021</t>
  </si>
  <si>
    <t>Enkele parameters en gegevens die de ACM nodig heeft in de berekeningen in dit bestand.</t>
  </si>
  <si>
    <t>De CPI ontwikkeling tussen Q3 jaar T en Q3 jaar T-1 wordt gebruikt als de geschatte inflatie voor jaar T+1. De geschatte inflatie wordt afgerond op één decimaal.</t>
  </si>
  <si>
    <t>Vanaf de ontwikkeling tussen Q3 2018 en Q3 2019 maken we gebruik van de 2017 = 100 reeks. Hiervoor werd gebruik gemaakt van de reeks 2010 = 100.</t>
  </si>
  <si>
    <t>Wettelijke rente CNL</t>
  </si>
  <si>
    <t>1+%</t>
  </si>
  <si>
    <t>Besluit WACC voor 2023-2025</t>
  </si>
  <si>
    <t>Profit sharing</t>
  </si>
  <si>
    <t>Percentage profit sharing</t>
  </si>
  <si>
    <t>Elektriciteit-productie</t>
  </si>
  <si>
    <t>Elektriciteit-distributie</t>
  </si>
  <si>
    <t>Water-productie</t>
  </si>
  <si>
    <t>Water-distributie</t>
  </si>
  <si>
    <t>Water per truck</t>
  </si>
  <si>
    <t>Kapitaalkosten</t>
  </si>
  <si>
    <t>Totale waarde RAB ultimo 2022</t>
  </si>
  <si>
    <t>USD</t>
  </si>
  <si>
    <t>Totale waarde RAB ultimo 2023</t>
  </si>
  <si>
    <t>Totale waarde RAB ultimo 2024</t>
  </si>
  <si>
    <t>Operationele kosten</t>
  </si>
  <si>
    <t>Input bepaling variabele kosten</t>
  </si>
  <si>
    <t>Tarievenvoorstel WEB voor 2024</t>
  </si>
  <si>
    <t>Percentage variabele operationele kosten van totale netto OPEX</t>
  </si>
  <si>
    <t>Percentages afgerond op één decimaal.</t>
  </si>
  <si>
    <t>Productie Elektriciteit</t>
  </si>
  <si>
    <t>Productie WEB met PV</t>
  </si>
  <si>
    <t>Deze productie van WEB bevat ook een kleine productie met de generatoren bij Barcadera.</t>
  </si>
  <si>
    <t>Productie Drinkwater</t>
  </si>
  <si>
    <t>Totale productie</t>
  </si>
  <si>
    <t>Rekencapaciteit (gewicht o.b.v. kVA)</t>
  </si>
  <si>
    <t>#</t>
  </si>
  <si>
    <t>Beantwoording informatieverzoek vraag 10 - 15 (vraag 11)</t>
  </si>
  <si>
    <t>Excl. Pagabon</t>
  </si>
  <si>
    <t>Volumegegevens Pagabon (elektriciteit)</t>
  </si>
  <si>
    <t>Volume Pagabon (gewicht 4,4 kVA)</t>
  </si>
  <si>
    <t>Pagabon rekenwaarde voor gemiddeld verbruik</t>
  </si>
  <si>
    <t>Beantwoording informatieverzoek vraag 10 - 15 (vraag 13)</t>
  </si>
  <si>
    <t>Rekencapaciteit (inches^2)</t>
  </si>
  <si>
    <t>Beantwoording informatieverzoek vraag 10 - 15 (vraag 12)</t>
  </si>
  <si>
    <t>1 1/4''</t>
  </si>
  <si>
    <t>Totaal aantal aangeslotenen</t>
  </si>
  <si>
    <t>Eenheid waarin volume is uitgedrukt</t>
  </si>
  <si>
    <t>(zie kolom)</t>
  </si>
  <si>
    <t>Gerealiseerd volume WEB</t>
  </si>
  <si>
    <t>Totaal gerealiseerd volume (productie)</t>
  </si>
  <si>
    <t>Productie WEB</t>
  </si>
  <si>
    <t>Productie CGB</t>
  </si>
  <si>
    <t>Geschat productievolume CGB (totaal)</t>
  </si>
  <si>
    <t>Volume is afgestemd tussen CGB en WEB</t>
  </si>
  <si>
    <t>Verwachte deel verkoopvolume in eerste helft van 2024</t>
  </si>
  <si>
    <t>Opgave door WEB op basis van verhouding analyse 2024.</t>
  </si>
  <si>
    <t>Productie Drinkwater - elektriciteitsgebruik</t>
  </si>
  <si>
    <t>Rendement productie WEB drinkwater</t>
  </si>
  <si>
    <t>kWh/m3</t>
  </si>
  <si>
    <t xml:space="preserve">Totaal kVA voor elektriciteitsaansluiting voor de productie van drinkwater </t>
  </si>
  <si>
    <t>KVA</t>
  </si>
  <si>
    <t>Distributiegegevens (divers)</t>
  </si>
  <si>
    <t xml:space="preserve">Tariefcategorieën en aansluitingen </t>
  </si>
  <si>
    <t>Inclusief Pagabon</t>
  </si>
  <si>
    <t>Inclusief Pagabon (alle opgegeven Pagabon in Tarievenvoorstel in deze categorie meegeteld)</t>
  </si>
  <si>
    <t>grootverbruikers (deze groep van afnemers betaalt per kVA per maand)</t>
  </si>
  <si>
    <r>
      <rPr>
        <i/>
        <u/>
        <sz val="10"/>
        <rFont val="Arial"/>
        <family val="2"/>
      </rPr>
      <t>Waarvan</t>
    </r>
    <r>
      <rPr>
        <sz val="10"/>
        <rFont val="Arial"/>
        <family val="2"/>
      </rPr>
      <t xml:space="preserve"> volume Pagabon (gewicht 4,4 kVA)</t>
    </r>
  </si>
  <si>
    <t>Totaal aantal aansluitingen</t>
  </si>
  <si>
    <t>Geschat volume WEB</t>
  </si>
  <si>
    <t>Totaal geschat volume Bonaire (productie)</t>
  </si>
  <si>
    <t>Omvangrijke gebeurtenissen</t>
  </si>
  <si>
    <t>Brondata (schattingen aangeleverd door WEB)</t>
  </si>
  <si>
    <t>Investering</t>
  </si>
  <si>
    <t>Investeringsdatum</t>
  </si>
  <si>
    <t>datum</t>
  </si>
  <si>
    <t>Afschrijvingstermijn</t>
  </si>
  <si>
    <t>jaar</t>
  </si>
  <si>
    <t>WEB nieuwbouw kantoor</t>
  </si>
  <si>
    <t>Totale investering</t>
  </si>
  <si>
    <t>Verdeelsleutel</t>
  </si>
  <si>
    <t>Som van percentages telt op tot 94%; overige 6% wordt toegewezen aan de activiteit afvalwater (niet-gereguleerd).</t>
  </si>
  <si>
    <t>Investering per activiteit</t>
  </si>
  <si>
    <t>Jaarlijkse afschrijving</t>
  </si>
  <si>
    <t>RAB-waarde van investering ultimo 2024</t>
  </si>
  <si>
    <t>Bij enkele specifieke posten hieronder is een afzonderlijke toelichting opgenomen (in extra regel omschrijving, in roze cel en/of in opmerking in kolom T).</t>
  </si>
  <si>
    <t>Voor productie drinkwater incl. de geraamde kosten van de nieuwe drinkwaterfaciliteit (ging in 2021 mee als 'omvangrijke gebeurtenis')</t>
  </si>
  <si>
    <t>Bedragen die WEB is misgelopen aan subsidie waar ACM rekening mee houdt</t>
  </si>
  <si>
    <t>ACM houdt rekening met deze gederfde inkomsten uit subsidie bij het bepalen van de volumecorrectie. ACM zou anders uitgaan van gestegen inkomsten, die in werkelijkheid slechts deels zijn behaald.</t>
  </si>
  <si>
    <t>Gederfde subsidieinkomsten als gevolg van volumegroei</t>
  </si>
  <si>
    <t>Beantwoording informatieverzoek vraag 11 - 15 (vraag 11 en 12)</t>
  </si>
  <si>
    <t>Getoetst en akkoord bevonden door ACM</t>
  </si>
  <si>
    <t>Bedrag brandstofcorrectie elektriciteit distributeur</t>
  </si>
  <si>
    <t>USD, pp 2023 / kWh</t>
  </si>
  <si>
    <t>Benodigde hoeveelheid elektriciteit voor productie drinkwater</t>
  </si>
  <si>
    <t>Verwachte deel verkoopvolume in eerste helft van 2023</t>
  </si>
  <si>
    <t>Gegevens over productieprijs</t>
  </si>
  <si>
    <t>Gemiddelde over geraamde productie met wind en brandstof</t>
  </si>
  <si>
    <t>Gewogen gemiddelde productieprijs elektriciteit zoals vastgesteld in tariefbeschikkingen</t>
  </si>
  <si>
    <t>USD / m3</t>
  </si>
  <si>
    <t>Voordat de ACM profit sharing toepast, corrigeert de ACM de inkomsten van WEB voor twee effecten: de volumecorrectie (alle activiteiten) en het inkoopmix-effect (bij distributie elektriciteit).</t>
  </si>
  <si>
    <t>Bij de volumecorrectie corrigeert de ACM voor een over- of onderdekking van de geschatte vaste kosten, doordat de gerealiseerde volumes afwijken van de geschatte volumes.</t>
  </si>
  <si>
    <t xml:space="preserve">Het inkoopmix-effect ontstaat doordat de productieprijs van WEB afwijkt van die van CGB. Doordat vervolgens ook de volumes afwijken, klopt de dekking van de inkoop van elektriciteit niet meer met de schatting die de ACM in eerste instantie gemaakt heeft. Dit effect staat los van gerealiseerde kosten en brandstofkosten, etc. </t>
  </si>
  <si>
    <t>Geschatte vaste kosten</t>
  </si>
  <si>
    <t xml:space="preserve">Gegevens over geschatte volumes </t>
  </si>
  <si>
    <t>Gerealiseerde volumes</t>
  </si>
  <si>
    <t>Gegevens over productie elektriciteit en inkoop bij ContourGlobal</t>
  </si>
  <si>
    <t>Totaal gerealiseerde inkomsten ter dekking van vaste kosten, o.b.v. gerealiseerd volume</t>
  </si>
  <si>
    <t>(negatief bedrag = onderdekking van kosten)</t>
  </si>
  <si>
    <t>Bedragen aan gederfde subsidie inkomsten:</t>
  </si>
  <si>
    <t>Positief bedrag betekent: WEB heeft subsidie-inkomsten misgelopen, bedragen worden opgeteld bij volumecorrectie</t>
  </si>
  <si>
    <t>Geschatte inkoopkosten 'WEB distributeur' (excl. brandstofdeel)</t>
  </si>
  <si>
    <t>Totaal geschat volume</t>
  </si>
  <si>
    <t>Effectief geschatte inkoopprijs</t>
  </si>
  <si>
    <t>Gerealiseerde inkoopkosten 'WEB distributeur' (excl. brandstofdeel)</t>
  </si>
  <si>
    <t>Effectief gerealiseerde inkoopprijs</t>
  </si>
  <si>
    <t>(negatief bedrag = WEB heeft gunstigere inkoop gerealiseerd dan wat vooraf geschat was. Dit bedrag wordt opgeteld bij tariefruimte voor 2024, nog corrigeren voor prijspeil)</t>
  </si>
  <si>
    <t>Profit sharing percentage</t>
  </si>
  <si>
    <t>Volume gerealiseerd door WEB</t>
  </si>
  <si>
    <t>Gegevens netverliezen</t>
  </si>
  <si>
    <t>Gegevens gerealiseerde kosten nieuwe drinkwaterfaciliteit 2021</t>
  </si>
  <si>
    <t>Interpretatie: dit is wat WEB vergoed heeft gekregen voor het gerealiseerde volume</t>
  </si>
  <si>
    <t>Interpretatie: dit is wat de werkelijke kosten waren voor het gerealiseerde volume</t>
  </si>
  <si>
    <t>Gerealiseerde winstbedrag voor berekening PS-bedrag</t>
  </si>
  <si>
    <t>Ophalen gegevens profit sharing en gegevens uit brandstofmodel</t>
  </si>
  <si>
    <t>Bedragen volumecorrectie per activiteit</t>
  </si>
  <si>
    <t>Bedragen profit sharing per activiteit</t>
  </si>
  <si>
    <t>Bedragen brandstofcorrectie elektriciteit</t>
  </si>
  <si>
    <t>Nacalculatie elektriciteitskosten voor drinkwaterproductie</t>
  </si>
  <si>
    <t>Benodigde gegevens voor berekening</t>
  </si>
  <si>
    <t>Berekening nacalculatiebedrag</t>
  </si>
  <si>
    <t xml:space="preserve">Positief bedrag = WEB heeft minder vergoed gekregen dan er kosten waren. Bedrag optellen bij inkomsten 2024. </t>
  </si>
  <si>
    <t>Correctiebedragen die zien op productie elektriciteit gaan mee in totale correctie op variabel gebruikstarief elektriciteit</t>
  </si>
  <si>
    <t>Voor productie elektriciteit is geen nacalculatie van brandstofkosten meer nodig, aangezien alleen nog met zon geproduceerd wordt.</t>
  </si>
  <si>
    <t>Correctiebedrag te verrekenen in productieprijs (alleen DW)</t>
  </si>
  <si>
    <t>Beschrijving berekening kostenbasis</t>
  </si>
  <si>
    <t>Let op: verschil per activiteit! (formule niet doortrekken)</t>
  </si>
  <si>
    <t>Dit zijn alle activa waarvoor de aanname van 'continue vervanging' van toepassing is.</t>
  </si>
  <si>
    <t>Kostengegevens waterplant (investering 2021)</t>
  </si>
  <si>
    <t>Dit zijn activa waarvan de kosten exact geschat worden (uitsluitend als vaste kosten), o.b.v. een afzonderlijke kostenbepaling.</t>
  </si>
  <si>
    <t>Toevoeging kosten elektriciteitsaansluiting voor waterproductie</t>
  </si>
  <si>
    <t>Tarief per kVA voor elektriciteitsaansluiting</t>
  </si>
  <si>
    <t>kVA zwaarte van drinkwaterproductie</t>
  </si>
  <si>
    <t>Toevoegen aan kosten drinkwaterproductie (12 maanden)</t>
  </si>
  <si>
    <t>Betreft vaste kosten</t>
  </si>
  <si>
    <t>Totale kapitaalkosten van niet-reguliere activa</t>
  </si>
  <si>
    <t>Productieprijs elektriciteit</t>
  </si>
  <si>
    <t>Eventuele productie met de generatoren in Barcadera wordt niet meegeschat, zie ook opmerking hierboven.</t>
  </si>
  <si>
    <t>Op de productieprijs van WEB zijn geen correcties van toepassing (zie tabblad 'Correcties (incl. berekening)').</t>
  </si>
  <si>
    <t>Variabel gebruikstarief voor elektriciteit</t>
  </si>
  <si>
    <t>Berekening inkomstenbedrag per kWh vóór toepassing van netverliespercentage</t>
  </si>
  <si>
    <t>Netverliespercentage</t>
  </si>
  <si>
    <t>Op dit tabblad worden de vaste gebruikstarieven voor 2024 berekend door de inkomsten te delen door de verwachte volumes, en daarbij de correcties te betrekken.</t>
  </si>
  <si>
    <t>Ook worden het pagabon tarief en de aansluittarieven bepaald op dit tabblad.</t>
  </si>
  <si>
    <t>Berekening tarief per kVA</t>
  </si>
  <si>
    <t>Tarief per maand per aansluitcategorie</t>
  </si>
  <si>
    <t>Grootverbruikers</t>
  </si>
  <si>
    <t>Deze groep van afnemers betaalt per kVA per maand.</t>
  </si>
  <si>
    <t>Pagabon-rekenwaarde (gem. verbruik per maand)</t>
  </si>
  <si>
    <t>(afgerond tarief)</t>
  </si>
  <si>
    <t>Vast gebruikstarief voor standaard pagabon aansluiting (o.b.v. 4,4 kVA rekenwaarde)</t>
  </si>
  <si>
    <t>(afgerond op 4 decimalen)</t>
  </si>
  <si>
    <t>Aansluittarieven elektriciteit</t>
  </si>
  <si>
    <t>Heraansluittarief 2024</t>
  </si>
  <si>
    <t>Wordt niet geindexeerd, omdat het een forfaitair vastgesteld tarief betreft.</t>
  </si>
  <si>
    <t>Berekening aansluittarief (standaardaansluiting)</t>
  </si>
  <si>
    <t>Aansluittarief elektriciteit 2024 (standaardaansluiting)</t>
  </si>
  <si>
    <t>Bedrag inclusief alle kosten voor WEB's nieuwe drinkwaterfaciliteit en inclusief kosten voor elektriciteitsaansluiting, excl. kosten verbruik kWh's.</t>
  </si>
  <si>
    <t>Rendement productie WEB</t>
  </si>
  <si>
    <t>Totale kosten verbruik elektriciteit voor productie drinkwater</t>
  </si>
  <si>
    <t>Variabel gebruikstarief voor drinkwater</t>
  </si>
  <si>
    <t>Correctiebedrag per m3</t>
  </si>
  <si>
    <t>Lekverliespercentage</t>
  </si>
  <si>
    <t>(afgerond op 3 decimalen)</t>
  </si>
  <si>
    <t>Ook worden het tarief voor bezorging van drinkwater per truck berekend en worden de aansluittarieven bepaald op dit tabblad.</t>
  </si>
  <si>
    <t>Berekening tarief per inch aansluitcapaciteit</t>
  </si>
  <si>
    <t>Tarief voor truck delivery</t>
  </si>
  <si>
    <t>Inkomstenbedrag voor truck delivery</t>
  </si>
  <si>
    <t>Correctiebedrag te verrekenen in truck delivery tarief</t>
  </si>
  <si>
    <t>Kosten voor distributie water via truck</t>
  </si>
  <si>
    <t>Let op: niet het variabele gebruikstarief</t>
  </si>
  <si>
    <t>Tarief voor levering drinkwater per truck (afgerond op 3 decimalen)</t>
  </si>
  <si>
    <t>Aansluittarieven drinkwater</t>
  </si>
  <si>
    <t>Wordt niet geindexeerd, omdat het een forfaitair vastgesteld tarief betreft</t>
  </si>
  <si>
    <t>Aansluittarief drinkwater 2024 (standaardaansluiting)</t>
  </si>
  <si>
    <t>zie onder</t>
  </si>
  <si>
    <t>ACM/23/181664</t>
  </si>
  <si>
    <t>Berekening tarieven WEB 2025</t>
  </si>
  <si>
    <t>Beschikkingen productieprijzen en distributietarieven elektriciteit en drinkwater voor WEB 2025</t>
  </si>
  <si>
    <t>Besluit</t>
  </si>
  <si>
    <t>Kenmerk besluit</t>
  </si>
  <si>
    <t>Productieprijs elektriciteit WEB 2025</t>
  </si>
  <si>
    <t>Productieprijs drinkwater WEB 2025</t>
  </si>
  <si>
    <t>Gebruikstarieven elektriciteit WEB 2025</t>
  </si>
  <si>
    <t>Gebruikstarieven drinkwater WEB 2025</t>
  </si>
  <si>
    <t>ACM/UIT/625854</t>
  </si>
  <si>
    <t>ACM/UIT/625855</t>
  </si>
  <si>
    <t>ACM/UIT/625856</t>
  </si>
  <si>
    <t>ACM/UIT/625858</t>
  </si>
  <si>
    <t>Op het tabblad 'Resultaat' worden alle tarieven weergegeven, op de tabbladen 'Dictum&amp;Bijlage 1 (E/DW)' staat tevens een samenvatting van de belangrijkste gegevens die volgen uit de berekening.</t>
  </si>
  <si>
    <t>Per tabblad is ook nog een toelichting opgenomen over de belangrijkste rekenstappen of bijzonderheden.</t>
  </si>
  <si>
    <t xml:space="preserve">NB: ten behoeve van de profit sharing over het jaar 2025 zijn ook de gegevens over geraamde volumes en aandelen variabele kosten van belang. </t>
  </si>
  <si>
    <t>Deze gegevens zijn eveneens resultaat van de tarievenberekening voor 2025, en zijn opgenomen op de blauwe tabbladen 'Dictum &amp; Bijlagen Elektriciteit / Drinkwater'</t>
  </si>
  <si>
    <t>Dit tabblad bevat een totaaloverzicht van alle tarieven voor 2025 die in dit bestand berekend worden.</t>
  </si>
  <si>
    <t>Overzicht tarieven elektriciteit 2025</t>
  </si>
  <si>
    <t>USD, pp 2025 / kWh</t>
  </si>
  <si>
    <t>Gewogen gemiddelde productieprijs voor januari 2025</t>
  </si>
  <si>
    <t>heel 2025</t>
  </si>
  <si>
    <t>Variabel gebruikstarief WEB voor januari - juni 2025</t>
  </si>
  <si>
    <t>USD, pp 2025 / maand</t>
  </si>
  <si>
    <t>USD, pp 2025 / kVA / maand</t>
  </si>
  <si>
    <t>USD, pp 2025</t>
  </si>
  <si>
    <t>jan t/m jun 2025</t>
  </si>
  <si>
    <t>Overzicht tarieven drinkwater 2025</t>
  </si>
  <si>
    <t>USD, pp 2025 / m3</t>
  </si>
  <si>
    <t>Vastgestelde distributietarieven WEB 2025 - elektriciteit</t>
  </si>
  <si>
    <t>Variabele gebruikstarieven januari t/m juni 2025</t>
  </si>
  <si>
    <t xml:space="preserve">Belangrijkste gegevens tarievenbesluit WEB 2025 - elektriciteit </t>
  </si>
  <si>
    <t>WACC voor elektriciteitsproductie in 2025</t>
  </si>
  <si>
    <t>WACC voor elektriciteitsdistributie in 2025</t>
  </si>
  <si>
    <t>Geschatte inflatie 2025</t>
  </si>
  <si>
    <t xml:space="preserve">
Belangrijkste kostengegeven over 2023</t>
  </si>
  <si>
    <t>Netto operationele kosten t.b.v. kostenbasis o.b.v. realisaties 2023</t>
  </si>
  <si>
    <t>Waarde Regulatorische Activa Basis (ultimo 2023)</t>
  </si>
  <si>
    <t>Afschrijvingen over 2023</t>
  </si>
  <si>
    <t>Correctie volume-effect over 2023</t>
  </si>
  <si>
    <t>Correctie inkoopmix-effect over 2023</t>
  </si>
  <si>
    <t>Profit sharing over 2023 (excl. netverliezen)</t>
  </si>
  <si>
    <t>Profit sharing over netverliezen 2023</t>
  </si>
  <si>
    <t>Correctie voor verschil in doorrekening van brandstofcomponent mei - okt 2024</t>
  </si>
  <si>
    <t>Correctiebedrag te verrekenen in variabel gebruikstarief (heel 2025) *</t>
  </si>
  <si>
    <t>Correctiebedrag te verrekenen in variabel gebruikstarief (eerste helft 2025)</t>
  </si>
  <si>
    <t>Inkomstenniveau in 2025</t>
  </si>
  <si>
    <t>Totaalbedrag kostenbasis 2025 o.b.v. geraamd volume in 2025</t>
  </si>
  <si>
    <t>Inkomstenbedrag in 2025 na toepassing correcties</t>
  </si>
  <si>
    <t>Overige parameters (verwachtingen 2025 elektriciteit)</t>
  </si>
  <si>
    <t>Geraamde productie WEB in 2025 met zonnepark</t>
  </si>
  <si>
    <t>Totale geraamde productie Bonaire in 2025 (WEB + CGB)</t>
  </si>
  <si>
    <t>Netverliespercentage (geraamd voor 2025)</t>
  </si>
  <si>
    <t>Op dit tabblad staat alle relevante informatie voor Bijlage 1 en 2 van de tariefbeschikkingen elektriciteit voor 2025.</t>
  </si>
  <si>
    <t>Op dit tabblad staat alle relevante informatie voor Bijlage 1 en 2 van de tariefbeschikkingen drinkwater voor 2025.</t>
  </si>
  <si>
    <t>Belangrijkste gegevens tarievenbesluit WEB 2025 - drinkwater</t>
  </si>
  <si>
    <t>WACC voor drinkwater (productie en distributie) in 2025</t>
  </si>
  <si>
    <t>Waarde Regulatorische Activa Basis (ultimo 2023) *</t>
  </si>
  <si>
    <t>Afschrijvingen over 2023 *</t>
  </si>
  <si>
    <t>Totale kapitaalkosten nieuwe drinkwaterplant in 2023</t>
  </si>
  <si>
    <t>Profit sharing over lekverliezen 2023</t>
  </si>
  <si>
    <t>Nacalculatie elektriciteitskosten voor drinkwaterproductie 2024</t>
  </si>
  <si>
    <t>Totaalbedrag kostenbasis 2025 o.b.v. geraamd volume in 2025 *</t>
  </si>
  <si>
    <t>Overige parameters (verwachtingen 2025 drinkwater)</t>
  </si>
  <si>
    <t>Lekverliespercentage (geraamd voor 2025)</t>
  </si>
  <si>
    <t>CBS inflatie Caribisch Nederland</t>
  </si>
  <si>
    <t>https://opendata.cbs.nl/#/CBS/nl/dataset/84046NED/table</t>
  </si>
  <si>
    <t>https://wetten.overheid.nl/BWBR0030649/2011-11-18</t>
  </si>
  <si>
    <t>https://www.acm.nl/nl/publicaties/wacc-elektriciteit-en-drinkwater-caribisch-nederland-2023-2025</t>
  </si>
  <si>
    <t>WACC</t>
  </si>
  <si>
    <t>Herberekende WACC voor elektriciteitsproductie in 2023</t>
  </si>
  <si>
    <t>Herberekende WACC voor elektriciteitsdistributie in 2023</t>
  </si>
  <si>
    <t>Herberekende WACC voor drinkwater (productie en distributie) in 2023</t>
  </si>
  <si>
    <t>Data voor indexatie</t>
  </si>
  <si>
    <t>CPI</t>
  </si>
  <si>
    <t xml:space="preserve">Wettelijke rente </t>
  </si>
  <si>
    <t>Geschatte inflatie Bonaire 2024</t>
  </si>
  <si>
    <t xml:space="preserve">Geschatte inflatie Bonaire 2025 </t>
  </si>
  <si>
    <t>Samengestelde wettelijke rente factor (1+%) over 2023-2025</t>
  </si>
  <si>
    <t>Samengestelde wettelijke rente factor (1+%) over 2024-2025</t>
  </si>
  <si>
    <t xml:space="preserve">De ACM gebruiklt de CPI om de geschatte operationele kosten voor 2025 te corrigeren voor inflatie. </t>
  </si>
  <si>
    <t xml:space="preserve">De ACM gebruikt de wettelijke rente om tariefcorrecties te corrigeren naar het prijsniveau van 2025. </t>
  </si>
  <si>
    <t>WACC 2025</t>
  </si>
  <si>
    <t>WACC 2023</t>
  </si>
  <si>
    <t>De ACM gebruikt de WACC 2025 om de geschatte vermogenskosten voor 2025 te berekenen.</t>
  </si>
  <si>
    <t>Methodebesluit Caribisch Nederland 2020-2025</t>
  </si>
  <si>
    <t>Methodebesluit elektriciteit en drinkwater Caribisch Nederland 2020-2025 | ACM.nl</t>
  </si>
  <si>
    <t>De percentages voor variabele OPEX zijn gebaseerd op een berekening in het OPEX-model over 2023, maar hier afgerond opgenomen.</t>
  </si>
  <si>
    <t>Hieronder worden tevens enkele gegevens opgehaald die de ACM gebruikt voor het berekenen van de profit sharing.</t>
  </si>
  <si>
    <t>Kostengegevens 2023 t.b.v. kostenbasis voor tarieven 2025</t>
  </si>
  <si>
    <t>Totale Afschrijvingen in 2023</t>
  </si>
  <si>
    <t>Totale netto-OPEX 2023 (t.b.v. kosteninschatting 2025)</t>
  </si>
  <si>
    <t>Totale Afschrijvingen in 2025</t>
  </si>
  <si>
    <t>Totale waarde RAB ultimo 2025</t>
  </si>
  <si>
    <t>Percentages variabele kosten in reguliere kosten 2023</t>
  </si>
  <si>
    <t>Percentage variabele kapitaalkosten: RAB ultimo 2023</t>
  </si>
  <si>
    <t>Percentage variabele kapitaalkosten: Afschrijvingen 2023</t>
  </si>
  <si>
    <t>RAB-berekening WEB ultimo 2023</t>
  </si>
  <si>
    <t>OPEX-berekening WEB over 2023</t>
  </si>
  <si>
    <t>Tarievenvoorstel WEB voor 2025</t>
  </si>
  <si>
    <t>Op dit tabblad haalt de ACM gegevens over de regulatorische kosten in 2023 op. Deze bestaan uit de operationele kosten en de kapitaalkosten.</t>
  </si>
  <si>
    <t>Op dit tabblad geeft de ACM productie- en volumegegevens weer over het jaar 2023.</t>
  </si>
  <si>
    <t>Productie: realisaties 2023</t>
  </si>
  <si>
    <t>Totale productievolume CGB 2023</t>
  </si>
  <si>
    <t>Distributie: realisaties 2023</t>
  </si>
  <si>
    <t>Gerealiseerde volumes elektriciteit over 2023</t>
  </si>
  <si>
    <t>Netverliespercentage realisatie 2023</t>
  </si>
  <si>
    <t>Gerealiseerde volumes drinkwater over 2023</t>
  </si>
  <si>
    <t>Gerealiseerd volume distributie drinkwater via truck 2023</t>
  </si>
  <si>
    <t>Lekverliespercentage realisatie 2023</t>
  </si>
  <si>
    <t>Totale volumes 2023</t>
  </si>
  <si>
    <t>Totale gerealiseerde volumes 2023</t>
  </si>
  <si>
    <t>Op dit tabblad geeft de ACM de productie- en volumegegevens weer zoals ACM die inschat voor 2025. Een goede inschatting is van belang om de volumecorrectie over 2025 (verrekening van dekking vaste kosten) te beperken.</t>
  </si>
  <si>
    <t>Productie: ramingen 2025</t>
  </si>
  <si>
    <t>Totaal geschat productievolume WEB 2025 (alleen PV)</t>
  </si>
  <si>
    <t>Productieprijs CGB 2025 (incl brandstofcomponent voor de maand januari)</t>
  </si>
  <si>
    <t>Productieprijsbeschikking CGB voor 2025</t>
  </si>
  <si>
    <t>Verwachte deel verkoopvolume in eerste helft van 2025</t>
  </si>
  <si>
    <t>Geschat productievolume in 2025 (met nieuwe drinkwater plant)</t>
  </si>
  <si>
    <t>Netverliespercentage geschat voor 2025 (o.b.v. realisaties 2023)</t>
  </si>
  <si>
    <t>Geschat volume distributie drinkwater truck delivery 2025</t>
  </si>
  <si>
    <t>Pagabon rekenwaarde voor gemiddeld verbruik 2025</t>
  </si>
  <si>
    <t>Standaard aansluittarief 2024</t>
  </si>
  <si>
    <t>Beschikking distributietarieven elektriciteit en drinkwater 2024</t>
  </si>
  <si>
    <t>Raming volumes elektriciteit voor 2025</t>
  </si>
  <si>
    <t>Raming volumes drinkwater voor 2025</t>
  </si>
  <si>
    <t>Berekening geschatte volumes 2025</t>
  </si>
  <si>
    <t>Totale geschatte volumes 2025</t>
  </si>
  <si>
    <t>Gegevens ten behoeve van de volumecorrectie en profit sharing over 2023 en de overige correcties</t>
  </si>
  <si>
    <t xml:space="preserve">Op dit tabblad heeft de ACM alle gegevens opgenomen die nodig zijn om de volumecorrectie, de profit sharing correctie over 2023 en de overige correcties te berekenen. </t>
  </si>
  <si>
    <t>Alle andere gegevens die nodig zijn voor de berekening van deze correcties maakten al onderdeel uit van het tarievenmodel, dus die worden hier niet herhaald.</t>
  </si>
  <si>
    <t>Oorspronkelijke schatting kosten 2023 op basis van kosten 2021</t>
  </si>
  <si>
    <t>Totale vaste kosten t.b.v. kostenbasis 2023, in prijspeil 2023</t>
  </si>
  <si>
    <t>Totale variabele kosten t.b.v. kostenbasis 2023 per eenheid output</t>
  </si>
  <si>
    <t>USD, pp 2023 / #</t>
  </si>
  <si>
    <t>Volumeraming voor 2023</t>
  </si>
  <si>
    <t>Geraamde volumes WEB 2023</t>
  </si>
  <si>
    <t>Totaal geraamd volume 2023 (incl. inkoop)</t>
  </si>
  <si>
    <t>Geschat percentage net-/lekverlies voor 2023 (o.b.v. realisatie 2021)</t>
  </si>
  <si>
    <t>Gegevens t.b.v. profit sharing over 2023</t>
  </si>
  <si>
    <t>Gerealiseerde kosten elektriciteitsaansluiting voor productie drinkwater in 2023</t>
  </si>
  <si>
    <t>USD, pp 2023 / kVA</t>
  </si>
  <si>
    <t>KVA zwaarte van drinkwaterproductie in 2023</t>
  </si>
  <si>
    <t>Tarievenblad 2023 WEB (incl. subsidie)</t>
  </si>
  <si>
    <t>Gegevens t.b.v. overige correcties</t>
  </si>
  <si>
    <t>Brandstofmodel WEB voor 2025</t>
  </si>
  <si>
    <t>Gegevens voor nacalculatie elektriciteitskosten drinkwaterproductie juli-dec 2024</t>
  </si>
  <si>
    <t>Totale verwachte productie drinkwater 2024</t>
  </si>
  <si>
    <t>Variabele gebruikstarief elektriciteit per 1 januari 2024</t>
  </si>
  <si>
    <t>Variabele gebruikstarief elektriciteit per 1 juli 2024</t>
  </si>
  <si>
    <t>Tarief per kVA voor elektriciteitsaansluiting in 2023</t>
  </si>
  <si>
    <t>Kosten elektriciteitsaansluiting voor drinkwaterproductie in 2023</t>
  </si>
  <si>
    <t>Productieprijzen elektriciteit 2023 (excl. brandstof)</t>
  </si>
  <si>
    <t>Deel productieprijs exclusief brandstofcomponent voor WEB 2023</t>
  </si>
  <si>
    <t>Deel productieprijs exclusief brandstofcomponent voor CGB 2023</t>
  </si>
  <si>
    <t>Gewogen gemiddelde productieprijs jan - juni 2023</t>
  </si>
  <si>
    <t>Gewogen gemiddelde productieprijs juli - dec 2023</t>
  </si>
  <si>
    <t>Productieprijs drinkwater 2023</t>
  </si>
  <si>
    <t>Tarievenberekening WEB voor 2023, tabblad Resultaat, regel 17</t>
  </si>
  <si>
    <t>Productieprijsbeschikking CGB voor 2023 (dictum)</t>
  </si>
  <si>
    <t>Tarievenberekening WEB voor 2023, tabblad 'variabel tarief elektriciteit', rij 24</t>
  </si>
  <si>
    <t>Berekening variabel gebruikstarief elektriciteit WEB vanaf 1 juli 2023, tabblad 'Resultaat', regel 29</t>
  </si>
  <si>
    <t>In 2023 was geen brandstofcomponent meer van toepassing voor WEB.</t>
  </si>
  <si>
    <t>ACM/INT/508691</t>
  </si>
  <si>
    <t>Beantwoording informatieverzoek vraag 10 - 15</t>
  </si>
  <si>
    <t>RAB-berekening voor WEB ultimo 2023 - versie voor WEB (toegestuurd tegelijk met besluit)</t>
  </si>
  <si>
    <t>OPEX-berekening voor WEB over 2023 - versie voor WEB (toegestuurd tegelijk met besluit)</t>
  </si>
  <si>
    <t>Beantwoording en bestanden toegestuurd aan ACM op 16 augustus 2024</t>
  </si>
  <si>
    <t>Tarievenberekening WEB voor 2023</t>
  </si>
  <si>
    <t>WEB-NL-Elektriciteits-tarieven-per-januari-2023.pdf (webbonaire.com)</t>
  </si>
  <si>
    <t>Brandstofmodel voor WEB (nacalculatie mei-okt 2024) - versie voor WEB (toegestuurd tegelijk met besluit)</t>
  </si>
  <si>
    <t>Tarievenberekening WEB voor 2024</t>
  </si>
  <si>
    <t>Berekening variabel gebruikstarief elektriciteit WEB vanaf 1 juli 2024</t>
  </si>
  <si>
    <t>Berekening variabel gebruikstarief elektriciteit WEB vanaf 1 juli 2023</t>
  </si>
  <si>
    <t>Beschikking variabel tarief elektriciteit 1 juli 2023 Bonaire | ACM.nl</t>
  </si>
  <si>
    <t>Beschikking distributietarieven elektriciteit 2024 Bonaire WEB | ACM.nl</t>
  </si>
  <si>
    <t>Beschikking distributietarieven elektriciteit 2023 Bonaire WEB | ACM.nl</t>
  </si>
  <si>
    <t>Beschikking productieprijs elektriciteit 2023 Bonaire ContourGlobal | ACM.nl</t>
  </si>
  <si>
    <t>Beschikking variabel tarief elektriciteit 1 juli 2024 Bonaire (Caribisch Nederland) | ACM.nl</t>
  </si>
  <si>
    <t>Berekening volumecorrecties over 2023</t>
  </si>
  <si>
    <t>Berekening profit sharing over 2023</t>
  </si>
  <si>
    <t>Berekeningen correcties en profit sharing over 2023</t>
  </si>
  <si>
    <t xml:space="preserve">Bij het inkoopmix-effect wordt uitsluitend gecorrigeerd voor gewijzigde volumes t.a.v. eigen productie en ingekochte elektriciteit. Feitelijk wordt gecorrigeerd voor de afwijking in de schatting door de ACM t.o.v. de werkelijk gerealiseerde eilandvraag en productieniveaus. </t>
  </si>
  <si>
    <t>Bij de volumecorrectie houdt de ACM rekening met eventueel gederfde subsidie-inkomsten in 2023 als gevolg van volumegroei. Voor de vaststelling hiervan volgt de ACM de berekening die WEB hiervan maakt in het tarievenvoorstel.</t>
  </si>
  <si>
    <t>Totale geschatte vaste kosten 2023</t>
  </si>
  <si>
    <t>Geschat volume 2023</t>
  </si>
  <si>
    <t>Gerealiseerd volume 2023</t>
  </si>
  <si>
    <t>Totaal geschat volume productie elektriciteit 2023</t>
  </si>
  <si>
    <t>Geschat volume inkoop elektriciteit bij CGB 2023</t>
  </si>
  <si>
    <t>Gerealiseerd volume inkoop elektriciteit bij CGB in 2023</t>
  </si>
  <si>
    <t>Berekening dekking van vaste kosten 2023</t>
  </si>
  <si>
    <t>Te hoge (of te lage) dekking van vaste kosten in 2023</t>
  </si>
  <si>
    <t>Herberekende WACC 2023</t>
  </si>
  <si>
    <t>Vastgestelde / berekende productieprijzen 2023</t>
  </si>
  <si>
    <t>Gemiddelde productieprijs elektriciteit voor 2023</t>
  </si>
  <si>
    <t>Gewogen gemiddelde productieprijs drinkwater 2023</t>
  </si>
  <si>
    <t>Gerealiseerde volumes 2023</t>
  </si>
  <si>
    <t>Geschat percentage netverlies / lekverlies voor 2023</t>
  </si>
  <si>
    <t>Gerealiseerd percentage netverlies / lekverlies in 2023</t>
  </si>
  <si>
    <t>Berekening bijgestelde geschatte kosten 2023</t>
  </si>
  <si>
    <t>Geschatte vaste kosten voor 2023</t>
  </si>
  <si>
    <t>Bijgestelde geschatte totale kosten voor 2023</t>
  </si>
  <si>
    <t>Berekening gerealiseerde totale kosten 2023</t>
  </si>
  <si>
    <t>Berekening gerealiseerde kosten 2023, o.b.v. herberekende WACC voor 2023</t>
  </si>
  <si>
    <t>Totale netto-OPEX 2023</t>
  </si>
  <si>
    <t>Kosten elektriciteitsaansluiting voor drinkwater productie in 2023</t>
  </si>
  <si>
    <t>Kapitaalkosten nieuwe drinkwaterfaciliteit in 2023, o.b.v. herberekende WACC 2023</t>
  </si>
  <si>
    <t>Totale gerealiseerde kosten 2023</t>
  </si>
  <si>
    <t>Berekening profit sharing 2023 over alle gerealiseerde kosten (excl. netverliezen)</t>
  </si>
  <si>
    <t>Bedrag profit sharing over 2023</t>
  </si>
  <si>
    <t>Berekening profit sharing 2023 over netverliezen / lekverliezen</t>
  </si>
  <si>
    <t>Bedrag profit sharing net/lekverliezen over 2023</t>
  </si>
  <si>
    <t>Op deze sheet worden de uitkomsten van de berekening van de volumecorrecties, inkoopmixeffect (elektriciteit) en de profit sharing over 2023, de brandstofcorrectie over 2024 en de overige correcties omgezet naar daadwerkelijke tariefeffecten voor 2025.</t>
  </si>
  <si>
    <t>Correctiebedragen worden opgeteld op basis van hun bestemming: verrekening in de productieprijs, het variabele gebruikstarief of het vaste gebruikstarief. In alle gevallen wordt de wettelijke rente gebruikt voor omzetting naar prijspeil 2025.</t>
  </si>
  <si>
    <t>Correctiebedragen die zien op de productie elektriciteit gaan mee in de totale correctie op het variabele gebruikstarief elektriciteit. Correctiebedragen voor profit sharing over net- en lekverliezen gaan mee in het variabele gebruikstarief.</t>
  </si>
  <si>
    <t>Volumecorrectie over 2023 op te nemen in tarieven 2025</t>
  </si>
  <si>
    <t>Correctie voor hogere inkoopkosten door veranderde inkoopmix in 2023</t>
  </si>
  <si>
    <t>Bedrag profit sharing 2023 over alle gerealiseerde kosten (excl. net-/lekverliezen)</t>
  </si>
  <si>
    <t>Bedrag profit sharing 2023 over netverliezen / lekverliezen</t>
  </si>
  <si>
    <t>Verschil tussen variabele gebruikstarief zoals ingeschat en aanpassing 1 juli 2024</t>
  </si>
  <si>
    <t>Benodigde hoeveelheid elektriciteit voor productie in tweede helft 2024</t>
  </si>
  <si>
    <t>Nacalculatie elektriciteitskosten voor drinkwaterproductie (2024)</t>
  </si>
  <si>
    <t>Samengestelde wettelijke rente factor (1+%) over 2024 - 2025</t>
  </si>
  <si>
    <t>Samengestelde wettelijke rente factor (1+%) over 2023 - 2025</t>
  </si>
  <si>
    <t>Bedragen volumecorrectie in prijspeil 2025</t>
  </si>
  <si>
    <t>Bedragen profit sharing in prijspeil 2025</t>
  </si>
  <si>
    <t>Bedragen brandstofcorrectie (ook kWh-prijs DW) in prijspeil 2025</t>
  </si>
  <si>
    <t>Totale correctiebedragen in prijspeil 2025</t>
  </si>
  <si>
    <t>Correctiebedrag te verrekenen in variabel gebruikstarief (heel 2025)</t>
  </si>
  <si>
    <t>Berekening totaalbedragen correcties voor 2023</t>
  </si>
  <si>
    <r>
      <t xml:space="preserve">NB: Het bedrag voor </t>
    </r>
    <r>
      <rPr>
        <u/>
        <sz val="10"/>
        <rFont val="Arial"/>
        <family val="2"/>
      </rPr>
      <t>elektriciteit</t>
    </r>
    <r>
      <rPr>
        <sz val="10"/>
        <rFont val="Arial"/>
        <family val="2"/>
      </rPr>
      <t xml:space="preserve"> moet </t>
    </r>
    <r>
      <rPr>
        <u/>
        <sz val="10"/>
        <rFont val="Arial"/>
        <family val="2"/>
      </rPr>
      <t>opnieuw</t>
    </r>
    <r>
      <rPr>
        <sz val="10"/>
        <rFont val="Arial"/>
        <family val="2"/>
      </rPr>
      <t xml:space="preserve"> worden betrokken bij vaststelling van het gewijzigde variabele gebruikstarief elektriciteit per 1 juli 2025</t>
    </r>
  </si>
  <si>
    <t>Berekening inkomsten 2025 op basis van kostenbasis 2023</t>
  </si>
  <si>
    <t>De ACM baseert de kostenbasis op de kapitaalkosten en operationele kosten in 2023.</t>
  </si>
  <si>
    <t xml:space="preserve">Voordat de totale kosten worden vertaald in een kostenbasis voor 2025, wordt deze nog gesplitst in een vast deel en een variabel deel. </t>
  </si>
  <si>
    <t>Voor de vaststelling van de geschatte kosten voor 2025 worden ook de verwachte kosten van omvangrijke gebeurtenissen meegeteld.</t>
  </si>
  <si>
    <t>WACC 2025 (per activiteit)</t>
  </si>
  <si>
    <t>Kostengegevens 2023</t>
  </si>
  <si>
    <t>Totale waarde RAB ultimo 2023 - reguliere activa</t>
  </si>
  <si>
    <t>Totale netto-OPEX 2023, t.b.v. kostenbasis 2025</t>
  </si>
  <si>
    <t>Gerealiseerd volume door WEB 2023</t>
  </si>
  <si>
    <t>Percentage bij drinkwaterproductie is nog steeds van toepassing, aangezien alle kostenveranderingen tussen 2023 en 2025 in vaste kosten zitten.</t>
  </si>
  <si>
    <t>Aanvullende kosten voor drinkwaterproductie in 2025</t>
  </si>
  <si>
    <t>Gemiddelde RAB-waarde waterplant in 2025</t>
  </si>
  <si>
    <t>Kapitaalkosten waterplant in 2025</t>
  </si>
  <si>
    <t>USD, pp 2025/kVA/mnd</t>
  </si>
  <si>
    <t>Berekening kostenbasis 2025</t>
  </si>
  <si>
    <t>Berekening variabele kosten in kostenbasis 2023 t.b.v. situatie 2025</t>
  </si>
  <si>
    <t>Totale waarde RAB ultimo 2023, variabel deel</t>
  </si>
  <si>
    <t>Totale Afschrijvingen in 2023, variabel deel</t>
  </si>
  <si>
    <t>Totale variabele netto-OPEX t.b.v. kostenbasis voor tarieven 2025</t>
  </si>
  <si>
    <t>Totale variabele kosten t.b.v. kostenbasis 2025, in prijspeil 2025</t>
  </si>
  <si>
    <t>Totale variabele kosten t.b.v. kostenbasis 2025 per eenheid output</t>
  </si>
  <si>
    <t>Berekening vaste kosten in kostenbasis 2023 t.b.v. situatie 2025</t>
  </si>
  <si>
    <t>Totale waarde RAB ultimo 2023, vast deel</t>
  </si>
  <si>
    <t>Totale Afschrijvingen in 2023, vaste deel</t>
  </si>
  <si>
    <t>Totale vaste netto-OPEX t.b.v. kostenbasis voor tarieven 2025</t>
  </si>
  <si>
    <t>Totale vaste kosten t.b.v. kostenbasis 2025, in prijspeil 2025</t>
  </si>
  <si>
    <t>USD, pp 2025 / #</t>
  </si>
  <si>
    <t>Berekening kostenbasis 2025 op basis van geraamde volumes</t>
  </si>
  <si>
    <t>Geraamde volumes 2025</t>
  </si>
  <si>
    <t>Totale variabele kosten bij geraamde volume 2025</t>
  </si>
  <si>
    <t>Totale geschatte kosten 2025 o.b.v. geraamde volumes 2025</t>
  </si>
  <si>
    <t>Berekening productieprijs en variabel gebruikstarief elektriciteit 2025</t>
  </si>
  <si>
    <t>Op dit tabblad worden de productieprijs en het variabele gebruikstarief voor 2025 berekend door de inkomsten te delen door de volumes, en daarbij de correcties en het netverlies te betrekken.</t>
  </si>
  <si>
    <t>Voor de productieprijs geldt dat die voor heel 2025 gelijk is, aangezien het vrijwel uitsluitend productie met het zonnepark betreft. De productie met de generatoren in Barcadera, en de brandstof die daar verbruikt wordt, wordt niet afzonderlijk gereguleerd, vanwege de zeer beperkte omvang.</t>
  </si>
  <si>
    <t>Berekening productieprijs WEB (voor heel 2025)</t>
  </si>
  <si>
    <t>Totale geschatte kosten voor productie WEB in 2025</t>
  </si>
  <si>
    <t>Geraamd productievolume WEB 2025 (uitsluitend solar)</t>
  </si>
  <si>
    <t>Productieprijs 2025 voor productie WEB (onafgerond)</t>
  </si>
  <si>
    <t>Productieprijs 2025 voor productie WEB zoals vastgesteld (afgerond)</t>
  </si>
  <si>
    <t>Berekening gewogen gemiddelde productieprijs voor januari 2025</t>
  </si>
  <si>
    <t>Geraamd productievolume CGB 2025</t>
  </si>
  <si>
    <t>Vastgestelde productieprijs voor CGB voor januari 2025</t>
  </si>
  <si>
    <t>Totaal geraamd productievolume elektriciteit in 2025</t>
  </si>
  <si>
    <t>Te verrekenen correcties in het variabele gebruikstarief voor 2025</t>
  </si>
  <si>
    <t>Correctiebedrag voor variabel gebruikstarief 2025 per kWh (heel 2025)</t>
  </si>
  <si>
    <t>Correctiebedrag voor variabel gebruikstarief 2025 per kWh (eerste helft 2025)</t>
  </si>
  <si>
    <t>Variabel gebruikstarief WEB voor januari - juni 2025 afgerond op 4 decimalen</t>
  </si>
  <si>
    <t>Berekening vaste gebruikstarieven elektriciteit 2025</t>
  </si>
  <si>
    <t>Op dit tabblad worden de vaste gebruikstarieven voor 2025 berekend door de inkomsten te delen door de verwachte volumes, en daarbij de correcties te betrekken.</t>
  </si>
  <si>
    <t>Berekening vaste gebruikstarieven Elektriciteit 2025</t>
  </si>
  <si>
    <t>Totale geschatte kosten 2025, o.b.v. verwacht volume voor 2025</t>
  </si>
  <si>
    <t>Inkomstenbedrag voor 2025, o.b.v. verwacht volume voor 2025</t>
  </si>
  <si>
    <t>Verwacht volume voor 2025</t>
  </si>
  <si>
    <t>Inkomstenbedrag 2025 per kVA per maand</t>
  </si>
  <si>
    <t>USD, pp 2025 / kVA / mnd</t>
  </si>
  <si>
    <t>USD, pp 2025 / mnd</t>
  </si>
  <si>
    <t>Pagabontarief 2025</t>
  </si>
  <si>
    <t>Heraansluittarief 2025</t>
  </si>
  <si>
    <t>Aansluittarief elektriciteit 2025 (standaardaansluiting)</t>
  </si>
  <si>
    <t>Berekening productieprijs en variabel gebruikstarief drinkwater 2025</t>
  </si>
  <si>
    <t>Op dit tabblad worden de productieprijs en het variabele gebruikstarief voor 2025 berekend door de inkomsten te delen door de volumes, en daarbij de correcties en het lekverlies te betrekken.</t>
  </si>
  <si>
    <t>Geraamde volumes voor 2025</t>
  </si>
  <si>
    <t>Totaal geraamde volume voor 2025</t>
  </si>
  <si>
    <t>Te verrekenen correcties in productieprijs drinkwater WEB 2025</t>
  </si>
  <si>
    <t>Totaalbedrag inkomsten productie WEB in 2025</t>
  </si>
  <si>
    <t>Variabel gebruikstarief elektriciteit 2025</t>
  </si>
  <si>
    <t>Productieprijs voor productie drinkwater WEB 2025 (onafgerond)</t>
  </si>
  <si>
    <t>Productieprijs voor productie drinkwater WEB 2025 zoals vastgesteld (afgerond)</t>
  </si>
  <si>
    <t>Variabele gebruikstarief drinkwater WEB 2025</t>
  </si>
  <si>
    <t>Variabele gebruikstarief drinkwater WEB 2025 (afgerond)</t>
  </si>
  <si>
    <t>Berekening vaste gebruikstarieven drinkwater 2025</t>
  </si>
  <si>
    <t>Totale geschatte kosten 2025 o.b.v. verwacht volume voor 2025</t>
  </si>
  <si>
    <t>Inkomstenbedrag 2025 per inch^2 per maand</t>
  </si>
  <si>
    <t>USD, pp 2025 / inch^2 / mnd</t>
  </si>
  <si>
    <t>Totale geschatte kosten 2025 voor distributie via truck</t>
  </si>
  <si>
    <t>Inkomstenbedrag voor truck delivery 2025</t>
  </si>
  <si>
    <t>Totale volume distributie via truck (geraamd voor 2025)</t>
  </si>
  <si>
    <t>Aansluittarief drinkwater 2025 (standaardaansluiting)</t>
  </si>
  <si>
    <t>Totale netto-OPEX 2023 (t.b.v. profit sharing over 2023)</t>
  </si>
  <si>
    <t>Gegevens RAB en afschrijvingen waterplant (investering 2021) voor kostenbasis 2025</t>
  </si>
  <si>
    <t>RAB-berekening WEB ultimo 2023, tabblad 'RAB Waterplant 2021 e.v.', cel P15</t>
  </si>
  <si>
    <t>RAB-berekening WEB ultimo 2023, tabblad 'Resultaat', rij 59</t>
  </si>
  <si>
    <t>RAB-berekening WEB ultimo 2023, tabblad 'Resultaat', rij 60</t>
  </si>
  <si>
    <t>Exclusief RAB drinkwaterplant 2021</t>
  </si>
  <si>
    <t>Exclusief Afschrijvingen drinkwaterplant 2021</t>
  </si>
  <si>
    <t>Gegevens RAB en afschrijvingen waterplant (investering 2021) voor profit sharing 2023</t>
  </si>
  <si>
    <t>RAB-berekening WEB ultimo 2023, tabblad 'Resultaat', cel N63</t>
  </si>
  <si>
    <t>RAB-berekening WEB ultimo 2023, tabblad 'Resultaat', cel N64</t>
  </si>
  <si>
    <t>RAB-berekening WEB ultimo 2023, tabblad 'Resultaat', cel N70</t>
  </si>
  <si>
    <t>RAB-berekening WEB ultimo 2023, tabblad 'Resultaat', cel N71</t>
  </si>
  <si>
    <t>RAB-berekening WEB ultimo 2023, tabblad 'Resultaat', cel N72</t>
  </si>
  <si>
    <t>OPEX-berekening WEB over 2023, tabblad 'Resultaat OPEX', rij 39</t>
  </si>
  <si>
    <t>OPEX-berekening WEB over 2023, tabblad 'Resultaat OPEX', rij 40</t>
  </si>
  <si>
    <t>OPEX-berekening WEB over 2023, tabblad 'Resultaat OPEX', rij 51</t>
  </si>
  <si>
    <t>Beantwoording informatieverzoek vraag 1- 9, vraag 9b</t>
  </si>
  <si>
    <t>Beantwoording informatieverzoek vraag 1 - 9</t>
  </si>
  <si>
    <t>De ACM heeft de operationele kosten bepaald door gebruik te maken van de jaarrekening en van aanvullende informatie aangeleverd door WEB.</t>
  </si>
  <si>
    <t>De ACM heeft de regulatorische activabasis en afschrijvingen bepaald op basis alle investeringen t/m 2015 (Start-RAB) en alle jaarlijkse investeringen die daarna hebben plaatsgevonden.</t>
  </si>
  <si>
    <t>Beantwoording informatieverzoek vraag 10 - 15 (vraag 10a)</t>
  </si>
  <si>
    <t>Beantwoording informatieverzoek vraag 10 - 15 (vraag 10c)</t>
  </si>
  <si>
    <t>USD, pp 2023/kVA/maand</t>
  </si>
  <si>
    <t>grootverbruikers (deze groep afnemers betaalt per KVA p.m.)</t>
  </si>
  <si>
    <t>Op basis van realisatie 2023</t>
  </si>
  <si>
    <t>Nieuwe drinkwaterfaciliteit</t>
  </si>
  <si>
    <t>Afschrijving in 2025</t>
  </si>
  <si>
    <t>RAB-waarde van investering ultimo 2025</t>
  </si>
  <si>
    <t>Gemiddelde RAB-waarde 2025</t>
  </si>
  <si>
    <t>Geschatte kapitaalkosten 2025</t>
  </si>
  <si>
    <t>Aanvullende kosten voor omvangrijke gebeurtenissen</t>
  </si>
  <si>
    <t>Tarievenberekening WEB voor 2024, tabblad 'omvangrijke gebeurtenissen 2024', cel N43</t>
  </si>
  <si>
    <t>Tarievenberekening WEB voor 2024, tabblad 'omvangrijke gebeurtenissen 2024', rij 54</t>
  </si>
  <si>
    <t>Tarievenberekening WEB voor 2023, tabblad 'berekening kostenbasis 2023', regel 69</t>
  </si>
  <si>
    <t>Tarievenberekening WEB voor 2023, tabblad 'gegevens raming 2023', regel 83</t>
  </si>
  <si>
    <t>Tarievenberekening WEB voor 2023, tabblad 'gegevens raming 2023', regel 35</t>
  </si>
  <si>
    <t>USD, pp 2023 / m3</t>
  </si>
  <si>
    <t>Tarievenberekening WEB voor 2024, tabblad 'variabel tarief drinkwater', cel H14</t>
  </si>
  <si>
    <t>Tarievenberekening WEB voor 2024, tabblad 'gegevens raming 2024', cel N30</t>
  </si>
  <si>
    <t>Tarievenberekening WEB voor 2024, tabblad 'variabel tarief drinkwater', cel H21</t>
  </si>
  <si>
    <t>Tarievenberekening WEB voor 2024, tabblad 'variabel tarief drinkwater', regel H22</t>
  </si>
  <si>
    <t>Berekening variabel gebruikstarief elektriciteit WEB vanaf 1 juli 2024, tabblad 'resultaat', cel H33</t>
  </si>
  <si>
    <t>Tarievenberekening WEB voor 2023, tabblad 'gegevens raming 2023', cel L21</t>
  </si>
  <si>
    <t>Tarievenberekening WEB voor 2023, tabblad 'variabel tarief drinkwater', cel H26</t>
  </si>
  <si>
    <t>Gegevens kosten 2023</t>
  </si>
  <si>
    <t>Gegevens productie en volume 2023</t>
  </si>
  <si>
    <t>Gegevens raming productie en volume 2025</t>
  </si>
  <si>
    <t>Betreft geschatte kosten over gehele jaar 2023</t>
  </si>
  <si>
    <t>Volumecorrectie op te nemen in tarieven 2025</t>
  </si>
  <si>
    <t>Totaal gerealiseerd volume 2023</t>
  </si>
  <si>
    <t>Berekening effect van veranderde inkoopmix elektriciteit</t>
  </si>
  <si>
    <t>Correctie voor hogere inkoopkosten door veranderde inkoopmix</t>
  </si>
  <si>
    <t>Berekening profit sharing (par. 5.2.2)</t>
  </si>
  <si>
    <t xml:space="preserve">De ACM hanteert de methodiek 'profit sharing' om bedrijven te stimuleren tot een efficiënte bedrijfsvoering te komen. </t>
  </si>
  <si>
    <t xml:space="preserve">Door terug te blikken op de geschatte kosten in 2023 (na correctie voor het gerealiseerde volume) en de gerealiseerde kosten in 2023, ontstaat zicht op de vraag of de producent of distributeur meer of minder kosten heeft gemaakt dan van tevoren geschat. </t>
  </si>
  <si>
    <t>Een eventueel verschil wordt in gelijke mate (50%) verdeeld tussen producent/distributeur en afnemer. Het verschil komt tot uiting in het vaste gebruikstarief voor zover het ziet op de distributiekosten.</t>
  </si>
  <si>
    <t>Geschatte variabele kosten voor 2023 per eenheid</t>
  </si>
  <si>
    <t>Het vaste gebruikstarief voor elektriciteit was in 2023 volledig gesubsidieerd.</t>
  </si>
  <si>
    <t>(negatief bedrag = WEB heeft in 2023 winst behaald door het verlagen van de netverliezen/lekverliezen, en de helft van dit bedrag wordt in mindering gebracht op de tarieven van 2025)</t>
  </si>
  <si>
    <t>(negatief bedrag = WEB heeft in 2023 extra winst behaald, en de helft van dit bedrag wordt in mindering gebracht op de tarieven van 2025)</t>
  </si>
  <si>
    <t>Daarnaast wordt voor drinkwater de correctie berekend die van toepassing is op de inkoopprijs voor elektriciteit voor de tweede helft van 2024.</t>
  </si>
  <si>
    <t>Herberekening WACC 2023</t>
  </si>
  <si>
    <t>Herberekening WACC 2023 voor WEB - versie voor WEB (toegestuurd tegelijk met besluit)</t>
  </si>
  <si>
    <t>Laatste update gegevens CBS: 7 november 2024</t>
  </si>
  <si>
    <t>Komt overeen met totaal geleverd volume in 2023 aan WEB zoals gerapporteerd door CGB</t>
  </si>
  <si>
    <t>Activering in 2024</t>
  </si>
  <si>
    <t>Op dit tabblad berekent de ACM de geschatte kosten van de omvangrijke gebeurtenissen die WEB voor het tariefjaar 2025 heeft opgegeven. Dit zijn gebeurtenissen die gepaard gaan met een aanzienlijke stijging (of daling) van de kosten ten opzichte van de kostenbasis.</t>
  </si>
  <si>
    <t xml:space="preserve">In het methodebesluit Caribisch Nederland 2020-2025 (randnummer 91 t/m 95) beschrijft de ACM hoe zij door WEB aangemelde omvangrijke gebeurtenissen beoordeelt. De beoordeling van de omvangrijke gebeurtenissen voor 2025 heeft de ACM vastgelegd in de tariefbeschikkingen voor 2025. </t>
  </si>
  <si>
    <t>Activering in 2025</t>
  </si>
  <si>
    <t>WEB Nobo 1</t>
  </si>
  <si>
    <t>WEB Nobo 2</t>
  </si>
  <si>
    <t>Enterprise Resource Planning (ERP): extra opex (inwerkkosten)</t>
  </si>
  <si>
    <t>Totale OPEX</t>
  </si>
  <si>
    <t>OPEX per activiteit</t>
  </si>
  <si>
    <t>Berekening geschatte kosten per omvangrijke gebeurtenis</t>
  </si>
  <si>
    <t>Initiële investeringswaarde op investeringsdatum</t>
  </si>
  <si>
    <t>Gemiddelde RAB-waarde van investering in 2025</t>
  </si>
  <si>
    <t>Aantal maanden in gebruik in 2025</t>
  </si>
  <si>
    <t>maanden</t>
  </si>
  <si>
    <t>Gemiddelde RAB-waarde naar rato van aantal maanden in gebruik in 2025</t>
  </si>
  <si>
    <t>Geschatte operationele kosten per activiteit</t>
  </si>
  <si>
    <t>In tarieven 2024 opgenomen ERP kosten, doorschuiven naar 2025</t>
  </si>
  <si>
    <t>Bedragen opgenomen in tarieven 2024</t>
  </si>
  <si>
    <t>De vermogenskosten voor de drinkwaterfaciliteit worden berekend door de WACC te vermenigvuldigen met de gemiddelde RAB-waarde over 2023 (en niet de ultimowaarde).</t>
  </si>
  <si>
    <t>Dit betreft de afschrijvingen en vermogenskosten van investeringen die als omvangrijke gebeurtenis zijn beoordeeld.</t>
  </si>
  <si>
    <t>E-mail WEB 29 oktober 2024</t>
  </si>
  <si>
    <t>E-mail van WEB met verwachte volumes in kWh en m3 voor 2025</t>
  </si>
  <si>
    <t>Tarievenberekening WEB voor 2024, tabblad 'berekening kostenbasis 2024', rij 62</t>
  </si>
  <si>
    <t>Nieuwe drinkwaterfaciliteit / tijdelijke voorziening WEB</t>
  </si>
  <si>
    <t>Geschatte operationele kosten 2025</t>
  </si>
  <si>
    <t>Geschatte operationele kosten (per activiteit)</t>
  </si>
  <si>
    <t>Totale netto-OPEX van niet-reguliere werkzaamheden</t>
  </si>
  <si>
    <t>Dit betreft de operationele kosten van activiteiten die als omvangrijke gebeurtenis zijn beoordeeld.</t>
  </si>
  <si>
    <t>Dit zijn operationele uitgaven waarvan de kosten exact geschat worden (uitsluitend als vaste kosten), o.b.v. een afzonderlijke kostenbepaling.</t>
  </si>
  <si>
    <t xml:space="preserve">Let op: de ACM brengt deze kosten in mindering op de geschatte vaste kosten per activiteit voor 2024 ten behoeve van de profit-sharing berekening in 2026 over 2024, anders krijgt WEB de helft van deze kosten alsnog vergoed. </t>
  </si>
  <si>
    <t>Was opgenomen in omvangrijke gebeurtenissen 2024, deze schuift door naar 2025.</t>
  </si>
  <si>
    <t>Overige / bijzondere correcties: ERP kosten in tarieven 2024</t>
  </si>
  <si>
    <t>Tarievenberekening WEB voor 2024, tabblad 'input voor correcties', cel N48</t>
  </si>
  <si>
    <t>Correctiebedrag van toepassing op heel 2024, let op: ook toe te passen op tarief per 1 juli 2025</t>
  </si>
  <si>
    <t>Correctiebedrag van toepassing op eerste helft 2025</t>
  </si>
  <si>
    <t>Getal van toepassing op eerste helft 2025</t>
  </si>
  <si>
    <t>Overige correcties</t>
  </si>
  <si>
    <t>Correctie ERP-kosten opgenomen in tarieven 2024 (eenmalig)</t>
  </si>
  <si>
    <t>Correctie ERP-kosten opgenomen in tarieven 2024</t>
  </si>
  <si>
    <t>Totale vaste kosten waterproductie excl. correctie investeringssubsidie I&amp;W</t>
  </si>
  <si>
    <t>Herberekende WACC voor drinkwater (productie en distributie) in 2025</t>
  </si>
  <si>
    <t>Correctie vermogenskosten over 2023 op te nemen in tarieven 2025</t>
  </si>
  <si>
    <t>Beantwoording informatieverzoek, vraag 10 (cel D16/D18)</t>
  </si>
  <si>
    <t>Voorstel zoals door WEB toegestuurd aan ACM op 30 september 2024</t>
  </si>
  <si>
    <t>Inschatting kostenbasis voor 2023 o.b.v. kosten 2021 - na aanpassing WACC 2023</t>
  </si>
  <si>
    <t>Inschatting vaste kosten voor 2023 o.b.v. kosten 2021 - voor aanpassing WACC 2023</t>
  </si>
  <si>
    <t>Tarievenberekening WEB voor 2023, tabblad 'berekening kostenbasis 2023', regel 62</t>
  </si>
  <si>
    <t>Tarievenberekening WEB voor 2023 na aanpassing WACC, tabblad 'berekening kostenbasis 2023', regel 62</t>
  </si>
  <si>
    <t>Tarievenberekening WEB voor 2023 na aanpassing WACC, tabblad 'berekening kostenbasis 2023', regel 55</t>
  </si>
  <si>
    <t>Tarievenberekening WEB voor 2023 na aanpassing WACC 2023</t>
  </si>
  <si>
    <t>Tarievenberekening WEB voor 2025 na aanpassing WACC - versie voor WEB (toegestuurd tegelijk met besluit)</t>
  </si>
  <si>
    <t>ACM/INT/508692</t>
  </si>
  <si>
    <t>ACM/INT/508690</t>
  </si>
  <si>
    <t>ACM/IN/914581</t>
  </si>
  <si>
    <t>ACM/IN/901714</t>
  </si>
  <si>
    <t>ACM/IN/929890</t>
  </si>
  <si>
    <t>Wordt gepubliceerd in december 2024, via acm.nl</t>
  </si>
  <si>
    <t>ACM/IN/924977</t>
  </si>
  <si>
    <t>ACM/INT/516881</t>
  </si>
  <si>
    <t>Documentkenmerk</t>
  </si>
  <si>
    <t>ACM/INT/516602</t>
  </si>
  <si>
    <t>In dit rekenbestand worden de tarieven van WEB voor 2025 berekend, inclusief de vaststelling van de profit sharing over 2023.</t>
  </si>
  <si>
    <t>Dit bestand vormt Bijlage 2 (bij productieprijsbeschikkingen) of Bijlage 3 (bij distributietarievenbeschikkingen) en is daarmee integraal onderdeel van die tarievenbesluiten voor WEB voor 2025.</t>
  </si>
  <si>
    <t>Ja</t>
  </si>
  <si>
    <t>OPEX-berekening, RAB-berekening, berekening brandstofcorrectie en tarievenberekening 2023 na aanpassing WACC vormen input voor dit bestand</t>
  </si>
  <si>
    <t>Bijstelling van kosteninschatting voor 2023 na aanpassing WACC, o.b.v. gerealiseerd volume 2023</t>
  </si>
  <si>
    <t>Correctie geschatte vaste kosten water plant 2023 vanwege onjuiste verwerking subsidie I&amp;W</t>
  </si>
  <si>
    <t xml:space="preserve">Correctie WACC 2023 </t>
  </si>
  <si>
    <t>Bedragen correctie WACC 2023 per activiteit</t>
  </si>
  <si>
    <t>Bedragen correctie WACC in prijspeil 2025</t>
  </si>
  <si>
    <t>Correctie WACC 2023</t>
  </si>
  <si>
    <t>Correctie geschatte vermogenskosten 2023 als gevolg van nacalculatie risicovrije rente</t>
  </si>
  <si>
    <t>Tarievenberekening WEB voor 2023 na aanpassing WACC, tabblad 'kostenbasis 2023', rij 89</t>
  </si>
  <si>
    <t>Berekening volumecorrectie</t>
  </si>
  <si>
    <t>Berekening correctie inkoopmix elektriciteit voor 2023</t>
  </si>
  <si>
    <t>De ACM gebruikt de herberekende WACC 2023 om de geschatte vermogenskosten in 2023 te corrigeren en om de profit sharing over 2023 uit te voeren.</t>
  </si>
  <si>
    <t>(omstreeks) 19 december 2024</t>
  </si>
  <si>
    <t>Dit is een openbare versie van het berekeningsbestand, dit bestand bevat geen vertrouwelijke gegevens.</t>
  </si>
  <si>
    <t xml:space="preserve">Dit is de openbare versie van de bijlage bij het besluit voor WEB, vastgesteld op 5 december 2024 (bijlage 2 voor productiebeschikkingen, bijlage 3 voor distributiebeschikkingen).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</si>
</sst>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0000_ ;_ * \-#,##0.0000_ ;_ * &quot;-&quot;??_ ;_ @_ "/>
    <numFmt numFmtId="165" formatCode="_ * #,##0.0_ ;_ * \-#,##0.0_ ;_ * &quot;-&quot;??_ ;_ @_ "/>
    <numFmt numFmtId="166" formatCode="_ * #,##0.0000_ ;_ * \-#,##0.0000_ ;_ * &quot;-&quot;????_ ;_ @_ "/>
    <numFmt numFmtId="167" formatCode="_ * #,##0.000_ ;_ * \-#,##0.000_ ;_ * &quot;-&quot;??_ ;_ @_ "/>
    <numFmt numFmtId="168" formatCode="_ * #,##0_ ;_ * \-#,##0_ ;_ * &quot;-&quot;??_ ;_ @_ "/>
    <numFmt numFmtId="169" formatCode="_ * #,##0.00_ ;_ * \-#,##0.00_ ;_ * &quot;-&quot;_ ;_ @_ "/>
    <numFmt numFmtId="170" formatCode="0.0%"/>
    <numFmt numFmtId="171" formatCode="_ * #,##0.00000_ ;_ * \-#,##0.00000_ ;_ * &quot;-&quot;_ ;_ @_ "/>
    <numFmt numFmtId="172" formatCode="_ * #,##0.000_ ;_ * \-#,##0.000_ ;_ * &quot;-&quot;_ ;_ @_ "/>
    <numFmt numFmtId="173" formatCode="_ * #,##0.00000_ ;_ * \-#,##0.00000_ ;_ * &quot;-&quot;??_ ;_ @_ "/>
    <numFmt numFmtId="174" formatCode="_ * #,##0.0000_ ;_ * \-#,##0.0000_ ;_ * &quot;-&quot;_ ;_ @_ "/>
    <numFmt numFmtId="175" formatCode="0.00000"/>
    <numFmt numFmtId="176" formatCode="_ * #,##0.00000_ ;_ * \-#,##0.00000_ ;_ * &quot;-&quot;?????_ ;_ @_ "/>
    <numFmt numFmtId="177" formatCode="_ * #,##0.0_ ;_ * \-#,##0.0_ ;_ * &quot;-&quot;_ ;_ @_ "/>
    <numFmt numFmtId="178" formatCode="0.0000"/>
    <numFmt numFmtId="179" formatCode="_ * #,##0.000_ ;_ * \-#,##0.000_ ;_ * &quot;-&quot;???_ ;_ @_ "/>
  </numFmts>
  <fonts count="33"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color theme="0"/>
      <name val="Arial"/>
      <family val="2"/>
    </font>
    <font>
      <i/>
      <sz val="10"/>
      <name val="Arial"/>
      <family val="2"/>
    </font>
    <font>
      <b/>
      <sz val="10"/>
      <color rgb="FFFF0000"/>
      <name val="Arial"/>
      <family val="2"/>
    </font>
    <font>
      <sz val="8"/>
      <color indexed="81"/>
      <name val="Tahoma"/>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u/>
      <sz val="10"/>
      <name val="Arial"/>
      <family val="2"/>
    </font>
    <font>
      <i/>
      <u/>
      <sz val="10"/>
      <name val="Arial"/>
      <family val="2"/>
    </font>
    <font>
      <sz val="9"/>
      <color indexed="81"/>
      <name val="Tahoma"/>
      <family val="2"/>
    </font>
    <font>
      <sz val="8"/>
      <name val="Arial"/>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FF00FF"/>
        <bgColor indexed="64"/>
      </patternFill>
    </fill>
    <fill>
      <patternFill patternType="solid">
        <fgColor rgb="FFFFCCFF"/>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rgb="FFCCCCFF"/>
        <bgColor indexed="64"/>
      </patternFill>
    </fill>
  </fills>
  <borders count="2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67">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8" fillId="5" borderId="1">
      <alignment vertical="top"/>
    </xf>
    <xf numFmtId="49" fontId="6" fillId="16" borderId="1">
      <alignment vertical="top"/>
    </xf>
    <xf numFmtId="49" fontId="6" fillId="0" borderId="0">
      <alignment vertical="top"/>
    </xf>
    <xf numFmtId="41" fontId="5" fillId="9" borderId="0">
      <alignment vertical="top"/>
    </xf>
    <xf numFmtId="41" fontId="5" fillId="8" borderId="0">
      <alignment vertical="top"/>
    </xf>
    <xf numFmtId="41" fontId="5" fillId="7" borderId="0">
      <alignment vertical="top"/>
    </xf>
    <xf numFmtId="41" fontId="5" fillId="43" borderId="0">
      <alignment vertical="top"/>
    </xf>
    <xf numFmtId="41" fontId="5" fillId="6" borderId="0">
      <alignment vertical="top"/>
    </xf>
    <xf numFmtId="41" fontId="5" fillId="10" borderId="0">
      <alignment vertical="top"/>
    </xf>
    <xf numFmtId="49" fontId="10" fillId="0" borderId="0">
      <alignment vertical="top"/>
    </xf>
    <xf numFmtId="49" fontId="9" fillId="0" borderId="0">
      <alignment vertical="top"/>
    </xf>
    <xf numFmtId="0" fontId="15" fillId="12" borderId="3" applyNumberFormat="0" applyAlignment="0" applyProtection="0"/>
    <xf numFmtId="0" fontId="16" fillId="13" borderId="4" applyNumberFormat="0" applyAlignment="0" applyProtection="0"/>
    <xf numFmtId="0" fontId="17" fillId="13" borderId="3" applyNumberFormat="0" applyAlignment="0" applyProtection="0"/>
    <xf numFmtId="0" fontId="18" fillId="0" borderId="5" applyNumberFormat="0" applyFill="0" applyAlignment="0" applyProtection="0"/>
    <xf numFmtId="0" fontId="12" fillId="14" borderId="6" applyNumberFormat="0" applyAlignment="0" applyProtection="0"/>
    <xf numFmtId="0" fontId="14" fillId="15" borderId="7" applyNumberFormat="0" applyFont="0" applyAlignment="0" applyProtection="0"/>
    <xf numFmtId="0" fontId="19" fillId="0" borderId="0" applyNumberForma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4" fontId="14" fillId="0" borderId="0" applyFont="0" applyFill="0" applyBorder="0" applyAlignment="0" applyProtection="0"/>
    <xf numFmtId="42"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0" borderId="9" applyNumberFormat="0" applyFill="0" applyAlignment="0" applyProtection="0"/>
    <xf numFmtId="0" fontId="24" fillId="0" borderId="10" applyNumberFormat="0" applyFill="0" applyAlignment="0" applyProtection="0"/>
    <xf numFmtId="0" fontId="24" fillId="0" borderId="0" applyNumberFormat="0" applyFill="0" applyBorder="0" applyAlignment="0" applyProtection="0"/>
    <xf numFmtId="0" fontId="13" fillId="0" borderId="0" applyNumberFormat="0" applyFill="0" applyBorder="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7" fillId="40" borderId="0" applyNumberFormat="0" applyBorder="0" applyAlignment="0" applyProtection="0"/>
    <xf numFmtId="0" fontId="28" fillId="0" borderId="0" applyNumberFormat="0" applyFill="0" applyBorder="0" applyAlignment="0" applyProtection="0"/>
    <xf numFmtId="49" fontId="20" fillId="0" borderId="0" applyFill="0" applyBorder="0" applyAlignment="0" applyProtection="0"/>
    <xf numFmtId="43" fontId="5" fillId="41" borderId="0" applyNumberFormat="0">
      <alignment vertical="top"/>
    </xf>
    <xf numFmtId="43" fontId="5" fillId="8" borderId="0" applyFont="0" applyFill="0" applyBorder="0" applyAlignment="0" applyProtection="0">
      <alignment vertical="top"/>
    </xf>
    <xf numFmtId="10" fontId="5" fillId="0" borderId="0" applyFont="0" applyFill="0" applyBorder="0" applyAlignment="0" applyProtection="0">
      <alignment vertical="top"/>
    </xf>
    <xf numFmtId="41" fontId="5" fillId="42" borderId="0">
      <alignment vertical="top"/>
    </xf>
    <xf numFmtId="41" fontId="5" fillId="44" borderId="0">
      <alignment vertical="top"/>
    </xf>
  </cellStyleXfs>
  <cellXfs count="184">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0" borderId="0" xfId="4" applyFont="1">
      <alignment vertical="top"/>
    </xf>
    <xf numFmtId="0" fontId="10" fillId="0" borderId="0" xfId="4" applyFont="1">
      <alignment vertical="top"/>
    </xf>
    <xf numFmtId="0" fontId="5" fillId="0" borderId="2" xfId="4" applyBorder="1">
      <alignment vertical="top"/>
    </xf>
    <xf numFmtId="49" fontId="8" fillId="5" borderId="1" xfId="5">
      <alignment vertical="top"/>
    </xf>
    <xf numFmtId="49" fontId="6" fillId="16" borderId="1" xfId="6">
      <alignment vertical="top"/>
    </xf>
    <xf numFmtId="0" fontId="5" fillId="0" borderId="0" xfId="4" applyFill="1">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0" fontId="10" fillId="0" borderId="0" xfId="4" applyFont="1" applyFill="1">
      <alignment vertical="top"/>
    </xf>
    <xf numFmtId="1" fontId="5" fillId="0" borderId="0" xfId="4" applyNumberFormat="1" applyFill="1">
      <alignment vertical="top"/>
    </xf>
    <xf numFmtId="49" fontId="7" fillId="16" borderId="2" xfId="6" applyFont="1" applyBorder="1">
      <alignment vertical="top"/>
    </xf>
    <xf numFmtId="0" fontId="8" fillId="5" borderId="1" xfId="5" applyNumberFormat="1">
      <alignment vertical="top"/>
    </xf>
    <xf numFmtId="0" fontId="13" fillId="0" borderId="0" xfId="4" applyFont="1">
      <alignment vertical="top"/>
    </xf>
    <xf numFmtId="49" fontId="12" fillId="5" borderId="2" xfId="5" applyFont="1" applyBorder="1">
      <alignment vertical="top"/>
    </xf>
    <xf numFmtId="0" fontId="5" fillId="0" borderId="0" xfId="4" applyAlignment="1">
      <alignment horizontal="center" vertical="top"/>
    </xf>
    <xf numFmtId="0" fontId="5" fillId="11" borderId="0" xfId="4" applyFill="1">
      <alignment vertical="top"/>
    </xf>
    <xf numFmtId="49" fontId="7" fillId="16" borderId="0" xfId="6" applyFont="1" applyBorder="1">
      <alignment vertical="top"/>
    </xf>
    <xf numFmtId="0" fontId="5" fillId="0" borderId="0" xfId="4" applyFont="1">
      <alignment vertical="top"/>
    </xf>
    <xf numFmtId="49" fontId="5" fillId="16" borderId="2" xfId="6" applyFont="1" applyBorder="1">
      <alignment vertical="top"/>
    </xf>
    <xf numFmtId="0" fontId="5" fillId="0" borderId="2" xfId="4" applyFont="1" applyBorder="1">
      <alignment vertical="top"/>
    </xf>
    <xf numFmtId="0" fontId="7" fillId="0" borderId="0" xfId="4" applyFont="1" applyFill="1" applyBorder="1" applyAlignment="1">
      <alignment horizontal="left" vertical="top" wrapText="1"/>
    </xf>
    <xf numFmtId="49" fontId="10" fillId="0" borderId="0" xfId="14">
      <alignment vertical="top"/>
    </xf>
    <xf numFmtId="49" fontId="6" fillId="0" borderId="0" xfId="7">
      <alignment vertical="top"/>
    </xf>
    <xf numFmtId="49" fontId="9" fillId="0" borderId="0" xfId="15">
      <alignment vertical="top"/>
    </xf>
    <xf numFmtId="41" fontId="5" fillId="9" borderId="0" xfId="8">
      <alignment vertical="top"/>
    </xf>
    <xf numFmtId="9" fontId="5" fillId="0" borderId="0" xfId="4" applyNumberFormat="1">
      <alignment vertical="top"/>
    </xf>
    <xf numFmtId="41" fontId="5" fillId="7" borderId="0" xfId="10">
      <alignment vertical="top"/>
    </xf>
    <xf numFmtId="41" fontId="5" fillId="43" borderId="0" xfId="11">
      <alignment vertical="top"/>
    </xf>
    <xf numFmtId="10" fontId="5" fillId="0" borderId="0" xfId="64">
      <alignment vertical="top"/>
    </xf>
    <xf numFmtId="0" fontId="5" fillId="0" borderId="2" xfId="4" applyFont="1" applyBorder="1" applyAlignment="1">
      <alignment horizontal="left" vertical="top" wrapText="1"/>
    </xf>
    <xf numFmtId="41" fontId="5" fillId="10" borderId="0" xfId="13">
      <alignment vertical="top"/>
    </xf>
    <xf numFmtId="41" fontId="5" fillId="8" borderId="0" xfId="9">
      <alignment vertical="top"/>
    </xf>
    <xf numFmtId="0" fontId="9" fillId="11" borderId="0" xfId="4" applyFont="1" applyFill="1">
      <alignment vertical="top"/>
    </xf>
    <xf numFmtId="0" fontId="5" fillId="41" borderId="0" xfId="62" applyNumberFormat="1">
      <alignment vertical="top"/>
    </xf>
    <xf numFmtId="49" fontId="6" fillId="16" borderId="1" xfId="6" applyAlignment="1">
      <alignment vertical="top" wrapText="1"/>
    </xf>
    <xf numFmtId="41" fontId="5" fillId="0" borderId="0" xfId="4" applyNumberFormat="1">
      <alignment vertical="top"/>
    </xf>
    <xf numFmtId="0" fontId="5" fillId="0" borderId="0" xfId="4" applyAlignment="1">
      <alignment vertical="top" wrapText="1"/>
    </xf>
    <xf numFmtId="164" fontId="5" fillId="9" borderId="0" xfId="8" applyNumberFormat="1">
      <alignment vertical="top"/>
    </xf>
    <xf numFmtId="164" fontId="5" fillId="0" borderId="0" xfId="8" applyNumberFormat="1" applyFill="1">
      <alignment vertical="top"/>
    </xf>
    <xf numFmtId="164" fontId="5" fillId="0" borderId="0" xfId="63" applyNumberFormat="1" applyFill="1">
      <alignment vertical="top"/>
    </xf>
    <xf numFmtId="10" fontId="5" fillId="0" borderId="0" xfId="64" applyFill="1">
      <alignment vertical="top"/>
    </xf>
    <xf numFmtId="164" fontId="5" fillId="10" borderId="0" xfId="63" applyNumberFormat="1" applyFill="1">
      <alignment vertical="top"/>
    </xf>
    <xf numFmtId="164" fontId="5" fillId="0" borderId="0" xfId="4" applyNumberFormat="1">
      <alignment vertical="top"/>
    </xf>
    <xf numFmtId="165" fontId="5" fillId="0" borderId="0" xfId="63" applyNumberFormat="1" applyFill="1">
      <alignment vertical="top"/>
    </xf>
    <xf numFmtId="43" fontId="5" fillId="9" borderId="0" xfId="8" applyNumberFormat="1">
      <alignment vertical="top"/>
    </xf>
    <xf numFmtId="43" fontId="5" fillId="0" borderId="0" xfId="8" applyNumberFormat="1" applyFill="1">
      <alignment vertical="top"/>
    </xf>
    <xf numFmtId="166" fontId="5" fillId="0" borderId="0" xfId="4" applyNumberFormat="1">
      <alignment vertical="top"/>
    </xf>
    <xf numFmtId="167" fontId="5" fillId="9" borderId="0" xfId="8" applyNumberFormat="1">
      <alignment vertical="top"/>
    </xf>
    <xf numFmtId="0" fontId="0" fillId="0" borderId="0" xfId="0" applyAlignment="1"/>
    <xf numFmtId="164" fontId="0" fillId="11" borderId="0" xfId="63" applyNumberFormat="1" applyFont="1" applyFill="1">
      <alignment vertical="top"/>
    </xf>
    <xf numFmtId="164" fontId="0" fillId="0" borderId="0" xfId="63" applyNumberFormat="1" applyFont="1" applyFill="1">
      <alignment vertical="top"/>
    </xf>
    <xf numFmtId="0" fontId="0" fillId="0" borderId="12" xfId="0" applyBorder="1">
      <alignment vertical="top"/>
    </xf>
    <xf numFmtId="0" fontId="0" fillId="0" borderId="13" xfId="0" applyBorder="1">
      <alignment vertical="top"/>
    </xf>
    <xf numFmtId="164" fontId="0" fillId="0" borderId="13" xfId="63" applyNumberFormat="1" applyFont="1" applyFill="1" applyBorder="1">
      <alignment vertical="top"/>
    </xf>
    <xf numFmtId="0" fontId="0" fillId="0" borderId="14" xfId="0" applyBorder="1">
      <alignment vertical="top"/>
    </xf>
    <xf numFmtId="49" fontId="6" fillId="16" borderId="15" xfId="6" applyBorder="1">
      <alignment vertical="top"/>
    </xf>
    <xf numFmtId="164" fontId="6" fillId="16" borderId="1" xfId="63" applyNumberFormat="1" applyFont="1" applyFill="1" applyBorder="1">
      <alignment vertical="top"/>
    </xf>
    <xf numFmtId="49" fontId="6" fillId="16" borderId="16" xfId="6" applyBorder="1">
      <alignment vertical="top"/>
    </xf>
    <xf numFmtId="0" fontId="0" fillId="0" borderId="17" xfId="0" applyBorder="1">
      <alignment vertical="top"/>
    </xf>
    <xf numFmtId="164" fontId="0" fillId="0" borderId="0" xfId="63" applyNumberFormat="1" applyFont="1" applyFill="1" applyBorder="1">
      <alignment vertical="top"/>
    </xf>
    <xf numFmtId="0" fontId="0" fillId="0" borderId="18" xfId="0" applyBorder="1">
      <alignment vertical="top"/>
    </xf>
    <xf numFmtId="164" fontId="5" fillId="0" borderId="0" xfId="63" applyNumberFormat="1" applyFill="1" applyBorder="1">
      <alignment vertical="top"/>
    </xf>
    <xf numFmtId="0" fontId="5" fillId="0" borderId="18" xfId="4" applyBorder="1">
      <alignment vertical="top"/>
    </xf>
    <xf numFmtId="164" fontId="0" fillId="11" borderId="0" xfId="63" applyNumberFormat="1" applyFont="1" applyFill="1" applyBorder="1">
      <alignment vertical="top"/>
    </xf>
    <xf numFmtId="43" fontId="5" fillId="0" borderId="0" xfId="63" applyFill="1" applyBorder="1">
      <alignment vertical="top"/>
    </xf>
    <xf numFmtId="0" fontId="5" fillId="0" borderId="0" xfId="4" applyAlignment="1">
      <alignment horizontal="right" vertical="top"/>
    </xf>
    <xf numFmtId="165" fontId="5" fillId="0" borderId="0" xfId="63" applyNumberFormat="1" applyFill="1" applyBorder="1" applyAlignment="1">
      <alignment vertical="top"/>
    </xf>
    <xf numFmtId="43" fontId="0" fillId="11" borderId="0" xfId="63" applyFont="1" applyFill="1" applyBorder="1">
      <alignment vertical="top"/>
    </xf>
    <xf numFmtId="165" fontId="5" fillId="0" borderId="0" xfId="63" applyNumberFormat="1" applyFill="1" applyBorder="1">
      <alignment vertical="top"/>
    </xf>
    <xf numFmtId="0" fontId="0" fillId="0" borderId="19" xfId="0" applyBorder="1">
      <alignment vertical="top"/>
    </xf>
    <xf numFmtId="0" fontId="9" fillId="0" borderId="20" xfId="4" applyFont="1" applyBorder="1">
      <alignment vertical="top"/>
    </xf>
    <xf numFmtId="0" fontId="5" fillId="0" borderId="20" xfId="4" applyBorder="1">
      <alignment vertical="top"/>
    </xf>
    <xf numFmtId="0" fontId="5" fillId="0" borderId="21" xfId="4" applyBorder="1">
      <alignment vertical="top"/>
    </xf>
    <xf numFmtId="0" fontId="26" fillId="0" borderId="0" xfId="0" applyFont="1">
      <alignment vertical="top"/>
    </xf>
    <xf numFmtId="10" fontId="0" fillId="11" borderId="0" xfId="0" applyNumberFormat="1" applyFill="1">
      <alignment vertical="top"/>
    </xf>
    <xf numFmtId="0" fontId="26" fillId="0" borderId="0" xfId="0" applyFont="1" applyAlignment="1">
      <alignment vertical="top" wrapText="1"/>
    </xf>
    <xf numFmtId="0" fontId="26" fillId="0" borderId="0" xfId="0" applyFont="1" applyAlignment="1">
      <alignment horizontal="center" vertical="center" wrapText="1"/>
    </xf>
    <xf numFmtId="168" fontId="5" fillId="11" borderId="0" xfId="63" applyNumberFormat="1" applyFill="1" applyBorder="1">
      <alignment vertical="top"/>
    </xf>
    <xf numFmtId="168" fontId="0" fillId="0" borderId="0" xfId="0" applyNumberFormat="1">
      <alignment vertical="top"/>
    </xf>
    <xf numFmtId="10" fontId="5" fillId="11" borderId="0" xfId="0" applyNumberFormat="1" applyFont="1" applyFill="1">
      <alignment vertical="top"/>
    </xf>
    <xf numFmtId="43" fontId="5" fillId="11" borderId="0" xfId="0" applyNumberFormat="1" applyFont="1" applyFill="1">
      <alignment vertical="top"/>
    </xf>
    <xf numFmtId="0" fontId="0" fillId="0" borderId="20" xfId="0" applyBorder="1">
      <alignment vertical="top"/>
    </xf>
    <xf numFmtId="0" fontId="0" fillId="0" borderId="21" xfId="0" applyBorder="1">
      <alignment vertical="top"/>
    </xf>
    <xf numFmtId="164" fontId="5" fillId="11" borderId="0" xfId="63" applyNumberFormat="1" applyFill="1" applyBorder="1">
      <alignment vertical="top"/>
    </xf>
    <xf numFmtId="2" fontId="0" fillId="0" borderId="13" xfId="0" applyNumberFormat="1" applyBorder="1">
      <alignment vertical="top"/>
    </xf>
    <xf numFmtId="2" fontId="0" fillId="0" borderId="14" xfId="0" applyNumberFormat="1" applyBorder="1">
      <alignment vertical="top"/>
    </xf>
    <xf numFmtId="2" fontId="6" fillId="16" borderId="1" xfId="6" applyNumberFormat="1">
      <alignment vertical="top"/>
    </xf>
    <xf numFmtId="2" fontId="6" fillId="16" borderId="16" xfId="6" applyNumberFormat="1" applyBorder="1">
      <alignment vertical="top"/>
    </xf>
    <xf numFmtId="2" fontId="0" fillId="0" borderId="0" xfId="0" applyNumberFormat="1">
      <alignment vertical="top"/>
    </xf>
    <xf numFmtId="2" fontId="0" fillId="0" borderId="18" xfId="0" applyNumberFormat="1" applyBorder="1">
      <alignment vertical="top"/>
    </xf>
    <xf numFmtId="2" fontId="5" fillId="0" borderId="0" xfId="4" applyNumberFormat="1">
      <alignment vertical="top"/>
    </xf>
    <xf numFmtId="2" fontId="5" fillId="0" borderId="18" xfId="4" applyNumberFormat="1" applyBorder="1">
      <alignment vertical="top"/>
    </xf>
    <xf numFmtId="167" fontId="5" fillId="11" borderId="0" xfId="63" applyNumberFormat="1" applyFill="1" applyBorder="1">
      <alignment vertical="top"/>
    </xf>
    <xf numFmtId="43" fontId="5" fillId="11" borderId="0" xfId="63" applyFill="1" applyBorder="1">
      <alignment vertical="top"/>
    </xf>
    <xf numFmtId="2" fontId="5" fillId="0" borderId="20" xfId="4" applyNumberFormat="1" applyBorder="1">
      <alignment vertical="top"/>
    </xf>
    <xf numFmtId="2" fontId="5" fillId="0" borderId="21" xfId="4" applyNumberFormat="1" applyBorder="1">
      <alignment vertical="top"/>
    </xf>
    <xf numFmtId="43" fontId="5" fillId="43" borderId="0" xfId="63" applyFill="1">
      <alignment vertical="top"/>
    </xf>
    <xf numFmtId="169" fontId="5" fillId="8" borderId="0" xfId="9" applyNumberFormat="1">
      <alignment vertical="top"/>
    </xf>
    <xf numFmtId="10" fontId="5" fillId="43" borderId="0" xfId="64" applyFill="1">
      <alignment vertical="top"/>
    </xf>
    <xf numFmtId="167" fontId="5" fillId="8" borderId="0" xfId="63" applyNumberFormat="1">
      <alignment vertical="top"/>
    </xf>
    <xf numFmtId="168" fontId="5" fillId="0" borderId="0" xfId="63" applyNumberFormat="1" applyFill="1">
      <alignment vertical="top"/>
    </xf>
    <xf numFmtId="168" fontId="5" fillId="8" borderId="0" xfId="9" applyNumberFormat="1">
      <alignment vertical="top"/>
    </xf>
    <xf numFmtId="9" fontId="5" fillId="43" borderId="0" xfId="64" applyNumberFormat="1" applyFill="1">
      <alignment vertical="top"/>
    </xf>
    <xf numFmtId="170" fontId="5" fillId="43" borderId="0" xfId="64" applyNumberFormat="1" applyFill="1">
      <alignment vertical="top"/>
    </xf>
    <xf numFmtId="170" fontId="5" fillId="7" borderId="0" xfId="64" applyNumberFormat="1" applyFill="1">
      <alignment vertical="top"/>
    </xf>
    <xf numFmtId="0" fontId="1" fillId="0" borderId="0" xfId="0" applyFont="1">
      <alignment vertical="top"/>
    </xf>
    <xf numFmtId="0" fontId="1" fillId="0" borderId="0" xfId="0" applyFont="1" applyAlignment="1">
      <alignment vertical="center"/>
    </xf>
    <xf numFmtId="0" fontId="1" fillId="0" borderId="0" xfId="0" applyFont="1" applyAlignment="1"/>
    <xf numFmtId="49" fontId="5" fillId="0" borderId="0" xfId="14" applyFont="1">
      <alignment vertical="top"/>
    </xf>
    <xf numFmtId="10" fontId="5" fillId="0" borderId="0" xfId="64" applyFont="1" applyFill="1" applyAlignment="1">
      <alignment vertical="top"/>
    </xf>
    <xf numFmtId="168" fontId="5" fillId="0" borderId="0" xfId="11" applyNumberFormat="1" applyFill="1">
      <alignment vertical="top"/>
    </xf>
    <xf numFmtId="49" fontId="9" fillId="0" borderId="0" xfId="7" applyFont="1">
      <alignment vertical="top"/>
    </xf>
    <xf numFmtId="49" fontId="9" fillId="0" borderId="0" xfId="7" applyFont="1" applyAlignment="1">
      <alignment vertical="top" wrapText="1"/>
    </xf>
    <xf numFmtId="165" fontId="5" fillId="43" borderId="0" xfId="11" applyNumberFormat="1">
      <alignment vertical="top"/>
    </xf>
    <xf numFmtId="168" fontId="5" fillId="43" borderId="0" xfId="11" applyNumberFormat="1">
      <alignment vertical="top"/>
    </xf>
    <xf numFmtId="168" fontId="5" fillId="0" borderId="0" xfId="63" applyNumberFormat="1" applyFont="1" applyFill="1">
      <alignment vertical="top"/>
    </xf>
    <xf numFmtId="10" fontId="5" fillId="43" borderId="0" xfId="11" applyNumberFormat="1">
      <alignment vertical="top"/>
    </xf>
    <xf numFmtId="169" fontId="5" fillId="43" borderId="0" xfId="11" applyNumberFormat="1">
      <alignment vertical="top"/>
    </xf>
    <xf numFmtId="43" fontId="5" fillId="0" borderId="0" xfId="4" applyNumberFormat="1">
      <alignment vertical="top"/>
    </xf>
    <xf numFmtId="167" fontId="5" fillId="0" borderId="0" xfId="12" applyNumberFormat="1" applyFill="1">
      <alignment vertical="top"/>
    </xf>
    <xf numFmtId="49" fontId="13" fillId="0" borderId="0" xfId="14" applyFont="1">
      <alignment vertical="top"/>
    </xf>
    <xf numFmtId="172" fontId="5" fillId="43" borderId="0" xfId="11" applyNumberFormat="1">
      <alignment vertical="top"/>
    </xf>
    <xf numFmtId="10" fontId="5" fillId="10" borderId="0" xfId="64" applyFill="1">
      <alignment vertical="top"/>
    </xf>
    <xf numFmtId="43" fontId="5" fillId="10" borderId="0" xfId="63" applyFill="1">
      <alignment vertical="top"/>
    </xf>
    <xf numFmtId="168" fontId="5" fillId="0" borderId="0" xfId="4" applyNumberFormat="1">
      <alignment vertical="top"/>
    </xf>
    <xf numFmtId="169" fontId="5" fillId="7" borderId="0" xfId="10" applyNumberFormat="1">
      <alignment vertical="top"/>
    </xf>
    <xf numFmtId="49" fontId="6" fillId="0" borderId="0" xfId="15" applyFont="1">
      <alignment vertical="top"/>
    </xf>
    <xf numFmtId="15" fontId="5" fillId="43" borderId="0" xfId="11" applyNumberFormat="1">
      <alignment vertical="top"/>
    </xf>
    <xf numFmtId="41" fontId="5" fillId="0" borderId="0" xfId="11" applyFill="1">
      <alignment vertical="top"/>
    </xf>
    <xf numFmtId="41" fontId="5" fillId="0" borderId="0" xfId="9" applyFill="1">
      <alignment vertical="top"/>
    </xf>
    <xf numFmtId="168" fontId="5" fillId="7" borderId="0" xfId="10" applyNumberFormat="1">
      <alignment vertical="top"/>
    </xf>
    <xf numFmtId="168" fontId="5" fillId="8" borderId="0" xfId="11" applyNumberFormat="1" applyFill="1">
      <alignment vertical="top"/>
    </xf>
    <xf numFmtId="168" fontId="5" fillId="41" borderId="0" xfId="62" applyNumberFormat="1">
      <alignment vertical="top"/>
    </xf>
    <xf numFmtId="3" fontId="5" fillId="0" borderId="0" xfId="4" applyNumberFormat="1">
      <alignment vertical="top"/>
    </xf>
    <xf numFmtId="168" fontId="5" fillId="0" borderId="0" xfId="9" applyNumberFormat="1" applyFill="1">
      <alignment vertical="top"/>
    </xf>
    <xf numFmtId="164" fontId="5" fillId="43" borderId="0" xfId="63" applyNumberFormat="1" applyFill="1">
      <alignment vertical="top"/>
    </xf>
    <xf numFmtId="164" fontId="5" fillId="43" borderId="0" xfId="11" applyNumberFormat="1">
      <alignment vertical="top"/>
    </xf>
    <xf numFmtId="168" fontId="5" fillId="10" borderId="0" xfId="13" applyNumberFormat="1">
      <alignment vertical="top"/>
    </xf>
    <xf numFmtId="164" fontId="5" fillId="10" borderId="0" xfId="13" applyNumberFormat="1">
      <alignment vertical="top"/>
    </xf>
    <xf numFmtId="168" fontId="5" fillId="9" borderId="0" xfId="8" applyNumberFormat="1">
      <alignment vertical="top"/>
    </xf>
    <xf numFmtId="164" fontId="5" fillId="8" borderId="0" xfId="9" applyNumberFormat="1">
      <alignment vertical="top"/>
    </xf>
    <xf numFmtId="43" fontId="5" fillId="10" borderId="0" xfId="13" applyNumberFormat="1">
      <alignment vertical="top"/>
    </xf>
    <xf numFmtId="49" fontId="5" fillId="0" borderId="0" xfId="15" applyFont="1">
      <alignment vertical="top"/>
    </xf>
    <xf numFmtId="168" fontId="5" fillId="41" borderId="0" xfId="63" applyNumberFormat="1" applyFill="1">
      <alignment vertical="top"/>
    </xf>
    <xf numFmtId="174" fontId="5" fillId="10" borderId="0" xfId="13" applyNumberFormat="1">
      <alignment vertical="top"/>
    </xf>
    <xf numFmtId="172" fontId="5" fillId="10" borderId="0" xfId="13" applyNumberFormat="1">
      <alignment vertical="top"/>
    </xf>
    <xf numFmtId="164" fontId="5" fillId="8" borderId="0" xfId="63" applyNumberFormat="1">
      <alignment vertical="top"/>
    </xf>
    <xf numFmtId="170" fontId="5" fillId="10" borderId="0" xfId="13" applyNumberFormat="1">
      <alignment vertical="top"/>
    </xf>
    <xf numFmtId="43" fontId="5" fillId="10" borderId="0" xfId="63" applyFont="1" applyFill="1" applyAlignment="1">
      <alignment vertical="top"/>
    </xf>
    <xf numFmtId="168" fontId="5" fillId="10" borderId="0" xfId="63" applyNumberFormat="1" applyFont="1" applyFill="1" applyAlignment="1">
      <alignment vertical="top"/>
    </xf>
    <xf numFmtId="0" fontId="5" fillId="0" borderId="0" xfId="64" applyNumberFormat="1">
      <alignment vertical="top"/>
    </xf>
    <xf numFmtId="169" fontId="5" fillId="0" borderId="0" xfId="9" applyNumberFormat="1" applyFill="1">
      <alignment vertical="top"/>
    </xf>
    <xf numFmtId="164" fontId="5" fillId="9" borderId="0" xfId="63" applyNumberFormat="1" applyFill="1">
      <alignment vertical="top"/>
    </xf>
    <xf numFmtId="173" fontId="5" fillId="10" borderId="0" xfId="63" applyNumberFormat="1" applyFill="1">
      <alignment vertical="top"/>
    </xf>
    <xf numFmtId="10" fontId="5" fillId="10" borderId="0" xfId="13" applyNumberFormat="1">
      <alignment vertical="top"/>
    </xf>
    <xf numFmtId="175" fontId="5" fillId="0" borderId="0" xfId="4" applyNumberFormat="1">
      <alignment vertical="top"/>
    </xf>
    <xf numFmtId="176" fontId="5" fillId="0" borderId="0" xfId="4" applyNumberFormat="1">
      <alignment vertical="top"/>
    </xf>
    <xf numFmtId="174" fontId="5" fillId="0" borderId="0" xfId="4" applyNumberFormat="1">
      <alignment vertical="top"/>
    </xf>
    <xf numFmtId="41" fontId="5" fillId="0" borderId="0" xfId="13" applyFill="1">
      <alignment vertical="top"/>
    </xf>
    <xf numFmtId="43" fontId="5" fillId="8" borderId="0" xfId="63">
      <alignment vertical="top"/>
    </xf>
    <xf numFmtId="43" fontId="5" fillId="0" borderId="0" xfId="63" applyFill="1">
      <alignment vertical="top"/>
    </xf>
    <xf numFmtId="177" fontId="5" fillId="10" borderId="0" xfId="13" applyNumberFormat="1">
      <alignment vertical="top"/>
    </xf>
    <xf numFmtId="43" fontId="5" fillId="9" borderId="0" xfId="63" applyFill="1">
      <alignment vertical="top"/>
    </xf>
    <xf numFmtId="178" fontId="5" fillId="0" borderId="0" xfId="4" applyNumberFormat="1">
      <alignment vertical="top"/>
    </xf>
    <xf numFmtId="164" fontId="5" fillId="0" borderId="0" xfId="13" applyNumberFormat="1" applyFill="1">
      <alignment vertical="top"/>
    </xf>
    <xf numFmtId="168" fontId="5" fillId="8" borderId="0" xfId="63" applyNumberFormat="1">
      <alignment vertical="top"/>
    </xf>
    <xf numFmtId="174" fontId="5" fillId="8" borderId="0" xfId="9" applyNumberFormat="1">
      <alignment vertical="top"/>
    </xf>
    <xf numFmtId="179" fontId="5" fillId="0" borderId="0" xfId="4" applyNumberFormat="1">
      <alignment vertical="top"/>
    </xf>
    <xf numFmtId="167" fontId="5" fillId="0" borderId="0" xfId="4" applyNumberFormat="1">
      <alignment vertical="top"/>
    </xf>
    <xf numFmtId="43" fontId="5" fillId="8" borderId="0" xfId="9" applyNumberFormat="1">
      <alignment vertical="top"/>
    </xf>
    <xf numFmtId="167" fontId="5" fillId="9" borderId="0" xfId="63" applyNumberFormat="1" applyFill="1">
      <alignment vertical="top"/>
    </xf>
    <xf numFmtId="0" fontId="6" fillId="0" borderId="2" xfId="4" applyFont="1" applyBorder="1">
      <alignment vertical="top"/>
    </xf>
    <xf numFmtId="49" fontId="20" fillId="0" borderId="2" xfId="61" applyBorder="1" applyAlignment="1">
      <alignment vertical="top"/>
    </xf>
    <xf numFmtId="0" fontId="9" fillId="0" borderId="0" xfId="4" applyFont="1" applyAlignment="1">
      <alignment horizontal="left" vertical="top"/>
    </xf>
    <xf numFmtId="173" fontId="5" fillId="43" borderId="0" xfId="11" applyNumberFormat="1">
      <alignment vertical="top"/>
    </xf>
    <xf numFmtId="43" fontId="5" fillId="0" borderId="0" xfId="9" applyNumberFormat="1" applyFill="1">
      <alignment vertical="top"/>
    </xf>
    <xf numFmtId="168" fontId="5" fillId="0" borderId="0" xfId="4" applyNumberFormat="1" applyFill="1">
      <alignment vertical="top"/>
    </xf>
    <xf numFmtId="171" fontId="5" fillId="43" borderId="0" xfId="11" applyNumberFormat="1">
      <alignment vertical="top"/>
    </xf>
    <xf numFmtId="0" fontId="5" fillId="0" borderId="0" xfId="4" applyFont="1" applyFill="1" applyBorder="1" applyAlignment="1">
      <alignment horizontal="left" vertical="top" wrapText="1"/>
    </xf>
    <xf numFmtId="0" fontId="7" fillId="0" borderId="0" xfId="4" applyFont="1" applyFill="1" applyBorder="1" applyAlignment="1">
      <alignment horizontal="left" vertical="top" wrapText="1"/>
    </xf>
  </cellXfs>
  <cellStyles count="67">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ijzonderheid" xfId="10" xr:uid="{00000000-0005-0000-0000-00001E000000}"/>
    <cellStyle name="Cel Dataverzoek" xfId="65" xr:uid="{00000000-0005-0000-0000-00001F000000}"/>
    <cellStyle name="Cel Input" xfId="11" xr:uid="{00000000-0005-0000-0000-000020000000}"/>
    <cellStyle name="Cel input database" xfId="66" xr:uid="{D3BE9B27-7433-43F4-96C8-5DBCFAF23CCF}"/>
    <cellStyle name="Cel n.v.t. (leeg)" xfId="62" xr:uid="{00000000-0005-0000-0000-000021000000}"/>
    <cellStyle name="Cel PM extern" xfId="12" xr:uid="{00000000-0005-0000-0000-000022000000}"/>
    <cellStyle name="Cel Verwijzing" xfId="13" xr:uid="{00000000-0005-0000-0000-000023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5000000}"/>
    <cellStyle name="Procent" xfId="27" builtinId="5" hidden="1"/>
    <cellStyle name="Procent" xfId="64" builtinId="5"/>
    <cellStyle name="Standaard" xfId="0" builtinId="0" customBuiltin="1"/>
    <cellStyle name="Standaard ACM-DE" xfId="4" xr:uid="{00000000-0005-0000-0000-000039000000}"/>
    <cellStyle name="Titel" xfId="28" builtinId="15" hidden="1"/>
    <cellStyle name="Toelichting" xfId="15" xr:uid="{00000000-0005-0000-0000-00003B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E1FFE1"/>
      <color rgb="FF99FF99"/>
      <color rgb="FFFFFFCC"/>
      <color rgb="FFCCC8D9"/>
      <color rgb="FFCCFFCC"/>
      <color rgb="FFCC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acm.nl/nl/publicaties/beschikking-productieprijs-elektriciteit-2023-bonaire-contourglobal" TargetMode="External"/><Relationship Id="rId3" Type="http://schemas.openxmlformats.org/officeDocument/2006/relationships/hyperlink" Target="https://www.acm.nl/nl/publicaties/wacc-elektriciteit-en-drinkwater-caribisch-nederland-2023-2025" TargetMode="External"/><Relationship Id="rId7" Type="http://schemas.openxmlformats.org/officeDocument/2006/relationships/hyperlink" Target="https://www.acm.nl/nl/publicaties/beschikking-distributietarieven-elektriciteit-2023-bonaire-web" TargetMode="External"/><Relationship Id="rId2" Type="http://schemas.openxmlformats.org/officeDocument/2006/relationships/hyperlink" Target="https://wetten.overheid.nl/BWBR0030649/2011-11-18" TargetMode="External"/><Relationship Id="rId1" Type="http://schemas.openxmlformats.org/officeDocument/2006/relationships/hyperlink" Target="https://opendata.cbs.nl/" TargetMode="External"/><Relationship Id="rId6" Type="http://schemas.openxmlformats.org/officeDocument/2006/relationships/hyperlink" Target="https://www.acm.nl/nl/publicaties/beschikking-distributietarieven-elektriciteit-2024-bonaire-web" TargetMode="External"/><Relationship Id="rId11" Type="http://schemas.openxmlformats.org/officeDocument/2006/relationships/printerSettings" Target="../printerSettings/printerSettings3.bin"/><Relationship Id="rId5" Type="http://schemas.openxmlformats.org/officeDocument/2006/relationships/hyperlink" Target="https://www.webbonaire.com/wp-content/uploads/2022/12/WEB-NL-Elektriciteits-tarieven-per-januari-2023.pdf" TargetMode="External"/><Relationship Id="rId10" Type="http://schemas.openxmlformats.org/officeDocument/2006/relationships/hyperlink" Target="https://www.acm.nl/nl/publicaties/beschikking-variabel-tarief-elektriciteit-1-juli-2024-bonaire-caribisch-nederland" TargetMode="External"/><Relationship Id="rId4" Type="http://schemas.openxmlformats.org/officeDocument/2006/relationships/hyperlink" Target="https://www.acm.nl/nl/publicaties/methodebesluit-elektriciteit-en-drinkwater-caribisch-nederland-2020-2025" TargetMode="External"/><Relationship Id="rId9" Type="http://schemas.openxmlformats.org/officeDocument/2006/relationships/hyperlink" Target="https://www.acm.nl/nl/publicaties/beschikking-variabel-tarief-elektriciteit-1-juli-2023-bonair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E50"/>
  <sheetViews>
    <sheetView showGridLines="0" tabSelected="1" zoomScale="85" zoomScaleNormal="85" workbookViewId="0">
      <pane ySplit="3" topLeftCell="A7" activePane="bottomLeft" state="frozen"/>
      <selection activeCell="O39" sqref="O39"/>
      <selection pane="bottomLeft"/>
    </sheetView>
  </sheetViews>
  <sheetFormatPr defaultColWidth="9.140625" defaultRowHeight="12.75" x14ac:dyDescent="0.2"/>
  <cols>
    <col min="1" max="1" width="5.7109375" style="2" customWidth="1"/>
    <col min="2" max="2" width="43.7109375" style="2" customWidth="1"/>
    <col min="3" max="3" width="91.85546875" style="2" customWidth="1"/>
    <col min="4" max="4" width="5.7109375" style="2" customWidth="1"/>
    <col min="5" max="16384" width="9.140625" style="2"/>
  </cols>
  <sheetData>
    <row r="2" spans="2:5" s="7" customFormat="1" ht="18" x14ac:dyDescent="0.2">
      <c r="B2" s="7" t="s">
        <v>0</v>
      </c>
    </row>
    <row r="6" spans="2:5" x14ac:dyDescent="0.2">
      <c r="B6" s="3"/>
    </row>
    <row r="13" spans="2:5" s="8" customFormat="1" x14ac:dyDescent="0.2">
      <c r="B13" s="8" t="s">
        <v>1</v>
      </c>
    </row>
    <row r="14" spans="2:5" s="9" customFormat="1" x14ac:dyDescent="0.2"/>
    <row r="15" spans="2:5" x14ac:dyDescent="0.2">
      <c r="B15" s="10" t="s">
        <v>2</v>
      </c>
      <c r="C15" s="11" t="s">
        <v>337</v>
      </c>
      <c r="E15" s="25"/>
    </row>
    <row r="16" spans="2:5" x14ac:dyDescent="0.2">
      <c r="B16" s="10" t="s">
        <v>3</v>
      </c>
      <c r="C16" s="11" t="s">
        <v>338</v>
      </c>
    </row>
    <row r="17" spans="2:3" x14ac:dyDescent="0.2">
      <c r="B17" s="10" t="s">
        <v>4</v>
      </c>
      <c r="C17" s="11" t="s">
        <v>339</v>
      </c>
    </row>
    <row r="18" spans="2:3" x14ac:dyDescent="0.2">
      <c r="B18" s="10" t="s">
        <v>5</v>
      </c>
      <c r="C18" s="11" t="s">
        <v>336</v>
      </c>
    </row>
    <row r="19" spans="2:3" ht="25.5" x14ac:dyDescent="0.2">
      <c r="B19" s="10" t="s">
        <v>6</v>
      </c>
      <c r="C19" s="11" t="s">
        <v>775</v>
      </c>
    </row>
    <row r="21" spans="2:3" x14ac:dyDescent="0.2">
      <c r="B21" s="27" t="s">
        <v>69</v>
      </c>
    </row>
    <row r="23" spans="2:3" x14ac:dyDescent="0.2">
      <c r="B23" s="175" t="s">
        <v>340</v>
      </c>
      <c r="C23" s="175" t="s">
        <v>341</v>
      </c>
    </row>
    <row r="24" spans="2:3" x14ac:dyDescent="0.2">
      <c r="B24" s="6" t="s">
        <v>342</v>
      </c>
      <c r="C24" s="6" t="s">
        <v>346</v>
      </c>
    </row>
    <row r="25" spans="2:3" x14ac:dyDescent="0.2">
      <c r="B25" s="6" t="s">
        <v>343</v>
      </c>
      <c r="C25" s="6" t="s">
        <v>347</v>
      </c>
    </row>
    <row r="26" spans="2:3" x14ac:dyDescent="0.2">
      <c r="B26" s="6" t="s">
        <v>344</v>
      </c>
      <c r="C26" s="6" t="s">
        <v>348</v>
      </c>
    </row>
    <row r="27" spans="2:3" x14ac:dyDescent="0.2">
      <c r="B27" s="6" t="s">
        <v>345</v>
      </c>
      <c r="C27" s="6" t="s">
        <v>349</v>
      </c>
    </row>
    <row r="30" spans="2:3" s="8" customFormat="1" x14ac:dyDescent="0.2">
      <c r="B30" s="8" t="s">
        <v>8</v>
      </c>
    </row>
    <row r="32" spans="2:3" x14ac:dyDescent="0.2">
      <c r="B32" s="33" t="s">
        <v>57</v>
      </c>
      <c r="C32" s="11" t="s">
        <v>774</v>
      </c>
    </row>
    <row r="33" spans="2:4" ht="25.5" x14ac:dyDescent="0.2">
      <c r="B33" s="33" t="s">
        <v>59</v>
      </c>
      <c r="C33" s="11" t="s">
        <v>774</v>
      </c>
    </row>
    <row r="34" spans="2:4" x14ac:dyDescent="0.2">
      <c r="B34" s="33" t="s">
        <v>58</v>
      </c>
      <c r="C34" s="11" t="s">
        <v>787</v>
      </c>
    </row>
    <row r="35" spans="2:4" ht="25.5" x14ac:dyDescent="0.2">
      <c r="B35" s="33" t="s">
        <v>60</v>
      </c>
      <c r="C35" s="11" t="s">
        <v>774</v>
      </c>
    </row>
    <row r="36" spans="2:4" ht="25.5" x14ac:dyDescent="0.2">
      <c r="B36" s="33" t="s">
        <v>61</v>
      </c>
      <c r="C36" s="11" t="s">
        <v>788</v>
      </c>
    </row>
    <row r="37" spans="2:4" ht="25.5" x14ac:dyDescent="0.2">
      <c r="B37" s="10" t="s">
        <v>7</v>
      </c>
      <c r="C37" s="11" t="s">
        <v>789</v>
      </c>
    </row>
    <row r="39" spans="2:4" x14ac:dyDescent="0.2">
      <c r="B39" s="182" t="s">
        <v>53</v>
      </c>
      <c r="C39" s="183"/>
      <c r="D39" s="5"/>
    </row>
    <row r="40" spans="2:4" x14ac:dyDescent="0.2">
      <c r="B40" s="24"/>
      <c r="C40" s="24"/>
      <c r="D40" s="5"/>
    </row>
    <row r="42" spans="2:4" s="8" customFormat="1" x14ac:dyDescent="0.2">
      <c r="B42" s="8" t="s">
        <v>9</v>
      </c>
    </row>
    <row r="44" spans="2:4" x14ac:dyDescent="0.2">
      <c r="B44" s="2" t="s">
        <v>49</v>
      </c>
    </row>
    <row r="49" spans="2:2" x14ac:dyDescent="0.2">
      <c r="B49" s="4"/>
    </row>
    <row r="50" spans="2:2" x14ac:dyDescent="0.2">
      <c r="B50" s="27" t="s">
        <v>62</v>
      </c>
    </row>
  </sheetData>
  <mergeCells count="1">
    <mergeCell ref="B39:C39"/>
  </mergeCell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49EB2-E2BA-48E0-A045-5559FFFEBF30}">
  <sheetPr>
    <tabColor rgb="FFE1FFE1"/>
  </sheetPr>
  <dimension ref="A1:T71"/>
  <sheetViews>
    <sheetView showGridLines="0" zoomScale="85" zoomScaleNormal="85" workbookViewId="0">
      <pane xSplit="6" ySplit="9" topLeftCell="I10" activePane="bottomRight" state="frozen"/>
      <selection pane="topRight"/>
      <selection pane="bottomLeft"/>
      <selection pane="bottomRight"/>
    </sheetView>
  </sheetViews>
  <sheetFormatPr defaultRowHeight="12.75" x14ac:dyDescent="0.2"/>
  <cols>
    <col min="1" max="1" width="5.7109375" style="2" customWidth="1"/>
    <col min="2" max="2" width="62.42578125" style="2" customWidth="1"/>
    <col min="3" max="3" width="20.7109375" style="2" customWidth="1"/>
    <col min="4"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13.85546875" style="2" customWidth="1"/>
    <col min="17" max="17" width="5.28515625" style="2" customWidth="1"/>
    <col min="18" max="18" width="51.7109375" style="2" bestFit="1" customWidth="1"/>
    <col min="19" max="19" width="3.85546875" style="2" customWidth="1"/>
    <col min="20" max="21" width="12.5703125" style="2" customWidth="1"/>
    <col min="22" max="22" width="2.7109375" style="2" customWidth="1"/>
    <col min="23" max="23" width="20.7109375" style="2" customWidth="1"/>
    <col min="24" max="24" width="2.7109375" style="2" customWidth="1"/>
    <col min="25" max="25" width="30.7109375" style="2" customWidth="1"/>
    <col min="26" max="26" width="2.7109375" style="2" customWidth="1"/>
    <col min="27" max="41" width="13.7109375" style="2" customWidth="1"/>
    <col min="42" max="16384" width="9.140625" style="2"/>
  </cols>
  <sheetData>
    <row r="1" spans="1:20" x14ac:dyDescent="0.2">
      <c r="A1" s="9"/>
    </row>
    <row r="2" spans="1:20" s="15" customFormat="1" ht="18" x14ac:dyDescent="0.2">
      <c r="B2" s="15" t="s">
        <v>691</v>
      </c>
    </row>
    <row r="4" spans="1:20" x14ac:dyDescent="0.2">
      <c r="B4" s="26" t="s">
        <v>21</v>
      </c>
      <c r="C4" s="1"/>
      <c r="D4" s="1"/>
      <c r="L4" s="109"/>
    </row>
    <row r="5" spans="1:20" x14ac:dyDescent="0.2">
      <c r="B5" s="2" t="s">
        <v>438</v>
      </c>
      <c r="H5" s="16"/>
    </row>
    <row r="6" spans="1:20" x14ac:dyDescent="0.2">
      <c r="H6" s="16"/>
    </row>
    <row r="8" spans="1:20" s="8" customFormat="1" ht="26.25" customHeight="1" x14ac:dyDescent="0.2">
      <c r="B8" s="8" t="s">
        <v>36</v>
      </c>
      <c r="F8" s="8" t="s">
        <v>19</v>
      </c>
      <c r="H8" s="8" t="s">
        <v>20</v>
      </c>
      <c r="J8" s="8" t="s">
        <v>40</v>
      </c>
      <c r="L8" s="38" t="s">
        <v>166</v>
      </c>
      <c r="M8" s="38" t="s">
        <v>167</v>
      </c>
      <c r="N8" s="38" t="s">
        <v>168</v>
      </c>
      <c r="O8" s="38" t="s">
        <v>169</v>
      </c>
      <c r="P8" s="38" t="s">
        <v>170</v>
      </c>
      <c r="R8" s="8" t="s">
        <v>37</v>
      </c>
      <c r="T8" s="8" t="s">
        <v>38</v>
      </c>
    </row>
    <row r="11" spans="1:20" s="8" customFormat="1" x14ac:dyDescent="0.2">
      <c r="B11" s="8" t="s">
        <v>439</v>
      </c>
    </row>
    <row r="13" spans="1:20" x14ac:dyDescent="0.2">
      <c r="B13" s="26" t="s">
        <v>181</v>
      </c>
      <c r="M13" s="110"/>
    </row>
    <row r="14" spans="1:20" x14ac:dyDescent="0.2">
      <c r="A14" s="9"/>
      <c r="B14" s="2" t="s">
        <v>182</v>
      </c>
      <c r="F14" s="111" t="s">
        <v>130</v>
      </c>
      <c r="L14" s="31">
        <v>282924.66000000003</v>
      </c>
      <c r="R14" s="2" t="s">
        <v>436</v>
      </c>
      <c r="T14" s="112" t="s">
        <v>183</v>
      </c>
    </row>
    <row r="15" spans="1:20" x14ac:dyDescent="0.2">
      <c r="A15" s="9"/>
      <c r="B15" s="2" t="s">
        <v>440</v>
      </c>
      <c r="F15" s="111" t="s">
        <v>130</v>
      </c>
      <c r="L15" s="31">
        <v>151367870</v>
      </c>
      <c r="M15" s="109"/>
      <c r="R15" s="2" t="s">
        <v>436</v>
      </c>
      <c r="T15" s="2" t="s">
        <v>710</v>
      </c>
    </row>
    <row r="16" spans="1:20" x14ac:dyDescent="0.2">
      <c r="F16" s="111"/>
      <c r="L16" s="113"/>
      <c r="M16" s="109"/>
    </row>
    <row r="17" spans="2:20" x14ac:dyDescent="0.2">
      <c r="B17" s="26" t="s">
        <v>184</v>
      </c>
      <c r="F17" s="111"/>
      <c r="M17" s="109"/>
    </row>
    <row r="18" spans="2:20" x14ac:dyDescent="0.2">
      <c r="B18" s="2" t="s">
        <v>185</v>
      </c>
      <c r="F18" s="111" t="s">
        <v>151</v>
      </c>
      <c r="H18" s="114"/>
      <c r="L18" s="39"/>
      <c r="N18" s="31">
        <v>2549735.8999999994</v>
      </c>
      <c r="R18" s="2" t="s">
        <v>666</v>
      </c>
      <c r="T18" s="25"/>
    </row>
    <row r="21" spans="2:20" s="8" customFormat="1" x14ac:dyDescent="0.2">
      <c r="B21" s="8" t="s">
        <v>441</v>
      </c>
    </row>
    <row r="23" spans="2:20" x14ac:dyDescent="0.2">
      <c r="B23" s="1" t="s">
        <v>442</v>
      </c>
    </row>
    <row r="24" spans="2:20" ht="25.5" x14ac:dyDescent="0.2">
      <c r="B24" s="115" t="s">
        <v>79</v>
      </c>
      <c r="C24" s="116" t="s">
        <v>186</v>
      </c>
    </row>
    <row r="25" spans="2:20" x14ac:dyDescent="0.2">
      <c r="B25" s="2" t="s">
        <v>81</v>
      </c>
      <c r="C25" s="117">
        <v>3.1</v>
      </c>
      <c r="F25" s="2" t="s">
        <v>187</v>
      </c>
      <c r="J25" s="9"/>
      <c r="K25" s="9"/>
      <c r="L25" s="114"/>
      <c r="M25" s="118">
        <v>775.25129788835238</v>
      </c>
      <c r="R25" s="2" t="s">
        <v>188</v>
      </c>
    </row>
    <row r="26" spans="2:20" x14ac:dyDescent="0.2">
      <c r="B26" s="2" t="s">
        <v>82</v>
      </c>
      <c r="C26" s="117">
        <v>4.4000000000000004</v>
      </c>
      <c r="F26" s="2" t="s">
        <v>187</v>
      </c>
      <c r="J26" s="9"/>
      <c r="K26" s="9"/>
      <c r="L26" s="114"/>
      <c r="M26" s="118">
        <v>1214.9618621464892</v>
      </c>
      <c r="T26" s="2" t="s">
        <v>189</v>
      </c>
    </row>
    <row r="27" spans="2:20" x14ac:dyDescent="0.2">
      <c r="B27" s="2" t="s">
        <v>83</v>
      </c>
      <c r="C27" s="117">
        <f>+C26</f>
        <v>4.4000000000000004</v>
      </c>
      <c r="F27" s="2" t="s">
        <v>187</v>
      </c>
      <c r="J27" s="9"/>
      <c r="K27" s="9"/>
      <c r="L27" s="114"/>
      <c r="M27" s="118">
        <v>6124.1054908321394</v>
      </c>
      <c r="T27" s="2" t="s">
        <v>189</v>
      </c>
    </row>
    <row r="28" spans="2:20" x14ac:dyDescent="0.2">
      <c r="B28" s="2" t="s">
        <v>84</v>
      </c>
      <c r="C28" s="117">
        <v>11.4</v>
      </c>
      <c r="F28" s="2" t="s">
        <v>187</v>
      </c>
      <c r="J28" s="9"/>
      <c r="K28" s="9"/>
      <c r="L28" s="114"/>
      <c r="M28" s="118">
        <v>898.16740566702799</v>
      </c>
    </row>
    <row r="29" spans="2:20" x14ac:dyDescent="0.2">
      <c r="B29" s="2" t="s">
        <v>85</v>
      </c>
      <c r="C29" s="117">
        <v>19.2</v>
      </c>
      <c r="F29" s="2" t="s">
        <v>187</v>
      </c>
      <c r="J29" s="9"/>
      <c r="K29" s="9"/>
      <c r="L29" s="114"/>
      <c r="M29" s="118">
        <v>387.62555959523252</v>
      </c>
    </row>
    <row r="30" spans="2:20" x14ac:dyDescent="0.2">
      <c r="B30" s="2" t="s">
        <v>86</v>
      </c>
      <c r="C30" s="117">
        <v>30.4</v>
      </c>
      <c r="F30" s="2" t="s">
        <v>187</v>
      </c>
      <c r="J30" s="9"/>
      <c r="K30" s="9"/>
      <c r="L30" s="114"/>
      <c r="M30" s="118">
        <v>194.23129529564218</v>
      </c>
    </row>
    <row r="31" spans="2:20" x14ac:dyDescent="0.2">
      <c r="B31" s="2" t="s">
        <v>87</v>
      </c>
      <c r="C31" s="117">
        <v>38.1</v>
      </c>
      <c r="F31" s="2" t="s">
        <v>187</v>
      </c>
      <c r="J31" s="9"/>
      <c r="K31" s="9"/>
      <c r="L31" s="114"/>
      <c r="M31" s="118">
        <v>93.973957045262509</v>
      </c>
    </row>
    <row r="32" spans="2:20" x14ac:dyDescent="0.2">
      <c r="B32" s="2" t="s">
        <v>88</v>
      </c>
      <c r="C32" s="117">
        <v>47.6</v>
      </c>
      <c r="F32" s="2" t="s">
        <v>187</v>
      </c>
      <c r="J32" s="9"/>
      <c r="K32" s="9"/>
      <c r="L32" s="114"/>
      <c r="M32" s="118">
        <v>46.081690179375784</v>
      </c>
    </row>
    <row r="33" spans="2:18" x14ac:dyDescent="0.2">
      <c r="B33" s="2" t="s">
        <v>89</v>
      </c>
      <c r="C33" s="117">
        <v>52.5</v>
      </c>
      <c r="F33" s="2" t="s">
        <v>187</v>
      </c>
      <c r="J33" s="9"/>
      <c r="K33" s="9"/>
      <c r="L33" s="114"/>
      <c r="M33" s="118">
        <v>0</v>
      </c>
    </row>
    <row r="34" spans="2:18" x14ac:dyDescent="0.2">
      <c r="B34" s="2" t="s">
        <v>90</v>
      </c>
      <c r="C34" s="117">
        <v>60.9</v>
      </c>
      <c r="F34" s="2" t="s">
        <v>187</v>
      </c>
      <c r="J34" s="9"/>
      <c r="K34" s="9"/>
      <c r="L34" s="114"/>
      <c r="M34" s="118">
        <v>7.9785300090153406</v>
      </c>
    </row>
    <row r="35" spans="2:18" x14ac:dyDescent="0.2">
      <c r="B35" s="2" t="s">
        <v>91</v>
      </c>
      <c r="C35" s="117">
        <v>65.7</v>
      </c>
      <c r="F35" s="2" t="s">
        <v>187</v>
      </c>
      <c r="M35" s="118">
        <v>0</v>
      </c>
    </row>
    <row r="36" spans="2:18" x14ac:dyDescent="0.2">
      <c r="B36" s="2" t="s">
        <v>92</v>
      </c>
      <c r="C36" s="117">
        <v>76.099999999999994</v>
      </c>
      <c r="F36" s="2" t="s">
        <v>187</v>
      </c>
      <c r="M36" s="118">
        <v>3.9892650045076703</v>
      </c>
    </row>
    <row r="37" spans="2:18" x14ac:dyDescent="0.2">
      <c r="B37" s="2" t="s">
        <v>669</v>
      </c>
      <c r="C37" s="117">
        <v>1</v>
      </c>
      <c r="F37" s="2" t="s">
        <v>187</v>
      </c>
      <c r="M37" s="31">
        <v>31127.200678217243</v>
      </c>
    </row>
    <row r="38" spans="2:18" x14ac:dyDescent="0.2">
      <c r="B38" s="25"/>
    </row>
    <row r="40" spans="2:18" x14ac:dyDescent="0.2">
      <c r="B40" s="1" t="s">
        <v>190</v>
      </c>
      <c r="N40" s="119"/>
    </row>
    <row r="41" spans="2:18" x14ac:dyDescent="0.2">
      <c r="B41" s="2" t="s">
        <v>191</v>
      </c>
      <c r="C41" s="117">
        <v>4.4000000000000004</v>
      </c>
      <c r="F41" s="2" t="s">
        <v>187</v>
      </c>
      <c r="M41" s="118">
        <v>2878.9166666666665</v>
      </c>
      <c r="R41" s="2" t="s">
        <v>188</v>
      </c>
    </row>
    <row r="42" spans="2:18" x14ac:dyDescent="0.2">
      <c r="B42" s="2" t="s">
        <v>192</v>
      </c>
      <c r="F42" s="2" t="s">
        <v>134</v>
      </c>
      <c r="M42" s="30">
        <v>208.33333333333334</v>
      </c>
    </row>
    <row r="44" spans="2:18" x14ac:dyDescent="0.2">
      <c r="B44" s="2" t="s">
        <v>443</v>
      </c>
      <c r="F44" s="2" t="s">
        <v>119</v>
      </c>
      <c r="M44" s="120">
        <v>9.0289629203973529E-2</v>
      </c>
      <c r="R44" s="2" t="s">
        <v>193</v>
      </c>
    </row>
    <row r="47" spans="2:18" x14ac:dyDescent="0.2">
      <c r="B47" s="1" t="s">
        <v>444</v>
      </c>
    </row>
    <row r="48" spans="2:18" ht="25.5" x14ac:dyDescent="0.2">
      <c r="B48" s="115" t="s">
        <v>79</v>
      </c>
      <c r="C48" s="116" t="s">
        <v>194</v>
      </c>
    </row>
    <row r="49" spans="2:18" x14ac:dyDescent="0.2">
      <c r="B49" s="111" t="s">
        <v>104</v>
      </c>
      <c r="C49" s="121">
        <v>0.25</v>
      </c>
      <c r="F49" s="2" t="s">
        <v>187</v>
      </c>
      <c r="O49" s="118">
        <v>11699.580473766558</v>
      </c>
      <c r="R49" s="2" t="s">
        <v>195</v>
      </c>
    </row>
    <row r="50" spans="2:18" x14ac:dyDescent="0.2">
      <c r="B50" s="111" t="s">
        <v>105</v>
      </c>
      <c r="C50" s="121">
        <v>0.5625</v>
      </c>
      <c r="F50" s="2" t="s">
        <v>187</v>
      </c>
      <c r="O50" s="118">
        <v>102.05865958115119</v>
      </c>
    </row>
    <row r="51" spans="2:18" x14ac:dyDescent="0.2">
      <c r="B51" s="111" t="s">
        <v>106</v>
      </c>
      <c r="C51" s="121">
        <v>1</v>
      </c>
      <c r="F51" s="2" t="s">
        <v>187</v>
      </c>
      <c r="O51" s="118">
        <v>13.152653492589117</v>
      </c>
    </row>
    <row r="52" spans="2:18" x14ac:dyDescent="0.2">
      <c r="B52" s="111" t="s">
        <v>196</v>
      </c>
      <c r="C52" s="121">
        <v>1.5625</v>
      </c>
      <c r="F52" s="2" t="s">
        <v>187</v>
      </c>
      <c r="O52" s="118">
        <v>0.14367587408593882</v>
      </c>
    </row>
    <row r="53" spans="2:18" x14ac:dyDescent="0.2">
      <c r="B53" s="111" t="s">
        <v>108</v>
      </c>
      <c r="C53" s="121">
        <v>4</v>
      </c>
      <c r="F53" s="2" t="s">
        <v>187</v>
      </c>
      <c r="O53" s="118">
        <v>15.67555536348744</v>
      </c>
    </row>
    <row r="54" spans="2:18" x14ac:dyDescent="0.2">
      <c r="B54" s="111" t="s">
        <v>109</v>
      </c>
      <c r="C54" s="121">
        <v>16</v>
      </c>
      <c r="F54" s="2" t="s">
        <v>187</v>
      </c>
      <c r="O54" s="118">
        <v>5.9899892265222521</v>
      </c>
    </row>
    <row r="55" spans="2:18" x14ac:dyDescent="0.2">
      <c r="B55" s="2" t="s">
        <v>197</v>
      </c>
      <c r="F55" s="2" t="s">
        <v>187</v>
      </c>
      <c r="O55" s="105">
        <f>SUM(O49:O54)</f>
        <v>11836.601007304393</v>
      </c>
    </row>
    <row r="56" spans="2:18" x14ac:dyDescent="0.2">
      <c r="C56" s="122"/>
    </row>
    <row r="57" spans="2:18" x14ac:dyDescent="0.2">
      <c r="B57" s="2" t="s">
        <v>445</v>
      </c>
      <c r="F57" s="2" t="s">
        <v>151</v>
      </c>
      <c r="P57" s="31">
        <v>19406</v>
      </c>
      <c r="R57" s="2" t="s">
        <v>195</v>
      </c>
    </row>
    <row r="59" spans="2:18" x14ac:dyDescent="0.2">
      <c r="B59" s="2" t="s">
        <v>446</v>
      </c>
      <c r="F59" s="2" t="s">
        <v>119</v>
      </c>
      <c r="O59" s="120">
        <v>0.12147214933123054</v>
      </c>
      <c r="R59" s="2" t="s">
        <v>193</v>
      </c>
    </row>
    <row r="62" spans="2:18" s="8" customFormat="1" x14ac:dyDescent="0.2">
      <c r="B62" s="8" t="s">
        <v>447</v>
      </c>
    </row>
    <row r="64" spans="2:18" x14ac:dyDescent="0.2">
      <c r="B64" s="1" t="s">
        <v>448</v>
      </c>
    </row>
    <row r="65" spans="2:16" x14ac:dyDescent="0.2">
      <c r="B65" s="2" t="s">
        <v>198</v>
      </c>
      <c r="F65" s="2" t="s">
        <v>199</v>
      </c>
      <c r="L65" s="18" t="s">
        <v>130</v>
      </c>
      <c r="M65" s="18" t="s">
        <v>132</v>
      </c>
      <c r="N65" s="18" t="s">
        <v>151</v>
      </c>
      <c r="O65" s="18" t="s">
        <v>155</v>
      </c>
      <c r="P65" s="18" t="s">
        <v>151</v>
      </c>
    </row>
    <row r="66" spans="2:16" x14ac:dyDescent="0.2">
      <c r="B66" s="2" t="s">
        <v>200</v>
      </c>
      <c r="F66" s="2" t="s">
        <v>187</v>
      </c>
      <c r="L66" s="28">
        <f>L14</f>
        <v>282924.66000000003</v>
      </c>
      <c r="M66" s="28">
        <f>SUMPRODUCT(C25:C37,M25:M37)+C41*M41</f>
        <v>108639.13169428542</v>
      </c>
      <c r="N66" s="28">
        <f>N18</f>
        <v>2549735.8999999994</v>
      </c>
      <c r="O66" s="28">
        <f>SUMPRODUCT(C49:C54,O49:O54)</f>
        <v>3154.2223105801918</v>
      </c>
      <c r="P66" s="28">
        <f>P57</f>
        <v>19406</v>
      </c>
    </row>
    <row r="67" spans="2:16" x14ac:dyDescent="0.2">
      <c r="B67" s="2" t="s">
        <v>201</v>
      </c>
      <c r="F67" s="2" t="s">
        <v>187</v>
      </c>
      <c r="L67" s="28">
        <f>SUM(L14:L15)</f>
        <v>151650794.66</v>
      </c>
    </row>
    <row r="71" spans="2:16" x14ac:dyDescent="0.2">
      <c r="B71" s="4" t="s">
        <v>62</v>
      </c>
    </row>
  </sheetData>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68911-5775-407F-9715-956D1CDAB58E}">
  <sheetPr>
    <tabColor rgb="FFE1FFE1"/>
  </sheetPr>
  <dimension ref="A2:T88"/>
  <sheetViews>
    <sheetView showGridLines="0" zoomScale="85" zoomScaleNormal="85" workbookViewId="0">
      <pane xSplit="6" ySplit="9" topLeftCell="G10" activePane="bottomRight" state="frozen"/>
      <selection pane="topRight"/>
      <selection pane="bottomLeft"/>
      <selection pane="bottomRight"/>
    </sheetView>
  </sheetViews>
  <sheetFormatPr defaultRowHeight="12.75" x14ac:dyDescent="0.2"/>
  <cols>
    <col min="1" max="1" width="5.7109375" style="2" customWidth="1"/>
    <col min="2" max="2" width="62.28515625" style="2" customWidth="1"/>
    <col min="3" max="3" width="21.28515625" style="2" customWidth="1"/>
    <col min="4" max="5" width="5.7109375" style="2" customWidth="1"/>
    <col min="6" max="6" width="17.7109375" style="2" customWidth="1"/>
    <col min="7" max="7" width="2.7109375" style="2" customWidth="1"/>
    <col min="8" max="8" width="11.85546875" style="2" customWidth="1"/>
    <col min="9" max="9" width="2.7109375" style="2" customWidth="1"/>
    <col min="10" max="10" width="11" style="2" customWidth="1"/>
    <col min="11" max="11" width="2.7109375" style="2" customWidth="1"/>
    <col min="12" max="16" width="13.85546875" style="2" customWidth="1"/>
    <col min="17" max="17" width="4.85546875" style="2" customWidth="1"/>
    <col min="18" max="18" width="51.140625" style="2" customWidth="1"/>
    <col min="19" max="19" width="5" style="2" customWidth="1"/>
    <col min="20" max="21" width="12.5703125" style="2" customWidth="1"/>
    <col min="22" max="22" width="2.7109375" style="2" customWidth="1"/>
    <col min="23" max="23" width="20.7109375" style="2" customWidth="1"/>
    <col min="24" max="24" width="2.7109375" style="2" customWidth="1"/>
    <col min="25" max="25" width="30.7109375" style="2" customWidth="1"/>
    <col min="26" max="26" width="2.7109375" style="2" customWidth="1"/>
    <col min="27" max="41" width="13.7109375" style="2" customWidth="1"/>
    <col min="42" max="16384" width="9.140625" style="2"/>
  </cols>
  <sheetData>
    <row r="2" spans="1:20" s="15" customFormat="1" ht="18" x14ac:dyDescent="0.2">
      <c r="B2" s="15" t="s">
        <v>692</v>
      </c>
    </row>
    <row r="4" spans="1:20" x14ac:dyDescent="0.2">
      <c r="B4" s="26" t="s">
        <v>21</v>
      </c>
      <c r="C4" s="1"/>
      <c r="D4" s="1"/>
      <c r="L4" s="109"/>
    </row>
    <row r="5" spans="1:20" x14ac:dyDescent="0.2">
      <c r="B5" s="2" t="s">
        <v>449</v>
      </c>
      <c r="H5" s="16"/>
    </row>
    <row r="6" spans="1:20" x14ac:dyDescent="0.2">
      <c r="B6" s="16"/>
      <c r="H6" s="16"/>
    </row>
    <row r="8" spans="1:20" s="8" customFormat="1" ht="26.25" customHeight="1" x14ac:dyDescent="0.2">
      <c r="B8" s="8" t="s">
        <v>36</v>
      </c>
      <c r="F8" s="8" t="s">
        <v>19</v>
      </c>
      <c r="H8" s="8" t="s">
        <v>20</v>
      </c>
      <c r="J8" s="8" t="s">
        <v>40</v>
      </c>
      <c r="L8" s="38" t="s">
        <v>166</v>
      </c>
      <c r="M8" s="38" t="s">
        <v>167</v>
      </c>
      <c r="N8" s="38" t="s">
        <v>168</v>
      </c>
      <c r="O8" s="38" t="s">
        <v>169</v>
      </c>
      <c r="P8" s="38" t="s">
        <v>170</v>
      </c>
      <c r="R8" s="8" t="s">
        <v>37</v>
      </c>
      <c r="T8" s="8" t="s">
        <v>38</v>
      </c>
    </row>
    <row r="11" spans="1:20" s="8" customFormat="1" x14ac:dyDescent="0.2">
      <c r="B11" s="8" t="s">
        <v>450</v>
      </c>
    </row>
    <row r="12" spans="1:20" x14ac:dyDescent="0.2">
      <c r="A12" s="9"/>
    </row>
    <row r="13" spans="1:20" x14ac:dyDescent="0.2">
      <c r="B13" s="26" t="s">
        <v>181</v>
      </c>
      <c r="M13" s="110"/>
    </row>
    <row r="14" spans="1:20" x14ac:dyDescent="0.2">
      <c r="B14" s="27" t="s">
        <v>202</v>
      </c>
      <c r="M14" s="110"/>
    </row>
    <row r="15" spans="1:20" x14ac:dyDescent="0.2">
      <c r="B15" s="2" t="s">
        <v>451</v>
      </c>
      <c r="F15" s="111" t="s">
        <v>130</v>
      </c>
      <c r="L15" s="34">
        <f>'Gegevens volumes 2023'!L14</f>
        <v>282924.66000000003</v>
      </c>
      <c r="R15" s="16"/>
    </row>
    <row r="16" spans="1:20" x14ac:dyDescent="0.2">
      <c r="F16" s="111"/>
      <c r="L16" s="123"/>
    </row>
    <row r="17" spans="1:20" x14ac:dyDescent="0.2">
      <c r="B17" s="27" t="s">
        <v>203</v>
      </c>
      <c r="F17" s="111"/>
    </row>
    <row r="18" spans="1:20" x14ac:dyDescent="0.2">
      <c r="A18" s="9"/>
      <c r="B18" s="2" t="s">
        <v>452</v>
      </c>
      <c r="F18" s="52" t="s">
        <v>356</v>
      </c>
      <c r="L18" s="181">
        <v>0.29853000000000002</v>
      </c>
      <c r="M18"/>
      <c r="N18" s="160"/>
      <c r="R18" s="2" t="s">
        <v>453</v>
      </c>
      <c r="T18" s="124"/>
    </row>
    <row r="19" spans="1:20" x14ac:dyDescent="0.2">
      <c r="A19" s="9"/>
      <c r="B19" s="2" t="s">
        <v>204</v>
      </c>
      <c r="F19" s="111" t="s">
        <v>130</v>
      </c>
      <c r="L19" s="31">
        <v>186183230.99999997</v>
      </c>
      <c r="M19" s="109"/>
      <c r="R19" s="2" t="s">
        <v>453</v>
      </c>
      <c r="T19" s="2" t="s">
        <v>205</v>
      </c>
    </row>
    <row r="20" spans="1:20" x14ac:dyDescent="0.2">
      <c r="F20" s="111"/>
      <c r="L20" s="114"/>
      <c r="M20" s="109"/>
    </row>
    <row r="21" spans="1:20" x14ac:dyDescent="0.2">
      <c r="B21" s="2" t="s">
        <v>454</v>
      </c>
      <c r="F21" s="111" t="s">
        <v>119</v>
      </c>
      <c r="L21" s="102">
        <v>0.46042430952336433</v>
      </c>
      <c r="M21" s="109"/>
      <c r="R21" s="2" t="s">
        <v>436</v>
      </c>
      <c r="T21" t="s">
        <v>207</v>
      </c>
    </row>
    <row r="22" spans="1:20" x14ac:dyDescent="0.2">
      <c r="F22" s="111"/>
      <c r="L22" s="113"/>
      <c r="M22" s="109"/>
    </row>
    <row r="23" spans="1:20" x14ac:dyDescent="0.2">
      <c r="B23" s="26" t="s">
        <v>184</v>
      </c>
      <c r="F23" s="111"/>
      <c r="M23" s="109"/>
    </row>
    <row r="24" spans="1:20" x14ac:dyDescent="0.2">
      <c r="B24" s="2" t="s">
        <v>455</v>
      </c>
      <c r="F24" s="111" t="s">
        <v>151</v>
      </c>
      <c r="H24" s="114"/>
      <c r="N24" s="31">
        <v>2938857</v>
      </c>
      <c r="R24" s="2" t="s">
        <v>731</v>
      </c>
      <c r="T24" s="124"/>
    </row>
    <row r="25" spans="1:20" x14ac:dyDescent="0.2">
      <c r="F25" s="111"/>
      <c r="H25" s="114"/>
      <c r="T25" s="124"/>
    </row>
    <row r="26" spans="1:20" x14ac:dyDescent="0.2">
      <c r="B26" s="27" t="s">
        <v>208</v>
      </c>
      <c r="F26" s="111"/>
      <c r="H26" s="114"/>
      <c r="T26" s="124"/>
    </row>
    <row r="27" spans="1:20" x14ac:dyDescent="0.2">
      <c r="B27" s="2" t="s">
        <v>209</v>
      </c>
      <c r="F27" s="111" t="s">
        <v>210</v>
      </c>
      <c r="H27" s="114"/>
      <c r="N27" s="125">
        <v>3.8977090254720119</v>
      </c>
      <c r="R27" s="2" t="s">
        <v>753</v>
      </c>
      <c r="T27"/>
    </row>
    <row r="28" spans="1:20" x14ac:dyDescent="0.2">
      <c r="B28" s="2" t="s">
        <v>211</v>
      </c>
      <c r="F28" s="111" t="s">
        <v>212</v>
      </c>
      <c r="N28" s="118">
        <v>1967</v>
      </c>
      <c r="R28" s="2" t="s">
        <v>436</v>
      </c>
    </row>
    <row r="30" spans="1:20" x14ac:dyDescent="0.2">
      <c r="B30" s="2" t="s">
        <v>454</v>
      </c>
      <c r="F30" s="111" t="s">
        <v>119</v>
      </c>
      <c r="N30" s="102">
        <v>0.49055398247324355</v>
      </c>
      <c r="R30" s="2" t="s">
        <v>436</v>
      </c>
      <c r="T30"/>
    </row>
    <row r="33" spans="1:20" s="8" customFormat="1" x14ac:dyDescent="0.2">
      <c r="B33" s="8" t="s">
        <v>213</v>
      </c>
    </row>
    <row r="35" spans="1:20" x14ac:dyDescent="0.2">
      <c r="B35" s="2" t="s">
        <v>456</v>
      </c>
      <c r="F35" s="2" t="s">
        <v>119</v>
      </c>
      <c r="M35" s="126">
        <f>'Gegevens volumes 2023'!M44</f>
        <v>9.0289629203973529E-2</v>
      </c>
      <c r="O35" s="126">
        <f>'Gegevens volumes 2023'!O59</f>
        <v>0.12147214933123054</v>
      </c>
      <c r="T35" s="2" t="s">
        <v>670</v>
      </c>
    </row>
    <row r="36" spans="1:20" x14ac:dyDescent="0.2">
      <c r="B36" s="2" t="s">
        <v>457</v>
      </c>
      <c r="F36" s="2" t="s">
        <v>151</v>
      </c>
      <c r="P36" s="34">
        <f>'Gegevens volumes 2023'!P57</f>
        <v>19406</v>
      </c>
      <c r="T36" s="2" t="s">
        <v>670</v>
      </c>
    </row>
    <row r="37" spans="1:20" x14ac:dyDescent="0.2">
      <c r="B37" s="2" t="s">
        <v>458</v>
      </c>
      <c r="F37" s="2" t="s">
        <v>134</v>
      </c>
      <c r="M37" s="127">
        <f>'Gegevens volumes 2023'!M42</f>
        <v>208.33333333333334</v>
      </c>
    </row>
    <row r="39" spans="1:20" x14ac:dyDescent="0.2">
      <c r="B39" s="1" t="s">
        <v>95</v>
      </c>
    </row>
    <row r="40" spans="1:20" x14ac:dyDescent="0.2">
      <c r="B40" s="2" t="s">
        <v>314</v>
      </c>
      <c r="F40" s="2" t="s">
        <v>97</v>
      </c>
      <c r="M40" s="100">
        <v>40</v>
      </c>
      <c r="O40" s="100">
        <v>40</v>
      </c>
      <c r="R40" s="2" t="s">
        <v>460</v>
      </c>
    </row>
    <row r="41" spans="1:20" x14ac:dyDescent="0.2">
      <c r="B41" s="2" t="s">
        <v>459</v>
      </c>
      <c r="F41" s="2" t="s">
        <v>97</v>
      </c>
      <c r="M41" s="100">
        <v>1750.1930329329507</v>
      </c>
      <c r="O41" s="100">
        <v>1191.5936187033803</v>
      </c>
      <c r="R41" s="2" t="s">
        <v>460</v>
      </c>
    </row>
    <row r="43" spans="1:20" x14ac:dyDescent="0.2">
      <c r="A43" s="16"/>
    </row>
    <row r="44" spans="1:20" s="8" customFormat="1" x14ac:dyDescent="0.2">
      <c r="B44" s="8" t="s">
        <v>214</v>
      </c>
    </row>
    <row r="45" spans="1:20" x14ac:dyDescent="0.2">
      <c r="A45" s="9"/>
    </row>
    <row r="46" spans="1:20" x14ac:dyDescent="0.2">
      <c r="B46" s="1" t="s">
        <v>461</v>
      </c>
    </row>
    <row r="48" spans="1:20" ht="25.5" x14ac:dyDescent="0.2">
      <c r="B48" s="115" t="s">
        <v>79</v>
      </c>
      <c r="C48" s="116" t="s">
        <v>186</v>
      </c>
      <c r="R48" s="16"/>
    </row>
    <row r="49" spans="2:20" x14ac:dyDescent="0.2">
      <c r="B49" s="2" t="s">
        <v>81</v>
      </c>
      <c r="C49" s="117">
        <v>3.1</v>
      </c>
      <c r="F49" s="2" t="s">
        <v>187</v>
      </c>
      <c r="L49" s="111"/>
      <c r="M49" s="118">
        <v>714</v>
      </c>
      <c r="R49" s="2" t="s">
        <v>436</v>
      </c>
    </row>
    <row r="50" spans="2:20" x14ac:dyDescent="0.2">
      <c r="B50" s="2" t="s">
        <v>82</v>
      </c>
      <c r="C50" s="117">
        <v>4.4000000000000004</v>
      </c>
      <c r="F50" s="2" t="s">
        <v>187</v>
      </c>
      <c r="L50" s="111"/>
      <c r="M50" s="118">
        <v>1193</v>
      </c>
      <c r="T50" s="2" t="s">
        <v>215</v>
      </c>
    </row>
    <row r="51" spans="2:20" x14ac:dyDescent="0.2">
      <c r="B51" s="2" t="s">
        <v>83</v>
      </c>
      <c r="C51" s="117">
        <v>4.4000000000000004</v>
      </c>
      <c r="F51" s="2" t="s">
        <v>187</v>
      </c>
      <c r="L51" s="111"/>
      <c r="M51" s="118">
        <v>9793</v>
      </c>
      <c r="T51" s="2" t="s">
        <v>216</v>
      </c>
    </row>
    <row r="52" spans="2:20" x14ac:dyDescent="0.2">
      <c r="B52" s="2" t="s">
        <v>84</v>
      </c>
      <c r="C52" s="117">
        <v>11.4</v>
      </c>
      <c r="F52" s="2" t="s">
        <v>187</v>
      </c>
      <c r="L52" s="111"/>
      <c r="M52" s="118">
        <v>965</v>
      </c>
    </row>
    <row r="53" spans="2:20" x14ac:dyDescent="0.2">
      <c r="B53" s="2" t="s">
        <v>85</v>
      </c>
      <c r="C53" s="117">
        <v>19.2</v>
      </c>
      <c r="F53" s="2" t="s">
        <v>187</v>
      </c>
      <c r="L53" s="111"/>
      <c r="M53" s="118">
        <v>424</v>
      </c>
    </row>
    <row r="54" spans="2:20" x14ac:dyDescent="0.2">
      <c r="B54" s="2" t="s">
        <v>86</v>
      </c>
      <c r="C54" s="117">
        <v>30.4</v>
      </c>
      <c r="F54" s="2" t="s">
        <v>187</v>
      </c>
      <c r="L54" s="111"/>
      <c r="M54" s="118">
        <v>213</v>
      </c>
    </row>
    <row r="55" spans="2:20" x14ac:dyDescent="0.2">
      <c r="B55" s="2" t="s">
        <v>87</v>
      </c>
      <c r="C55" s="117">
        <v>38.1</v>
      </c>
      <c r="F55" s="2" t="s">
        <v>187</v>
      </c>
      <c r="L55" s="111"/>
      <c r="M55" s="118">
        <v>104</v>
      </c>
    </row>
    <row r="56" spans="2:20" x14ac:dyDescent="0.2">
      <c r="B56" s="2" t="s">
        <v>88</v>
      </c>
      <c r="C56" s="117">
        <v>47.6</v>
      </c>
      <c r="F56" s="2" t="s">
        <v>187</v>
      </c>
      <c r="L56" s="111"/>
      <c r="M56" s="118">
        <v>50</v>
      </c>
    </row>
    <row r="57" spans="2:20" x14ac:dyDescent="0.2">
      <c r="B57" s="2" t="s">
        <v>89</v>
      </c>
      <c r="C57" s="117">
        <v>52.5</v>
      </c>
      <c r="F57" s="2" t="s">
        <v>187</v>
      </c>
      <c r="L57" s="111"/>
      <c r="M57" s="118">
        <v>2</v>
      </c>
    </row>
    <row r="58" spans="2:20" x14ac:dyDescent="0.2">
      <c r="B58" s="2" t="s">
        <v>90</v>
      </c>
      <c r="C58" s="117">
        <v>60.9</v>
      </c>
      <c r="F58" s="2" t="s">
        <v>187</v>
      </c>
      <c r="L58" s="111"/>
      <c r="M58" s="118">
        <v>8</v>
      </c>
    </row>
    <row r="59" spans="2:20" x14ac:dyDescent="0.2">
      <c r="B59" s="2" t="s">
        <v>91</v>
      </c>
      <c r="C59" s="117">
        <v>65.7</v>
      </c>
      <c r="F59" s="2" t="s">
        <v>187</v>
      </c>
      <c r="L59" s="111"/>
      <c r="M59" s="118">
        <v>3</v>
      </c>
    </row>
    <row r="60" spans="2:20" x14ac:dyDescent="0.2">
      <c r="B60" s="2" t="s">
        <v>92</v>
      </c>
      <c r="C60" s="117">
        <v>76.099999999999994</v>
      </c>
      <c r="F60" s="2" t="s">
        <v>187</v>
      </c>
      <c r="L60" s="111"/>
      <c r="M60" s="118">
        <v>4</v>
      </c>
    </row>
    <row r="61" spans="2:20" x14ac:dyDescent="0.2">
      <c r="B61" s="2" t="s">
        <v>217</v>
      </c>
      <c r="C61" s="117">
        <v>1</v>
      </c>
      <c r="M61" s="31">
        <v>31928.145833333343</v>
      </c>
    </row>
    <row r="62" spans="2:20" x14ac:dyDescent="0.2">
      <c r="F62" s="2" t="s">
        <v>187</v>
      </c>
      <c r="M62" s="39"/>
    </row>
    <row r="63" spans="2:20" x14ac:dyDescent="0.2">
      <c r="B63" s="2" t="s">
        <v>218</v>
      </c>
      <c r="C63" s="117">
        <v>4.4000000000000004</v>
      </c>
      <c r="F63" s="2" t="s">
        <v>187</v>
      </c>
      <c r="M63" s="118">
        <v>3084.7014925373132</v>
      </c>
      <c r="N63" s="128"/>
      <c r="R63"/>
    </row>
    <row r="66" spans="2:18" x14ac:dyDescent="0.2">
      <c r="B66" s="1" t="s">
        <v>462</v>
      </c>
    </row>
    <row r="68" spans="2:18" ht="25.5" x14ac:dyDescent="0.2">
      <c r="B68" s="115" t="s">
        <v>79</v>
      </c>
      <c r="C68" s="116" t="s">
        <v>194</v>
      </c>
      <c r="M68" s="128"/>
    </row>
    <row r="69" spans="2:18" x14ac:dyDescent="0.2">
      <c r="B69" s="111" t="s">
        <v>104</v>
      </c>
      <c r="C69" s="127">
        <f>'Gegevens volumes 2023'!C49</f>
        <v>0.25</v>
      </c>
      <c r="F69" s="2" t="s">
        <v>187</v>
      </c>
      <c r="O69" s="118">
        <v>12593</v>
      </c>
      <c r="R69" s="2" t="s">
        <v>436</v>
      </c>
    </row>
    <row r="70" spans="2:18" x14ac:dyDescent="0.2">
      <c r="B70" s="111" t="s">
        <v>105</v>
      </c>
      <c r="C70" s="127">
        <f>'Gegevens volumes 2023'!C50</f>
        <v>0.5625</v>
      </c>
      <c r="F70" s="2" t="s">
        <v>187</v>
      </c>
      <c r="O70" s="118">
        <v>104</v>
      </c>
    </row>
    <row r="71" spans="2:18" x14ac:dyDescent="0.2">
      <c r="B71" s="111" t="s">
        <v>106</v>
      </c>
      <c r="C71" s="127">
        <f>'Gegevens volumes 2023'!C51</f>
        <v>1</v>
      </c>
      <c r="F71" s="2" t="s">
        <v>187</v>
      </c>
      <c r="O71" s="118">
        <v>12</v>
      </c>
    </row>
    <row r="72" spans="2:18" x14ac:dyDescent="0.2">
      <c r="B72" s="52" t="s">
        <v>107</v>
      </c>
      <c r="C72" s="129">
        <f>ROUND(1.25^2,4)</f>
        <v>1.5625</v>
      </c>
      <c r="F72" s="2" t="s">
        <v>187</v>
      </c>
      <c r="O72" s="118">
        <v>1</v>
      </c>
    </row>
    <row r="73" spans="2:18" x14ac:dyDescent="0.2">
      <c r="B73" s="111" t="s">
        <v>108</v>
      </c>
      <c r="C73" s="127">
        <f>'Gegevens volumes 2023'!C53</f>
        <v>4</v>
      </c>
      <c r="F73" s="2" t="s">
        <v>187</v>
      </c>
      <c r="O73" s="118">
        <v>16</v>
      </c>
    </row>
    <row r="74" spans="2:18" x14ac:dyDescent="0.2">
      <c r="B74" s="111" t="s">
        <v>109</v>
      </c>
      <c r="C74" s="127">
        <f>'Gegevens volumes 2023'!C54</f>
        <v>16</v>
      </c>
      <c r="F74" s="2" t="s">
        <v>187</v>
      </c>
      <c r="O74" s="118">
        <v>6</v>
      </c>
    </row>
    <row r="75" spans="2:18" x14ac:dyDescent="0.2">
      <c r="B75" s="2" t="s">
        <v>219</v>
      </c>
      <c r="F75" s="2" t="s">
        <v>187</v>
      </c>
      <c r="O75" s="105">
        <f>SUM(O69:O74)</f>
        <v>12732</v>
      </c>
    </row>
    <row r="78" spans="2:18" s="8" customFormat="1" x14ac:dyDescent="0.2">
      <c r="B78" s="8" t="s">
        <v>463</v>
      </c>
    </row>
    <row r="80" spans="2:18" x14ac:dyDescent="0.2">
      <c r="B80" s="1" t="s">
        <v>464</v>
      </c>
    </row>
    <row r="81" spans="2:16" x14ac:dyDescent="0.2">
      <c r="B81" s="2" t="s">
        <v>198</v>
      </c>
      <c r="F81" s="2" t="s">
        <v>199</v>
      </c>
      <c r="L81" s="18" t="s">
        <v>130</v>
      </c>
      <c r="M81" s="18" t="s">
        <v>132</v>
      </c>
      <c r="N81" s="18" t="s">
        <v>151</v>
      </c>
      <c r="O81" s="18" t="s">
        <v>155</v>
      </c>
      <c r="P81" s="18" t="s">
        <v>151</v>
      </c>
    </row>
    <row r="82" spans="2:16" x14ac:dyDescent="0.2">
      <c r="B82" s="2" t="s">
        <v>220</v>
      </c>
      <c r="F82" s="2" t="s">
        <v>187</v>
      </c>
      <c r="L82" s="28">
        <f>L15</f>
        <v>282924.66000000003</v>
      </c>
      <c r="M82" s="28">
        <f>SUMPRODUCT(C49:C61,M49:M61)</f>
        <v>115533.04583333334</v>
      </c>
      <c r="N82" s="28">
        <f>N24</f>
        <v>2938857</v>
      </c>
      <c r="O82" s="28">
        <f>SUMPRODUCT(C69:C74,O69:O74)</f>
        <v>3380.3125</v>
      </c>
      <c r="P82" s="28">
        <f>P36</f>
        <v>19406</v>
      </c>
    </row>
    <row r="83" spans="2:16" x14ac:dyDescent="0.2">
      <c r="B83" s="2" t="s">
        <v>221</v>
      </c>
      <c r="F83" s="2" t="s">
        <v>187</v>
      </c>
      <c r="L83" s="28">
        <f>L15+L19</f>
        <v>186466155.65999997</v>
      </c>
      <c r="M83" s="39"/>
      <c r="N83" s="28">
        <f>N24</f>
        <v>2938857</v>
      </c>
    </row>
    <row r="85" spans="2:16" x14ac:dyDescent="0.2">
      <c r="M85" s="39"/>
    </row>
    <row r="86" spans="2:16" x14ac:dyDescent="0.2">
      <c r="M86" s="32"/>
    </row>
    <row r="88" spans="2:16" x14ac:dyDescent="0.2">
      <c r="B88" s="4" t="s">
        <v>62</v>
      </c>
    </row>
  </sheetData>
  <phoneticPr fontId="32" type="noConversion"/>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B5913-9824-4892-930D-338A0E79ACD3}">
  <sheetPr>
    <tabColor rgb="FFE1FFE1"/>
  </sheetPr>
  <dimension ref="A1:T96"/>
  <sheetViews>
    <sheetView showGridLines="0" zoomScale="85" zoomScaleNormal="85" workbookViewId="0">
      <pane xSplit="6" ySplit="10" topLeftCell="G11" activePane="bottomRight" state="frozen"/>
      <selection pane="topRight"/>
      <selection pane="bottomLeft"/>
      <selection pane="bottomRight"/>
    </sheetView>
  </sheetViews>
  <sheetFormatPr defaultRowHeight="12.75" x14ac:dyDescent="0.2"/>
  <cols>
    <col min="1" max="1" width="5.7109375" style="2" customWidth="1"/>
    <col min="2" max="2" width="62.28515625" style="2" customWidth="1"/>
    <col min="3" max="3" width="21.28515625" style="2" customWidth="1"/>
    <col min="4" max="5" width="5.7109375" style="2" customWidth="1"/>
    <col min="6" max="6" width="17.7109375" style="2" customWidth="1"/>
    <col min="7" max="7" width="2.7109375" style="2" customWidth="1"/>
    <col min="8" max="8" width="11.85546875" style="2" customWidth="1"/>
    <col min="9" max="9" width="2.7109375" style="2" customWidth="1"/>
    <col min="10" max="10" width="11" style="2" customWidth="1"/>
    <col min="11" max="11" width="2.7109375" style="2" customWidth="1"/>
    <col min="12" max="16" width="13.85546875" style="2" customWidth="1"/>
    <col min="17" max="17" width="4.85546875" style="2" customWidth="1"/>
    <col min="18" max="18" width="65.85546875" style="2" bestFit="1" customWidth="1"/>
    <col min="19" max="19" width="5" style="2" customWidth="1"/>
    <col min="20" max="21" width="12.5703125" style="2" customWidth="1"/>
    <col min="22" max="22" width="2.7109375" style="2" customWidth="1"/>
    <col min="23" max="23" width="20.7109375" style="2" customWidth="1"/>
    <col min="24" max="24" width="2.7109375" style="2" customWidth="1"/>
    <col min="25" max="25" width="30.7109375" style="2" customWidth="1"/>
    <col min="26" max="26" width="2.7109375" style="2" customWidth="1"/>
    <col min="27" max="41" width="13.7109375" style="2" customWidth="1"/>
    <col min="42" max="16384" width="9.140625" style="2"/>
  </cols>
  <sheetData>
    <row r="1" spans="1:20" x14ac:dyDescent="0.2">
      <c r="A1" s="9"/>
    </row>
    <row r="2" spans="1:20" s="15" customFormat="1" ht="18" x14ac:dyDescent="0.2">
      <c r="B2" s="15" t="s">
        <v>222</v>
      </c>
    </row>
    <row r="4" spans="1:20" x14ac:dyDescent="0.2">
      <c r="B4" s="26" t="s">
        <v>21</v>
      </c>
      <c r="C4" s="1"/>
      <c r="D4" s="1"/>
      <c r="L4" s="109"/>
    </row>
    <row r="5" spans="1:20" x14ac:dyDescent="0.2">
      <c r="B5" s="2" t="s">
        <v>712</v>
      </c>
      <c r="H5" s="16"/>
    </row>
    <row r="6" spans="1:20" x14ac:dyDescent="0.2">
      <c r="B6" s="2" t="s">
        <v>713</v>
      </c>
      <c r="H6" s="16"/>
    </row>
    <row r="9" spans="1:20" s="8" customFormat="1" ht="26.25" customHeight="1" x14ac:dyDescent="0.2">
      <c r="B9" s="8" t="s">
        <v>36</v>
      </c>
      <c r="F9" s="8" t="s">
        <v>19</v>
      </c>
      <c r="H9" s="8" t="s">
        <v>20</v>
      </c>
      <c r="J9" s="8" t="s">
        <v>40</v>
      </c>
      <c r="L9" s="38" t="s">
        <v>166</v>
      </c>
      <c r="M9" s="38" t="s">
        <v>167</v>
      </c>
      <c r="N9" s="38" t="s">
        <v>168</v>
      </c>
      <c r="O9" s="38" t="s">
        <v>169</v>
      </c>
      <c r="P9" s="38" t="s">
        <v>170</v>
      </c>
      <c r="R9" s="8" t="s">
        <v>37</v>
      </c>
      <c r="T9" s="8" t="s">
        <v>38</v>
      </c>
    </row>
    <row r="12" spans="1:20" s="8" customFormat="1" x14ac:dyDescent="0.2">
      <c r="B12" s="8" t="s">
        <v>118</v>
      </c>
    </row>
    <row r="14" spans="1:20" x14ac:dyDescent="0.2">
      <c r="B14" s="2" t="s">
        <v>419</v>
      </c>
      <c r="L14" s="126">
        <f>Parameters!H31</f>
        <v>6.4500000000000002E-2</v>
      </c>
      <c r="M14" s="126">
        <f>Parameters!H32</f>
        <v>5.6899999999999999E-2</v>
      </c>
      <c r="N14" s="126">
        <f>Parameters!H33</f>
        <v>6.3600000000000004E-2</v>
      </c>
      <c r="O14" s="126">
        <f>Parameters!H33</f>
        <v>6.3600000000000004E-2</v>
      </c>
    </row>
    <row r="17" spans="1:20" s="8" customFormat="1" x14ac:dyDescent="0.2">
      <c r="B17" s="8" t="s">
        <v>223</v>
      </c>
    </row>
    <row r="18" spans="1:20" x14ac:dyDescent="0.2">
      <c r="A18" s="9"/>
    </row>
    <row r="19" spans="1:20" x14ac:dyDescent="0.2">
      <c r="A19" s="9"/>
      <c r="B19" s="4" t="s">
        <v>711</v>
      </c>
    </row>
    <row r="20" spans="1:20" x14ac:dyDescent="0.2">
      <c r="A20" s="9"/>
    </row>
    <row r="21" spans="1:20" x14ac:dyDescent="0.2">
      <c r="B21" s="130" t="s">
        <v>671</v>
      </c>
      <c r="F21" s="111"/>
      <c r="H21" s="114"/>
      <c r="T21" s="124"/>
    </row>
    <row r="22" spans="1:20" x14ac:dyDescent="0.2">
      <c r="B22" s="2" t="s">
        <v>224</v>
      </c>
      <c r="F22" s="52" t="s">
        <v>97</v>
      </c>
      <c r="H22" s="114"/>
      <c r="N22" s="31">
        <v>9466118</v>
      </c>
      <c r="R22" s="2" t="s">
        <v>178</v>
      </c>
      <c r="T22" s="124"/>
    </row>
    <row r="23" spans="1:20" x14ac:dyDescent="0.2">
      <c r="B23" s="2" t="s">
        <v>225</v>
      </c>
      <c r="F23" s="52" t="s">
        <v>226</v>
      </c>
      <c r="H23" s="114"/>
      <c r="N23" s="131">
        <v>45383</v>
      </c>
      <c r="R23" s="2" t="s">
        <v>178</v>
      </c>
      <c r="T23" s="124"/>
    </row>
    <row r="24" spans="1:20" x14ac:dyDescent="0.2">
      <c r="B24" s="2" t="s">
        <v>227</v>
      </c>
      <c r="F24" s="52" t="s">
        <v>228</v>
      </c>
      <c r="H24" s="114"/>
      <c r="N24" s="31">
        <v>20</v>
      </c>
      <c r="R24" s="2" t="s">
        <v>178</v>
      </c>
      <c r="T24" s="124"/>
    </row>
    <row r="25" spans="1:20" x14ac:dyDescent="0.2">
      <c r="B25" s="2" t="s">
        <v>235</v>
      </c>
      <c r="F25" s="52" t="s">
        <v>173</v>
      </c>
      <c r="H25" s="114"/>
      <c r="N25" s="31">
        <v>9109761.7440109514</v>
      </c>
      <c r="R25" s="2" t="s">
        <v>677</v>
      </c>
      <c r="T25" s="124"/>
    </row>
    <row r="26" spans="1:20" x14ac:dyDescent="0.2">
      <c r="F26" s="111"/>
      <c r="H26" s="114"/>
      <c r="T26" s="124"/>
    </row>
    <row r="27" spans="1:20" x14ac:dyDescent="0.2">
      <c r="B27" s="1" t="s">
        <v>229</v>
      </c>
      <c r="F27" s="52"/>
      <c r="H27" s="132"/>
      <c r="M27" s="39"/>
    </row>
    <row r="28" spans="1:20" x14ac:dyDescent="0.2">
      <c r="B28" s="2" t="s">
        <v>230</v>
      </c>
      <c r="F28" s="2" t="s">
        <v>97</v>
      </c>
      <c r="J28" s="31">
        <v>4598994</v>
      </c>
      <c r="L28" s="32"/>
      <c r="M28" s="32"/>
      <c r="N28" s="32"/>
      <c r="O28" s="32"/>
      <c r="R28" s="2" t="s">
        <v>178</v>
      </c>
    </row>
    <row r="29" spans="1:20" x14ac:dyDescent="0.2">
      <c r="B29" s="2" t="s">
        <v>231</v>
      </c>
      <c r="F29" s="2" t="s">
        <v>119</v>
      </c>
      <c r="H29" s="132"/>
      <c r="L29" s="102">
        <v>4.7000000000000002E-3</v>
      </c>
      <c r="M29" s="102">
        <v>0.70529999999999993</v>
      </c>
      <c r="N29" s="102">
        <v>3.8682206620080054E-2</v>
      </c>
      <c r="O29" s="102">
        <v>0.19131779337992</v>
      </c>
      <c r="R29" s="2" t="s">
        <v>178</v>
      </c>
      <c r="T29" s="2" t="s">
        <v>232</v>
      </c>
    </row>
    <row r="30" spans="1:20" x14ac:dyDescent="0.2">
      <c r="B30" s="2" t="s">
        <v>233</v>
      </c>
      <c r="F30" s="2" t="s">
        <v>97</v>
      </c>
      <c r="H30" s="132"/>
      <c r="J30" s="35">
        <f>SUM(L30:O30)</f>
        <v>4323054.3599999994</v>
      </c>
      <c r="L30" s="35">
        <f>$J28*L29</f>
        <v>21615.271800000002</v>
      </c>
      <c r="M30" s="35">
        <f>$J28*M29</f>
        <v>3243670.4681999995</v>
      </c>
      <c r="N30" s="35">
        <f>$J28*N29</f>
        <v>177899.23615250844</v>
      </c>
      <c r="O30" s="35">
        <f>$J28*O29</f>
        <v>879869.38384749182</v>
      </c>
      <c r="R30" s="39"/>
    </row>
    <row r="31" spans="1:20" x14ac:dyDescent="0.2">
      <c r="B31" s="2" t="s">
        <v>225</v>
      </c>
      <c r="F31" s="52" t="s">
        <v>226</v>
      </c>
      <c r="J31" s="131">
        <v>45413</v>
      </c>
      <c r="R31" s="2" t="s">
        <v>178</v>
      </c>
    </row>
    <row r="32" spans="1:20" x14ac:dyDescent="0.2">
      <c r="B32" s="2" t="s">
        <v>227</v>
      </c>
      <c r="F32" s="52" t="s">
        <v>228</v>
      </c>
      <c r="J32" s="31">
        <v>40</v>
      </c>
      <c r="R32" s="2" t="s">
        <v>178</v>
      </c>
    </row>
    <row r="33" spans="1:18" x14ac:dyDescent="0.2">
      <c r="B33" s="2" t="s">
        <v>235</v>
      </c>
      <c r="F33" s="9" t="s">
        <v>173</v>
      </c>
      <c r="H33" s="132"/>
      <c r="L33" s="31">
        <v>21252.798042915812</v>
      </c>
      <c r="M33" s="31">
        <v>3189276.2680145786</v>
      </c>
      <c r="N33" s="31">
        <v>174915.98407466008</v>
      </c>
      <c r="O33" s="31">
        <v>865114.55845100747</v>
      </c>
      <c r="R33" s="2" t="s">
        <v>678</v>
      </c>
    </row>
    <row r="34" spans="1:18" x14ac:dyDescent="0.2">
      <c r="F34" s="52"/>
      <c r="H34" s="132"/>
    </row>
    <row r="35" spans="1:18" x14ac:dyDescent="0.2">
      <c r="B35" s="4" t="s">
        <v>714</v>
      </c>
    </row>
    <row r="37" spans="1:18" x14ac:dyDescent="0.2">
      <c r="B37" s="1" t="s">
        <v>715</v>
      </c>
      <c r="F37" s="52"/>
      <c r="H37" s="132"/>
    </row>
    <row r="38" spans="1:18" x14ac:dyDescent="0.2">
      <c r="B38" s="2" t="s">
        <v>224</v>
      </c>
      <c r="F38" s="52" t="s">
        <v>362</v>
      </c>
      <c r="H38" s="132"/>
      <c r="M38" s="31">
        <v>800000</v>
      </c>
      <c r="R38" s="2" t="s">
        <v>436</v>
      </c>
    </row>
    <row r="39" spans="1:18" x14ac:dyDescent="0.2">
      <c r="B39" s="2" t="s">
        <v>225</v>
      </c>
      <c r="F39" s="52" t="s">
        <v>226</v>
      </c>
      <c r="H39" s="132"/>
      <c r="M39" s="131">
        <v>45689</v>
      </c>
      <c r="R39" s="2" t="s">
        <v>436</v>
      </c>
    </row>
    <row r="40" spans="1:18" x14ac:dyDescent="0.2">
      <c r="B40" s="2" t="s">
        <v>227</v>
      </c>
      <c r="F40" s="52" t="s">
        <v>228</v>
      </c>
      <c r="H40" s="132"/>
      <c r="M40" s="31">
        <v>40</v>
      </c>
      <c r="R40" s="2" t="s">
        <v>436</v>
      </c>
    </row>
    <row r="41" spans="1:18" x14ac:dyDescent="0.2">
      <c r="F41" s="52"/>
      <c r="H41" s="132"/>
    </row>
    <row r="42" spans="1:18" x14ac:dyDescent="0.2">
      <c r="B42" s="1" t="s">
        <v>716</v>
      </c>
      <c r="F42" s="52"/>
      <c r="H42" s="132"/>
    </row>
    <row r="43" spans="1:18" x14ac:dyDescent="0.2">
      <c r="B43" s="2" t="s">
        <v>224</v>
      </c>
      <c r="F43" s="52" t="s">
        <v>362</v>
      </c>
      <c r="H43" s="132"/>
      <c r="M43" s="31">
        <v>4485500</v>
      </c>
      <c r="R43" s="2" t="s">
        <v>436</v>
      </c>
    </row>
    <row r="44" spans="1:18" x14ac:dyDescent="0.2">
      <c r="B44" s="2" t="s">
        <v>225</v>
      </c>
      <c r="F44" s="52" t="s">
        <v>226</v>
      </c>
      <c r="H44" s="132"/>
      <c r="M44" s="131">
        <f>+M39</f>
        <v>45689</v>
      </c>
      <c r="R44" s="2" t="s">
        <v>436</v>
      </c>
    </row>
    <row r="45" spans="1:18" x14ac:dyDescent="0.2">
      <c r="B45" s="2" t="s">
        <v>227</v>
      </c>
      <c r="F45" s="52" t="s">
        <v>228</v>
      </c>
      <c r="H45" s="132"/>
      <c r="M45" s="31">
        <v>30</v>
      </c>
      <c r="R45" s="2" t="s">
        <v>436</v>
      </c>
    </row>
    <row r="46" spans="1:18" x14ac:dyDescent="0.2">
      <c r="F46" s="52"/>
      <c r="H46" s="132"/>
    </row>
    <row r="47" spans="1:18" x14ac:dyDescent="0.2">
      <c r="A47" s="9"/>
      <c r="B47" s="1" t="s">
        <v>717</v>
      </c>
      <c r="L47" s="39"/>
      <c r="M47" s="39"/>
      <c r="N47" s="39"/>
      <c r="O47" s="39"/>
      <c r="R47" s="39"/>
    </row>
    <row r="48" spans="1:18" x14ac:dyDescent="0.2">
      <c r="A48" s="9"/>
      <c r="B48" s="2" t="s">
        <v>718</v>
      </c>
      <c r="F48" s="2" t="s">
        <v>362</v>
      </c>
      <c r="J48" s="31">
        <v>407643</v>
      </c>
      <c r="R48" s="2" t="s">
        <v>436</v>
      </c>
    </row>
    <row r="49" spans="1:20" x14ac:dyDescent="0.2">
      <c r="A49" s="9"/>
      <c r="B49" s="2" t="s">
        <v>231</v>
      </c>
      <c r="F49" s="2" t="s">
        <v>119</v>
      </c>
      <c r="L49" s="102">
        <v>4.7000000000000002E-3</v>
      </c>
      <c r="M49" s="102">
        <v>0.70529999999999993</v>
      </c>
      <c r="N49" s="102">
        <v>3.8682206620080054E-2</v>
      </c>
      <c r="O49" s="102">
        <v>0.19131779337992</v>
      </c>
      <c r="R49" s="2" t="s">
        <v>436</v>
      </c>
      <c r="T49" s="2" t="s">
        <v>232</v>
      </c>
    </row>
    <row r="50" spans="1:20" x14ac:dyDescent="0.2">
      <c r="A50" s="9"/>
      <c r="B50" s="2" t="s">
        <v>719</v>
      </c>
      <c r="F50" s="2" t="s">
        <v>362</v>
      </c>
      <c r="J50" s="35">
        <f>SUM(L50:O50)</f>
        <v>383184.42</v>
      </c>
      <c r="L50" s="35">
        <f>$J48*L49</f>
        <v>1915.9221</v>
      </c>
      <c r="M50" s="35">
        <f>$J48*M49</f>
        <v>287510.60789999994</v>
      </c>
      <c r="N50" s="35">
        <f>$J48*N49</f>
        <v>15768.530753229294</v>
      </c>
      <c r="O50" s="35">
        <f>$J48*O49</f>
        <v>77989.359246770735</v>
      </c>
    </row>
    <row r="53" spans="1:20" s="8" customFormat="1" x14ac:dyDescent="0.2">
      <c r="B53" s="8" t="s">
        <v>720</v>
      </c>
    </row>
    <row r="54" spans="1:20" x14ac:dyDescent="0.2">
      <c r="A54" s="9"/>
    </row>
    <row r="55" spans="1:20" x14ac:dyDescent="0.2">
      <c r="B55" s="130" t="s">
        <v>671</v>
      </c>
    </row>
    <row r="56" spans="1:20" x14ac:dyDescent="0.2">
      <c r="B56" s="2" t="s">
        <v>235</v>
      </c>
      <c r="F56" s="2" t="s">
        <v>173</v>
      </c>
      <c r="N56" s="34">
        <f>N25</f>
        <v>9109761.7440109514</v>
      </c>
    </row>
    <row r="57" spans="1:20" x14ac:dyDescent="0.2">
      <c r="B57" s="2" t="s">
        <v>234</v>
      </c>
      <c r="F57" s="2" t="s">
        <v>173</v>
      </c>
      <c r="N57" s="35">
        <f>N22/N24</f>
        <v>473305.9</v>
      </c>
    </row>
    <row r="58" spans="1:20" x14ac:dyDescent="0.2">
      <c r="B58" s="2" t="s">
        <v>672</v>
      </c>
      <c r="F58" s="2" t="s">
        <v>362</v>
      </c>
      <c r="N58" s="35">
        <f>MIN(N57,N56)</f>
        <v>473305.9</v>
      </c>
    </row>
    <row r="59" spans="1:20" x14ac:dyDescent="0.2">
      <c r="B59" s="2" t="s">
        <v>673</v>
      </c>
      <c r="F59" s="2" t="s">
        <v>173</v>
      </c>
      <c r="N59" s="34">
        <f>N56-N58</f>
        <v>8636455.844010951</v>
      </c>
    </row>
    <row r="60" spans="1:20" x14ac:dyDescent="0.2">
      <c r="B60" s="2" t="s">
        <v>674</v>
      </c>
      <c r="F60" s="2" t="s">
        <v>173</v>
      </c>
      <c r="N60" s="35">
        <f>AVERAGE(N56,N59)</f>
        <v>8873108.7940109521</v>
      </c>
    </row>
    <row r="61" spans="1:20" x14ac:dyDescent="0.2">
      <c r="B61" s="2" t="s">
        <v>675</v>
      </c>
      <c r="F61" s="2" t="s">
        <v>362</v>
      </c>
      <c r="N61" s="35">
        <f>N60*N14+N58</f>
        <v>1037635.6192990966</v>
      </c>
    </row>
    <row r="63" spans="1:20" x14ac:dyDescent="0.2">
      <c r="B63" s="1" t="s">
        <v>229</v>
      </c>
    </row>
    <row r="64" spans="1:20" x14ac:dyDescent="0.2">
      <c r="B64" s="21" t="s">
        <v>235</v>
      </c>
      <c r="F64" s="2" t="s">
        <v>173</v>
      </c>
      <c r="J64" s="35">
        <f>SUM(L64:O64)</f>
        <v>4250559.6085831616</v>
      </c>
      <c r="L64" s="34">
        <f>L33</f>
        <v>21252.798042915812</v>
      </c>
      <c r="M64" s="34">
        <f>M33</f>
        <v>3189276.2680145786</v>
      </c>
      <c r="N64" s="34">
        <f>N33</f>
        <v>174915.98407466008</v>
      </c>
      <c r="O64" s="34">
        <f>O33</f>
        <v>865114.55845100747</v>
      </c>
    </row>
    <row r="65" spans="2:15" x14ac:dyDescent="0.2">
      <c r="B65" s="21" t="s">
        <v>234</v>
      </c>
      <c r="F65" s="2" t="s">
        <v>173</v>
      </c>
      <c r="J65" s="35">
        <f t="shared" ref="J65:J68" si="0">SUM(L65:O65)</f>
        <v>108076.35899999998</v>
      </c>
      <c r="L65" s="35">
        <f>L30/$J$32</f>
        <v>540.38179500000001</v>
      </c>
      <c r="M65" s="35">
        <f>M30/$J$32</f>
        <v>81091.761704999983</v>
      </c>
      <c r="N65" s="35">
        <f>N30/$J$32</f>
        <v>4447.4809038127114</v>
      </c>
      <c r="O65" s="35">
        <f>O30/$J$32</f>
        <v>21996.734596187296</v>
      </c>
    </row>
    <row r="66" spans="2:15" x14ac:dyDescent="0.2">
      <c r="B66" s="21" t="s">
        <v>672</v>
      </c>
      <c r="F66" s="2" t="s">
        <v>362</v>
      </c>
      <c r="J66" s="35">
        <f t="shared" si="0"/>
        <v>108076.35899999998</v>
      </c>
      <c r="L66" s="35">
        <f>MIN(L65,L64)</f>
        <v>540.38179500000001</v>
      </c>
      <c r="M66" s="35">
        <f t="shared" ref="M66:O66" si="1">MIN(M65,M64)</f>
        <v>81091.761704999983</v>
      </c>
      <c r="N66" s="35">
        <f t="shared" si="1"/>
        <v>4447.4809038127114</v>
      </c>
      <c r="O66" s="35">
        <f t="shared" si="1"/>
        <v>21996.734596187296</v>
      </c>
    </row>
    <row r="67" spans="2:15" x14ac:dyDescent="0.2">
      <c r="B67" s="21" t="s">
        <v>673</v>
      </c>
      <c r="F67" s="2" t="s">
        <v>173</v>
      </c>
      <c r="J67" s="35">
        <f t="shared" si="0"/>
        <v>4142483.2495831624</v>
      </c>
      <c r="L67" s="34">
        <f>L64-L66</f>
        <v>20712.416247915811</v>
      </c>
      <c r="M67" s="34">
        <f t="shared" ref="M67:O67" si="2">M64-M66</f>
        <v>3108184.5063095787</v>
      </c>
      <c r="N67" s="34">
        <f t="shared" si="2"/>
        <v>170468.50317084737</v>
      </c>
      <c r="O67" s="34">
        <f t="shared" si="2"/>
        <v>843117.82385482022</v>
      </c>
    </row>
    <row r="68" spans="2:15" x14ac:dyDescent="0.2">
      <c r="B68" s="21" t="s">
        <v>674</v>
      </c>
      <c r="F68" s="2" t="s">
        <v>173</v>
      </c>
      <c r="J68" s="35">
        <f t="shared" si="0"/>
        <v>4196521.429083162</v>
      </c>
      <c r="L68" s="35">
        <f>AVERAGE(L64,L67)</f>
        <v>20982.607145415812</v>
      </c>
      <c r="M68" s="35">
        <f t="shared" ref="M68:O68" si="3">AVERAGE(M64,M67)</f>
        <v>3148730.3871620786</v>
      </c>
      <c r="N68" s="35">
        <f t="shared" si="3"/>
        <v>172692.24362275371</v>
      </c>
      <c r="O68" s="35">
        <f t="shared" si="3"/>
        <v>854116.19115291385</v>
      </c>
    </row>
    <row r="69" spans="2:15" x14ac:dyDescent="0.2">
      <c r="B69" s="21" t="s">
        <v>675</v>
      </c>
      <c r="F69" s="2" t="s">
        <v>362</v>
      </c>
      <c r="J69" s="35">
        <f>SUM(L69:O69)</f>
        <v>353897.51264213404</v>
      </c>
      <c r="L69" s="35">
        <f>L68*L14+L66</f>
        <v>1893.7599558793199</v>
      </c>
      <c r="M69" s="35">
        <f>M68*M14+M66</f>
        <v>260254.52073452226</v>
      </c>
      <c r="N69" s="35">
        <f>N68*N14+N66</f>
        <v>15430.707598219848</v>
      </c>
      <c r="O69" s="35">
        <f>O68*O14+O66</f>
        <v>76318.524353512621</v>
      </c>
    </row>
    <row r="70" spans="2:15" x14ac:dyDescent="0.2">
      <c r="B70" s="1"/>
    </row>
    <row r="71" spans="2:15" x14ac:dyDescent="0.2">
      <c r="B71" s="130" t="s">
        <v>715</v>
      </c>
    </row>
    <row r="72" spans="2:15" x14ac:dyDescent="0.2">
      <c r="B72" s="2" t="s">
        <v>234</v>
      </c>
      <c r="F72" s="2" t="s">
        <v>173</v>
      </c>
      <c r="M72" s="35">
        <f>M38/M40</f>
        <v>20000</v>
      </c>
    </row>
    <row r="73" spans="2:15" x14ac:dyDescent="0.2">
      <c r="B73" s="2" t="s">
        <v>672</v>
      </c>
      <c r="F73" s="2" t="s">
        <v>173</v>
      </c>
      <c r="M73" s="35">
        <f>((DATE(2026,1,1)-M39)/365.25)*M72</f>
        <v>18288.843258042438</v>
      </c>
    </row>
    <row r="74" spans="2:15" x14ac:dyDescent="0.2">
      <c r="B74" s="2" t="s">
        <v>721</v>
      </c>
      <c r="F74" s="2" t="s">
        <v>173</v>
      </c>
      <c r="M74" s="34">
        <f>M38</f>
        <v>800000</v>
      </c>
    </row>
    <row r="75" spans="2:15" x14ac:dyDescent="0.2">
      <c r="B75" s="2" t="s">
        <v>673</v>
      </c>
      <c r="F75" s="2" t="s">
        <v>173</v>
      </c>
      <c r="M75" s="35">
        <f>+M74-M73</f>
        <v>781711.15674195753</v>
      </c>
    </row>
    <row r="76" spans="2:15" x14ac:dyDescent="0.2">
      <c r="B76" s="2" t="s">
        <v>722</v>
      </c>
      <c r="F76" s="2" t="s">
        <v>173</v>
      </c>
      <c r="M76" s="35">
        <f>AVERAGE(M74:M75)</f>
        <v>790855.57837097882</v>
      </c>
    </row>
    <row r="77" spans="2:15" x14ac:dyDescent="0.2">
      <c r="B77" s="2" t="s">
        <v>723</v>
      </c>
      <c r="F77" s="2" t="s">
        <v>724</v>
      </c>
      <c r="M77" s="35">
        <f>((DATE(2026,1,1)-M39)/365.25)*12</f>
        <v>10.973305954825463</v>
      </c>
    </row>
    <row r="78" spans="2:15" x14ac:dyDescent="0.2">
      <c r="B78" s="2" t="s">
        <v>725</v>
      </c>
      <c r="F78" s="2" t="s">
        <v>173</v>
      </c>
      <c r="M78" s="35">
        <f>M76*(M77/12)</f>
        <v>723191.68562876643</v>
      </c>
    </row>
    <row r="79" spans="2:15" x14ac:dyDescent="0.2">
      <c r="B79" s="2" t="s">
        <v>675</v>
      </c>
      <c r="F79" s="2" t="s">
        <v>362</v>
      </c>
      <c r="M79" s="35">
        <f>M78*M14+M73</f>
        <v>59438.450170319251</v>
      </c>
    </row>
    <row r="81" spans="1:15" x14ac:dyDescent="0.2">
      <c r="B81" s="130" t="s">
        <v>716</v>
      </c>
    </row>
    <row r="82" spans="1:15" x14ac:dyDescent="0.2">
      <c r="B82" s="2" t="s">
        <v>234</v>
      </c>
      <c r="F82" s="2" t="s">
        <v>173</v>
      </c>
      <c r="M82" s="35">
        <f>+M43/M45</f>
        <v>149516.66666666666</v>
      </c>
    </row>
    <row r="83" spans="1:15" x14ac:dyDescent="0.2">
      <c r="B83" s="2" t="s">
        <v>672</v>
      </c>
      <c r="F83" s="2" t="s">
        <v>173</v>
      </c>
      <c r="M83" s="35">
        <f>((DATE(2026,1,1)-M44)/365.25)*M82</f>
        <v>136724.34405658225</v>
      </c>
      <c r="N83" s="39"/>
    </row>
    <row r="84" spans="1:15" x14ac:dyDescent="0.2">
      <c r="B84" s="2" t="s">
        <v>721</v>
      </c>
      <c r="F84" s="2" t="s">
        <v>173</v>
      </c>
      <c r="M84" s="34">
        <f>+M43</f>
        <v>4485500</v>
      </c>
      <c r="O84" s="39"/>
    </row>
    <row r="85" spans="1:15" x14ac:dyDescent="0.2">
      <c r="B85" s="2" t="s">
        <v>673</v>
      </c>
      <c r="F85" s="2" t="s">
        <v>173</v>
      </c>
      <c r="M85" s="35">
        <f>+M84-M83</f>
        <v>4348775.6559434179</v>
      </c>
    </row>
    <row r="86" spans="1:15" x14ac:dyDescent="0.2">
      <c r="B86" s="2" t="s">
        <v>722</v>
      </c>
      <c r="F86" s="2" t="s">
        <v>173</v>
      </c>
      <c r="M86" s="35">
        <f>AVERAGE(M84:M85)</f>
        <v>4417137.827971709</v>
      </c>
    </row>
    <row r="87" spans="1:15" x14ac:dyDescent="0.2">
      <c r="B87" s="2" t="s">
        <v>723</v>
      </c>
      <c r="F87" s="2" t="s">
        <v>724</v>
      </c>
      <c r="M87" s="35">
        <f>((DATE(2026,1,1)-M44)/365.25)*12</f>
        <v>10.973305954825463</v>
      </c>
    </row>
    <row r="88" spans="1:15" x14ac:dyDescent="0.2">
      <c r="B88" s="2" t="s">
        <v>725</v>
      </c>
      <c r="F88" s="2" t="s">
        <v>173</v>
      </c>
      <c r="M88" s="35">
        <f>M86*(M87/12)</f>
        <v>4039217.0692472304</v>
      </c>
    </row>
    <row r="89" spans="1:15" x14ac:dyDescent="0.2">
      <c r="B89" s="2" t="s">
        <v>675</v>
      </c>
      <c r="F89" s="2" t="s">
        <v>362</v>
      </c>
      <c r="M89" s="35">
        <f>M88*M14+M83</f>
        <v>366555.79529674968</v>
      </c>
    </row>
    <row r="91" spans="1:15" x14ac:dyDescent="0.2">
      <c r="A91" s="9"/>
      <c r="B91" s="1" t="s">
        <v>717</v>
      </c>
    </row>
    <row r="92" spans="1:15" x14ac:dyDescent="0.2">
      <c r="A92" s="9"/>
      <c r="B92" s="2" t="s">
        <v>726</v>
      </c>
      <c r="F92" s="2" t="s">
        <v>362</v>
      </c>
      <c r="J92" s="35">
        <f>SUM(L92:O92)</f>
        <v>383184.42</v>
      </c>
      <c r="L92" s="34">
        <f>L50</f>
        <v>1915.9221</v>
      </c>
      <c r="M92" s="34">
        <f>M50</f>
        <v>287510.60789999994</v>
      </c>
      <c r="N92" s="34">
        <f>N50</f>
        <v>15768.530753229294</v>
      </c>
      <c r="O92" s="34">
        <f>O50</f>
        <v>77989.359246770735</v>
      </c>
    </row>
    <row r="96" spans="1:15" x14ac:dyDescent="0.2">
      <c r="B96" s="4" t="s">
        <v>62</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CC8CC-78FC-42C1-ACEB-B5C2158480AC}">
  <sheetPr>
    <tabColor rgb="FFE1FFE1"/>
  </sheetPr>
  <dimension ref="A2:T83"/>
  <sheetViews>
    <sheetView showGridLines="0" zoomScale="85" zoomScaleNormal="85" workbookViewId="0">
      <pane xSplit="6" ySplit="13" topLeftCell="G14" activePane="bottomRight" state="frozen"/>
      <selection pane="topRight"/>
      <selection pane="bottomLeft"/>
      <selection pane="bottomRight"/>
    </sheetView>
  </sheetViews>
  <sheetFormatPr defaultRowHeight="12.75" x14ac:dyDescent="0.2"/>
  <cols>
    <col min="1" max="1" width="5.7109375" style="2" customWidth="1"/>
    <col min="2" max="2" width="76.140625" style="2" customWidth="1"/>
    <col min="3" max="5" width="5.7109375" style="2" customWidth="1"/>
    <col min="6" max="6" width="17.5703125" style="2" customWidth="1"/>
    <col min="7" max="7" width="2.7109375" style="2" customWidth="1"/>
    <col min="8" max="8" width="11.5703125" style="2" customWidth="1"/>
    <col min="9" max="9" width="2.7109375" style="2" customWidth="1"/>
    <col min="10" max="10" width="11.5703125" style="2" customWidth="1"/>
    <col min="11" max="11" width="2.7109375" style="2" customWidth="1"/>
    <col min="12" max="16" width="13.85546875" style="2" customWidth="1"/>
    <col min="17" max="17" width="4" style="2" customWidth="1"/>
    <col min="18" max="18" width="73.140625" style="2" customWidth="1"/>
    <col min="19" max="19" width="4" style="2" customWidth="1"/>
    <col min="20" max="21" width="12.5703125" style="2" customWidth="1"/>
    <col min="22" max="22" width="2.7109375" style="2" customWidth="1"/>
    <col min="23" max="23" width="20.7109375" style="2" customWidth="1"/>
    <col min="24" max="24" width="2.7109375" style="2" customWidth="1"/>
    <col min="25" max="25" width="30.7109375" style="2" customWidth="1"/>
    <col min="26" max="26" width="2.7109375" style="2" customWidth="1"/>
    <col min="27" max="41" width="13.7109375" style="2" customWidth="1"/>
    <col min="42" max="16384" width="9.140625" style="2"/>
  </cols>
  <sheetData>
    <row r="2" spans="2:20" s="15" customFormat="1" ht="18" x14ac:dyDescent="0.2">
      <c r="B2" s="15" t="s">
        <v>465</v>
      </c>
    </row>
    <row r="4" spans="2:20" x14ac:dyDescent="0.2">
      <c r="B4" s="26" t="s">
        <v>21</v>
      </c>
      <c r="C4" s="1"/>
      <c r="D4" s="1"/>
      <c r="L4"/>
    </row>
    <row r="5" spans="2:20" x14ac:dyDescent="0.2">
      <c r="B5" s="2" t="s">
        <v>466</v>
      </c>
      <c r="H5" s="16"/>
    </row>
    <row r="6" spans="2:20" x14ac:dyDescent="0.2">
      <c r="B6" s="2" t="s">
        <v>467</v>
      </c>
      <c r="H6" s="16"/>
    </row>
    <row r="7" spans="2:20" x14ac:dyDescent="0.2">
      <c r="H7" s="16"/>
    </row>
    <row r="8" spans="2:20" x14ac:dyDescent="0.2">
      <c r="B8" s="27" t="s">
        <v>22</v>
      </c>
      <c r="H8" s="16"/>
    </row>
    <row r="9" spans="2:20" x14ac:dyDescent="0.2">
      <c r="B9" s="146" t="s">
        <v>236</v>
      </c>
      <c r="H9" s="16"/>
      <c r="T9" s="16"/>
    </row>
    <row r="10" spans="2:20" x14ac:dyDescent="0.2">
      <c r="B10" s="27"/>
    </row>
    <row r="12" spans="2:20" s="8" customFormat="1" ht="25.5" x14ac:dyDescent="0.2">
      <c r="B12" s="8" t="s">
        <v>36</v>
      </c>
      <c r="F12" s="8" t="s">
        <v>19</v>
      </c>
      <c r="H12" s="8" t="s">
        <v>20</v>
      </c>
      <c r="J12" s="8" t="s">
        <v>40</v>
      </c>
      <c r="L12" s="38" t="s">
        <v>166</v>
      </c>
      <c r="M12" s="38" t="s">
        <v>167</v>
      </c>
      <c r="N12" s="38" t="s">
        <v>168</v>
      </c>
      <c r="O12" s="38" t="s">
        <v>169</v>
      </c>
      <c r="P12" s="38" t="s">
        <v>170</v>
      </c>
      <c r="R12" s="8" t="s">
        <v>37</v>
      </c>
      <c r="T12" s="8" t="s">
        <v>38</v>
      </c>
    </row>
    <row r="15" spans="2:20" s="8" customFormat="1" x14ac:dyDescent="0.2">
      <c r="B15" s="8" t="s">
        <v>468</v>
      </c>
    </row>
    <row r="16" spans="2:20" x14ac:dyDescent="0.2">
      <c r="L16" s="104"/>
      <c r="M16" s="104"/>
      <c r="N16" s="104"/>
      <c r="O16" s="104"/>
      <c r="P16" s="104"/>
    </row>
    <row r="17" spans="1:20" x14ac:dyDescent="0.2">
      <c r="B17" s="1" t="s">
        <v>756</v>
      </c>
    </row>
    <row r="18" spans="1:20" x14ac:dyDescent="0.2">
      <c r="B18" s="2" t="s">
        <v>469</v>
      </c>
      <c r="F18" s="2" t="s">
        <v>125</v>
      </c>
      <c r="L18" s="118">
        <v>205045.87945578934</v>
      </c>
      <c r="M18" s="118">
        <v>10572281.159836177</v>
      </c>
      <c r="N18" s="134">
        <v>3476376.110624399</v>
      </c>
      <c r="O18" s="118">
        <v>4678904.8490611371</v>
      </c>
      <c r="P18" s="118">
        <v>137790.9313486375</v>
      </c>
      <c r="R18" s="2" t="s">
        <v>757</v>
      </c>
    </row>
    <row r="19" spans="1:20" x14ac:dyDescent="0.2">
      <c r="L19" s="104"/>
      <c r="M19" s="104"/>
      <c r="N19" s="104"/>
      <c r="O19" s="104"/>
      <c r="P19" s="104"/>
    </row>
    <row r="20" spans="1:20" x14ac:dyDescent="0.2">
      <c r="A20" s="9"/>
      <c r="B20" s="1" t="s">
        <v>755</v>
      </c>
      <c r="L20" s="104"/>
      <c r="M20" s="104"/>
      <c r="N20" s="104"/>
      <c r="O20" s="104"/>
      <c r="P20" s="104"/>
    </row>
    <row r="21" spans="1:20" x14ac:dyDescent="0.2">
      <c r="A21" s="9"/>
      <c r="B21" s="21" t="s">
        <v>750</v>
      </c>
      <c r="F21" s="2" t="s">
        <v>125</v>
      </c>
      <c r="N21" s="134">
        <v>3725798.0147456033</v>
      </c>
      <c r="R21" s="2" t="s">
        <v>758</v>
      </c>
      <c r="T21" s="2" t="s">
        <v>237</v>
      </c>
    </row>
    <row r="22" spans="1:20" x14ac:dyDescent="0.2">
      <c r="A22" s="9"/>
      <c r="B22" s="21" t="s">
        <v>777</v>
      </c>
      <c r="F22" s="2" t="s">
        <v>125</v>
      </c>
      <c r="N22" s="118">
        <v>61881.738884406164</v>
      </c>
      <c r="R22" s="2" t="s">
        <v>743</v>
      </c>
    </row>
    <row r="23" spans="1:20" x14ac:dyDescent="0.2">
      <c r="A23" s="9"/>
      <c r="B23" s="2" t="s">
        <v>469</v>
      </c>
      <c r="F23" s="2" t="s">
        <v>125</v>
      </c>
      <c r="L23" s="118">
        <v>212286.59464772479</v>
      </c>
      <c r="M23" s="118">
        <v>10823186.468338778</v>
      </c>
      <c r="N23" s="105">
        <f>N22+N21</f>
        <v>3787679.7536300095</v>
      </c>
      <c r="O23" s="118">
        <v>4817565.9669098463</v>
      </c>
      <c r="P23" s="118">
        <v>138415.08944065054</v>
      </c>
      <c r="R23" s="2" t="s">
        <v>758</v>
      </c>
    </row>
    <row r="24" spans="1:20" x14ac:dyDescent="0.2">
      <c r="A24" s="9"/>
      <c r="B24" s="2" t="s">
        <v>470</v>
      </c>
      <c r="F24" s="2" t="s">
        <v>471</v>
      </c>
      <c r="L24" s="121">
        <v>0</v>
      </c>
      <c r="M24" s="121">
        <v>37.541201682532169</v>
      </c>
      <c r="N24" s="121">
        <v>0.32706377347046955</v>
      </c>
      <c r="O24" s="121">
        <v>711.46875084848705</v>
      </c>
      <c r="P24" s="121">
        <v>3.8175226602053987</v>
      </c>
      <c r="R24" s="2" t="s">
        <v>759</v>
      </c>
    </row>
    <row r="25" spans="1:20" x14ac:dyDescent="0.2">
      <c r="L25" s="104"/>
      <c r="M25" s="104"/>
      <c r="N25" s="104"/>
      <c r="O25" s="104"/>
      <c r="P25" s="104"/>
    </row>
    <row r="26" spans="1:20" x14ac:dyDescent="0.2">
      <c r="B26" s="1" t="s">
        <v>472</v>
      </c>
      <c r="L26" s="104"/>
      <c r="M26" s="104"/>
      <c r="N26" s="104"/>
      <c r="O26" s="104"/>
      <c r="P26" s="104"/>
    </row>
    <row r="27" spans="1:20" x14ac:dyDescent="0.2">
      <c r="B27" s="2" t="s">
        <v>198</v>
      </c>
      <c r="F27" s="2" t="s">
        <v>199</v>
      </c>
      <c r="L27" s="18" t="s">
        <v>130</v>
      </c>
      <c r="M27" s="18" t="s">
        <v>132</v>
      </c>
      <c r="N27" s="18" t="s">
        <v>151</v>
      </c>
      <c r="O27" s="18" t="s">
        <v>155</v>
      </c>
      <c r="P27" s="18" t="s">
        <v>151</v>
      </c>
    </row>
    <row r="28" spans="1:20" x14ac:dyDescent="0.2">
      <c r="B28" s="2" t="s">
        <v>473</v>
      </c>
      <c r="F28" s="2" t="s">
        <v>187</v>
      </c>
      <c r="L28" s="118">
        <v>248086.58000000002</v>
      </c>
      <c r="M28" s="118">
        <v>109073.78750000001</v>
      </c>
      <c r="N28" s="118">
        <v>2450617.3655342958</v>
      </c>
      <c r="O28" s="118">
        <v>3228.6484375</v>
      </c>
      <c r="P28" s="118">
        <v>12335</v>
      </c>
      <c r="R28" s="2" t="s">
        <v>679</v>
      </c>
    </row>
    <row r="29" spans="1:20" x14ac:dyDescent="0.2">
      <c r="B29" s="2" t="s">
        <v>474</v>
      </c>
      <c r="F29" s="2" t="s">
        <v>187</v>
      </c>
      <c r="L29" s="118">
        <v>140215686.58000001</v>
      </c>
      <c r="R29" s="2" t="s">
        <v>680</v>
      </c>
    </row>
    <row r="31" spans="1:20" x14ac:dyDescent="0.2">
      <c r="B31" s="2" t="s">
        <v>475</v>
      </c>
      <c r="F31" s="2" t="s">
        <v>119</v>
      </c>
      <c r="M31" s="102">
        <v>0.10128711788744631</v>
      </c>
      <c r="N31" s="32"/>
      <c r="O31" s="102">
        <v>0.12557078734798408</v>
      </c>
      <c r="R31" s="2" t="s">
        <v>681</v>
      </c>
    </row>
    <row r="34" spans="1:20" s="8" customFormat="1" x14ac:dyDescent="0.2">
      <c r="B34" s="8" t="s">
        <v>476</v>
      </c>
    </row>
    <row r="36" spans="1:20" x14ac:dyDescent="0.2">
      <c r="B36" s="1" t="s">
        <v>238</v>
      </c>
    </row>
    <row r="37" spans="1:20" x14ac:dyDescent="0.2">
      <c r="B37" s="4" t="s">
        <v>239</v>
      </c>
    </row>
    <row r="39" spans="1:20" x14ac:dyDescent="0.2">
      <c r="A39" s="9"/>
      <c r="B39" s="2" t="s">
        <v>240</v>
      </c>
      <c r="F39" s="2" t="s">
        <v>125</v>
      </c>
      <c r="J39" s="135">
        <f>SUM(L39:P39)</f>
        <v>-15359.693019142753</v>
      </c>
      <c r="L39" s="136"/>
      <c r="M39" s="118">
        <v>0</v>
      </c>
      <c r="N39" s="136"/>
      <c r="O39" s="118">
        <v>-121937.94101914276</v>
      </c>
      <c r="P39" s="118">
        <v>106578.24800000001</v>
      </c>
      <c r="R39" s="2" t="s">
        <v>241</v>
      </c>
      <c r="T39" s="2" t="s">
        <v>242</v>
      </c>
    </row>
    <row r="40" spans="1:20" x14ac:dyDescent="0.2">
      <c r="M40" s="128"/>
    </row>
    <row r="41" spans="1:20" x14ac:dyDescent="0.2">
      <c r="B41" s="1" t="s">
        <v>477</v>
      </c>
      <c r="L41" s="104"/>
      <c r="M41" s="104"/>
      <c r="N41" s="104"/>
    </row>
    <row r="42" spans="1:20" x14ac:dyDescent="0.2">
      <c r="B42" s="2" t="s">
        <v>487</v>
      </c>
      <c r="F42" s="2" t="s">
        <v>668</v>
      </c>
      <c r="L42" s="104"/>
      <c r="M42" s="104"/>
      <c r="N42" s="121">
        <v>0</v>
      </c>
      <c r="R42" s="2" t="s">
        <v>480</v>
      </c>
    </row>
    <row r="43" spans="1:20" x14ac:dyDescent="0.2">
      <c r="B43" s="2" t="s">
        <v>479</v>
      </c>
      <c r="F43" s="2" t="s">
        <v>132</v>
      </c>
      <c r="L43" s="104"/>
      <c r="M43" s="104"/>
      <c r="N43" s="118">
        <v>1967</v>
      </c>
      <c r="R43" s="2" t="s">
        <v>667</v>
      </c>
    </row>
    <row r="44" spans="1:20" x14ac:dyDescent="0.2">
      <c r="B44" s="2" t="s">
        <v>488</v>
      </c>
      <c r="F44" s="2" t="s">
        <v>478</v>
      </c>
      <c r="L44" s="104"/>
      <c r="M44" s="104"/>
      <c r="N44" s="105">
        <f>12*N42*N43</f>
        <v>0</v>
      </c>
    </row>
    <row r="47" spans="1:20" s="8" customFormat="1" x14ac:dyDescent="0.2">
      <c r="B47" s="8" t="s">
        <v>481</v>
      </c>
    </row>
    <row r="48" spans="1:20" x14ac:dyDescent="0.2">
      <c r="N48" s="137"/>
    </row>
    <row r="49" spans="1:20" x14ac:dyDescent="0.2">
      <c r="B49" s="1" t="s">
        <v>243</v>
      </c>
    </row>
    <row r="50" spans="1:20" x14ac:dyDescent="0.2">
      <c r="A50" s="9"/>
      <c r="B50" s="2" t="s">
        <v>380</v>
      </c>
      <c r="F50" s="2" t="s">
        <v>97</v>
      </c>
      <c r="M50" s="31">
        <v>-987471.15059939725</v>
      </c>
      <c r="R50" s="2" t="s">
        <v>482</v>
      </c>
      <c r="T50" s="16"/>
    </row>
    <row r="51" spans="1:20" x14ac:dyDescent="0.2">
      <c r="R51"/>
    </row>
    <row r="52" spans="1:20" x14ac:dyDescent="0.2">
      <c r="B52" s="1" t="s">
        <v>483</v>
      </c>
    </row>
    <row r="53" spans="1:20" x14ac:dyDescent="0.2">
      <c r="B53" s="2" t="s">
        <v>484</v>
      </c>
      <c r="F53" s="2" t="s">
        <v>151</v>
      </c>
      <c r="N53" s="31">
        <v>2643315</v>
      </c>
      <c r="R53" s="2" t="s">
        <v>683</v>
      </c>
    </row>
    <row r="54" spans="1:20" x14ac:dyDescent="0.2">
      <c r="B54" s="2" t="s">
        <v>485</v>
      </c>
      <c r="F54" s="2" t="s">
        <v>72</v>
      </c>
      <c r="N54" s="139">
        <v>0.35749999999999998</v>
      </c>
      <c r="R54" s="2" t="s">
        <v>685</v>
      </c>
    </row>
    <row r="55" spans="1:20" x14ac:dyDescent="0.2">
      <c r="B55" s="2" t="s">
        <v>486</v>
      </c>
      <c r="F55" s="2" t="s">
        <v>72</v>
      </c>
      <c r="N55" s="139">
        <v>0.35499999999999998</v>
      </c>
      <c r="R55" s="2" t="s">
        <v>687</v>
      </c>
    </row>
    <row r="56" spans="1:20" x14ac:dyDescent="0.2">
      <c r="B56" s="2" t="s">
        <v>245</v>
      </c>
      <c r="F56" s="2" t="s">
        <v>210</v>
      </c>
      <c r="N56" s="139">
        <v>3.8348885763912572</v>
      </c>
      <c r="R56" s="2" t="s">
        <v>686</v>
      </c>
    </row>
    <row r="57" spans="1:20" x14ac:dyDescent="0.2">
      <c r="B57" s="2" t="s">
        <v>206</v>
      </c>
      <c r="F57" s="2" t="s">
        <v>119</v>
      </c>
      <c r="N57" s="102">
        <v>0.50297161993744954</v>
      </c>
      <c r="R57" s="2" t="s">
        <v>684</v>
      </c>
    </row>
    <row r="59" spans="1:20" x14ac:dyDescent="0.2">
      <c r="A59" s="9"/>
      <c r="B59" s="1" t="s">
        <v>778</v>
      </c>
      <c r="R59"/>
    </row>
    <row r="60" spans="1:20" x14ac:dyDescent="0.2">
      <c r="A60" s="9"/>
      <c r="B60" s="2" t="s">
        <v>782</v>
      </c>
      <c r="F60" s="2" t="s">
        <v>125</v>
      </c>
      <c r="J60" s="135">
        <f>SUM(L60:P60)</f>
        <v>1069358.0184065301</v>
      </c>
      <c r="L60" s="31">
        <v>7240.715191935451</v>
      </c>
      <c r="M60" s="31">
        <v>523588.78519078501</v>
      </c>
      <c r="N60" s="31">
        <v>249421.90412120428</v>
      </c>
      <c r="O60" s="31">
        <v>287500.50105310517</v>
      </c>
      <c r="P60" s="31">
        <v>1606.1128495002649</v>
      </c>
      <c r="R60" t="s">
        <v>783</v>
      </c>
    </row>
    <row r="61" spans="1:20" x14ac:dyDescent="0.2">
      <c r="A61" s="9"/>
      <c r="J61" s="137"/>
      <c r="L61" s="137"/>
      <c r="M61" s="137"/>
      <c r="N61" s="137"/>
      <c r="O61" s="137"/>
      <c r="P61" s="137"/>
      <c r="R61"/>
    </row>
    <row r="62" spans="1:20" x14ac:dyDescent="0.2">
      <c r="A62" s="9"/>
      <c r="B62" s="1" t="s">
        <v>727</v>
      </c>
    </row>
    <row r="63" spans="1:20" x14ac:dyDescent="0.2">
      <c r="A63" s="9"/>
      <c r="B63" s="2" t="s">
        <v>728</v>
      </c>
      <c r="F63" s="2" t="s">
        <v>97</v>
      </c>
      <c r="J63" s="135">
        <f>SUM(L63:P63)</f>
        <v>-383185</v>
      </c>
      <c r="L63" s="31">
        <v>-1916</v>
      </c>
      <c r="M63" s="31">
        <v>-287511</v>
      </c>
      <c r="N63" s="31">
        <v>-15769</v>
      </c>
      <c r="O63" s="31">
        <v>-77989</v>
      </c>
      <c r="R63" s="2" t="s">
        <v>733</v>
      </c>
    </row>
    <row r="64" spans="1:20" x14ac:dyDescent="0.2">
      <c r="L64" s="137"/>
      <c r="M64" s="137"/>
      <c r="N64" s="137"/>
      <c r="O64" s="137"/>
      <c r="R64"/>
    </row>
    <row r="65" spans="1:20" x14ac:dyDescent="0.2">
      <c r="L65" s="137"/>
      <c r="M65" s="137"/>
      <c r="N65" s="137"/>
      <c r="O65" s="137"/>
      <c r="R65"/>
    </row>
    <row r="66" spans="1:20" s="8" customFormat="1" x14ac:dyDescent="0.2">
      <c r="B66" s="8" t="s">
        <v>247</v>
      </c>
    </row>
    <row r="68" spans="1:20" x14ac:dyDescent="0.2">
      <c r="B68" s="1" t="s">
        <v>489</v>
      </c>
      <c r="L68" s="104"/>
      <c r="M68" s="104"/>
      <c r="N68" s="104"/>
      <c r="O68" s="104"/>
      <c r="P68" s="104"/>
    </row>
    <row r="69" spans="1:20" x14ac:dyDescent="0.2">
      <c r="B69" s="2" t="s">
        <v>490</v>
      </c>
      <c r="F69" s="2" t="s">
        <v>244</v>
      </c>
      <c r="L69" s="140">
        <v>0.82650000000000001</v>
      </c>
      <c r="N69" s="128"/>
      <c r="R69" s="2" t="s">
        <v>495</v>
      </c>
      <c r="T69" s="2" t="s">
        <v>499</v>
      </c>
    </row>
    <row r="70" spans="1:20" x14ac:dyDescent="0.2">
      <c r="B70" s="2" t="s">
        <v>491</v>
      </c>
      <c r="F70" s="2" t="s">
        <v>244</v>
      </c>
      <c r="L70" s="178">
        <v>0.13636000000000001</v>
      </c>
      <c r="R70" s="2" t="s">
        <v>496</v>
      </c>
      <c r="T70" s="2" t="s">
        <v>248</v>
      </c>
    </row>
    <row r="72" spans="1:20" x14ac:dyDescent="0.2">
      <c r="B72" s="1" t="s">
        <v>249</v>
      </c>
    </row>
    <row r="73" spans="1:20" x14ac:dyDescent="0.2">
      <c r="B73" s="2" t="s">
        <v>492</v>
      </c>
      <c r="F73" s="2" t="s">
        <v>244</v>
      </c>
      <c r="L73" s="140">
        <v>0.3610350167596062</v>
      </c>
      <c r="R73" s="2" t="s">
        <v>497</v>
      </c>
    </row>
    <row r="74" spans="1:20" x14ac:dyDescent="0.2">
      <c r="A74" s="9"/>
      <c r="B74" s="2" t="s">
        <v>493</v>
      </c>
      <c r="F74" s="2" t="s">
        <v>244</v>
      </c>
      <c r="L74" s="140">
        <v>0.31977366395915308</v>
      </c>
      <c r="R74" s="2" t="s">
        <v>498</v>
      </c>
    </row>
    <row r="75" spans="1:20" x14ac:dyDescent="0.2">
      <c r="B75" s="40" t="s">
        <v>246</v>
      </c>
      <c r="F75" s="2" t="s">
        <v>119</v>
      </c>
      <c r="L75" s="102">
        <v>0.46957629549187674</v>
      </c>
      <c r="R75" s="2" t="s">
        <v>688</v>
      </c>
    </row>
    <row r="77" spans="1:20" x14ac:dyDescent="0.2">
      <c r="B77" s="26" t="s">
        <v>494</v>
      </c>
    </row>
    <row r="78" spans="1:20" x14ac:dyDescent="0.2">
      <c r="B78" s="2" t="s">
        <v>494</v>
      </c>
      <c r="F78" s="2" t="s">
        <v>250</v>
      </c>
      <c r="N78" s="140">
        <v>3.4218999999999999</v>
      </c>
      <c r="R78" s="2" t="s">
        <v>689</v>
      </c>
    </row>
    <row r="79" spans="1:20" x14ac:dyDescent="0.2">
      <c r="L79" s="104"/>
      <c r="M79" s="104"/>
      <c r="N79" s="104"/>
      <c r="O79" s="104"/>
      <c r="P79" s="104"/>
    </row>
    <row r="80" spans="1:20" x14ac:dyDescent="0.2">
      <c r="L80" s="104"/>
      <c r="M80" s="104"/>
      <c r="N80" s="104"/>
      <c r="O80" s="104"/>
      <c r="P80" s="104"/>
    </row>
    <row r="81" spans="2:16" x14ac:dyDescent="0.2">
      <c r="L81" s="104"/>
      <c r="M81" s="104"/>
      <c r="N81" s="104"/>
      <c r="O81" s="104"/>
      <c r="P81" s="104"/>
    </row>
    <row r="83" spans="2:16" x14ac:dyDescent="0.2">
      <c r="B83" s="4" t="s">
        <v>62</v>
      </c>
    </row>
  </sheetData>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730C9-5D7D-43E5-B2E7-48909005712A}">
  <sheetPr>
    <tabColor theme="0" tint="-4.9989318521683403E-2"/>
  </sheetPr>
  <dimension ref="B2:B3"/>
  <sheetViews>
    <sheetView showGridLines="0" zoomScale="85" zoomScaleNormal="85" workbookViewId="0"/>
  </sheetViews>
  <sheetFormatPr defaultRowHeight="12.75" x14ac:dyDescent="0.2"/>
  <cols>
    <col min="1" max="1" width="5.7109375" style="19" customWidth="1"/>
    <col min="2" max="16384" width="9.140625" style="19"/>
  </cols>
  <sheetData>
    <row r="2" spans="2:2" x14ac:dyDescent="0.2">
      <c r="B2" s="36" t="s">
        <v>66</v>
      </c>
    </row>
    <row r="3" spans="2:2" x14ac:dyDescent="0.2">
      <c r="B3" s="36" t="s">
        <v>67</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6A762-05E7-4F4E-9FB2-F886D4F8ADF3}">
  <sheetPr>
    <tabColor rgb="FFFFFFCC"/>
  </sheetPr>
  <dimension ref="A2:T64"/>
  <sheetViews>
    <sheetView showGridLines="0" zoomScale="85" zoomScaleNormal="85" workbookViewId="0">
      <pane xSplit="6" ySplit="15" topLeftCell="G16" activePane="bottomRight" state="frozen"/>
      <selection pane="topRight"/>
      <selection pane="bottomLeft"/>
      <selection pane="bottomRight"/>
    </sheetView>
  </sheetViews>
  <sheetFormatPr defaultRowHeight="12.75" x14ac:dyDescent="0.2"/>
  <cols>
    <col min="1" max="1" width="4.7109375" style="2" customWidth="1"/>
    <col min="2" max="2" width="68" style="2" customWidth="1"/>
    <col min="3" max="3" width="4.7109375" style="2" customWidth="1"/>
    <col min="4" max="5" width="4.5703125" style="2" customWidth="1"/>
    <col min="6" max="6" width="23.1406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19.140625" style="2" customWidth="1"/>
    <col min="17" max="19" width="4" style="2" customWidth="1"/>
    <col min="20" max="20" width="12.5703125" style="2" customWidth="1"/>
    <col min="21" max="33" width="13.7109375" style="2" customWidth="1"/>
    <col min="34" max="16384" width="9.140625" style="2"/>
  </cols>
  <sheetData>
    <row r="2" spans="2:20" s="15" customFormat="1" ht="18" x14ac:dyDescent="0.2">
      <c r="B2" s="15" t="s">
        <v>516</v>
      </c>
    </row>
    <row r="4" spans="2:20" x14ac:dyDescent="0.2">
      <c r="B4" s="26" t="s">
        <v>47</v>
      </c>
      <c r="C4" s="1"/>
      <c r="D4" s="1"/>
    </row>
    <row r="5" spans="2:20" x14ac:dyDescent="0.2">
      <c r="B5" s="2" t="s">
        <v>251</v>
      </c>
      <c r="H5" s="16"/>
    </row>
    <row r="6" spans="2:20" x14ac:dyDescent="0.2">
      <c r="B6" s="2" t="s">
        <v>252</v>
      </c>
      <c r="H6" s="16"/>
    </row>
    <row r="7" spans="2:20" x14ac:dyDescent="0.2">
      <c r="B7" s="2" t="s">
        <v>253</v>
      </c>
      <c r="H7" s="16"/>
    </row>
    <row r="8" spans="2:20" x14ac:dyDescent="0.2">
      <c r="B8" s="2" t="s">
        <v>519</v>
      </c>
      <c r="H8" s="16"/>
    </row>
    <row r="9" spans="2:20" x14ac:dyDescent="0.2">
      <c r="H9" s="16"/>
    </row>
    <row r="10" spans="2:20" x14ac:dyDescent="0.2">
      <c r="B10" s="27" t="s">
        <v>22</v>
      </c>
      <c r="H10" s="16"/>
    </row>
    <row r="11" spans="2:20" x14ac:dyDescent="0.2">
      <c r="B11" s="21" t="s">
        <v>520</v>
      </c>
      <c r="H11" s="16"/>
    </row>
    <row r="12" spans="2:20" x14ac:dyDescent="0.2">
      <c r="H12" s="16"/>
    </row>
    <row r="14" spans="2:20" s="8" customFormat="1" ht="25.5" customHeight="1" x14ac:dyDescent="0.2">
      <c r="B14" s="8" t="s">
        <v>36</v>
      </c>
      <c r="F14" s="8" t="s">
        <v>19</v>
      </c>
      <c r="H14" s="8" t="s">
        <v>20</v>
      </c>
      <c r="J14" s="8" t="s">
        <v>40</v>
      </c>
      <c r="L14" s="38" t="s">
        <v>166</v>
      </c>
      <c r="M14" s="38" t="s">
        <v>167</v>
      </c>
      <c r="N14" s="38" t="s">
        <v>168</v>
      </c>
      <c r="O14" s="38" t="s">
        <v>169</v>
      </c>
      <c r="P14" s="38" t="s">
        <v>170</v>
      </c>
      <c r="T14" s="8" t="s">
        <v>38</v>
      </c>
    </row>
    <row r="17" spans="2:20" s="8" customFormat="1" x14ac:dyDescent="0.2">
      <c r="B17" s="8" t="s">
        <v>39</v>
      </c>
    </row>
    <row r="19" spans="2:20" x14ac:dyDescent="0.2">
      <c r="B19" s="1" t="s">
        <v>254</v>
      </c>
    </row>
    <row r="20" spans="2:20" x14ac:dyDescent="0.2">
      <c r="B20" s="2" t="s">
        <v>521</v>
      </c>
      <c r="F20" s="2" t="s">
        <v>125</v>
      </c>
      <c r="J20" s="105">
        <f>SUM(L20:P20)</f>
        <v>19070398.930326141</v>
      </c>
      <c r="L20" s="141">
        <f>'Input voor correcties'!L18</f>
        <v>205045.87945578934</v>
      </c>
      <c r="M20" s="141">
        <f>'Input voor correcties'!M18</f>
        <v>10572281.159836177</v>
      </c>
      <c r="N20" s="141">
        <f>'Input voor correcties'!N18</f>
        <v>3476376.110624399</v>
      </c>
      <c r="O20" s="141">
        <f>'Input voor correcties'!O18</f>
        <v>4678904.8490611371</v>
      </c>
      <c r="P20" s="141">
        <f>'Input voor correcties'!P18</f>
        <v>137790.9313486375</v>
      </c>
      <c r="T20" s="2" t="s">
        <v>693</v>
      </c>
    </row>
    <row r="22" spans="2:20" x14ac:dyDescent="0.2">
      <c r="B22" s="1" t="s">
        <v>255</v>
      </c>
    </row>
    <row r="23" spans="2:20" x14ac:dyDescent="0.2">
      <c r="B23" s="2" t="s">
        <v>198</v>
      </c>
      <c r="F23" s="2" t="s">
        <v>199</v>
      </c>
      <c r="L23" s="18" t="s">
        <v>130</v>
      </c>
      <c r="M23" s="18" t="s">
        <v>132</v>
      </c>
      <c r="N23" s="18" t="s">
        <v>151</v>
      </c>
      <c r="O23" s="18" t="s">
        <v>155</v>
      </c>
      <c r="P23" s="18" t="s">
        <v>151</v>
      </c>
    </row>
    <row r="24" spans="2:20" x14ac:dyDescent="0.2">
      <c r="B24" s="2" t="s">
        <v>522</v>
      </c>
      <c r="F24" s="2" t="s">
        <v>187</v>
      </c>
      <c r="L24" s="141">
        <f>'Input voor correcties'!L28</f>
        <v>248086.58000000002</v>
      </c>
      <c r="M24" s="141">
        <f>'Input voor correcties'!M28</f>
        <v>109073.78750000001</v>
      </c>
      <c r="N24" s="141">
        <f>'Input voor correcties'!N28</f>
        <v>2450617.3655342958</v>
      </c>
      <c r="O24" s="141">
        <f>'Input voor correcties'!O28</f>
        <v>3228.6484375</v>
      </c>
      <c r="P24" s="141">
        <f>'Input voor correcties'!P28</f>
        <v>12335</v>
      </c>
    </row>
    <row r="25" spans="2:20" x14ac:dyDescent="0.2">
      <c r="M25" s="94"/>
    </row>
    <row r="26" spans="2:20" x14ac:dyDescent="0.2">
      <c r="B26" s="1" t="s">
        <v>256</v>
      </c>
    </row>
    <row r="27" spans="2:20" x14ac:dyDescent="0.2">
      <c r="B27" s="2" t="s">
        <v>523</v>
      </c>
      <c r="F27" s="2" t="s">
        <v>187</v>
      </c>
      <c r="L27" s="141">
        <f>'Gegevens volumes 2023'!L66</f>
        <v>282924.66000000003</v>
      </c>
      <c r="M27" s="141">
        <f>'Gegevens volumes 2023'!M66</f>
        <v>108639.13169428542</v>
      </c>
      <c r="N27" s="141">
        <f>'Gegevens volumes 2023'!N66</f>
        <v>2549735.8999999994</v>
      </c>
      <c r="O27" s="141">
        <f>'Gegevens volumes 2023'!O66</f>
        <v>3154.2223105801918</v>
      </c>
      <c r="P27" s="141">
        <f>'Gegevens volumes 2023'!P66</f>
        <v>19406</v>
      </c>
    </row>
    <row r="29" spans="2:20" x14ac:dyDescent="0.2">
      <c r="B29" s="1" t="s">
        <v>257</v>
      </c>
    </row>
    <row r="30" spans="2:20" x14ac:dyDescent="0.2">
      <c r="B30" s="2" t="s">
        <v>524</v>
      </c>
      <c r="F30" s="2" t="s">
        <v>130</v>
      </c>
      <c r="L30" s="141">
        <f>'Input voor correcties'!L29</f>
        <v>140215686.58000001</v>
      </c>
    </row>
    <row r="31" spans="2:20" x14ac:dyDescent="0.2">
      <c r="B31" s="2" t="s">
        <v>525</v>
      </c>
      <c r="F31" s="2" t="s">
        <v>130</v>
      </c>
      <c r="L31" s="35">
        <f>L30-L24</f>
        <v>139967600</v>
      </c>
    </row>
    <row r="32" spans="2:20" x14ac:dyDescent="0.2">
      <c r="B32" s="2" t="s">
        <v>490</v>
      </c>
      <c r="F32" s="2" t="s">
        <v>244</v>
      </c>
      <c r="L32" s="142">
        <f>'Input voor correcties'!L69</f>
        <v>0.82650000000000001</v>
      </c>
    </row>
    <row r="33" spans="1:20" x14ac:dyDescent="0.2">
      <c r="B33" s="2" t="s">
        <v>491</v>
      </c>
      <c r="F33" s="2" t="s">
        <v>244</v>
      </c>
      <c r="L33" s="142">
        <f>'Input voor correcties'!L70</f>
        <v>0.13636000000000001</v>
      </c>
    </row>
    <row r="34" spans="1:20" x14ac:dyDescent="0.2">
      <c r="B34" s="2" t="s">
        <v>526</v>
      </c>
      <c r="F34" s="2" t="s">
        <v>130</v>
      </c>
      <c r="L34" s="141">
        <f>'Gegevens volumes 2023'!L15</f>
        <v>151367870</v>
      </c>
    </row>
    <row r="36" spans="1:20" s="8" customFormat="1" x14ac:dyDescent="0.2">
      <c r="B36" s="8" t="s">
        <v>784</v>
      </c>
    </row>
    <row r="38" spans="1:20" x14ac:dyDescent="0.2">
      <c r="B38" s="26" t="s">
        <v>527</v>
      </c>
    </row>
    <row r="39" spans="1:20" x14ac:dyDescent="0.2">
      <c r="B39" s="2" t="s">
        <v>258</v>
      </c>
      <c r="F39" s="2" t="s">
        <v>125</v>
      </c>
      <c r="J39" s="105">
        <f>SUM(L39:P39)</f>
        <v>19168800.522139024</v>
      </c>
      <c r="L39" s="105">
        <f>(L20/L24)*L27</f>
        <v>233839.87851914516</v>
      </c>
      <c r="M39" s="105">
        <f>(M20/M24)*M27</f>
        <v>10530150.933215324</v>
      </c>
      <c r="N39" s="105">
        <f>(N20/N24)*N27</f>
        <v>3616982.8451488432</v>
      </c>
      <c r="O39" s="105">
        <f>(O20/O24)*O27</f>
        <v>4571047.7153771827</v>
      </c>
      <c r="P39" s="105">
        <f>(P20/P24)*P27</f>
        <v>216779.14987852934</v>
      </c>
    </row>
    <row r="40" spans="1:20" x14ac:dyDescent="0.2">
      <c r="B40" s="2" t="s">
        <v>528</v>
      </c>
      <c r="F40" s="2" t="s">
        <v>125</v>
      </c>
      <c r="J40" s="105">
        <f>SUM(L40:P40)</f>
        <v>98401.591812884551</v>
      </c>
      <c r="L40" s="105">
        <f>L39-L20</f>
        <v>28793.999063355819</v>
      </c>
      <c r="M40" s="105">
        <f>M39-M20</f>
        <v>-42130.226620852947</v>
      </c>
      <c r="N40" s="105">
        <f>N39-N20</f>
        <v>140606.73452444421</v>
      </c>
      <c r="O40" s="105">
        <f>O39-O20</f>
        <v>-107857.13368395437</v>
      </c>
      <c r="P40" s="105">
        <f>P39-P20</f>
        <v>78988.218529891834</v>
      </c>
      <c r="T40" s="2" t="s">
        <v>259</v>
      </c>
    </row>
    <row r="41" spans="1:20" x14ac:dyDescent="0.2">
      <c r="L41" s="104"/>
      <c r="M41" s="104"/>
      <c r="N41" s="104"/>
      <c r="O41" s="104"/>
      <c r="P41" s="104"/>
    </row>
    <row r="42" spans="1:20" x14ac:dyDescent="0.2">
      <c r="A42" s="9"/>
      <c r="B42" s="2" t="s">
        <v>260</v>
      </c>
      <c r="F42" s="2" t="s">
        <v>125</v>
      </c>
      <c r="J42" s="105">
        <f>SUM(L42:P42)</f>
        <v>-15359.693019142753</v>
      </c>
      <c r="L42" s="37"/>
      <c r="M42" s="141">
        <f>'Input voor correcties'!M39</f>
        <v>0</v>
      </c>
      <c r="N42" s="136"/>
      <c r="O42" s="141">
        <f>'Input voor correcties'!O39</f>
        <v>-121937.94101914276</v>
      </c>
      <c r="P42" s="141">
        <f>'Input voor correcties'!P39</f>
        <v>106578.24800000001</v>
      </c>
      <c r="T42" s="2" t="s">
        <v>261</v>
      </c>
    </row>
    <row r="43" spans="1:20" x14ac:dyDescent="0.2">
      <c r="T43" s="124"/>
    </row>
    <row r="44" spans="1:20" x14ac:dyDescent="0.2">
      <c r="A44" s="9"/>
      <c r="B44" s="2" t="s">
        <v>694</v>
      </c>
      <c r="F44" s="2" t="s">
        <v>125</v>
      </c>
      <c r="J44" s="105">
        <f>SUM(L44:P44)</f>
        <v>-113761.28483202732</v>
      </c>
      <c r="L44" s="143">
        <f>-1*L40+L42</f>
        <v>-28793.999063355819</v>
      </c>
      <c r="M44" s="143">
        <f t="shared" ref="M44:P44" si="0">-1*M40+M42</f>
        <v>42130.226620852947</v>
      </c>
      <c r="N44" s="143">
        <f t="shared" si="0"/>
        <v>-140606.73452444421</v>
      </c>
      <c r="O44" s="143">
        <f t="shared" si="0"/>
        <v>-14080.807335188394</v>
      </c>
      <c r="P44" s="143">
        <f t="shared" si="0"/>
        <v>27590.029470108173</v>
      </c>
      <c r="T44" s="16"/>
    </row>
    <row r="45" spans="1:20" x14ac:dyDescent="0.2">
      <c r="L45" s="104"/>
      <c r="M45" s="104"/>
      <c r="N45" s="104"/>
      <c r="O45" s="104"/>
      <c r="P45" s="104"/>
      <c r="T45" s="25"/>
    </row>
    <row r="46" spans="1:20" x14ac:dyDescent="0.2">
      <c r="L46" s="128"/>
      <c r="M46" s="128"/>
      <c r="N46" s="128"/>
      <c r="O46" s="128"/>
      <c r="P46" s="128"/>
    </row>
    <row r="47" spans="1:20" s="8" customFormat="1" x14ac:dyDescent="0.2">
      <c r="B47" s="8" t="s">
        <v>785</v>
      </c>
    </row>
    <row r="49" spans="2:20" x14ac:dyDescent="0.2">
      <c r="B49" s="1" t="s">
        <v>696</v>
      </c>
      <c r="T49" s="25"/>
    </row>
    <row r="50" spans="2:20" x14ac:dyDescent="0.2">
      <c r="B50" s="2" t="s">
        <v>262</v>
      </c>
      <c r="F50" s="2" t="s">
        <v>125</v>
      </c>
      <c r="M50" s="105">
        <f>L24*L32+L31*L33</f>
        <v>19291025.494370002</v>
      </c>
    </row>
    <row r="51" spans="2:20" x14ac:dyDescent="0.2">
      <c r="B51" s="2" t="s">
        <v>263</v>
      </c>
      <c r="F51" s="2" t="s">
        <v>130</v>
      </c>
      <c r="M51" s="34">
        <f>L30</f>
        <v>140215686.58000001</v>
      </c>
    </row>
    <row r="52" spans="2:20" x14ac:dyDescent="0.2">
      <c r="B52" s="2" t="s">
        <v>264</v>
      </c>
      <c r="F52" s="2" t="s">
        <v>244</v>
      </c>
      <c r="M52" s="144">
        <f>M50/M51</f>
        <v>0.13758107929930874</v>
      </c>
    </row>
    <row r="53" spans="2:20" x14ac:dyDescent="0.2">
      <c r="B53" s="1"/>
    </row>
    <row r="54" spans="2:20" x14ac:dyDescent="0.2">
      <c r="B54" s="2" t="s">
        <v>265</v>
      </c>
      <c r="F54" s="2" t="s">
        <v>125</v>
      </c>
      <c r="M54" s="105">
        <f>L27*L32+L34*L33</f>
        <v>20874359.984690003</v>
      </c>
    </row>
    <row r="55" spans="2:20" x14ac:dyDescent="0.2">
      <c r="B55" s="2" t="s">
        <v>695</v>
      </c>
      <c r="F55" s="2" t="s">
        <v>130</v>
      </c>
      <c r="M55" s="105">
        <f>L27+L34</f>
        <v>151650794.66</v>
      </c>
    </row>
    <row r="56" spans="2:20" x14ac:dyDescent="0.2">
      <c r="B56" s="2" t="s">
        <v>266</v>
      </c>
      <c r="F56" s="2" t="s">
        <v>244</v>
      </c>
      <c r="M56" s="144">
        <f>M54/M55</f>
        <v>0.13764754765374076</v>
      </c>
      <c r="N56" s="50"/>
    </row>
    <row r="58" spans="2:20" x14ac:dyDescent="0.2">
      <c r="B58" s="2" t="s">
        <v>697</v>
      </c>
      <c r="F58" s="2" t="s">
        <v>125</v>
      </c>
      <c r="M58" s="143">
        <f>(M56-M52)*M55</f>
        <v>10079.978769359197</v>
      </c>
      <c r="T58" s="2" t="s">
        <v>267</v>
      </c>
    </row>
    <row r="64" spans="2:20" x14ac:dyDescent="0.2">
      <c r="B64" s="4" t="s">
        <v>62</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B7100-49DE-48FF-96DD-EB95FEBB5468}">
  <sheetPr>
    <tabColor rgb="FFFFFFCC"/>
  </sheetPr>
  <dimension ref="A1:V91"/>
  <sheetViews>
    <sheetView showGridLines="0" zoomScale="85" zoomScaleNormal="85" workbookViewId="0">
      <pane xSplit="6" ySplit="10" topLeftCell="G11" activePane="bottomRight" state="frozen"/>
      <selection pane="topRight"/>
      <selection pane="bottomLeft"/>
      <selection pane="bottomRight"/>
    </sheetView>
  </sheetViews>
  <sheetFormatPr defaultRowHeight="12.75" x14ac:dyDescent="0.2"/>
  <cols>
    <col min="1" max="1" width="4.7109375" style="2" customWidth="1"/>
    <col min="2" max="2" width="68" style="2" customWidth="1"/>
    <col min="3" max="3" width="4.7109375" style="2" customWidth="1"/>
    <col min="4" max="5" width="4.5703125" style="2" customWidth="1"/>
    <col min="6" max="6" width="23.1406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19.140625" style="2" customWidth="1"/>
    <col min="17" max="19" width="4" style="2" customWidth="1"/>
    <col min="20" max="20" width="12.5703125" style="2" customWidth="1"/>
    <col min="21" max="33" width="13.7109375" style="2" customWidth="1"/>
    <col min="34" max="16384" width="9.140625" style="2"/>
  </cols>
  <sheetData>
    <row r="1" spans="1:20" x14ac:dyDescent="0.2">
      <c r="A1" s="9"/>
    </row>
    <row r="2" spans="1:20" s="15" customFormat="1" ht="18" x14ac:dyDescent="0.2">
      <c r="B2" s="15" t="s">
        <v>517</v>
      </c>
    </row>
    <row r="4" spans="1:20" x14ac:dyDescent="0.2">
      <c r="B4" s="26" t="s">
        <v>47</v>
      </c>
      <c r="C4" s="1"/>
      <c r="D4" s="1"/>
    </row>
    <row r="5" spans="1:20" x14ac:dyDescent="0.2">
      <c r="B5" s="2" t="s">
        <v>699</v>
      </c>
      <c r="H5" s="16"/>
    </row>
    <row r="6" spans="1:20" x14ac:dyDescent="0.2">
      <c r="B6" s="2" t="s">
        <v>700</v>
      </c>
      <c r="H6" s="16"/>
    </row>
    <row r="7" spans="1:20" x14ac:dyDescent="0.2">
      <c r="B7" s="2" t="s">
        <v>701</v>
      </c>
    </row>
    <row r="9" spans="1:20" s="8" customFormat="1" ht="25.5" customHeight="1" x14ac:dyDescent="0.2">
      <c r="B9" s="8" t="s">
        <v>36</v>
      </c>
      <c r="F9" s="8" t="s">
        <v>19</v>
      </c>
      <c r="H9" s="8" t="s">
        <v>20</v>
      </c>
      <c r="J9" s="8" t="s">
        <v>40</v>
      </c>
      <c r="L9" s="38" t="s">
        <v>166</v>
      </c>
      <c r="M9" s="38" t="s">
        <v>167</v>
      </c>
      <c r="N9" s="38" t="s">
        <v>168</v>
      </c>
      <c r="O9" s="38" t="s">
        <v>169</v>
      </c>
      <c r="P9" s="38" t="s">
        <v>170</v>
      </c>
      <c r="T9" s="8" t="s">
        <v>38</v>
      </c>
    </row>
    <row r="12" spans="1:20" s="8" customFormat="1" x14ac:dyDescent="0.2">
      <c r="B12" s="8" t="s">
        <v>39</v>
      </c>
    </row>
    <row r="14" spans="1:20" x14ac:dyDescent="0.2">
      <c r="B14" s="26" t="s">
        <v>118</v>
      </c>
    </row>
    <row r="15" spans="1:20" x14ac:dyDescent="0.2">
      <c r="B15" s="2" t="s">
        <v>268</v>
      </c>
      <c r="F15" s="2" t="s">
        <v>119</v>
      </c>
      <c r="H15" s="126">
        <f>Parameters!H43</f>
        <v>0.5</v>
      </c>
    </row>
    <row r="16" spans="1:20" x14ac:dyDescent="0.2">
      <c r="A16" s="9"/>
      <c r="B16" s="2" t="s">
        <v>529</v>
      </c>
      <c r="F16" s="2" t="s">
        <v>119</v>
      </c>
      <c r="H16" s="44"/>
      <c r="L16" s="126">
        <f>Parameters!H36</f>
        <v>8.2299999999999998E-2</v>
      </c>
      <c r="M16" s="126">
        <f>Parameters!H37</f>
        <v>7.1800000000000003E-2</v>
      </c>
      <c r="N16" s="126">
        <f>Parameters!H38</f>
        <v>8.1100000000000005E-2</v>
      </c>
      <c r="O16" s="126">
        <f>Parameters!H38</f>
        <v>8.1100000000000005E-2</v>
      </c>
      <c r="P16" s="126">
        <f>Parameters!H38</f>
        <v>8.1100000000000005E-2</v>
      </c>
    </row>
    <row r="18" spans="2:22" x14ac:dyDescent="0.2">
      <c r="B18" s="1" t="s">
        <v>530</v>
      </c>
    </row>
    <row r="19" spans="2:22" x14ac:dyDescent="0.2">
      <c r="B19" s="2" t="s">
        <v>492</v>
      </c>
      <c r="F19" s="2" t="s">
        <v>244</v>
      </c>
      <c r="L19" s="142">
        <f>'Input voor correcties'!L73</f>
        <v>0.3610350167596062</v>
      </c>
      <c r="T19" s="25"/>
      <c r="V19" s="25"/>
    </row>
    <row r="20" spans="2:22" x14ac:dyDescent="0.2">
      <c r="B20" s="2" t="s">
        <v>493</v>
      </c>
      <c r="F20" s="2" t="s">
        <v>244</v>
      </c>
      <c r="L20" s="142">
        <f>'Input voor correcties'!L74</f>
        <v>0.31977366395915308</v>
      </c>
      <c r="T20" s="25"/>
    </row>
    <row r="21" spans="2:22" x14ac:dyDescent="0.2">
      <c r="B21" s="40" t="s">
        <v>246</v>
      </c>
      <c r="F21" s="2" t="s">
        <v>119</v>
      </c>
      <c r="L21" s="126">
        <f>'Input voor correcties'!L75</f>
        <v>0.46957629549187674</v>
      </c>
      <c r="T21" s="25"/>
    </row>
    <row r="22" spans="2:22" x14ac:dyDescent="0.2">
      <c r="B22" s="2" t="s">
        <v>531</v>
      </c>
      <c r="F22" s="2" t="s">
        <v>244</v>
      </c>
      <c r="L22" s="144">
        <f>L21*L19+(1-L21)*L20</f>
        <v>0.33914901715417323</v>
      </c>
      <c r="T22" s="112"/>
    </row>
    <row r="23" spans="2:22" x14ac:dyDescent="0.2">
      <c r="B23" s="2" t="s">
        <v>532</v>
      </c>
      <c r="F23" s="2" t="s">
        <v>682</v>
      </c>
      <c r="N23" s="142">
        <f>'Input voor correcties'!N78</f>
        <v>3.4218999999999999</v>
      </c>
    </row>
    <row r="25" spans="2:22" x14ac:dyDescent="0.2">
      <c r="B25" s="26" t="s">
        <v>533</v>
      </c>
    </row>
    <row r="26" spans="2:22" x14ac:dyDescent="0.2">
      <c r="B26" s="2" t="s">
        <v>198</v>
      </c>
      <c r="F26" s="2" t="s">
        <v>199</v>
      </c>
      <c r="L26" s="18" t="s">
        <v>130</v>
      </c>
      <c r="M26" s="18" t="s">
        <v>132</v>
      </c>
      <c r="N26" s="18" t="s">
        <v>151</v>
      </c>
      <c r="O26" s="18" t="s">
        <v>155</v>
      </c>
      <c r="P26" s="18" t="s">
        <v>151</v>
      </c>
    </row>
    <row r="27" spans="2:22" x14ac:dyDescent="0.2">
      <c r="B27" s="2" t="s">
        <v>269</v>
      </c>
      <c r="F27" s="2" t="s">
        <v>199</v>
      </c>
      <c r="L27" s="141">
        <f>'Gegevens volumes 2023'!L66</f>
        <v>282924.66000000003</v>
      </c>
      <c r="M27" s="141">
        <f>'Gegevens volumes 2023'!M66</f>
        <v>108639.13169428542</v>
      </c>
      <c r="N27" s="141">
        <f>'Gegevens volumes 2023'!N66</f>
        <v>2549735.8999999994</v>
      </c>
      <c r="O27" s="141">
        <f>'Gegevens volumes 2023'!O66</f>
        <v>3154.2223105801918</v>
      </c>
      <c r="P27" s="141">
        <f>'Gegevens volumes 2023'!P66</f>
        <v>19406</v>
      </c>
    </row>
    <row r="28" spans="2:22" x14ac:dyDescent="0.2">
      <c r="B28" s="2" t="s">
        <v>201</v>
      </c>
      <c r="F28" s="2" t="s">
        <v>130</v>
      </c>
      <c r="L28" s="141">
        <f>'Gegevens volumes 2023'!L67</f>
        <v>151650794.66</v>
      </c>
    </row>
    <row r="30" spans="2:22" x14ac:dyDescent="0.2">
      <c r="B30" s="26" t="s">
        <v>270</v>
      </c>
    </row>
    <row r="31" spans="2:22" x14ac:dyDescent="0.2">
      <c r="B31" s="2" t="s">
        <v>534</v>
      </c>
      <c r="F31" s="2" t="s">
        <v>119</v>
      </c>
      <c r="M31" s="126">
        <f>'Input voor correcties'!M31</f>
        <v>0.10128711788744631</v>
      </c>
      <c r="O31" s="126">
        <f>'Input voor correcties'!O31</f>
        <v>0.12557078734798408</v>
      </c>
    </row>
    <row r="32" spans="2:22" x14ac:dyDescent="0.2">
      <c r="B32" s="2" t="s">
        <v>535</v>
      </c>
      <c r="F32" s="2" t="s">
        <v>119</v>
      </c>
      <c r="M32" s="126">
        <f>'Gegevens volumes 2023'!M44</f>
        <v>9.0289629203973529E-2</v>
      </c>
      <c r="O32" s="126">
        <f>'Gegevens volumes 2023'!O59</f>
        <v>0.12147214933123054</v>
      </c>
    </row>
    <row r="34" spans="1:20" x14ac:dyDescent="0.2">
      <c r="B34" s="1" t="s">
        <v>271</v>
      </c>
    </row>
    <row r="35" spans="1:20" x14ac:dyDescent="0.2">
      <c r="B35" s="2" t="s">
        <v>172</v>
      </c>
      <c r="F35" s="2" t="s">
        <v>173</v>
      </c>
      <c r="N35" s="141">
        <f>'Gegevens kosten 2023'!N24</f>
        <v>12597117.704368059</v>
      </c>
    </row>
    <row r="36" spans="1:20" x14ac:dyDescent="0.2">
      <c r="B36" s="2" t="s">
        <v>174</v>
      </c>
      <c r="F36" s="2" t="s">
        <v>173</v>
      </c>
      <c r="N36" s="141">
        <f>'Gegevens kosten 2023'!N25</f>
        <v>11680343.850784749</v>
      </c>
    </row>
    <row r="37" spans="1:20" x14ac:dyDescent="0.2">
      <c r="B37" s="2" t="s">
        <v>427</v>
      </c>
      <c r="F37" s="2" t="s">
        <v>173</v>
      </c>
      <c r="N37" s="141">
        <f>'Gegevens kosten 2023'!N26</f>
        <v>916773.85358333378</v>
      </c>
    </row>
    <row r="40" spans="1:20" s="8" customFormat="1" x14ac:dyDescent="0.2">
      <c r="B40" s="8" t="s">
        <v>536</v>
      </c>
    </row>
    <row r="42" spans="1:20" x14ac:dyDescent="0.2">
      <c r="B42" s="1" t="s">
        <v>776</v>
      </c>
      <c r="T42" s="25"/>
    </row>
    <row r="43" spans="1:20" x14ac:dyDescent="0.2">
      <c r="A43" s="9"/>
      <c r="B43" s="2" t="s">
        <v>537</v>
      </c>
      <c r="F43" s="2" t="s">
        <v>125</v>
      </c>
      <c r="J43" s="105">
        <f>SUM(L43:P43)</f>
        <v>19779133.872967012</v>
      </c>
      <c r="L43" s="141">
        <f>'Input voor correcties'!L23</f>
        <v>212286.59464772479</v>
      </c>
      <c r="M43" s="141">
        <f>'Input voor correcties'!M23</f>
        <v>10823186.468338778</v>
      </c>
      <c r="N43" s="141">
        <f>'Input voor correcties'!N23</f>
        <v>3787679.7536300095</v>
      </c>
      <c r="O43" s="141">
        <f>'Input voor correcties'!O23</f>
        <v>4817565.9669098463</v>
      </c>
      <c r="P43" s="141">
        <f>'Input voor correcties'!P23</f>
        <v>138415.08944065054</v>
      </c>
    </row>
    <row r="44" spans="1:20" x14ac:dyDescent="0.2">
      <c r="A44" s="9"/>
      <c r="B44" s="2" t="s">
        <v>702</v>
      </c>
      <c r="F44" s="2" t="s">
        <v>471</v>
      </c>
      <c r="L44" s="145">
        <f>'Input voor correcties'!L24</f>
        <v>0</v>
      </c>
      <c r="M44" s="145">
        <f>'Input voor correcties'!M24</f>
        <v>37.541201682532169</v>
      </c>
      <c r="N44" s="145">
        <f>'Input voor correcties'!N24</f>
        <v>0.32706377347046955</v>
      </c>
      <c r="O44" s="145">
        <f>'Input voor correcties'!O24</f>
        <v>711.46875084848705</v>
      </c>
      <c r="P44" s="145">
        <f>'Input voor correcties'!P24</f>
        <v>3.8175226602053987</v>
      </c>
    </row>
    <row r="45" spans="1:20" x14ac:dyDescent="0.2">
      <c r="B45" s="2" t="s">
        <v>538</v>
      </c>
      <c r="F45" s="2" t="s">
        <v>125</v>
      </c>
      <c r="J45" s="105">
        <f>SUM(L45:P45)</f>
        <v>27009717.12327534</v>
      </c>
      <c r="L45" s="105">
        <f>L43+L44*L27</f>
        <v>212286.59464772479</v>
      </c>
      <c r="M45" s="105">
        <f>M43+M44*M27</f>
        <v>14901630.02188912</v>
      </c>
      <c r="N45" s="105">
        <f>N43+N44*N27</f>
        <v>4621605.9984371327</v>
      </c>
      <c r="O45" s="105">
        <f>O43+O44*O27</f>
        <v>7061696.5741167646</v>
      </c>
      <c r="P45" s="105">
        <f>P43+P44*P27</f>
        <v>212497.93418459652</v>
      </c>
      <c r="T45" s="2" t="s">
        <v>272</v>
      </c>
    </row>
    <row r="48" spans="1:20" s="8" customFormat="1" x14ac:dyDescent="0.2">
      <c r="B48" s="8" t="s">
        <v>539</v>
      </c>
    </row>
    <row r="50" spans="2:20" x14ac:dyDescent="0.2">
      <c r="B50" s="1" t="s">
        <v>540</v>
      </c>
      <c r="T50" s="25"/>
    </row>
    <row r="51" spans="2:20" x14ac:dyDescent="0.2">
      <c r="B51" s="2" t="s">
        <v>174</v>
      </c>
      <c r="F51" s="2" t="s">
        <v>125</v>
      </c>
      <c r="J51" s="105">
        <f>SUM(L51:P51)</f>
        <v>56366668.439723201</v>
      </c>
      <c r="L51" s="141">
        <f>'Gegevens kosten 2023'!L20</f>
        <v>306512.65575067198</v>
      </c>
      <c r="M51" s="141">
        <f>'Gegevens kosten 2023'!M20</f>
        <v>37669225.96047581</v>
      </c>
      <c r="N51" s="141">
        <f>'Gegevens kosten 2023'!N20</f>
        <v>2828778.0140036391</v>
      </c>
      <c r="O51" s="141">
        <f>'Gegevens kosten 2023'!O20</f>
        <v>15546754.586916916</v>
      </c>
      <c r="P51" s="141">
        <f>'Gegevens kosten 2023'!P20</f>
        <v>15397.222576164566</v>
      </c>
    </row>
    <row r="52" spans="2:20" x14ac:dyDescent="0.2">
      <c r="B52" s="2" t="s">
        <v>427</v>
      </c>
      <c r="F52" s="2" t="s">
        <v>125</v>
      </c>
      <c r="J52" s="105">
        <f>SUM(L52:P52)</f>
        <v>5939095.3398750396</v>
      </c>
      <c r="L52" s="141">
        <f>'Gegevens kosten 2023'!L21</f>
        <v>60184.210646361265</v>
      </c>
      <c r="M52" s="141">
        <f>'Gegevens kosten 2023'!M21</f>
        <v>3290310.4163911408</v>
      </c>
      <c r="N52" s="141">
        <f>'Gegevens kosten 2023'!N21</f>
        <v>288561.49620055628</v>
      </c>
      <c r="O52" s="141">
        <f>'Gegevens kosten 2023'!O21</f>
        <v>2298513.1203133734</v>
      </c>
      <c r="P52" s="141">
        <f>'Gegevens kosten 2023'!P21</f>
        <v>1526.0963236083708</v>
      </c>
    </row>
    <row r="53" spans="2:20" x14ac:dyDescent="0.2">
      <c r="B53" s="2" t="s">
        <v>541</v>
      </c>
      <c r="F53" s="2" t="s">
        <v>125</v>
      </c>
      <c r="J53" s="105">
        <f>SUM(L53:P53)</f>
        <v>19395762.679677155</v>
      </c>
      <c r="L53" s="141">
        <f>'Gegevens kosten 2023'!L35</f>
        <v>77661.548236779941</v>
      </c>
      <c r="M53" s="141">
        <f>'Gegevens kosten 2023'!M35</f>
        <v>12322967.813324362</v>
      </c>
      <c r="N53" s="141">
        <f>'Gegevens kosten 2023'!N35</f>
        <v>2789930.7295693136</v>
      </c>
      <c r="O53" s="141">
        <f>'Gegevens kosten 2023'!O35</f>
        <v>4036995.8419477199</v>
      </c>
      <c r="P53" s="141">
        <f>'Gegevens kosten 2023'!P35</f>
        <v>168206.74659897812</v>
      </c>
    </row>
    <row r="54" spans="2:20" x14ac:dyDescent="0.2">
      <c r="B54" s="2" t="s">
        <v>542</v>
      </c>
      <c r="F54" s="2" t="s">
        <v>125</v>
      </c>
      <c r="L54" s="37"/>
      <c r="M54" s="37"/>
      <c r="N54" s="141">
        <f>'Input voor correcties'!N44</f>
        <v>0</v>
      </c>
      <c r="O54" s="37"/>
      <c r="P54" s="37"/>
      <c r="T54" s="2" t="s">
        <v>703</v>
      </c>
    </row>
    <row r="55" spans="2:20" x14ac:dyDescent="0.2">
      <c r="B55" s="2" t="s">
        <v>543</v>
      </c>
      <c r="F55" s="2" t="s">
        <v>125</v>
      </c>
      <c r="L55" s="37"/>
      <c r="M55" s="37"/>
      <c r="N55" s="30">
        <f>AVERAGE(N35,N36)*$N$16+N37</f>
        <v>1901224.9196447802</v>
      </c>
      <c r="O55" s="37"/>
      <c r="P55" s="37"/>
      <c r="T55" s="2" t="s">
        <v>729</v>
      </c>
    </row>
    <row r="56" spans="2:20" x14ac:dyDescent="0.2">
      <c r="B56" s="2" t="s">
        <v>544</v>
      </c>
      <c r="F56" s="2" t="s">
        <v>125</v>
      </c>
      <c r="J56" s="105">
        <f>SUM(L56:P56)</f>
        <v>31457463.763413005</v>
      </c>
      <c r="L56" s="105">
        <f>L51*L$16+SUM(L52:L55)</f>
        <v>163071.75045142151</v>
      </c>
      <c r="M56" s="105">
        <f>M51*M$16+SUM(M52:M55)</f>
        <v>18317928.653677668</v>
      </c>
      <c r="N56" s="105">
        <f t="shared" ref="N56:P56" si="0">N51*N$16+SUM(N52:N55)</f>
        <v>5209131.0423503453</v>
      </c>
      <c r="O56" s="105">
        <f t="shared" si="0"/>
        <v>7596350.7592600556</v>
      </c>
      <c r="P56" s="105">
        <f t="shared" si="0"/>
        <v>170981.55767351342</v>
      </c>
      <c r="T56" s="2" t="s">
        <v>273</v>
      </c>
    </row>
    <row r="59" spans="2:20" s="8" customFormat="1" x14ac:dyDescent="0.2">
      <c r="B59" s="8" t="s">
        <v>698</v>
      </c>
    </row>
    <row r="61" spans="2:20" x14ac:dyDescent="0.2">
      <c r="B61" s="1" t="s">
        <v>545</v>
      </c>
      <c r="T61" s="25"/>
    </row>
    <row r="62" spans="2:20" x14ac:dyDescent="0.2">
      <c r="B62" s="2" t="s">
        <v>274</v>
      </c>
      <c r="F62" s="2" t="s">
        <v>125</v>
      </c>
      <c r="J62" s="105">
        <f>SUM(L62:P62)</f>
        <v>-4447746.6401376659</v>
      </c>
      <c r="L62" s="105">
        <f>L45-L56</f>
        <v>49214.844196303282</v>
      </c>
      <c r="M62" s="105">
        <f>M45-M56</f>
        <v>-3416298.6317885481</v>
      </c>
      <c r="N62" s="105">
        <f>N45-N56</f>
        <v>-587525.0439132126</v>
      </c>
      <c r="O62" s="105">
        <f>O45-O56</f>
        <v>-534654.18514329102</v>
      </c>
      <c r="P62" s="105">
        <f>P45-P56</f>
        <v>41516.376511083101</v>
      </c>
    </row>
    <row r="63" spans="2:20" x14ac:dyDescent="0.2">
      <c r="B63" s="2" t="s">
        <v>546</v>
      </c>
      <c r="F63" s="2" t="s">
        <v>125</v>
      </c>
      <c r="J63" s="105">
        <f>SUM(L63:P63)</f>
        <v>2223873.320068833</v>
      </c>
      <c r="L63" s="143">
        <f>-$H$15*L62</f>
        <v>-24607.422098151641</v>
      </c>
      <c r="M63" s="143">
        <f t="shared" ref="M63:P63" si="1">-$H$15*M62</f>
        <v>1708149.315894274</v>
      </c>
      <c r="N63" s="143">
        <f t="shared" si="1"/>
        <v>293762.5219566063</v>
      </c>
      <c r="O63" s="143">
        <f t="shared" si="1"/>
        <v>267327.09257164551</v>
      </c>
      <c r="P63" s="143">
        <f t="shared" si="1"/>
        <v>-20758.18825554155</v>
      </c>
      <c r="T63" s="2" t="s">
        <v>705</v>
      </c>
    </row>
    <row r="64" spans="2:20" x14ac:dyDescent="0.2">
      <c r="L64" s="104"/>
      <c r="M64" s="104"/>
      <c r="N64" s="104"/>
      <c r="O64" s="104"/>
      <c r="P64" s="104"/>
    </row>
    <row r="65" spans="2:20" x14ac:dyDescent="0.2">
      <c r="B65" s="1" t="s">
        <v>547</v>
      </c>
    </row>
    <row r="66" spans="2:20" x14ac:dyDescent="0.2">
      <c r="B66" s="2" t="s">
        <v>274</v>
      </c>
      <c r="F66" s="2" t="s">
        <v>125</v>
      </c>
      <c r="J66" s="105">
        <f>SUM(L66:P66)</f>
        <v>601385.61098509456</v>
      </c>
      <c r="L66" s="37"/>
      <c r="M66" s="105">
        <f>(M31-M32)*L22*L28</f>
        <v>565625.23497647815</v>
      </c>
      <c r="N66" s="136"/>
      <c r="O66" s="105">
        <f>(O31-O32)*N23*N27</f>
        <v>35760.376008616367</v>
      </c>
      <c r="P66" s="37"/>
    </row>
    <row r="67" spans="2:20" x14ac:dyDescent="0.2">
      <c r="B67" s="2" t="s">
        <v>548</v>
      </c>
      <c r="F67" s="2" t="s">
        <v>125</v>
      </c>
      <c r="J67" s="105">
        <f>SUM(L67:P67)</f>
        <v>-300692.80549254728</v>
      </c>
      <c r="L67" s="37"/>
      <c r="M67" s="143">
        <f>-$H$15*M66</f>
        <v>-282812.61748823908</v>
      </c>
      <c r="N67" s="37"/>
      <c r="O67" s="143">
        <f>-$H$15*O66</f>
        <v>-17880.188004308184</v>
      </c>
      <c r="P67" s="37"/>
      <c r="T67" s="2" t="s">
        <v>704</v>
      </c>
    </row>
    <row r="73" spans="2:20" x14ac:dyDescent="0.2">
      <c r="B73" s="4" t="s">
        <v>62</v>
      </c>
    </row>
    <row r="75" spans="2:20" x14ac:dyDescent="0.2">
      <c r="B75" s="9"/>
      <c r="C75" s="9"/>
      <c r="D75" s="9"/>
      <c r="E75" s="9"/>
      <c r="F75" s="9"/>
      <c r="G75" s="9"/>
      <c r="H75" s="9"/>
      <c r="I75" s="9"/>
      <c r="J75" s="9"/>
      <c r="K75" s="9"/>
      <c r="L75" s="9"/>
      <c r="M75" s="9"/>
      <c r="N75" s="9"/>
      <c r="O75" s="9"/>
      <c r="P75" s="9"/>
    </row>
    <row r="76" spans="2:20" x14ac:dyDescent="0.2">
      <c r="B76" s="9"/>
      <c r="C76" s="9"/>
      <c r="D76" s="9"/>
      <c r="E76" s="9"/>
      <c r="F76" s="9"/>
      <c r="G76" s="9"/>
      <c r="H76" s="9"/>
      <c r="I76" s="9"/>
      <c r="J76" s="138"/>
      <c r="K76" s="9"/>
      <c r="L76" s="138"/>
      <c r="M76" s="138"/>
      <c r="N76" s="138"/>
      <c r="O76" s="138"/>
      <c r="P76" s="138"/>
    </row>
    <row r="77" spans="2:20" x14ac:dyDescent="0.2">
      <c r="B77" s="9"/>
      <c r="C77" s="9"/>
      <c r="D77" s="9"/>
      <c r="E77" s="9"/>
      <c r="F77" s="9"/>
      <c r="G77" s="9"/>
      <c r="H77" s="9"/>
      <c r="I77" s="9"/>
      <c r="J77" s="138"/>
      <c r="K77" s="9"/>
      <c r="L77" s="138"/>
      <c r="M77" s="138"/>
      <c r="N77" s="138"/>
      <c r="O77" s="138"/>
      <c r="P77" s="138"/>
    </row>
    <row r="78" spans="2:20" x14ac:dyDescent="0.2">
      <c r="B78" s="9"/>
      <c r="C78" s="9"/>
      <c r="D78" s="9"/>
      <c r="E78" s="9"/>
      <c r="F78" s="9"/>
      <c r="G78" s="9"/>
      <c r="H78" s="9"/>
      <c r="I78" s="9"/>
      <c r="J78" s="138"/>
      <c r="K78" s="9"/>
      <c r="L78" s="138"/>
      <c r="M78" s="138"/>
      <c r="N78" s="138"/>
      <c r="O78" s="138"/>
      <c r="P78" s="138"/>
    </row>
    <row r="79" spans="2:20" x14ac:dyDescent="0.2">
      <c r="B79" s="9"/>
      <c r="C79" s="9"/>
      <c r="D79" s="9"/>
      <c r="E79" s="9"/>
      <c r="F79" s="9"/>
      <c r="G79" s="9"/>
      <c r="H79" s="9"/>
      <c r="I79" s="9"/>
      <c r="J79" s="9"/>
      <c r="K79" s="9"/>
      <c r="L79" s="9"/>
      <c r="M79" s="9"/>
      <c r="N79" s="9"/>
      <c r="O79" s="9"/>
      <c r="P79" s="9"/>
    </row>
    <row r="80" spans="2:20" x14ac:dyDescent="0.2">
      <c r="B80" s="9"/>
      <c r="C80" s="9"/>
      <c r="D80" s="9"/>
      <c r="E80" s="9"/>
      <c r="F80" s="9"/>
      <c r="G80" s="9"/>
      <c r="H80" s="9"/>
      <c r="I80" s="9"/>
      <c r="J80" s="138"/>
      <c r="K80" s="9"/>
      <c r="L80" s="138"/>
      <c r="M80" s="138"/>
      <c r="N80" s="138"/>
      <c r="O80" s="138"/>
      <c r="P80" s="138"/>
    </row>
    <row r="81" spans="2:16" x14ac:dyDescent="0.2">
      <c r="B81" s="9"/>
      <c r="C81" s="9"/>
      <c r="D81" s="9"/>
      <c r="E81" s="9"/>
      <c r="F81" s="9"/>
      <c r="G81" s="9"/>
      <c r="H81" s="9"/>
      <c r="I81" s="9"/>
      <c r="J81" s="138"/>
      <c r="K81" s="9"/>
      <c r="L81" s="179"/>
      <c r="M81" s="179"/>
      <c r="N81" s="179"/>
      <c r="O81" s="179"/>
      <c r="P81" s="179"/>
    </row>
    <row r="82" spans="2:16" x14ac:dyDescent="0.2">
      <c r="B82" s="9"/>
      <c r="C82" s="9"/>
      <c r="D82" s="9"/>
      <c r="E82" s="9"/>
      <c r="F82" s="9"/>
      <c r="G82" s="9"/>
      <c r="H82" s="9"/>
      <c r="I82" s="9"/>
      <c r="J82" s="9"/>
      <c r="K82" s="9"/>
      <c r="L82" s="9"/>
      <c r="M82" s="9"/>
      <c r="N82" s="9"/>
      <c r="O82" s="9"/>
      <c r="P82" s="9"/>
    </row>
    <row r="83" spans="2:16" x14ac:dyDescent="0.2">
      <c r="B83" s="9"/>
      <c r="C83" s="9"/>
      <c r="D83" s="9"/>
      <c r="E83" s="9"/>
      <c r="F83" s="9"/>
      <c r="G83" s="9"/>
      <c r="H83" s="9"/>
      <c r="I83" s="9"/>
      <c r="J83" s="9"/>
      <c r="K83" s="9"/>
      <c r="L83" s="9"/>
      <c r="M83" s="9"/>
      <c r="N83" s="9"/>
      <c r="O83" s="9"/>
      <c r="P83" s="9"/>
    </row>
    <row r="84" spans="2:16" x14ac:dyDescent="0.2">
      <c r="B84" s="9"/>
      <c r="C84" s="9"/>
      <c r="D84" s="9"/>
      <c r="E84" s="9"/>
      <c r="F84" s="9"/>
      <c r="G84" s="9"/>
      <c r="H84" s="9"/>
      <c r="I84" s="9"/>
      <c r="J84" s="138"/>
      <c r="K84" s="9"/>
      <c r="L84" s="138"/>
      <c r="M84" s="138"/>
      <c r="N84" s="138"/>
      <c r="O84" s="138"/>
      <c r="P84" s="138"/>
    </row>
    <row r="85" spans="2:16" x14ac:dyDescent="0.2">
      <c r="B85" s="9"/>
      <c r="C85" s="9"/>
      <c r="D85" s="9"/>
      <c r="E85" s="9"/>
      <c r="F85" s="9"/>
      <c r="G85" s="9"/>
      <c r="H85" s="9"/>
      <c r="I85" s="9"/>
      <c r="J85" s="138"/>
      <c r="K85" s="9"/>
      <c r="L85" s="138"/>
      <c r="M85" s="138"/>
      <c r="N85" s="138"/>
      <c r="O85" s="138"/>
      <c r="P85" s="138"/>
    </row>
    <row r="86" spans="2:16" x14ac:dyDescent="0.2">
      <c r="B86" s="9"/>
      <c r="C86" s="9"/>
      <c r="D86" s="9"/>
      <c r="E86" s="9"/>
      <c r="F86" s="9"/>
      <c r="G86" s="9"/>
      <c r="H86" s="9"/>
      <c r="I86" s="9"/>
      <c r="J86" s="138"/>
      <c r="K86" s="9"/>
      <c r="L86" s="138"/>
      <c r="M86" s="138"/>
      <c r="N86" s="138"/>
      <c r="O86" s="138"/>
      <c r="P86" s="138"/>
    </row>
    <row r="87" spans="2:16" x14ac:dyDescent="0.2">
      <c r="B87" s="9"/>
      <c r="C87" s="9"/>
      <c r="D87" s="9"/>
      <c r="E87" s="9"/>
      <c r="F87" s="9"/>
      <c r="G87" s="9"/>
      <c r="H87" s="9"/>
      <c r="I87" s="9"/>
      <c r="J87" s="9"/>
      <c r="K87" s="9"/>
      <c r="L87" s="9"/>
      <c r="M87" s="9"/>
      <c r="N87" s="9"/>
      <c r="O87" s="9"/>
      <c r="P87" s="9"/>
    </row>
    <row r="88" spans="2:16" x14ac:dyDescent="0.2">
      <c r="B88" s="9"/>
      <c r="C88" s="9"/>
      <c r="D88" s="9"/>
      <c r="E88" s="9"/>
      <c r="F88" s="9"/>
      <c r="G88" s="9"/>
      <c r="H88" s="9"/>
      <c r="I88" s="9"/>
      <c r="J88" s="138"/>
      <c r="K88" s="9"/>
      <c r="L88" s="138"/>
      <c r="M88" s="138"/>
      <c r="N88" s="138"/>
      <c r="O88" s="138"/>
      <c r="P88" s="138"/>
    </row>
    <row r="89" spans="2:16" x14ac:dyDescent="0.2">
      <c r="B89" s="9"/>
      <c r="C89" s="9"/>
      <c r="D89" s="9"/>
      <c r="E89" s="9"/>
      <c r="F89" s="9"/>
      <c r="G89" s="9"/>
      <c r="H89" s="9"/>
      <c r="I89" s="9"/>
      <c r="J89" s="9"/>
      <c r="K89" s="9"/>
      <c r="L89" s="9"/>
      <c r="M89" s="9"/>
      <c r="N89" s="9"/>
      <c r="O89" s="9"/>
      <c r="P89" s="9"/>
    </row>
    <row r="90" spans="2:16" x14ac:dyDescent="0.2">
      <c r="B90" s="9"/>
      <c r="C90" s="9"/>
      <c r="D90" s="9"/>
      <c r="E90" s="9"/>
      <c r="F90" s="9"/>
      <c r="G90" s="9"/>
      <c r="H90" s="9"/>
      <c r="I90" s="9"/>
      <c r="J90" s="9"/>
      <c r="K90" s="9"/>
      <c r="L90" s="180"/>
      <c r="M90" s="180"/>
      <c r="N90" s="180"/>
      <c r="O90" s="180"/>
      <c r="P90" s="180"/>
    </row>
    <row r="91" spans="2:16" x14ac:dyDescent="0.2">
      <c r="B91" s="9"/>
      <c r="C91" s="9"/>
      <c r="D91" s="9"/>
      <c r="E91" s="9"/>
      <c r="F91" s="9"/>
      <c r="G91" s="9"/>
      <c r="H91" s="9"/>
      <c r="I91" s="9"/>
      <c r="J91" s="9"/>
      <c r="K91" s="9"/>
      <c r="L91" s="180"/>
      <c r="M91" s="180"/>
      <c r="N91" s="180"/>
      <c r="O91" s="180"/>
      <c r="P91" s="180"/>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FC0F9-1E5A-41D6-B95C-D7225C10AFBD}">
  <sheetPr>
    <tabColor rgb="FFFFFFCC"/>
  </sheetPr>
  <dimension ref="B2:R99"/>
  <sheetViews>
    <sheetView showGridLines="0" zoomScale="85" zoomScaleNormal="85" workbookViewId="0">
      <pane xSplit="6" ySplit="12" topLeftCell="G13" activePane="bottomRight" state="frozen"/>
      <selection pane="topRight"/>
      <selection pane="bottomLeft"/>
      <selection pane="bottomRight"/>
    </sheetView>
  </sheetViews>
  <sheetFormatPr defaultRowHeight="12.75" x14ac:dyDescent="0.2"/>
  <cols>
    <col min="1" max="1" width="4.7109375" style="2" customWidth="1"/>
    <col min="2" max="2" width="74.42578125" style="2" customWidth="1"/>
    <col min="3" max="3" width="4.7109375" style="2" customWidth="1"/>
    <col min="4" max="5" width="4.5703125" style="2" customWidth="1"/>
    <col min="6" max="6" width="18.855468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15.42578125" style="2" customWidth="1"/>
    <col min="17" max="17" width="2.7109375" style="2" customWidth="1"/>
    <col min="18" max="18" width="13.7109375" style="2" customWidth="1"/>
    <col min="19" max="19" width="2.7109375" style="2" customWidth="1"/>
    <col min="20" max="34" width="13.7109375" style="2" customWidth="1"/>
    <col min="35" max="16384" width="9.140625" style="2"/>
  </cols>
  <sheetData>
    <row r="2" spans="2:18" s="15" customFormat="1" ht="18" x14ac:dyDescent="0.2">
      <c r="B2" s="15" t="s">
        <v>518</v>
      </c>
    </row>
    <row r="4" spans="2:18" x14ac:dyDescent="0.2">
      <c r="B4" s="26" t="s">
        <v>21</v>
      </c>
      <c r="C4" s="1"/>
      <c r="D4" s="1"/>
      <c r="L4"/>
    </row>
    <row r="5" spans="2:18" x14ac:dyDescent="0.2">
      <c r="B5" s="2" t="s">
        <v>549</v>
      </c>
      <c r="H5" s="16"/>
    </row>
    <row r="6" spans="2:18" x14ac:dyDescent="0.2">
      <c r="B6" s="2" t="s">
        <v>706</v>
      </c>
      <c r="H6" s="16"/>
    </row>
    <row r="7" spans="2:18" x14ac:dyDescent="0.2">
      <c r="B7" s="146" t="s">
        <v>550</v>
      </c>
      <c r="H7" s="16"/>
    </row>
    <row r="8" spans="2:18" x14ac:dyDescent="0.2">
      <c r="B8" s="2" t="s">
        <v>551</v>
      </c>
    </row>
    <row r="9" spans="2:18" x14ac:dyDescent="0.2">
      <c r="B9" s="124"/>
    </row>
    <row r="11" spans="2:18" s="8" customFormat="1" ht="25.5" x14ac:dyDescent="0.2">
      <c r="B11" s="8" t="s">
        <v>36</v>
      </c>
      <c r="F11" s="8" t="s">
        <v>19</v>
      </c>
      <c r="H11" s="8" t="s">
        <v>20</v>
      </c>
      <c r="J11" s="8" t="s">
        <v>40</v>
      </c>
      <c r="L11" s="38" t="s">
        <v>166</v>
      </c>
      <c r="M11" s="38" t="s">
        <v>167</v>
      </c>
      <c r="N11" s="38" t="s">
        <v>168</v>
      </c>
      <c r="O11" s="38" t="s">
        <v>169</v>
      </c>
      <c r="P11" s="38" t="s">
        <v>170</v>
      </c>
      <c r="R11" s="8" t="s">
        <v>38</v>
      </c>
    </row>
    <row r="14" spans="2:18" s="8" customFormat="1" x14ac:dyDescent="0.2">
      <c r="B14" s="8" t="s">
        <v>275</v>
      </c>
    </row>
    <row r="16" spans="2:18" x14ac:dyDescent="0.2">
      <c r="B16" s="1" t="s">
        <v>779</v>
      </c>
    </row>
    <row r="17" spans="2:18" x14ac:dyDescent="0.2">
      <c r="B17" s="2" t="s">
        <v>752</v>
      </c>
      <c r="F17" s="2" t="s">
        <v>125</v>
      </c>
      <c r="J17" s="105">
        <f>SUM(L17:P17)</f>
        <v>1069358.0184065301</v>
      </c>
      <c r="L17" s="34">
        <f>'Input voor correcties'!L60</f>
        <v>7240.715191935451</v>
      </c>
      <c r="M17" s="34">
        <f>'Input voor correcties'!M60</f>
        <v>523588.78519078501</v>
      </c>
      <c r="N17" s="34">
        <f>'Input voor correcties'!N60</f>
        <v>249421.90412120428</v>
      </c>
      <c r="O17" s="34">
        <f>'Input voor correcties'!O60</f>
        <v>287500.50105310517</v>
      </c>
      <c r="P17" s="34">
        <f>'Input voor correcties'!P60</f>
        <v>1606.1128495002649</v>
      </c>
    </row>
    <row r="19" spans="2:18" x14ac:dyDescent="0.2">
      <c r="B19" s="1" t="s">
        <v>276</v>
      </c>
    </row>
    <row r="20" spans="2:18" x14ac:dyDescent="0.2">
      <c r="B20" s="2" t="s">
        <v>552</v>
      </c>
      <c r="F20" s="2" t="s">
        <v>125</v>
      </c>
      <c r="J20" s="105">
        <f>SUM(L20:P20)</f>
        <v>-113761.28483202732</v>
      </c>
      <c r="L20" s="34">
        <f>Volumecorrecties!L44</f>
        <v>-28793.999063355819</v>
      </c>
      <c r="M20" s="34">
        <f>Volumecorrecties!M44</f>
        <v>42130.226620852947</v>
      </c>
      <c r="N20" s="34">
        <f>Volumecorrecties!N44</f>
        <v>-140606.73452444421</v>
      </c>
      <c r="O20" s="34">
        <f>Volumecorrecties!O44</f>
        <v>-14080.807335188394</v>
      </c>
      <c r="P20" s="34">
        <f>Volumecorrecties!P44</f>
        <v>27590.029470108173</v>
      </c>
    </row>
    <row r="21" spans="2:18" x14ac:dyDescent="0.2">
      <c r="B21" s="2" t="s">
        <v>553</v>
      </c>
      <c r="F21" s="2" t="s">
        <v>125</v>
      </c>
      <c r="J21" s="105">
        <f>SUM(L21:P21)</f>
        <v>10079.978769359197</v>
      </c>
      <c r="L21" s="147"/>
      <c r="M21" s="34">
        <f>Volumecorrecties!M58</f>
        <v>10079.978769359197</v>
      </c>
      <c r="N21" s="147"/>
      <c r="O21" s="147"/>
      <c r="P21" s="147"/>
    </row>
    <row r="23" spans="2:18" x14ac:dyDescent="0.2">
      <c r="B23" s="1" t="s">
        <v>277</v>
      </c>
    </row>
    <row r="24" spans="2:18" x14ac:dyDescent="0.2">
      <c r="B24" s="2" t="s">
        <v>554</v>
      </c>
      <c r="F24" s="2" t="s">
        <v>125</v>
      </c>
      <c r="J24" s="105">
        <f>SUM(L24:P24)</f>
        <v>2223873.320068833</v>
      </c>
      <c r="L24" s="34">
        <f>'Profit sharing'!L63</f>
        <v>-24607.422098151641</v>
      </c>
      <c r="M24" s="34">
        <f>'Profit sharing'!M63</f>
        <v>1708149.315894274</v>
      </c>
      <c r="N24" s="34">
        <f>'Profit sharing'!N63</f>
        <v>293762.5219566063</v>
      </c>
      <c r="O24" s="34">
        <f>'Profit sharing'!O63</f>
        <v>267327.09257164551</v>
      </c>
      <c r="P24" s="34">
        <f>'Profit sharing'!P63</f>
        <v>-20758.18825554155</v>
      </c>
    </row>
    <row r="25" spans="2:18" x14ac:dyDescent="0.2">
      <c r="B25" s="2" t="s">
        <v>555</v>
      </c>
      <c r="F25" s="2" t="s">
        <v>125</v>
      </c>
      <c r="J25" s="105">
        <f>SUM(L25:P25)</f>
        <v>-300692.80549254728</v>
      </c>
      <c r="L25" s="136"/>
      <c r="M25" s="34">
        <f>'Profit sharing'!M67</f>
        <v>-282812.61748823908</v>
      </c>
      <c r="N25" s="136"/>
      <c r="O25" s="34">
        <f>'Profit sharing'!O67</f>
        <v>-17880.188004308184</v>
      </c>
      <c r="P25" s="136"/>
    </row>
    <row r="27" spans="2:18" x14ac:dyDescent="0.2">
      <c r="B27" s="1" t="s">
        <v>278</v>
      </c>
    </row>
    <row r="28" spans="2:18" x14ac:dyDescent="0.2">
      <c r="B28" s="2" t="s">
        <v>380</v>
      </c>
      <c r="F28" s="2" t="s">
        <v>97</v>
      </c>
      <c r="J28" s="105">
        <f>SUM(L28:P28)</f>
        <v>-987471.15059939725</v>
      </c>
      <c r="M28" s="34">
        <f>'Input voor correcties'!M50</f>
        <v>-987471.15059939725</v>
      </c>
      <c r="R28" s="16"/>
    </row>
    <row r="31" spans="2:18" s="8" customFormat="1" x14ac:dyDescent="0.2">
      <c r="B31" s="8" t="s">
        <v>279</v>
      </c>
    </row>
    <row r="33" spans="2:18" x14ac:dyDescent="0.2">
      <c r="B33" s="1" t="s">
        <v>280</v>
      </c>
    </row>
    <row r="34" spans="2:18" x14ac:dyDescent="0.2">
      <c r="B34" s="2" t="s">
        <v>484</v>
      </c>
      <c r="F34" s="2" t="s">
        <v>151</v>
      </c>
      <c r="N34" s="34">
        <f>'Input voor correcties'!N53</f>
        <v>2643315</v>
      </c>
    </row>
    <row r="35" spans="2:18" x14ac:dyDescent="0.2">
      <c r="B35" s="2" t="s">
        <v>485</v>
      </c>
      <c r="F35" s="2" t="s">
        <v>72</v>
      </c>
      <c r="N35" s="148">
        <f>'Input voor correcties'!N54</f>
        <v>0.35749999999999998</v>
      </c>
    </row>
    <row r="36" spans="2:18" x14ac:dyDescent="0.2">
      <c r="B36" s="2" t="s">
        <v>486</v>
      </c>
      <c r="F36" s="2" t="s">
        <v>72</v>
      </c>
      <c r="N36" s="148">
        <f>'Input voor correcties'!N55</f>
        <v>0.35499999999999998</v>
      </c>
    </row>
    <row r="37" spans="2:18" x14ac:dyDescent="0.2">
      <c r="B37" s="2" t="s">
        <v>245</v>
      </c>
      <c r="F37" s="2" t="s">
        <v>210</v>
      </c>
      <c r="N37" s="149">
        <f>'Input voor correcties'!N56</f>
        <v>3.8348885763912572</v>
      </c>
    </row>
    <row r="38" spans="2:18" x14ac:dyDescent="0.2">
      <c r="B38" s="2" t="s">
        <v>206</v>
      </c>
      <c r="F38" s="2" t="s">
        <v>119</v>
      </c>
      <c r="N38" s="126">
        <f>'Input voor correcties'!N57</f>
        <v>0.50297161993744954</v>
      </c>
    </row>
    <row r="40" spans="2:18" x14ac:dyDescent="0.2">
      <c r="B40" s="1" t="s">
        <v>281</v>
      </c>
    </row>
    <row r="41" spans="2:18" x14ac:dyDescent="0.2">
      <c r="B41" s="2" t="s">
        <v>556</v>
      </c>
      <c r="F41" s="2" t="s">
        <v>97</v>
      </c>
      <c r="N41" s="150">
        <f>N36-N35</f>
        <v>-2.5000000000000022E-3</v>
      </c>
    </row>
    <row r="42" spans="2:18" x14ac:dyDescent="0.2">
      <c r="B42" s="2" t="s">
        <v>557</v>
      </c>
      <c r="F42" s="2" t="s">
        <v>130</v>
      </c>
      <c r="N42" s="35">
        <f>N34*(1-N38)*N37</f>
        <v>5038286.4767029332</v>
      </c>
    </row>
    <row r="43" spans="2:18" x14ac:dyDescent="0.2">
      <c r="B43" s="2" t="s">
        <v>558</v>
      </c>
      <c r="F43" s="2" t="s">
        <v>97</v>
      </c>
      <c r="N43" s="35">
        <f>N42*N41</f>
        <v>-12595.716191757345</v>
      </c>
      <c r="R43" s="2" t="s">
        <v>282</v>
      </c>
    </row>
    <row r="46" spans="2:18" s="8" customFormat="1" x14ac:dyDescent="0.2">
      <c r="B46" s="8" t="s">
        <v>747</v>
      </c>
    </row>
    <row r="48" spans="2:18" x14ac:dyDescent="0.2">
      <c r="B48" s="2" t="s">
        <v>748</v>
      </c>
      <c r="F48" s="2" t="s">
        <v>97</v>
      </c>
      <c r="J48" s="105">
        <f>SUM(L48:P48)</f>
        <v>-383185</v>
      </c>
      <c r="L48" s="34">
        <f>'Input voor correcties'!L63</f>
        <v>-1916</v>
      </c>
      <c r="M48" s="34">
        <f>'Input voor correcties'!M63</f>
        <v>-287511</v>
      </c>
      <c r="N48" s="34">
        <f>'Input voor correcties'!N63</f>
        <v>-15769</v>
      </c>
      <c r="O48" s="34">
        <f>'Input voor correcties'!O63</f>
        <v>-77989</v>
      </c>
      <c r="P48" s="136"/>
      <c r="R48" s="2" t="s">
        <v>741</v>
      </c>
    </row>
    <row r="49" spans="2:18" x14ac:dyDescent="0.2">
      <c r="B49" s="4" t="s">
        <v>740</v>
      </c>
    </row>
    <row r="52" spans="2:18" s="8" customFormat="1" x14ac:dyDescent="0.2">
      <c r="B52" s="8" t="s">
        <v>566</v>
      </c>
    </row>
    <row r="54" spans="2:18" x14ac:dyDescent="0.2">
      <c r="B54" s="2" t="s">
        <v>560</v>
      </c>
      <c r="F54" s="2" t="s">
        <v>162</v>
      </c>
      <c r="H54" s="45">
        <f>Parameters!H24</f>
        <v>1.0609</v>
      </c>
    </row>
    <row r="55" spans="2:18" x14ac:dyDescent="0.2">
      <c r="B55" s="2" t="s">
        <v>559</v>
      </c>
      <c r="F55" s="2" t="s">
        <v>162</v>
      </c>
      <c r="H55" s="45">
        <f>Parameters!H25</f>
        <v>1.03</v>
      </c>
    </row>
    <row r="57" spans="2:18" x14ac:dyDescent="0.2">
      <c r="B57" s="1" t="s">
        <v>780</v>
      </c>
    </row>
    <row r="58" spans="2:18" x14ac:dyDescent="0.2">
      <c r="B58" s="2" t="s">
        <v>146</v>
      </c>
      <c r="F58" s="2" t="s">
        <v>362</v>
      </c>
      <c r="J58" s="105">
        <f>SUM(L58:P58)</f>
        <v>264611.69808218558</v>
      </c>
      <c r="L58" s="37"/>
      <c r="M58" s="37"/>
      <c r="N58" s="35">
        <f>N17*H54</f>
        <v>264611.69808218558</v>
      </c>
      <c r="O58" s="37"/>
      <c r="P58" s="37"/>
      <c r="R58" s="2" t="s">
        <v>283</v>
      </c>
    </row>
    <row r="59" spans="2:18" x14ac:dyDescent="0.2">
      <c r="B59" s="2" t="s">
        <v>147</v>
      </c>
      <c r="F59" s="2" t="s">
        <v>362</v>
      </c>
      <c r="J59" s="105">
        <f t="shared" ref="J59:J60" si="0">SUM(L59:P59)</f>
        <v>9385.5998691591503</v>
      </c>
      <c r="L59" s="136"/>
      <c r="M59" s="30">
        <f>L17*H54</f>
        <v>7681.6747471243198</v>
      </c>
      <c r="N59" s="136"/>
      <c r="O59" s="136"/>
      <c r="P59" s="35">
        <f>P17*H54</f>
        <v>1703.925122034831</v>
      </c>
    </row>
    <row r="60" spans="2:18" x14ac:dyDescent="0.2">
      <c r="B60" s="2" t="s">
        <v>128</v>
      </c>
      <c r="F60" s="2" t="s">
        <v>362</v>
      </c>
      <c r="J60" s="105">
        <f t="shared" si="0"/>
        <v>860484.62377614295</v>
      </c>
      <c r="L60" s="37"/>
      <c r="M60" s="35">
        <f>M17*H54</f>
        <v>555475.34220890375</v>
      </c>
      <c r="N60" s="37"/>
      <c r="O60" s="35">
        <f>O17*H54</f>
        <v>305009.28156723926</v>
      </c>
      <c r="P60" s="37"/>
    </row>
    <row r="62" spans="2:18" x14ac:dyDescent="0.2">
      <c r="B62" s="1" t="s">
        <v>561</v>
      </c>
    </row>
    <row r="63" spans="2:18" x14ac:dyDescent="0.2">
      <c r="B63" s="2" t="s">
        <v>146</v>
      </c>
      <c r="F63" s="2" t="s">
        <v>362</v>
      </c>
      <c r="J63" s="105">
        <f>SUM(L63:P63)</f>
        <v>-149169.68465698286</v>
      </c>
      <c r="L63" s="37"/>
      <c r="M63" s="37"/>
      <c r="N63" s="35">
        <f>N20*H54</f>
        <v>-149169.68465698286</v>
      </c>
      <c r="O63" s="37"/>
      <c r="P63" s="37"/>
      <c r="R63" s="2" t="s">
        <v>283</v>
      </c>
    </row>
    <row r="64" spans="2:18" x14ac:dyDescent="0.2">
      <c r="B64" s="2" t="s">
        <v>147</v>
      </c>
      <c r="F64" s="2" t="s">
        <v>362</v>
      </c>
      <c r="J64" s="105">
        <f>SUM(L64:P64)</f>
        <v>9416.5581349367421</v>
      </c>
      <c r="L64" s="37"/>
      <c r="M64" s="30">
        <f>(L20+M21)*H54</f>
        <v>-19853.704129901016</v>
      </c>
      <c r="N64" s="37"/>
      <c r="O64" s="37"/>
      <c r="P64" s="35">
        <f>P20*H54</f>
        <v>29270.262264837758</v>
      </c>
    </row>
    <row r="65" spans="2:18" x14ac:dyDescent="0.2">
      <c r="B65" s="2" t="s">
        <v>128</v>
      </c>
      <c r="F65" s="2" t="s">
        <v>362</v>
      </c>
      <c r="J65" s="105">
        <f>SUM(L65:P65)</f>
        <v>29757.628920161525</v>
      </c>
      <c r="L65" s="37"/>
      <c r="M65" s="35">
        <f>M20*H54</f>
        <v>44695.957422062893</v>
      </c>
      <c r="N65" s="37"/>
      <c r="O65" s="35">
        <f>O20*H54</f>
        <v>-14938.328501901367</v>
      </c>
      <c r="P65" s="37"/>
    </row>
    <row r="67" spans="2:18" x14ac:dyDescent="0.2">
      <c r="B67" s="1" t="s">
        <v>562</v>
      </c>
    </row>
    <row r="68" spans="2:18" x14ac:dyDescent="0.2">
      <c r="B68" s="2" t="s">
        <v>146</v>
      </c>
      <c r="F68" s="2" t="s">
        <v>362</v>
      </c>
      <c r="J68" s="105">
        <f>SUM(L68:P68)</f>
        <v>311652.65954376361</v>
      </c>
      <c r="L68" s="37"/>
      <c r="M68" s="37"/>
      <c r="N68" s="35">
        <f>N24*H54</f>
        <v>311652.65954376361</v>
      </c>
      <c r="O68" s="37"/>
      <c r="P68" s="37"/>
      <c r="R68" s="2" t="s">
        <v>283</v>
      </c>
    </row>
    <row r="69" spans="2:18" x14ac:dyDescent="0.2">
      <c r="B69" s="2" t="s">
        <v>147</v>
      </c>
      <c r="F69" s="2" t="s">
        <v>362</v>
      </c>
      <c r="J69" s="105">
        <f>SUM(L69:P69)</f>
        <v>-367133.37337127642</v>
      </c>
      <c r="L69" s="37"/>
      <c r="M69" s="30">
        <f>(L24+M25)*H54</f>
        <v>-326141.91999720188</v>
      </c>
      <c r="N69" s="37"/>
      <c r="O69" s="35">
        <f>O25*H54</f>
        <v>-18969.09145377055</v>
      </c>
      <c r="P69" s="35">
        <f>P24*H54</f>
        <v>-22022.361920304029</v>
      </c>
    </row>
    <row r="70" spans="2:18" x14ac:dyDescent="0.2">
      <c r="B70" s="2" t="s">
        <v>128</v>
      </c>
      <c r="F70" s="2" t="s">
        <v>362</v>
      </c>
      <c r="J70" s="105">
        <f>SUM(L70:P70)</f>
        <v>2095782.921741494</v>
      </c>
      <c r="L70" s="37"/>
      <c r="M70" s="35">
        <f>M24*H54</f>
        <v>1812175.6092322352</v>
      </c>
      <c r="N70" s="37"/>
      <c r="O70" s="35">
        <f>O24*H54</f>
        <v>283607.31250925869</v>
      </c>
      <c r="P70" s="37"/>
    </row>
    <row r="72" spans="2:18" x14ac:dyDescent="0.2">
      <c r="B72" s="1" t="s">
        <v>563</v>
      </c>
    </row>
    <row r="73" spans="2:18" x14ac:dyDescent="0.2">
      <c r="B73" s="2" t="s">
        <v>146</v>
      </c>
      <c r="F73" s="2" t="s">
        <v>362</v>
      </c>
      <c r="J73" s="105">
        <f>SUM(L73:P73)</f>
        <v>-12973.587677510066</v>
      </c>
      <c r="L73" s="136"/>
      <c r="M73" s="37"/>
      <c r="N73" s="35">
        <f>N43*H55</f>
        <v>-12973.587677510066</v>
      </c>
      <c r="O73" s="37"/>
      <c r="P73" s="37"/>
      <c r="R73" s="2" t="s">
        <v>284</v>
      </c>
    </row>
    <row r="74" spans="2:18" x14ac:dyDescent="0.2">
      <c r="B74" s="2" t="s">
        <v>382</v>
      </c>
      <c r="F74" s="2" t="s">
        <v>362</v>
      </c>
      <c r="J74" s="105">
        <f>SUM(L74:P74)</f>
        <v>-1017095.2851173792</v>
      </c>
      <c r="L74" s="136"/>
      <c r="M74" s="35">
        <f>M28*H55</f>
        <v>-1017095.2851173792</v>
      </c>
      <c r="N74" s="136"/>
      <c r="O74" s="136"/>
      <c r="P74" s="136"/>
    </row>
    <row r="75" spans="2:18" x14ac:dyDescent="0.2">
      <c r="B75" s="2" t="s">
        <v>128</v>
      </c>
      <c r="F75" s="2" t="s">
        <v>362</v>
      </c>
      <c r="J75" s="105">
        <f>SUM(L75:P75)</f>
        <v>0</v>
      </c>
      <c r="L75" s="37"/>
      <c r="M75" s="37"/>
      <c r="N75" s="37"/>
      <c r="O75" s="37"/>
      <c r="P75" s="37"/>
    </row>
    <row r="77" spans="2:18" x14ac:dyDescent="0.2">
      <c r="B77" s="1" t="s">
        <v>742</v>
      </c>
    </row>
    <row r="78" spans="2:18" x14ac:dyDescent="0.2">
      <c r="B78" s="2" t="s">
        <v>146</v>
      </c>
      <c r="F78" s="2" t="s">
        <v>362</v>
      </c>
      <c r="J78" s="105">
        <f>SUM(L78:P78)</f>
        <v>-16242.07</v>
      </c>
      <c r="L78" s="37"/>
      <c r="M78" s="37"/>
      <c r="N78" s="35">
        <f>N48*H55</f>
        <v>-16242.07</v>
      </c>
      <c r="O78" s="37"/>
      <c r="P78" s="37"/>
      <c r="R78" s="2" t="s">
        <v>283</v>
      </c>
    </row>
    <row r="79" spans="2:18" x14ac:dyDescent="0.2">
      <c r="B79" s="2" t="s">
        <v>147</v>
      </c>
      <c r="F79" s="2" t="s">
        <v>362</v>
      </c>
      <c r="J79" s="105">
        <f t="shared" ref="J79:J80" si="1">SUM(L79:P79)</f>
        <v>-1973.48</v>
      </c>
      <c r="L79" s="136"/>
      <c r="M79" s="30">
        <f>L48*H55</f>
        <v>-1973.48</v>
      </c>
      <c r="N79" s="136"/>
      <c r="O79" s="136"/>
      <c r="P79" s="136"/>
    </row>
    <row r="80" spans="2:18" x14ac:dyDescent="0.2">
      <c r="B80" s="2" t="s">
        <v>128</v>
      </c>
      <c r="F80" s="2" t="s">
        <v>362</v>
      </c>
      <c r="J80" s="105">
        <f t="shared" si="1"/>
        <v>-376465</v>
      </c>
      <c r="L80" s="37"/>
      <c r="M80" s="35">
        <f>M48*H55</f>
        <v>-296136.33</v>
      </c>
      <c r="N80" s="37"/>
      <c r="O80" s="35">
        <f>O48*H55</f>
        <v>-80328.67</v>
      </c>
      <c r="P80" s="37"/>
    </row>
    <row r="82" spans="2:18" x14ac:dyDescent="0.2">
      <c r="B82" s="1" t="s">
        <v>564</v>
      </c>
    </row>
    <row r="83" spans="2:18" x14ac:dyDescent="0.2">
      <c r="B83" s="2" t="s">
        <v>285</v>
      </c>
      <c r="F83" s="2" t="s">
        <v>362</v>
      </c>
      <c r="J83" s="105">
        <f>SUM(L83:P83)</f>
        <v>397879.01529145625</v>
      </c>
      <c r="L83" s="136"/>
      <c r="M83" s="136"/>
      <c r="N83" s="28">
        <f>N58+N63+N68+N73+N78</f>
        <v>397879.01529145625</v>
      </c>
      <c r="O83" s="136"/>
      <c r="P83" s="136"/>
    </row>
    <row r="84" spans="2:18" x14ac:dyDescent="0.2">
      <c r="B84" s="2" t="s">
        <v>565</v>
      </c>
      <c r="F84" s="2" t="s">
        <v>362</v>
      </c>
      <c r="J84" s="105">
        <f>SUM(L84:P84)</f>
        <v>-350304.69536718051</v>
      </c>
      <c r="L84" s="136"/>
      <c r="M84" s="28">
        <f>M59+M64+M69+M79</f>
        <v>-340287.42937997857</v>
      </c>
      <c r="N84" s="136"/>
      <c r="O84" s="28">
        <f>O69</f>
        <v>-18969.09145377055</v>
      </c>
      <c r="P84" s="28">
        <f>P59+P64+P69</f>
        <v>8951.8254665685599</v>
      </c>
      <c r="R84" s="2" t="s">
        <v>567</v>
      </c>
    </row>
    <row r="85" spans="2:18" x14ac:dyDescent="0.2">
      <c r="B85" s="2" t="s">
        <v>382</v>
      </c>
      <c r="F85" s="2" t="s">
        <v>362</v>
      </c>
      <c r="J85" s="105">
        <f>SUM(L85:P85)</f>
        <v>-1017095.2851173792</v>
      </c>
      <c r="L85" s="136"/>
      <c r="M85" s="28">
        <f>M74</f>
        <v>-1017095.2851173792</v>
      </c>
      <c r="N85" s="136"/>
      <c r="O85" s="136"/>
      <c r="P85" s="136"/>
    </row>
    <row r="86" spans="2:18" x14ac:dyDescent="0.2">
      <c r="B86" s="2" t="s">
        <v>128</v>
      </c>
      <c r="F86" s="2" t="s">
        <v>362</v>
      </c>
      <c r="J86" s="105">
        <f>SUM(L86:P86)</f>
        <v>2609560.1744377981</v>
      </c>
      <c r="L86" s="136"/>
      <c r="M86" s="28">
        <f>M60+M65+M70+M80</f>
        <v>2116210.5788632017</v>
      </c>
      <c r="N86" s="136"/>
      <c r="O86" s="28">
        <f>O60+O65+O70+O80</f>
        <v>493349.59557459661</v>
      </c>
      <c r="P86" s="136"/>
    </row>
    <row r="91" spans="2:18" x14ac:dyDescent="0.2">
      <c r="B91" s="4" t="s">
        <v>62</v>
      </c>
    </row>
    <row r="93" spans="2:18" x14ac:dyDescent="0.2">
      <c r="L93" s="128"/>
      <c r="M93" s="128"/>
      <c r="N93" s="128"/>
      <c r="O93" s="128"/>
      <c r="P93" s="128"/>
    </row>
    <row r="94" spans="2:18" x14ac:dyDescent="0.2">
      <c r="L94" s="128"/>
      <c r="M94" s="128"/>
      <c r="N94" s="128"/>
      <c r="O94" s="128"/>
      <c r="P94" s="128"/>
    </row>
    <row r="95" spans="2:18" x14ac:dyDescent="0.2">
      <c r="L95" s="128"/>
      <c r="M95" s="128"/>
      <c r="N95" s="128"/>
      <c r="O95" s="128"/>
      <c r="P95" s="128"/>
    </row>
    <row r="96" spans="2:18" x14ac:dyDescent="0.2">
      <c r="L96" s="128"/>
      <c r="M96" s="128"/>
      <c r="N96" s="128"/>
      <c r="O96" s="128"/>
      <c r="P96" s="128"/>
    </row>
    <row r="97" spans="12:16" x14ac:dyDescent="0.2">
      <c r="L97" s="128"/>
      <c r="M97" s="128"/>
      <c r="N97" s="128"/>
      <c r="O97" s="128"/>
      <c r="P97" s="128"/>
    </row>
    <row r="98" spans="12:16" x14ac:dyDescent="0.2">
      <c r="L98" s="128"/>
      <c r="M98" s="128"/>
      <c r="N98" s="128"/>
      <c r="O98" s="128"/>
      <c r="P98" s="128"/>
    </row>
    <row r="99" spans="12:16" x14ac:dyDescent="0.2">
      <c r="L99" s="128"/>
      <c r="M99" s="128"/>
      <c r="N99" s="128"/>
      <c r="O99" s="128"/>
      <c r="P99" s="128"/>
    </row>
  </sheetData>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1BD2B-AB97-4956-AA64-7286D9131CB8}">
  <sheetPr>
    <tabColor theme="0" tint="-4.9989318521683403E-2"/>
  </sheetPr>
  <dimension ref="B2:B3"/>
  <sheetViews>
    <sheetView showGridLines="0" zoomScale="85" zoomScaleNormal="85" workbookViewId="0"/>
  </sheetViews>
  <sheetFormatPr defaultRowHeight="12.75" x14ac:dyDescent="0.2"/>
  <cols>
    <col min="1" max="1" width="5.7109375" style="19" customWidth="1"/>
    <col min="2" max="16384" width="9.140625" style="19"/>
  </cols>
  <sheetData>
    <row r="2" spans="2:2" x14ac:dyDescent="0.2">
      <c r="B2" s="36" t="s">
        <v>66</v>
      </c>
    </row>
    <row r="3" spans="2:2" x14ac:dyDescent="0.2">
      <c r="B3" s="36" t="s">
        <v>67</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97E0E-096B-4BFF-9768-6A4AB6B77373}">
  <sheetPr>
    <tabColor rgb="FFFFFFCC"/>
  </sheetPr>
  <dimension ref="A2:W136"/>
  <sheetViews>
    <sheetView showGridLines="0" zoomScale="85" zoomScaleNormal="85" workbookViewId="0">
      <pane xSplit="6" ySplit="10" topLeftCell="G11" activePane="bottomRight" state="frozen"/>
      <selection pane="topRight"/>
      <selection pane="bottomLeft"/>
      <selection pane="bottomRight"/>
    </sheetView>
  </sheetViews>
  <sheetFormatPr defaultRowHeight="12.75" x14ac:dyDescent="0.2"/>
  <cols>
    <col min="1" max="1" width="4.7109375" style="2" customWidth="1"/>
    <col min="2" max="2" width="68" style="2" customWidth="1"/>
    <col min="3" max="3" width="4.7109375" style="2" customWidth="1"/>
    <col min="4" max="5" width="4.5703125" style="2" customWidth="1"/>
    <col min="6" max="6" width="23.1406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19.140625" style="2" customWidth="1"/>
    <col min="17" max="19" width="4" style="2" customWidth="1"/>
    <col min="20" max="20" width="12.5703125" style="2" customWidth="1"/>
    <col min="21" max="33" width="13.7109375" style="2" customWidth="1"/>
    <col min="34" max="16384" width="9.140625" style="2"/>
  </cols>
  <sheetData>
    <row r="2" spans="2:20" s="15" customFormat="1" ht="18" x14ac:dyDescent="0.2">
      <c r="B2" s="15" t="s">
        <v>568</v>
      </c>
    </row>
    <row r="4" spans="2:20" x14ac:dyDescent="0.2">
      <c r="B4" s="26" t="s">
        <v>286</v>
      </c>
      <c r="C4" s="1"/>
      <c r="D4" s="1"/>
    </row>
    <row r="5" spans="2:20" x14ac:dyDescent="0.2">
      <c r="B5" s="2" t="s">
        <v>569</v>
      </c>
      <c r="H5" s="16"/>
    </row>
    <row r="6" spans="2:20" x14ac:dyDescent="0.2">
      <c r="B6" s="2" t="s">
        <v>570</v>
      </c>
      <c r="H6" s="16"/>
    </row>
    <row r="7" spans="2:20" x14ac:dyDescent="0.2">
      <c r="B7" s="2" t="s">
        <v>571</v>
      </c>
      <c r="H7" s="16"/>
    </row>
    <row r="9" spans="2:20" s="8" customFormat="1" ht="25.5" customHeight="1" x14ac:dyDescent="0.2">
      <c r="B9" s="8" t="s">
        <v>36</v>
      </c>
      <c r="F9" s="8" t="s">
        <v>19</v>
      </c>
      <c r="H9" s="8" t="s">
        <v>20</v>
      </c>
      <c r="J9" s="8" t="s">
        <v>40</v>
      </c>
      <c r="L9" s="38" t="s">
        <v>166</v>
      </c>
      <c r="M9" s="38" t="s">
        <v>167</v>
      </c>
      <c r="N9" s="38" t="s">
        <v>168</v>
      </c>
      <c r="O9" s="38" t="s">
        <v>169</v>
      </c>
      <c r="P9" s="38" t="s">
        <v>170</v>
      </c>
      <c r="T9" s="8" t="s">
        <v>38</v>
      </c>
    </row>
    <row r="12" spans="2:20" s="8" customFormat="1" x14ac:dyDescent="0.2">
      <c r="B12" s="8" t="s">
        <v>39</v>
      </c>
    </row>
    <row r="14" spans="2:20" x14ac:dyDescent="0.2">
      <c r="B14" s="26" t="s">
        <v>118</v>
      </c>
    </row>
    <row r="15" spans="2:20" x14ac:dyDescent="0.2">
      <c r="B15" s="2" t="s">
        <v>572</v>
      </c>
      <c r="F15" s="2" t="s">
        <v>119</v>
      </c>
      <c r="L15" s="126">
        <f>Parameters!$H$31</f>
        <v>6.4500000000000002E-2</v>
      </c>
      <c r="M15" s="126">
        <f>Parameters!$H$32</f>
        <v>5.6899999999999999E-2</v>
      </c>
      <c r="N15" s="126">
        <f>Parameters!$H$33</f>
        <v>6.3600000000000004E-2</v>
      </c>
      <c r="O15" s="126">
        <f>Parameters!$H$33</f>
        <v>6.3600000000000004E-2</v>
      </c>
      <c r="P15" s="126">
        <f>Parameters!$H$33</f>
        <v>6.3600000000000004E-2</v>
      </c>
      <c r="T15" s="2" t="s">
        <v>287</v>
      </c>
    </row>
    <row r="16" spans="2:20" x14ac:dyDescent="0.2">
      <c r="B16" s="2" t="s">
        <v>120</v>
      </c>
      <c r="F16" s="2" t="s">
        <v>119</v>
      </c>
      <c r="H16" s="126">
        <f>Parameters!H19</f>
        <v>1.9E-2</v>
      </c>
    </row>
    <row r="17" spans="2:20" x14ac:dyDescent="0.2">
      <c r="B17" s="2" t="s">
        <v>371</v>
      </c>
      <c r="F17" s="2" t="s">
        <v>119</v>
      </c>
      <c r="H17" s="126">
        <f>Parameters!H20</f>
        <v>2.5000000000000001E-2</v>
      </c>
    </row>
    <row r="19" spans="2:20" x14ac:dyDescent="0.2">
      <c r="B19" s="26" t="s">
        <v>573</v>
      </c>
    </row>
    <row r="20" spans="2:20" x14ac:dyDescent="0.2">
      <c r="B20" s="2" t="s">
        <v>574</v>
      </c>
      <c r="F20" s="52" t="s">
        <v>173</v>
      </c>
      <c r="J20" s="105">
        <f>SUM(L20:P20)</f>
        <v>56366668.439723201</v>
      </c>
      <c r="L20" s="34">
        <f>'Gegevens kosten 2023'!L20</f>
        <v>306512.65575067198</v>
      </c>
      <c r="M20" s="34">
        <f>'Gegevens kosten 2023'!M20</f>
        <v>37669225.96047581</v>
      </c>
      <c r="N20" s="34">
        <f>'Gegevens kosten 2023'!N20</f>
        <v>2828778.0140036391</v>
      </c>
      <c r="O20" s="34">
        <f>'Gegevens kosten 2023'!O20</f>
        <v>15546754.586916916</v>
      </c>
      <c r="P20" s="34">
        <f>'Gegevens kosten 2023'!P20</f>
        <v>15397.222576164566</v>
      </c>
      <c r="T20" s="2" t="s">
        <v>288</v>
      </c>
    </row>
    <row r="21" spans="2:20" x14ac:dyDescent="0.2">
      <c r="B21" s="2" t="s">
        <v>427</v>
      </c>
      <c r="F21" s="2" t="s">
        <v>125</v>
      </c>
      <c r="J21" s="105">
        <f>SUM(L21:P21)</f>
        <v>5939095.3398750396</v>
      </c>
      <c r="L21" s="34">
        <f>'Gegevens kosten 2023'!L21</f>
        <v>60184.210646361265</v>
      </c>
      <c r="M21" s="34">
        <f>'Gegevens kosten 2023'!M21</f>
        <v>3290310.4163911408</v>
      </c>
      <c r="N21" s="34">
        <f>'Gegevens kosten 2023'!N21</f>
        <v>288561.49620055628</v>
      </c>
      <c r="O21" s="34">
        <f>'Gegevens kosten 2023'!O21</f>
        <v>2298513.1203133734</v>
      </c>
      <c r="P21" s="34">
        <f>'Gegevens kosten 2023'!P21</f>
        <v>1526.0963236083708</v>
      </c>
    </row>
    <row r="22" spans="2:20" x14ac:dyDescent="0.2">
      <c r="B22" s="2" t="s">
        <v>575</v>
      </c>
      <c r="F22" s="2" t="s">
        <v>125</v>
      </c>
      <c r="J22" s="105">
        <f>SUM(L22:P22)</f>
        <v>19395762.679677155</v>
      </c>
      <c r="L22" s="34">
        <f>'Gegevens kosten 2023'!L34</f>
        <v>77661.548236779941</v>
      </c>
      <c r="M22" s="34">
        <f>'Gegevens kosten 2023'!M34</f>
        <v>12322967.813324362</v>
      </c>
      <c r="N22" s="34">
        <f>'Gegevens kosten 2023'!N34</f>
        <v>2789930.7295693136</v>
      </c>
      <c r="O22" s="34">
        <f>'Gegevens kosten 2023'!O34</f>
        <v>4036995.8419477199</v>
      </c>
      <c r="P22" s="34">
        <f>'Gegevens kosten 2023'!P34</f>
        <v>168206.74659897812</v>
      </c>
    </row>
    <row r="24" spans="2:20" x14ac:dyDescent="0.2">
      <c r="B24" s="1" t="s">
        <v>431</v>
      </c>
    </row>
    <row r="25" spans="2:20" x14ac:dyDescent="0.2">
      <c r="B25" s="2" t="s">
        <v>432</v>
      </c>
      <c r="F25" s="2" t="s">
        <v>119</v>
      </c>
      <c r="L25" s="151">
        <f>'Gegevens kosten 2023'!L41</f>
        <v>0</v>
      </c>
      <c r="M25" s="151">
        <f>'Gegevens kosten 2023'!M41</f>
        <v>0.5</v>
      </c>
      <c r="N25" s="151">
        <f>'Gegevens kosten 2023'!N41</f>
        <v>0</v>
      </c>
      <c r="O25" s="151">
        <f>'Gegevens kosten 2023'!O41</f>
        <v>0.5</v>
      </c>
      <c r="P25" s="151">
        <f>'Gegevens kosten 2023'!P41</f>
        <v>0.5</v>
      </c>
    </row>
    <row r="26" spans="2:20" x14ac:dyDescent="0.2">
      <c r="B26" s="2" t="s">
        <v>433</v>
      </c>
      <c r="F26" s="2" t="s">
        <v>119</v>
      </c>
      <c r="L26" s="151">
        <f>'Gegevens kosten 2023'!L42</f>
        <v>0</v>
      </c>
      <c r="M26" s="151">
        <f>'Gegevens kosten 2023'!M42</f>
        <v>0.5</v>
      </c>
      <c r="N26" s="151">
        <f>'Gegevens kosten 2023'!N42</f>
        <v>0</v>
      </c>
      <c r="O26" s="151">
        <f>'Gegevens kosten 2023'!O42</f>
        <v>0.5</v>
      </c>
      <c r="P26" s="151">
        <f>'Gegevens kosten 2023'!P42</f>
        <v>0.5</v>
      </c>
    </row>
    <row r="27" spans="2:20" x14ac:dyDescent="0.2">
      <c r="B27" s="2" t="s">
        <v>179</v>
      </c>
      <c r="F27" s="2" t="s">
        <v>119</v>
      </c>
      <c r="L27" s="151">
        <f>'Gegevens kosten 2023'!L43</f>
        <v>0</v>
      </c>
      <c r="M27" s="151">
        <f>'Gegevens kosten 2023'!M43</f>
        <v>0.14099999999999999</v>
      </c>
      <c r="N27" s="151">
        <f>'Gegevens kosten 2023'!N43</f>
        <v>0.23799999999999999</v>
      </c>
      <c r="O27" s="151">
        <f>'Gegevens kosten 2023'!O43</f>
        <v>0.14199999999999999</v>
      </c>
      <c r="P27" s="151">
        <f>'Gegevens kosten 2023'!P43</f>
        <v>0.14199999999999999</v>
      </c>
      <c r="T27" s="2" t="s">
        <v>577</v>
      </c>
    </row>
    <row r="29" spans="2:20" x14ac:dyDescent="0.2">
      <c r="B29" s="1" t="s">
        <v>533</v>
      </c>
    </row>
    <row r="30" spans="2:20" x14ac:dyDescent="0.2">
      <c r="B30" s="2" t="s">
        <v>198</v>
      </c>
      <c r="F30" s="2" t="s">
        <v>199</v>
      </c>
      <c r="L30" s="18" t="s">
        <v>130</v>
      </c>
      <c r="M30" s="18" t="s">
        <v>132</v>
      </c>
      <c r="N30" s="18" t="s">
        <v>151</v>
      </c>
      <c r="O30" s="18" t="s">
        <v>155</v>
      </c>
      <c r="P30" s="18" t="s">
        <v>151</v>
      </c>
    </row>
    <row r="31" spans="2:20" x14ac:dyDescent="0.2">
      <c r="B31" s="2" t="s">
        <v>576</v>
      </c>
      <c r="F31" s="2" t="s">
        <v>187</v>
      </c>
      <c r="L31" s="34">
        <f>'Gegevens volumes 2023'!L66</f>
        <v>282924.66000000003</v>
      </c>
      <c r="M31" s="34">
        <f>'Gegevens volumes 2023'!M66</f>
        <v>108639.13169428542</v>
      </c>
      <c r="N31" s="34">
        <f>'Gegevens volumes 2023'!N66</f>
        <v>2549735.8999999994</v>
      </c>
      <c r="O31" s="34">
        <f>'Gegevens volumes 2023'!O66</f>
        <v>3154.2223105801918</v>
      </c>
      <c r="P31" s="34">
        <f>'Gegevens volumes 2023'!P66</f>
        <v>19406</v>
      </c>
    </row>
    <row r="34" spans="2:23" s="8" customFormat="1" x14ac:dyDescent="0.2">
      <c r="B34" s="8" t="s">
        <v>578</v>
      </c>
    </row>
    <row r="36" spans="2:23" x14ac:dyDescent="0.2">
      <c r="B36" s="26" t="s">
        <v>289</v>
      </c>
    </row>
    <row r="37" spans="2:23" x14ac:dyDescent="0.2">
      <c r="B37" s="2" t="s">
        <v>175</v>
      </c>
      <c r="F37" s="52" t="s">
        <v>173</v>
      </c>
      <c r="N37" s="34">
        <f>'Gegevens kosten 2023'!N29</f>
        <v>10763569.997201407</v>
      </c>
      <c r="T37" s="2" t="s">
        <v>290</v>
      </c>
    </row>
    <row r="38" spans="2:23" x14ac:dyDescent="0.2">
      <c r="B38" s="2" t="s">
        <v>429</v>
      </c>
      <c r="F38" s="52" t="s">
        <v>362</v>
      </c>
      <c r="N38" s="34">
        <f>'Gegevens kosten 2023'!N30</f>
        <v>916773.85358333378</v>
      </c>
    </row>
    <row r="39" spans="2:23" x14ac:dyDescent="0.2">
      <c r="B39" s="2" t="s">
        <v>430</v>
      </c>
      <c r="F39" s="52" t="s">
        <v>173</v>
      </c>
      <c r="N39" s="34">
        <f>'Gegevens kosten 2023'!N31</f>
        <v>9846796.1436180789</v>
      </c>
    </row>
    <row r="40" spans="2:23" x14ac:dyDescent="0.2">
      <c r="B40" s="2" t="s">
        <v>579</v>
      </c>
      <c r="F40" s="52" t="s">
        <v>173</v>
      </c>
      <c r="N40" s="35">
        <f>AVERAGE(N39,N37)</f>
        <v>10305183.070409743</v>
      </c>
    </row>
    <row r="41" spans="2:23" x14ac:dyDescent="0.2">
      <c r="B41" s="2" t="s">
        <v>580</v>
      </c>
      <c r="F41" s="52" t="s">
        <v>362</v>
      </c>
      <c r="N41" s="35">
        <f>N40*N15+N38</f>
        <v>1572183.4968613936</v>
      </c>
    </row>
    <row r="43" spans="2:23" x14ac:dyDescent="0.2">
      <c r="B43" s="1" t="s">
        <v>291</v>
      </c>
    </row>
    <row r="44" spans="2:23" x14ac:dyDescent="0.2">
      <c r="B44" s="2" t="s">
        <v>292</v>
      </c>
      <c r="F44" s="2" t="s">
        <v>581</v>
      </c>
      <c r="H44" s="152">
        <f>'Vaste tarieven elektriciteit'!H40</f>
        <v>15.639289296052587</v>
      </c>
      <c r="W44" s="25"/>
    </row>
    <row r="45" spans="2:23" x14ac:dyDescent="0.2">
      <c r="B45" s="2" t="s">
        <v>293</v>
      </c>
      <c r="F45" s="2" t="s">
        <v>132</v>
      </c>
      <c r="N45" s="153">
        <f>'Gegevens raming 2025'!N28</f>
        <v>1967</v>
      </c>
    </row>
    <row r="46" spans="2:23" x14ac:dyDescent="0.2">
      <c r="B46" s="2" t="s">
        <v>294</v>
      </c>
      <c r="F46" s="2" t="s">
        <v>581</v>
      </c>
      <c r="N46" s="105">
        <f>N45*H44*12</f>
        <v>369149.78454402526</v>
      </c>
      <c r="T46" s="2" t="s">
        <v>295</v>
      </c>
    </row>
    <row r="48" spans="2:23" s="8" customFormat="1" x14ac:dyDescent="0.2">
      <c r="B48" s="8" t="s">
        <v>676</v>
      </c>
    </row>
    <row r="49" spans="1:20" x14ac:dyDescent="0.2">
      <c r="A49" s="9"/>
    </row>
    <row r="50" spans="1:20" x14ac:dyDescent="0.2">
      <c r="A50" s="9"/>
      <c r="B50" s="177" t="s">
        <v>711</v>
      </c>
    </row>
    <row r="51" spans="1:20" x14ac:dyDescent="0.2">
      <c r="A51" s="9"/>
    </row>
    <row r="52" spans="1:20" x14ac:dyDescent="0.2">
      <c r="B52" s="130" t="s">
        <v>734</v>
      </c>
      <c r="T52" s="2" t="s">
        <v>290</v>
      </c>
    </row>
    <row r="53" spans="1:20" x14ac:dyDescent="0.2">
      <c r="B53" s="2" t="s">
        <v>675</v>
      </c>
      <c r="F53" s="2" t="s">
        <v>362</v>
      </c>
      <c r="N53" s="34">
        <f>'Omvangrijke gebeurtenissen'!N61</f>
        <v>1037635.6192990966</v>
      </c>
    </row>
    <row r="54" spans="1:20" x14ac:dyDescent="0.2">
      <c r="A54" s="9"/>
      <c r="B54" s="2" t="s">
        <v>735</v>
      </c>
      <c r="F54" s="2" t="s">
        <v>362</v>
      </c>
      <c r="N54" s="34">
        <v>0</v>
      </c>
      <c r="T54" s="2" t="s">
        <v>739</v>
      </c>
    </row>
    <row r="56" spans="1:20" x14ac:dyDescent="0.2">
      <c r="B56" s="1" t="s">
        <v>229</v>
      </c>
      <c r="T56" s="2" t="s">
        <v>290</v>
      </c>
    </row>
    <row r="57" spans="1:20" x14ac:dyDescent="0.2">
      <c r="B57" s="2" t="s">
        <v>675</v>
      </c>
      <c r="F57" s="2" t="s">
        <v>362</v>
      </c>
      <c r="J57" s="35">
        <f t="shared" ref="J57" si="0">SUM(L57:O57)</f>
        <v>353897.51264213404</v>
      </c>
      <c r="L57" s="34">
        <f>'Omvangrijke gebeurtenissen'!L69</f>
        <v>1893.7599558793199</v>
      </c>
      <c r="M57" s="34">
        <f>'Omvangrijke gebeurtenissen'!M69</f>
        <v>260254.52073452226</v>
      </c>
      <c r="N57" s="34">
        <f>'Omvangrijke gebeurtenissen'!N69</f>
        <v>15430.707598219848</v>
      </c>
      <c r="O57" s="34">
        <f>'Omvangrijke gebeurtenissen'!O69</f>
        <v>76318.524353512621</v>
      </c>
    </row>
    <row r="59" spans="1:20" x14ac:dyDescent="0.2">
      <c r="B59" s="177" t="s">
        <v>714</v>
      </c>
    </row>
    <row r="60" spans="1:20" x14ac:dyDescent="0.2">
      <c r="B60" s="177"/>
    </row>
    <row r="61" spans="1:20" x14ac:dyDescent="0.2">
      <c r="B61" s="130" t="s">
        <v>715</v>
      </c>
      <c r="T61" s="2" t="s">
        <v>290</v>
      </c>
    </row>
    <row r="62" spans="1:20" x14ac:dyDescent="0.2">
      <c r="B62" s="2" t="s">
        <v>675</v>
      </c>
      <c r="F62" s="2" t="s">
        <v>362</v>
      </c>
      <c r="M62" s="34">
        <f>'Omvangrijke gebeurtenissen'!M79</f>
        <v>59438.450170319251</v>
      </c>
    </row>
    <row r="64" spans="1:20" x14ac:dyDescent="0.2">
      <c r="B64" s="130" t="s">
        <v>716</v>
      </c>
      <c r="T64" s="2" t="s">
        <v>290</v>
      </c>
    </row>
    <row r="65" spans="1:22" x14ac:dyDescent="0.2">
      <c r="B65" s="2" t="s">
        <v>675</v>
      </c>
      <c r="F65" s="2" t="s">
        <v>362</v>
      </c>
      <c r="M65" s="34">
        <f>'Omvangrijke gebeurtenissen'!M89</f>
        <v>366555.79529674968</v>
      </c>
    </row>
    <row r="67" spans="1:22" x14ac:dyDescent="0.2">
      <c r="A67" s="9"/>
      <c r="B67" s="1" t="s">
        <v>717</v>
      </c>
    </row>
    <row r="68" spans="1:22" x14ac:dyDescent="0.2">
      <c r="A68" s="9"/>
      <c r="B68" s="2" t="s">
        <v>736</v>
      </c>
      <c r="F68" s="2" t="s">
        <v>362</v>
      </c>
      <c r="J68" s="35">
        <f t="shared" ref="J68" si="1">SUM(L68:O68)</f>
        <v>383184.42</v>
      </c>
      <c r="L68" s="34">
        <f>'Omvangrijke gebeurtenissen'!L92</f>
        <v>1915.9221</v>
      </c>
      <c r="M68" s="34">
        <f>'Omvangrijke gebeurtenissen'!M92</f>
        <v>287510.60789999994</v>
      </c>
      <c r="N68" s="34">
        <f>'Omvangrijke gebeurtenissen'!N92</f>
        <v>15768.530753229294</v>
      </c>
      <c r="O68" s="34">
        <f>'Omvangrijke gebeurtenissen'!O92</f>
        <v>77989.359246770735</v>
      </c>
      <c r="T68" s="2" t="s">
        <v>739</v>
      </c>
    </row>
    <row r="71" spans="1:22" s="8" customFormat="1" x14ac:dyDescent="0.2">
      <c r="B71" s="8" t="s">
        <v>582</v>
      </c>
    </row>
    <row r="73" spans="1:22" x14ac:dyDescent="0.2">
      <c r="B73" s="1" t="s">
        <v>583</v>
      </c>
    </row>
    <row r="74" spans="1:22" x14ac:dyDescent="0.2">
      <c r="B74" s="2" t="s">
        <v>584</v>
      </c>
      <c r="F74" s="2" t="s">
        <v>125</v>
      </c>
      <c r="J74" s="105">
        <f>SUM(L74:P74)</f>
        <v>26615688.884984445</v>
      </c>
      <c r="L74" s="35">
        <f t="shared" ref="L74:P76" si="2">L20*L25</f>
        <v>0</v>
      </c>
      <c r="M74" s="35">
        <f t="shared" si="2"/>
        <v>18834612.980237905</v>
      </c>
      <c r="N74" s="35">
        <f t="shared" si="2"/>
        <v>0</v>
      </c>
      <c r="O74" s="35">
        <f t="shared" si="2"/>
        <v>7773377.293458458</v>
      </c>
      <c r="P74" s="35">
        <f t="shared" si="2"/>
        <v>7698.611288082283</v>
      </c>
      <c r="V74" s="154"/>
    </row>
    <row r="75" spans="1:22" x14ac:dyDescent="0.2">
      <c r="B75" s="2" t="s">
        <v>585</v>
      </c>
      <c r="F75" s="2" t="s">
        <v>125</v>
      </c>
      <c r="J75" s="105">
        <f>SUM(L75:P75)</f>
        <v>2795174.8165140613</v>
      </c>
      <c r="L75" s="35">
        <f t="shared" si="2"/>
        <v>0</v>
      </c>
      <c r="M75" s="35">
        <f t="shared" si="2"/>
        <v>1645155.2081955704</v>
      </c>
      <c r="N75" s="35">
        <f t="shared" si="2"/>
        <v>0</v>
      </c>
      <c r="O75" s="35">
        <f t="shared" si="2"/>
        <v>1149256.5601566867</v>
      </c>
      <c r="P75" s="35">
        <f t="shared" si="2"/>
        <v>763.04816180418538</v>
      </c>
      <c r="V75" s="154"/>
    </row>
    <row r="76" spans="1:22" x14ac:dyDescent="0.2">
      <c r="B76" s="2" t="s">
        <v>586</v>
      </c>
      <c r="F76" s="2" t="s">
        <v>125</v>
      </c>
      <c r="J76" s="105">
        <f>SUM(L76:P76)</f>
        <v>2998680.7428898625</v>
      </c>
      <c r="L76" s="35">
        <f t="shared" si="2"/>
        <v>0</v>
      </c>
      <c r="M76" s="35">
        <f t="shared" si="2"/>
        <v>1737538.461678735</v>
      </c>
      <c r="N76" s="35">
        <f t="shared" si="2"/>
        <v>664003.51363749662</v>
      </c>
      <c r="O76" s="35">
        <f t="shared" si="2"/>
        <v>573253.40955657617</v>
      </c>
      <c r="P76" s="35">
        <f t="shared" si="2"/>
        <v>23885.358017054892</v>
      </c>
      <c r="U76" s="133"/>
      <c r="V76" s="32"/>
    </row>
    <row r="77" spans="1:22" x14ac:dyDescent="0.2">
      <c r="U77" s="133"/>
      <c r="V77" s="32"/>
    </row>
    <row r="78" spans="1:22" x14ac:dyDescent="0.2">
      <c r="B78" s="2" t="s">
        <v>587</v>
      </c>
      <c r="F78" s="2" t="s">
        <v>362</v>
      </c>
      <c r="J78" s="105">
        <f>SUM(L78:P78)</f>
        <v>7493787.791561367</v>
      </c>
      <c r="L78" s="35">
        <f>L74*L15+L75+L76*(1+$H$16)*(1+$H$17)</f>
        <v>0</v>
      </c>
      <c r="M78" s="35">
        <f>M74*M15+M75+M76*(1+$H$16)*(1+$H$17)</f>
        <v>4531660.1715330034</v>
      </c>
      <c r="N78" s="35">
        <f>N74*N15+N75+N76*(1+$H$16)*(1+$H$17)</f>
        <v>693535.06990652415</v>
      </c>
      <c r="O78" s="35">
        <f>O74*O15+O75+O76*(1+$H$16)*(1+$H$17)</f>
        <v>2242392.2109672497</v>
      </c>
      <c r="P78" s="35">
        <f>P74*P15+P75+P76*(1+$H$16)*(1+$H$17)</f>
        <v>26200.339154589623</v>
      </c>
      <c r="U78" s="133"/>
      <c r="V78" s="32"/>
    </row>
    <row r="79" spans="1:22" x14ac:dyDescent="0.2">
      <c r="B79" s="2" t="s">
        <v>588</v>
      </c>
      <c r="F79" s="2" t="s">
        <v>594</v>
      </c>
      <c r="L79" s="101">
        <f>L78/L31</f>
        <v>0</v>
      </c>
      <c r="M79" s="101">
        <f>M78/M31</f>
        <v>41.712963835952451</v>
      </c>
      <c r="N79" s="101">
        <f>N78/N31</f>
        <v>0.27200270816539246</v>
      </c>
      <c r="O79" s="101">
        <f>O78/O31</f>
        <v>710.91761777399302</v>
      </c>
      <c r="P79" s="101">
        <f>P78/P31</f>
        <v>1.350115384653696</v>
      </c>
      <c r="U79" s="133"/>
      <c r="V79" s="32"/>
    </row>
    <row r="80" spans="1:22" x14ac:dyDescent="0.2">
      <c r="L80" s="155"/>
      <c r="M80" s="155"/>
      <c r="N80" s="155"/>
      <c r="O80" s="155"/>
      <c r="P80" s="155"/>
      <c r="U80" s="133"/>
      <c r="V80" s="32"/>
    </row>
    <row r="81" spans="1:22" x14ac:dyDescent="0.2">
      <c r="B81" s="1" t="s">
        <v>589</v>
      </c>
      <c r="M81" s="122"/>
      <c r="U81" s="133"/>
      <c r="V81" s="32"/>
    </row>
    <row r="82" spans="1:22" x14ac:dyDescent="0.2">
      <c r="B82" s="2" t="s">
        <v>590</v>
      </c>
      <c r="F82" s="2" t="s">
        <v>125</v>
      </c>
      <c r="J82" s="105">
        <f>SUM(L82:P82)</f>
        <v>29750979.554738756</v>
      </c>
      <c r="L82" s="35">
        <f t="shared" ref="L82:P84" si="3">L20-L74</f>
        <v>306512.65575067198</v>
      </c>
      <c r="M82" s="35">
        <f t="shared" si="3"/>
        <v>18834612.980237905</v>
      </c>
      <c r="N82" s="35">
        <f t="shared" si="3"/>
        <v>2828778.0140036391</v>
      </c>
      <c r="O82" s="35">
        <f t="shared" si="3"/>
        <v>7773377.293458458</v>
      </c>
      <c r="P82" s="35">
        <f t="shared" si="3"/>
        <v>7698.611288082283</v>
      </c>
      <c r="U82" s="133"/>
      <c r="V82" s="32"/>
    </row>
    <row r="83" spans="1:22" x14ac:dyDescent="0.2">
      <c r="B83" s="2" t="s">
        <v>591</v>
      </c>
      <c r="F83" s="2" t="s">
        <v>125</v>
      </c>
      <c r="J83" s="105">
        <f>SUM(L83:P83)</f>
        <v>3143920.5233609788</v>
      </c>
      <c r="L83" s="35">
        <f t="shared" si="3"/>
        <v>60184.210646361265</v>
      </c>
      <c r="M83" s="35">
        <f t="shared" si="3"/>
        <v>1645155.2081955704</v>
      </c>
      <c r="N83" s="35">
        <f t="shared" si="3"/>
        <v>288561.49620055628</v>
      </c>
      <c r="O83" s="35">
        <f t="shared" si="3"/>
        <v>1149256.5601566867</v>
      </c>
      <c r="P83" s="35">
        <f t="shared" si="3"/>
        <v>763.04816180418538</v>
      </c>
      <c r="U83" s="133"/>
      <c r="V83" s="32"/>
    </row>
    <row r="84" spans="1:22" x14ac:dyDescent="0.2">
      <c r="B84" s="2" t="s">
        <v>592</v>
      </c>
      <c r="F84" s="2" t="s">
        <v>125</v>
      </c>
      <c r="J84" s="105">
        <f>SUM(L84:P84)</f>
        <v>16397081.936787292</v>
      </c>
      <c r="L84" s="35">
        <f t="shared" si="3"/>
        <v>77661.548236779941</v>
      </c>
      <c r="M84" s="35">
        <f t="shared" si="3"/>
        <v>10585429.351645626</v>
      </c>
      <c r="N84" s="35">
        <f t="shared" si="3"/>
        <v>2125927.215931817</v>
      </c>
      <c r="O84" s="35">
        <f t="shared" si="3"/>
        <v>3463742.4323911439</v>
      </c>
      <c r="P84" s="35">
        <f t="shared" si="3"/>
        <v>144321.38858192324</v>
      </c>
      <c r="U84" s="133"/>
      <c r="V84" s="32"/>
    </row>
    <row r="85" spans="1:22" x14ac:dyDescent="0.2">
      <c r="J85" s="138"/>
      <c r="L85" s="133"/>
      <c r="M85" s="133"/>
      <c r="N85" s="133"/>
      <c r="O85" s="133"/>
      <c r="P85" s="133"/>
      <c r="U85" s="133"/>
      <c r="V85" s="44"/>
    </row>
    <row r="86" spans="1:22" x14ac:dyDescent="0.2">
      <c r="B86" s="2" t="s">
        <v>296</v>
      </c>
      <c r="F86" s="2" t="s">
        <v>362</v>
      </c>
      <c r="J86" s="105">
        <f t="shared" ref="J86:J87" si="4">SUM(L86:P86)</f>
        <v>3389710.8742696927</v>
      </c>
      <c r="L86" s="35">
        <f>L41+L53+L57+L62+L65</f>
        <v>1893.7599558793199</v>
      </c>
      <c r="M86" s="35">
        <f>M41+M53+M57+M62+M65</f>
        <v>686248.76620159112</v>
      </c>
      <c r="N86" s="35">
        <f>N41+N53+N57+N62+N65</f>
        <v>2625249.8237587097</v>
      </c>
      <c r="O86" s="35">
        <f>O41+O53+O57+O62+O65</f>
        <v>76318.524353512621</v>
      </c>
      <c r="P86" s="35">
        <f>P41+P53+P57+P62+P65</f>
        <v>0</v>
      </c>
      <c r="T86" s="2" t="s">
        <v>730</v>
      </c>
      <c r="U86" s="133"/>
      <c r="V86" s="32"/>
    </row>
    <row r="87" spans="1:22" x14ac:dyDescent="0.2">
      <c r="A87" s="9"/>
      <c r="B87" s="2" t="s">
        <v>737</v>
      </c>
      <c r="F87" s="2" t="s">
        <v>362</v>
      </c>
      <c r="J87" s="105">
        <f t="shared" si="4"/>
        <v>383184.42</v>
      </c>
      <c r="L87" s="35">
        <f>L54+L68</f>
        <v>1915.9221</v>
      </c>
      <c r="M87" s="35">
        <f>M54+M68</f>
        <v>287510.60789999994</v>
      </c>
      <c r="N87" s="35">
        <f>N54+N68</f>
        <v>15768.530753229294</v>
      </c>
      <c r="O87" s="35">
        <f>O54+O68</f>
        <v>77989.359246770735</v>
      </c>
      <c r="P87" s="35">
        <f>P54+P68</f>
        <v>0</v>
      </c>
      <c r="T87" s="2" t="s">
        <v>738</v>
      </c>
      <c r="V87" s="154"/>
    </row>
    <row r="88" spans="1:22" x14ac:dyDescent="0.2">
      <c r="V88" s="154"/>
    </row>
    <row r="89" spans="1:22" x14ac:dyDescent="0.2">
      <c r="B89" s="2" t="s">
        <v>593</v>
      </c>
      <c r="F89" s="2" t="s">
        <v>362</v>
      </c>
      <c r="J89" s="105">
        <f>SUM(L89:P89)</f>
        <v>26178554.012204565</v>
      </c>
      <c r="L89" s="35">
        <f>L82*L15+L83+L84*(1+$H$16)*(1+$H$17)+L86+L87</f>
        <v>164879.50459276966</v>
      </c>
      <c r="M89" s="35">
        <f>M82*M15+M83+M84*(1+$H$16)*(1+$H$17)+M86+M87</f>
        <v>14746820.38293276</v>
      </c>
      <c r="N89" s="30">
        <f>N82*N15+N83+N84*(1+$H$16)*(1+$H$17)+N86+N46+N87</f>
        <v>5699117.7458075378</v>
      </c>
      <c r="O89" s="35">
        <f>O82*O15+O83+O84*(1+$H$16)*(1+$H$17)+O86+O87</f>
        <v>5415743.6166926678</v>
      </c>
      <c r="P89" s="35">
        <f>P82*P15+P83+P84*(1+$H$16)*(1+$H$17)+P86+P87</f>
        <v>151992.76217883045</v>
      </c>
      <c r="V89" s="154"/>
    </row>
    <row r="90" spans="1:22" x14ac:dyDescent="0.2">
      <c r="N90" s="122"/>
    </row>
    <row r="91" spans="1:22" x14ac:dyDescent="0.2">
      <c r="N91" s="122"/>
    </row>
    <row r="92" spans="1:22" s="8" customFormat="1" x14ac:dyDescent="0.2">
      <c r="B92" s="8" t="s">
        <v>595</v>
      </c>
    </row>
    <row r="94" spans="1:22" x14ac:dyDescent="0.2">
      <c r="B94" s="1" t="s">
        <v>595</v>
      </c>
    </row>
    <row r="95" spans="1:22" x14ac:dyDescent="0.2">
      <c r="B95" s="2" t="s">
        <v>198</v>
      </c>
      <c r="F95" s="2" t="s">
        <v>199</v>
      </c>
      <c r="L95" s="18" t="s">
        <v>130</v>
      </c>
      <c r="M95" s="18" t="s">
        <v>132</v>
      </c>
      <c r="N95" s="18" t="s">
        <v>151</v>
      </c>
      <c r="O95" s="18" t="s">
        <v>155</v>
      </c>
      <c r="P95" s="18" t="s">
        <v>151</v>
      </c>
    </row>
    <row r="96" spans="1:22" x14ac:dyDescent="0.2">
      <c r="B96" s="2" t="s">
        <v>596</v>
      </c>
      <c r="F96" s="2" t="s">
        <v>187</v>
      </c>
      <c r="L96" s="34">
        <f>'Gegevens raming 2025'!L82</f>
        <v>282924.66000000003</v>
      </c>
      <c r="M96" s="34">
        <f>'Gegevens raming 2025'!M82</f>
        <v>115533.04583333334</v>
      </c>
      <c r="N96" s="34">
        <f>'Gegevens raming 2025'!N82</f>
        <v>2938857</v>
      </c>
      <c r="O96" s="34">
        <f>'Gegevens raming 2025'!O82</f>
        <v>3380.3125</v>
      </c>
      <c r="P96" s="34">
        <f>'Gegevens raming 2025'!P82</f>
        <v>19406</v>
      </c>
    </row>
    <row r="97" spans="2:16" x14ac:dyDescent="0.2">
      <c r="B97" s="2" t="s">
        <v>597</v>
      </c>
      <c r="F97" s="2" t="s">
        <v>362</v>
      </c>
      <c r="J97" s="105">
        <f>SUM(L97:P97)</f>
        <v>8047926.8746003322</v>
      </c>
      <c r="L97" s="35">
        <f>L79*L96</f>
        <v>0</v>
      </c>
      <c r="M97" s="35">
        <f>M79*M96</f>
        <v>4819225.7627032707</v>
      </c>
      <c r="N97" s="35">
        <f>N79*N96</f>
        <v>799377.06291082082</v>
      </c>
      <c r="O97" s="35">
        <f>O79*O96</f>
        <v>2403123.7098316508</v>
      </c>
      <c r="P97" s="35">
        <f>P79*P96</f>
        <v>26200.339154589623</v>
      </c>
    </row>
    <row r="98" spans="2:16" x14ac:dyDescent="0.2">
      <c r="B98" s="2" t="s">
        <v>598</v>
      </c>
      <c r="F98" s="2" t="s">
        <v>362</v>
      </c>
      <c r="J98" s="105">
        <f>SUM(L98:P98)</f>
        <v>34226480.886804894</v>
      </c>
      <c r="L98" s="28">
        <f>L89+L97</f>
        <v>164879.50459276966</v>
      </c>
      <c r="M98" s="28">
        <f>M89+M97</f>
        <v>19566046.14563603</v>
      </c>
      <c r="N98" s="28">
        <f>N89+N97</f>
        <v>6498494.8087183591</v>
      </c>
      <c r="O98" s="28">
        <f>O89+O97</f>
        <v>7818867.3265243191</v>
      </c>
      <c r="P98" s="28">
        <f>P89+P97</f>
        <v>178193.10133342008</v>
      </c>
    </row>
    <row r="103" spans="2:16" x14ac:dyDescent="0.2">
      <c r="B103" s="4" t="s">
        <v>62</v>
      </c>
    </row>
    <row r="119" spans="12:16" x14ac:dyDescent="0.2">
      <c r="L119" s="39"/>
      <c r="M119" s="39"/>
      <c r="N119" s="39"/>
      <c r="O119" s="39"/>
      <c r="P119" s="39"/>
    </row>
    <row r="120" spans="12:16" x14ac:dyDescent="0.2">
      <c r="L120" s="39"/>
      <c r="M120" s="39"/>
      <c r="N120" s="39"/>
      <c r="O120" s="39"/>
      <c r="P120" s="39"/>
    </row>
    <row r="121" spans="12:16" x14ac:dyDescent="0.2">
      <c r="L121" s="39"/>
      <c r="M121" s="39"/>
      <c r="N121" s="39"/>
      <c r="O121" s="39"/>
      <c r="P121" s="39"/>
    </row>
    <row r="122" spans="12:16" x14ac:dyDescent="0.2">
      <c r="L122" s="39"/>
      <c r="M122" s="39"/>
      <c r="N122" s="39"/>
      <c r="O122" s="39"/>
      <c r="P122" s="39"/>
    </row>
    <row r="123" spans="12:16" x14ac:dyDescent="0.2">
      <c r="L123" s="39"/>
      <c r="M123" s="39"/>
      <c r="N123" s="39"/>
      <c r="O123" s="39"/>
      <c r="P123" s="39"/>
    </row>
    <row r="124" spans="12:16" x14ac:dyDescent="0.2">
      <c r="L124" s="39"/>
      <c r="M124" s="39"/>
      <c r="N124" s="39"/>
      <c r="O124" s="39"/>
      <c r="P124" s="39"/>
    </row>
    <row r="125" spans="12:16" x14ac:dyDescent="0.2">
      <c r="L125" s="39"/>
      <c r="M125" s="39"/>
      <c r="N125" s="39"/>
      <c r="O125" s="39"/>
      <c r="P125" s="39"/>
    </row>
    <row r="126" spans="12:16" x14ac:dyDescent="0.2">
      <c r="L126" s="39"/>
      <c r="M126" s="39"/>
      <c r="N126" s="39"/>
      <c r="O126" s="39"/>
      <c r="P126" s="39"/>
    </row>
    <row r="127" spans="12:16" x14ac:dyDescent="0.2">
      <c r="L127" s="39"/>
      <c r="M127" s="39"/>
      <c r="N127" s="39"/>
      <c r="O127" s="39"/>
      <c r="P127" s="39"/>
    </row>
    <row r="128" spans="12:16" x14ac:dyDescent="0.2">
      <c r="L128" s="39"/>
      <c r="M128" s="39"/>
      <c r="N128" s="39"/>
      <c r="O128" s="39"/>
      <c r="P128" s="39"/>
    </row>
    <row r="129" spans="12:16" x14ac:dyDescent="0.2">
      <c r="L129" s="39"/>
      <c r="M129" s="39"/>
      <c r="N129" s="39"/>
      <c r="O129" s="39"/>
      <c r="P129" s="39"/>
    </row>
    <row r="130" spans="12:16" x14ac:dyDescent="0.2">
      <c r="L130" s="39"/>
      <c r="M130" s="39"/>
      <c r="N130" s="39"/>
      <c r="O130" s="39"/>
      <c r="P130" s="39"/>
    </row>
    <row r="131" spans="12:16" x14ac:dyDescent="0.2">
      <c r="L131" s="39"/>
      <c r="M131" s="39"/>
      <c r="N131" s="39"/>
      <c r="O131" s="39"/>
      <c r="P131" s="39"/>
    </row>
    <row r="132" spans="12:16" x14ac:dyDescent="0.2">
      <c r="L132" s="39"/>
      <c r="M132" s="39"/>
      <c r="N132" s="39"/>
      <c r="O132" s="39"/>
      <c r="P132" s="39"/>
    </row>
    <row r="133" spans="12:16" x14ac:dyDescent="0.2">
      <c r="L133" s="39"/>
      <c r="M133" s="39"/>
      <c r="N133" s="39"/>
      <c r="O133" s="39"/>
      <c r="P133" s="39"/>
    </row>
    <row r="134" spans="12:16" x14ac:dyDescent="0.2">
      <c r="L134" s="39"/>
      <c r="M134" s="39"/>
      <c r="N134" s="39"/>
      <c r="O134" s="39"/>
      <c r="P134" s="39"/>
    </row>
    <row r="135" spans="12:16" x14ac:dyDescent="0.2">
      <c r="L135" s="39"/>
      <c r="M135" s="39"/>
      <c r="N135" s="39"/>
      <c r="O135" s="39"/>
      <c r="P135" s="39"/>
    </row>
    <row r="136" spans="12:16" x14ac:dyDescent="0.2">
      <c r="L136" s="39"/>
      <c r="M136" s="39"/>
      <c r="N136" s="39"/>
      <c r="O136" s="39"/>
      <c r="P136" s="39"/>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B2:H43"/>
  <sheetViews>
    <sheetView showGridLines="0" zoomScale="85" zoomScaleNormal="85" workbookViewId="0">
      <pane ySplit="3" topLeftCell="A4" activePane="bottomLeft" state="frozen"/>
      <selection activeCell="O39" sqref="O39"/>
      <selection pane="bottomLeft"/>
    </sheetView>
  </sheetViews>
  <sheetFormatPr defaultColWidth="9.140625" defaultRowHeight="12.75" x14ac:dyDescent="0.2"/>
  <cols>
    <col min="1" max="1" width="5.7109375" style="2" customWidth="1"/>
    <col min="2" max="2" width="35.28515625" style="2" customWidth="1"/>
    <col min="3" max="3" width="2.7109375" style="2" customWidth="1"/>
    <col min="4" max="4" width="86.140625" style="2" customWidth="1"/>
    <col min="5" max="5" width="29.85546875" style="2" customWidth="1"/>
    <col min="6" max="6" width="24.7109375" style="2" customWidth="1"/>
    <col min="7" max="7" width="37.28515625" style="2" customWidth="1"/>
    <col min="8" max="16384" width="9.140625" style="2"/>
  </cols>
  <sheetData>
    <row r="2" spans="2:8" s="7" customFormat="1" ht="18" x14ac:dyDescent="0.2">
      <c r="B2" s="7" t="s">
        <v>44</v>
      </c>
    </row>
    <row r="5" spans="2:8" s="8" customFormat="1" x14ac:dyDescent="0.2">
      <c r="B5" s="8" t="s">
        <v>10</v>
      </c>
    </row>
    <row r="7" spans="2:8" x14ac:dyDescent="0.2">
      <c r="B7" s="21" t="s">
        <v>772</v>
      </c>
    </row>
    <row r="8" spans="2:8" x14ac:dyDescent="0.2">
      <c r="B8" s="2" t="s">
        <v>350</v>
      </c>
      <c r="H8" s="29"/>
    </row>
    <row r="9" spans="2:8" x14ac:dyDescent="0.2">
      <c r="B9" s="2" t="s">
        <v>351</v>
      </c>
    </row>
    <row r="11" spans="2:8" x14ac:dyDescent="0.2">
      <c r="B11" s="2" t="s">
        <v>773</v>
      </c>
    </row>
    <row r="14" spans="2:8" s="8" customFormat="1" x14ac:dyDescent="0.2">
      <c r="B14" s="8" t="s">
        <v>11</v>
      </c>
    </row>
    <row r="15" spans="2:8" x14ac:dyDescent="0.2">
      <c r="C15" s="9"/>
    </row>
    <row r="16" spans="2:8" x14ac:dyDescent="0.2">
      <c r="B16" s="26" t="s">
        <v>30</v>
      </c>
      <c r="C16" s="9"/>
      <c r="D16" s="26" t="s">
        <v>12</v>
      </c>
      <c r="F16" s="12"/>
    </row>
    <row r="17" spans="2:6" x14ac:dyDescent="0.2">
      <c r="C17" s="9"/>
    </row>
    <row r="18" spans="2:6" x14ac:dyDescent="0.2">
      <c r="B18" s="31">
        <v>123</v>
      </c>
      <c r="C18" s="9"/>
      <c r="D18" s="21" t="s">
        <v>54</v>
      </c>
    </row>
    <row r="19" spans="2:6" x14ac:dyDescent="0.2">
      <c r="B19" s="34">
        <f>B18</f>
        <v>123</v>
      </c>
      <c r="C19" s="9"/>
      <c r="D19" s="2" t="s">
        <v>13</v>
      </c>
    </row>
    <row r="20" spans="2:6" x14ac:dyDescent="0.2">
      <c r="B20" s="35">
        <f>B19+B18</f>
        <v>246</v>
      </c>
      <c r="C20" s="9"/>
      <c r="D20" s="2" t="s">
        <v>14</v>
      </c>
    </row>
    <row r="21" spans="2:6" x14ac:dyDescent="0.2">
      <c r="B21" s="28">
        <f>B19+B20</f>
        <v>369</v>
      </c>
      <c r="C21" s="9"/>
      <c r="D21" s="21" t="s">
        <v>55</v>
      </c>
      <c r="E21" s="12"/>
      <c r="F21" s="5"/>
    </row>
    <row r="22" spans="2:6" x14ac:dyDescent="0.2">
      <c r="B22" s="37"/>
      <c r="C22" s="9"/>
      <c r="D22" s="21" t="s">
        <v>15</v>
      </c>
      <c r="E22" s="12"/>
    </row>
    <row r="23" spans="2:6" x14ac:dyDescent="0.2">
      <c r="B23" s="9"/>
      <c r="C23" s="9"/>
    </row>
    <row r="24" spans="2:6" x14ac:dyDescent="0.2">
      <c r="B24" s="27" t="s">
        <v>16</v>
      </c>
      <c r="C24" s="9"/>
      <c r="E24" s="25"/>
    </row>
    <row r="25" spans="2:6" x14ac:dyDescent="0.2">
      <c r="B25" s="30">
        <f>B21+16</f>
        <v>385</v>
      </c>
      <c r="C25" s="9"/>
      <c r="D25" s="2" t="s">
        <v>68</v>
      </c>
    </row>
    <row r="26" spans="2:6" x14ac:dyDescent="0.2">
      <c r="B26" s="13"/>
      <c r="C26" s="13"/>
    </row>
    <row r="28" spans="2:6" x14ac:dyDescent="0.2">
      <c r="B28" s="26" t="s">
        <v>26</v>
      </c>
    </row>
    <row r="29" spans="2:6" x14ac:dyDescent="0.2">
      <c r="B29" s="1"/>
    </row>
    <row r="30" spans="2:6" x14ac:dyDescent="0.2">
      <c r="B30" s="27" t="s">
        <v>31</v>
      </c>
    </row>
    <row r="31" spans="2:6" x14ac:dyDescent="0.2">
      <c r="B31" s="28" t="s">
        <v>25</v>
      </c>
      <c r="C31" s="9"/>
      <c r="D31" s="3" t="s">
        <v>34</v>
      </c>
    </row>
    <row r="32" spans="2:6" x14ac:dyDescent="0.2">
      <c r="B32" s="31" t="s">
        <v>23</v>
      </c>
      <c r="C32" s="9"/>
      <c r="D32" s="3" t="s">
        <v>27</v>
      </c>
    </row>
    <row r="33" spans="2:4" x14ac:dyDescent="0.2">
      <c r="B33" s="35" t="s">
        <v>24</v>
      </c>
      <c r="C33" s="9"/>
      <c r="D33" s="3" t="s">
        <v>28</v>
      </c>
    </row>
    <row r="34" spans="2:4" x14ac:dyDescent="0.2">
      <c r="C34" s="9"/>
      <c r="D34" s="3"/>
    </row>
    <row r="35" spans="2:4" x14ac:dyDescent="0.2">
      <c r="B35" s="27" t="s">
        <v>33</v>
      </c>
      <c r="C35" s="9"/>
      <c r="D35" s="3"/>
    </row>
    <row r="36" spans="2:4" x14ac:dyDescent="0.2">
      <c r="B36" s="19" t="s">
        <v>29</v>
      </c>
      <c r="C36" s="9"/>
      <c r="D36" s="3" t="s">
        <v>35</v>
      </c>
    </row>
    <row r="37" spans="2:4" x14ac:dyDescent="0.2">
      <c r="B37" s="20" t="s">
        <v>32</v>
      </c>
      <c r="D37" s="21" t="s">
        <v>56</v>
      </c>
    </row>
    <row r="43" spans="2:4" x14ac:dyDescent="0.2">
      <c r="B43" s="27" t="s">
        <v>62</v>
      </c>
    </row>
  </sheetData>
  <pageMargins left="0.75" right="0.75" top="1" bottom="1" header="0.5" footer="0.5"/>
  <pageSetup paperSize="9"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906DD-D13A-449F-BA2F-1385C14A292A}">
  <sheetPr>
    <tabColor rgb="FFFFFFCC"/>
  </sheetPr>
  <dimension ref="B2:L47"/>
  <sheetViews>
    <sheetView showGridLines="0" zoomScale="85" zoomScaleNormal="85" workbookViewId="0">
      <pane xSplit="6" ySplit="9" topLeftCell="G10" activePane="bottomRight" state="frozen"/>
      <selection pane="topRight"/>
      <selection pane="bottomLeft"/>
      <selection pane="bottomRight"/>
    </sheetView>
  </sheetViews>
  <sheetFormatPr defaultRowHeight="12.75" x14ac:dyDescent="0.2"/>
  <cols>
    <col min="1" max="1" width="4.7109375" style="2" customWidth="1"/>
    <col min="2" max="2" width="69" style="2" customWidth="1"/>
    <col min="3" max="3" width="4.7109375" style="2" customWidth="1"/>
    <col min="4" max="5" width="4.5703125" style="2" customWidth="1"/>
    <col min="6" max="6" width="23.1406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19.140625" style="2" customWidth="1"/>
    <col min="13" max="15" width="4" style="2" customWidth="1"/>
    <col min="16" max="16" width="12.5703125" style="2" customWidth="1"/>
    <col min="17" max="29" width="13.7109375" style="2" customWidth="1"/>
    <col min="30" max="16384" width="9.140625" style="2"/>
  </cols>
  <sheetData>
    <row r="2" spans="2:10" s="15" customFormat="1" ht="18" x14ac:dyDescent="0.2">
      <c r="B2" s="15" t="s">
        <v>599</v>
      </c>
    </row>
    <row r="4" spans="2:10" x14ac:dyDescent="0.2">
      <c r="B4" s="26" t="s">
        <v>47</v>
      </c>
      <c r="C4" s="1"/>
      <c r="D4" s="1"/>
    </row>
    <row r="5" spans="2:10" x14ac:dyDescent="0.2">
      <c r="B5" s="2" t="s">
        <v>600</v>
      </c>
      <c r="H5" s="16"/>
    </row>
    <row r="6" spans="2:10" x14ac:dyDescent="0.2">
      <c r="B6" s="2" t="s">
        <v>601</v>
      </c>
    </row>
    <row r="8" spans="2:10" s="8" customFormat="1" x14ac:dyDescent="0.2">
      <c r="B8" s="8" t="s">
        <v>36</v>
      </c>
      <c r="F8" s="8" t="s">
        <v>19</v>
      </c>
      <c r="H8" s="8" t="s">
        <v>20</v>
      </c>
      <c r="J8" s="8" t="s">
        <v>38</v>
      </c>
    </row>
    <row r="11" spans="2:10" s="8" customFormat="1" x14ac:dyDescent="0.2">
      <c r="B11" s="8" t="s">
        <v>297</v>
      </c>
    </row>
    <row r="13" spans="2:10" x14ac:dyDescent="0.2">
      <c r="B13" s="1" t="s">
        <v>602</v>
      </c>
    </row>
    <row r="14" spans="2:10" x14ac:dyDescent="0.2">
      <c r="B14" s="2" t="s">
        <v>603</v>
      </c>
      <c r="F14" s="2" t="s">
        <v>362</v>
      </c>
      <c r="H14" s="34">
        <f>'Berekening kostenbasis'!L98</f>
        <v>164879.50459276966</v>
      </c>
    </row>
    <row r="16" spans="2:10" x14ac:dyDescent="0.2">
      <c r="B16" s="2" t="s">
        <v>604</v>
      </c>
      <c r="F16" s="2" t="s">
        <v>130</v>
      </c>
      <c r="H16" s="34">
        <f>'Gegevens raming 2025'!L82</f>
        <v>282924.66000000003</v>
      </c>
      <c r="J16" s="2" t="s">
        <v>298</v>
      </c>
    </row>
    <row r="17" spans="2:12" x14ac:dyDescent="0.2">
      <c r="B17" s="2" t="s">
        <v>605</v>
      </c>
      <c r="F17" s="2" t="s">
        <v>356</v>
      </c>
      <c r="H17" s="150">
        <f>H14/H16</f>
        <v>0.58276823445778692</v>
      </c>
      <c r="J17" s="2" t="s">
        <v>299</v>
      </c>
    </row>
    <row r="18" spans="2:12" x14ac:dyDescent="0.2">
      <c r="B18" s="2" t="s">
        <v>606</v>
      </c>
      <c r="F18" s="2" t="s">
        <v>356</v>
      </c>
      <c r="H18" s="156">
        <f>ROUND(H17,4)</f>
        <v>0.58279999999999998</v>
      </c>
    </row>
    <row r="20" spans="2:12" x14ac:dyDescent="0.2">
      <c r="B20" s="1" t="s">
        <v>607</v>
      </c>
    </row>
    <row r="21" spans="2:12" x14ac:dyDescent="0.2">
      <c r="B21" s="2" t="s">
        <v>608</v>
      </c>
      <c r="F21" s="2" t="s">
        <v>130</v>
      </c>
      <c r="H21" s="34">
        <f>'Gegevens raming 2025'!L19</f>
        <v>186183230.99999997</v>
      </c>
    </row>
    <row r="22" spans="2:12" x14ac:dyDescent="0.2">
      <c r="B22" s="2" t="s">
        <v>609</v>
      </c>
      <c r="F22" s="2" t="s">
        <v>356</v>
      </c>
      <c r="H22" s="157">
        <f>'Gegevens raming 2025'!L18</f>
        <v>0.29853000000000002</v>
      </c>
      <c r="L22" s="50"/>
    </row>
    <row r="24" spans="2:12" x14ac:dyDescent="0.2">
      <c r="B24" s="2" t="s">
        <v>357</v>
      </c>
      <c r="F24" s="2" t="s">
        <v>356</v>
      </c>
      <c r="H24" s="156">
        <f>(H18*H16+H22*H21)/(H16+H21)</f>
        <v>0.29896132220328953</v>
      </c>
      <c r="L24" s="50"/>
    </row>
    <row r="25" spans="2:12" x14ac:dyDescent="0.2">
      <c r="B25" s="2" t="s">
        <v>610</v>
      </c>
      <c r="F25" s="2" t="s">
        <v>130</v>
      </c>
      <c r="H25" s="35">
        <f>H21+H16</f>
        <v>186466155.65999997</v>
      </c>
    </row>
    <row r="28" spans="2:12" s="8" customFormat="1" x14ac:dyDescent="0.2">
      <c r="B28" s="8" t="s">
        <v>300</v>
      </c>
    </row>
    <row r="30" spans="2:12" x14ac:dyDescent="0.2">
      <c r="B30" s="1" t="s">
        <v>611</v>
      </c>
    </row>
    <row r="31" spans="2:12" x14ac:dyDescent="0.2">
      <c r="B31" s="2" t="s">
        <v>565</v>
      </c>
      <c r="F31" s="2" t="s">
        <v>362</v>
      </c>
      <c r="H31" s="34">
        <f>'Totaaloverzicht correcties'!M84</f>
        <v>-340287.42937997857</v>
      </c>
    </row>
    <row r="32" spans="2:12" x14ac:dyDescent="0.2">
      <c r="B32" s="2" t="s">
        <v>382</v>
      </c>
      <c r="F32" s="2" t="s">
        <v>362</v>
      </c>
      <c r="H32" s="34">
        <f>'Totaaloverzicht correcties'!M85</f>
        <v>-1017095.2851173792</v>
      </c>
    </row>
    <row r="33" spans="2:12" x14ac:dyDescent="0.2">
      <c r="B33" s="2" t="s">
        <v>454</v>
      </c>
      <c r="F33" s="111" t="s">
        <v>119</v>
      </c>
      <c r="H33" s="158">
        <f>'Gegevens raming 2025'!L21</f>
        <v>0.46042430952336433</v>
      </c>
    </row>
    <row r="35" spans="2:12" x14ac:dyDescent="0.2">
      <c r="B35" s="2" t="s">
        <v>612</v>
      </c>
      <c r="F35" s="2" t="s">
        <v>356</v>
      </c>
      <c r="H35" s="144">
        <f>H31/H25</f>
        <v>-1.8249286481802863E-3</v>
      </c>
      <c r="J35" s="46" t="s">
        <v>744</v>
      </c>
    </row>
    <row r="36" spans="2:12" x14ac:dyDescent="0.2">
      <c r="B36" s="2" t="s">
        <v>613</v>
      </c>
      <c r="F36" s="2" t="s">
        <v>356</v>
      </c>
      <c r="H36" s="144">
        <f>+H32/(H25*H33)</f>
        <v>-1.1846863334539156E-2</v>
      </c>
      <c r="J36" s="46" t="s">
        <v>745</v>
      </c>
    </row>
    <row r="38" spans="2:12" x14ac:dyDescent="0.2">
      <c r="B38" s="2" t="s">
        <v>301</v>
      </c>
      <c r="F38" s="2" t="s">
        <v>356</v>
      </c>
      <c r="H38" s="144">
        <f>H24+H35+H36</f>
        <v>0.28528953022057008</v>
      </c>
      <c r="J38" s="46" t="s">
        <v>746</v>
      </c>
    </row>
    <row r="40" spans="2:12" x14ac:dyDescent="0.2">
      <c r="B40" s="2" t="s">
        <v>302</v>
      </c>
      <c r="F40" s="2" t="s">
        <v>119</v>
      </c>
      <c r="H40" s="158">
        <f>'Gegevens raming 2025'!M35</f>
        <v>9.0289629203973529E-2</v>
      </c>
    </row>
    <row r="42" spans="2:12" x14ac:dyDescent="0.2">
      <c r="B42" s="2" t="s">
        <v>359</v>
      </c>
      <c r="F42" s="2" t="s">
        <v>356</v>
      </c>
      <c r="H42" s="150">
        <f>H38/(1-H40)</f>
        <v>0.31360479046856676</v>
      </c>
    </row>
    <row r="43" spans="2:12" x14ac:dyDescent="0.2">
      <c r="B43" s="2" t="s">
        <v>614</v>
      </c>
      <c r="F43" s="2" t="s">
        <v>356</v>
      </c>
      <c r="H43" s="156">
        <f>ROUND(H42,4)</f>
        <v>0.31359999999999999</v>
      </c>
      <c r="J43" s="159"/>
      <c r="L43" s="160"/>
    </row>
    <row r="44" spans="2:12" x14ac:dyDescent="0.2">
      <c r="H44" s="46"/>
    </row>
    <row r="46" spans="2:12" x14ac:dyDescent="0.2">
      <c r="H46" s="161"/>
    </row>
    <row r="47" spans="2:12" x14ac:dyDescent="0.2">
      <c r="B47" s="4" t="s">
        <v>62</v>
      </c>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B55B5-6E29-499B-AB89-DF5A219FFACA}">
  <sheetPr>
    <tabColor rgb="FFFFFFCC"/>
  </sheetPr>
  <dimension ref="B2:Q63"/>
  <sheetViews>
    <sheetView showGridLines="0" zoomScale="85" zoomScaleNormal="85" workbookViewId="0">
      <pane xSplit="6" ySplit="10" topLeftCell="G11" activePane="bottomRight" state="frozen"/>
      <selection pane="topRight"/>
      <selection pane="bottomLeft"/>
      <selection pane="bottomRight"/>
    </sheetView>
  </sheetViews>
  <sheetFormatPr defaultRowHeight="12.75" x14ac:dyDescent="0.2"/>
  <cols>
    <col min="1" max="1" width="4.7109375" style="2" customWidth="1"/>
    <col min="2" max="2" width="61.5703125" style="2" customWidth="1"/>
    <col min="3" max="3" width="21" style="2" customWidth="1"/>
    <col min="4" max="5" width="4.5703125" style="2" customWidth="1"/>
    <col min="6" max="6" width="23.1406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19.140625" style="2" customWidth="1"/>
    <col min="13" max="15" width="4" style="2" customWidth="1"/>
    <col min="16" max="16" width="12.5703125" style="2" customWidth="1"/>
    <col min="17" max="29" width="13.7109375" style="2" customWidth="1"/>
    <col min="30" max="16384" width="9.140625" style="2"/>
  </cols>
  <sheetData>
    <row r="2" spans="2:10" s="15" customFormat="1" ht="18" x14ac:dyDescent="0.2">
      <c r="B2" s="15" t="s">
        <v>615</v>
      </c>
    </row>
    <row r="4" spans="2:10" x14ac:dyDescent="0.2">
      <c r="B4" s="26" t="s">
        <v>47</v>
      </c>
      <c r="C4" s="1"/>
      <c r="D4" s="1"/>
    </row>
    <row r="5" spans="2:10" x14ac:dyDescent="0.2">
      <c r="B5" s="2" t="s">
        <v>616</v>
      </c>
      <c r="H5" s="16"/>
    </row>
    <row r="6" spans="2:10" x14ac:dyDescent="0.2">
      <c r="B6" s="2" t="s">
        <v>304</v>
      </c>
    </row>
    <row r="9" spans="2:10" s="8" customFormat="1" x14ac:dyDescent="0.2">
      <c r="B9" s="8" t="s">
        <v>36</v>
      </c>
      <c r="F9" s="8" t="s">
        <v>19</v>
      </c>
      <c r="H9" s="8" t="s">
        <v>20</v>
      </c>
      <c r="J9" s="8" t="s">
        <v>38</v>
      </c>
    </row>
    <row r="12" spans="2:10" s="8" customFormat="1" x14ac:dyDescent="0.2">
      <c r="B12" s="8" t="s">
        <v>118</v>
      </c>
    </row>
    <row r="14" spans="2:10" x14ac:dyDescent="0.2">
      <c r="B14" s="2" t="s">
        <v>371</v>
      </c>
      <c r="F14" s="2" t="s">
        <v>119</v>
      </c>
      <c r="H14" s="126">
        <f>Parameters!H20</f>
        <v>2.5000000000000001E-2</v>
      </c>
    </row>
    <row r="16" spans="2:10" s="8" customFormat="1" x14ac:dyDescent="0.2">
      <c r="B16" s="8" t="s">
        <v>617</v>
      </c>
    </row>
    <row r="18" spans="2:12" x14ac:dyDescent="0.2">
      <c r="B18" s="1" t="s">
        <v>305</v>
      </c>
    </row>
    <row r="19" spans="2:12" x14ac:dyDescent="0.2">
      <c r="B19" s="2" t="s">
        <v>618</v>
      </c>
      <c r="F19" s="2" t="s">
        <v>362</v>
      </c>
      <c r="H19" s="34">
        <f>'Berekening kostenbasis'!M98</f>
        <v>19566046.14563603</v>
      </c>
      <c r="J19" s="162"/>
    </row>
    <row r="20" spans="2:12" x14ac:dyDescent="0.2">
      <c r="B20" s="2" t="s">
        <v>128</v>
      </c>
      <c r="F20" s="2" t="s">
        <v>362</v>
      </c>
      <c r="H20" s="34">
        <f>'Totaaloverzicht correcties'!M86</f>
        <v>2116210.5788632017</v>
      </c>
      <c r="J20" s="162"/>
    </row>
    <row r="21" spans="2:12" x14ac:dyDescent="0.2">
      <c r="B21" s="2" t="s">
        <v>619</v>
      </c>
      <c r="F21" s="2" t="s">
        <v>362</v>
      </c>
      <c r="H21" s="35">
        <f>H19+H20</f>
        <v>21682256.724499233</v>
      </c>
      <c r="J21" s="133"/>
    </row>
    <row r="23" spans="2:12" x14ac:dyDescent="0.2">
      <c r="B23" s="2" t="s">
        <v>620</v>
      </c>
      <c r="F23" s="2" t="s">
        <v>132</v>
      </c>
      <c r="H23" s="34">
        <f>'Gegevens raming 2025'!M82</f>
        <v>115533.04583333334</v>
      </c>
      <c r="J23" s="162"/>
    </row>
    <row r="24" spans="2:12" x14ac:dyDescent="0.2">
      <c r="B24" s="2" t="s">
        <v>621</v>
      </c>
      <c r="F24" s="2" t="s">
        <v>622</v>
      </c>
      <c r="H24" s="163">
        <f>H21/H23/12</f>
        <v>15.639289296052587</v>
      </c>
      <c r="J24" s="164"/>
    </row>
    <row r="26" spans="2:12" x14ac:dyDescent="0.2">
      <c r="B26" s="1" t="s">
        <v>306</v>
      </c>
    </row>
    <row r="27" spans="2:12" ht="25.5" x14ac:dyDescent="0.2">
      <c r="B27" s="115" t="s">
        <v>79</v>
      </c>
      <c r="C27" s="116" t="s">
        <v>186</v>
      </c>
      <c r="H27" s="122"/>
      <c r="J27" s="16"/>
      <c r="L27" s="46"/>
    </row>
    <row r="28" spans="2:12" x14ac:dyDescent="0.2">
      <c r="B28" s="2" t="s">
        <v>81</v>
      </c>
      <c r="C28" s="165">
        <f>'Gegevens raming 2025'!C49</f>
        <v>3.1</v>
      </c>
      <c r="F28" s="2" t="s">
        <v>623</v>
      </c>
      <c r="H28" s="166">
        <f t="shared" ref="H28:H40" si="0">C28*$H$24</f>
        <v>48.481796817763019</v>
      </c>
    </row>
    <row r="29" spans="2:12" x14ac:dyDescent="0.2">
      <c r="B29" s="2" t="s">
        <v>82</v>
      </c>
      <c r="C29" s="165">
        <f>'Gegevens raming 2025'!C50</f>
        <v>4.4000000000000004</v>
      </c>
      <c r="F29" s="2" t="s">
        <v>623</v>
      </c>
      <c r="H29" s="166">
        <f t="shared" si="0"/>
        <v>68.812872902631383</v>
      </c>
    </row>
    <row r="30" spans="2:12" x14ac:dyDescent="0.2">
      <c r="B30" s="2" t="s">
        <v>83</v>
      </c>
      <c r="C30" s="165">
        <f>'Gegevens raming 2025'!C51</f>
        <v>4.4000000000000004</v>
      </c>
      <c r="F30" s="2" t="s">
        <v>623</v>
      </c>
      <c r="H30" s="166">
        <f t="shared" si="0"/>
        <v>68.812872902631383</v>
      </c>
    </row>
    <row r="31" spans="2:12" x14ac:dyDescent="0.2">
      <c r="B31" s="2" t="s">
        <v>84</v>
      </c>
      <c r="C31" s="165">
        <f>'Gegevens raming 2025'!C52</f>
        <v>11.4</v>
      </c>
      <c r="F31" s="2" t="s">
        <v>623</v>
      </c>
      <c r="H31" s="166">
        <f t="shared" si="0"/>
        <v>178.28789797499948</v>
      </c>
    </row>
    <row r="32" spans="2:12" x14ac:dyDescent="0.2">
      <c r="B32" s="2" t="s">
        <v>85</v>
      </c>
      <c r="C32" s="165">
        <f>'Gegevens raming 2025'!C53</f>
        <v>19.2</v>
      </c>
      <c r="F32" s="2" t="s">
        <v>623</v>
      </c>
      <c r="H32" s="166">
        <f t="shared" si="0"/>
        <v>300.27435448420965</v>
      </c>
    </row>
    <row r="33" spans="2:17" x14ac:dyDescent="0.2">
      <c r="B33" s="2" t="s">
        <v>86</v>
      </c>
      <c r="C33" s="165">
        <f>'Gegevens raming 2025'!C54</f>
        <v>30.4</v>
      </c>
      <c r="F33" s="2" t="s">
        <v>623</v>
      </c>
      <c r="H33" s="166">
        <f t="shared" si="0"/>
        <v>475.4343945999986</v>
      </c>
    </row>
    <row r="34" spans="2:17" x14ac:dyDescent="0.2">
      <c r="B34" s="2" t="s">
        <v>87</v>
      </c>
      <c r="C34" s="165">
        <f>'Gegevens raming 2025'!C55</f>
        <v>38.1</v>
      </c>
      <c r="F34" s="2" t="s">
        <v>623</v>
      </c>
      <c r="H34" s="166">
        <f t="shared" si="0"/>
        <v>595.85692217960354</v>
      </c>
    </row>
    <row r="35" spans="2:17" x14ac:dyDescent="0.2">
      <c r="B35" s="2" t="s">
        <v>88</v>
      </c>
      <c r="C35" s="165">
        <f>'Gegevens raming 2025'!C56</f>
        <v>47.6</v>
      </c>
      <c r="F35" s="2" t="s">
        <v>623</v>
      </c>
      <c r="H35" s="166">
        <f>C35*$H$24</f>
        <v>744.43017049210312</v>
      </c>
    </row>
    <row r="36" spans="2:17" x14ac:dyDescent="0.2">
      <c r="B36" s="2" t="s">
        <v>89</v>
      </c>
      <c r="C36" s="165">
        <f>'Gegevens raming 2025'!C57</f>
        <v>52.5</v>
      </c>
      <c r="F36" s="2" t="s">
        <v>623</v>
      </c>
      <c r="H36" s="166">
        <f t="shared" ref="H36:H38" si="1">C36*$H$24</f>
        <v>821.06268804276078</v>
      </c>
    </row>
    <row r="37" spans="2:17" x14ac:dyDescent="0.2">
      <c r="B37" s="2" t="s">
        <v>90</v>
      </c>
      <c r="C37" s="165">
        <f>'Gegevens raming 2025'!C58</f>
        <v>60.9</v>
      </c>
      <c r="F37" s="2" t="s">
        <v>623</v>
      </c>
      <c r="H37" s="166">
        <f t="shared" si="1"/>
        <v>952.43271812960245</v>
      </c>
    </row>
    <row r="38" spans="2:17" x14ac:dyDescent="0.2">
      <c r="B38" s="2" t="s">
        <v>91</v>
      </c>
      <c r="C38" s="165">
        <f>'Gegevens raming 2025'!C59</f>
        <v>65.7</v>
      </c>
      <c r="F38" s="2" t="s">
        <v>623</v>
      </c>
      <c r="H38" s="166">
        <f t="shared" si="1"/>
        <v>1027.501306750655</v>
      </c>
    </row>
    <row r="39" spans="2:17" x14ac:dyDescent="0.2">
      <c r="B39" s="2" t="s">
        <v>92</v>
      </c>
      <c r="C39" s="165">
        <f>'Gegevens raming 2025'!C60</f>
        <v>76.099999999999994</v>
      </c>
      <c r="F39" s="2" t="s">
        <v>623</v>
      </c>
      <c r="H39" s="166">
        <f t="shared" si="0"/>
        <v>1190.1499154296018</v>
      </c>
    </row>
    <row r="40" spans="2:17" x14ac:dyDescent="0.2">
      <c r="B40" s="2" t="s">
        <v>307</v>
      </c>
      <c r="C40" s="165">
        <f>'Gegevens raming 2025'!C61</f>
        <v>1</v>
      </c>
      <c r="F40" s="2" t="s">
        <v>622</v>
      </c>
      <c r="H40" s="166">
        <f t="shared" si="0"/>
        <v>15.639289296052587</v>
      </c>
      <c r="J40" s="2" t="s">
        <v>308</v>
      </c>
    </row>
    <row r="43" spans="2:17" s="8" customFormat="1" x14ac:dyDescent="0.2">
      <c r="B43" s="8" t="s">
        <v>77</v>
      </c>
    </row>
    <row r="45" spans="2:17" x14ac:dyDescent="0.2">
      <c r="B45" s="52" t="s">
        <v>309</v>
      </c>
      <c r="F45" s="2" t="s">
        <v>134</v>
      </c>
      <c r="H45" s="127">
        <f>'Gegevens raming 2025'!M37</f>
        <v>208.33333333333334</v>
      </c>
      <c r="Q45" s="122"/>
    </row>
    <row r="46" spans="2:17" x14ac:dyDescent="0.2">
      <c r="B46" s="2" t="s">
        <v>359</v>
      </c>
      <c r="F46" s="2" t="s">
        <v>356</v>
      </c>
      <c r="H46" s="45">
        <f>'Variabel tarief elektriciteit'!H43</f>
        <v>0.31359999999999999</v>
      </c>
      <c r="J46" s="2" t="s">
        <v>310</v>
      </c>
      <c r="P46" s="167"/>
      <c r="Q46" s="50"/>
    </row>
    <row r="47" spans="2:17" x14ac:dyDescent="0.2">
      <c r="B47" s="52" t="s">
        <v>311</v>
      </c>
      <c r="F47" s="2" t="s">
        <v>623</v>
      </c>
      <c r="H47" s="163">
        <f>ROUND(H29,2)</f>
        <v>68.81</v>
      </c>
      <c r="J47" s="2" t="s">
        <v>310</v>
      </c>
    </row>
    <row r="48" spans="2:17" x14ac:dyDescent="0.2">
      <c r="B48" s="2" t="s">
        <v>624</v>
      </c>
      <c r="F48" s="2" t="s">
        <v>356</v>
      </c>
      <c r="H48" s="41">
        <f>ROUND(H46+H47/H45,4)</f>
        <v>0.64390000000000003</v>
      </c>
      <c r="J48" s="2" t="s">
        <v>312</v>
      </c>
      <c r="Q48" s="50"/>
    </row>
    <row r="51" spans="2:10" s="8" customFormat="1" x14ac:dyDescent="0.2">
      <c r="B51" s="8" t="s">
        <v>313</v>
      </c>
    </row>
    <row r="53" spans="2:10" x14ac:dyDescent="0.2">
      <c r="B53" s="52" t="s">
        <v>314</v>
      </c>
      <c r="F53" s="2" t="s">
        <v>97</v>
      </c>
      <c r="H53" s="127">
        <f>'Gegevens raming 2025'!M40</f>
        <v>40</v>
      </c>
    </row>
    <row r="54" spans="2:10" x14ac:dyDescent="0.2">
      <c r="B54" s="52" t="s">
        <v>625</v>
      </c>
      <c r="F54" s="2" t="s">
        <v>362</v>
      </c>
      <c r="H54" s="166">
        <f>H53</f>
        <v>40</v>
      </c>
      <c r="J54" s="2" t="s">
        <v>315</v>
      </c>
    </row>
    <row r="56" spans="2:10" x14ac:dyDescent="0.2">
      <c r="B56" s="1" t="s">
        <v>316</v>
      </c>
    </row>
    <row r="57" spans="2:10" x14ac:dyDescent="0.2">
      <c r="B57" s="2" t="s">
        <v>317</v>
      </c>
      <c r="F57" s="2" t="s">
        <v>97</v>
      </c>
      <c r="H57" s="127">
        <f>'Gegevens raming 2025'!M41</f>
        <v>1750.1930329329507</v>
      </c>
    </row>
    <row r="58" spans="2:10" x14ac:dyDescent="0.2">
      <c r="B58" s="2" t="s">
        <v>626</v>
      </c>
      <c r="F58" s="2" t="s">
        <v>362</v>
      </c>
      <c r="H58" s="166">
        <f>H57*(1+$H$14)</f>
        <v>1793.9478587562744</v>
      </c>
      <c r="J58" s="25"/>
    </row>
    <row r="59" spans="2:10" x14ac:dyDescent="0.2">
      <c r="J59" s="25"/>
    </row>
    <row r="60" spans="2:10" x14ac:dyDescent="0.2">
      <c r="J60" s="25"/>
    </row>
    <row r="63" spans="2:10" x14ac:dyDescent="0.2">
      <c r="B63" s="4" t="s">
        <v>62</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60CA1-0A23-4AF3-9B24-3CBB9FC633DC}">
  <sheetPr>
    <tabColor rgb="FFFFFFCC"/>
  </sheetPr>
  <dimension ref="B2:M39"/>
  <sheetViews>
    <sheetView showGridLines="0" zoomScale="85" zoomScaleNormal="85" workbookViewId="0">
      <pane xSplit="6" ySplit="9" topLeftCell="G10" activePane="bottomRight" state="frozen"/>
      <selection pane="topRight"/>
      <selection pane="bottomLeft"/>
      <selection pane="bottomRight"/>
    </sheetView>
  </sheetViews>
  <sheetFormatPr defaultRowHeight="12.75" x14ac:dyDescent="0.2"/>
  <cols>
    <col min="1" max="1" width="4.7109375" style="2" customWidth="1"/>
    <col min="2" max="2" width="65.42578125" style="2" customWidth="1"/>
    <col min="3" max="3" width="4.7109375" style="2" customWidth="1"/>
    <col min="4" max="5" width="4.5703125" style="2" customWidth="1"/>
    <col min="6" max="6" width="23.1406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6" width="19.140625" style="2" customWidth="1"/>
    <col min="17" max="19" width="4" style="2" customWidth="1"/>
    <col min="20" max="20" width="12.5703125" style="2" customWidth="1"/>
    <col min="21" max="33" width="13.7109375" style="2" customWidth="1"/>
    <col min="34" max="16384" width="9.140625" style="2"/>
  </cols>
  <sheetData>
    <row r="2" spans="2:13" s="15" customFormat="1" ht="18" x14ac:dyDescent="0.2">
      <c r="B2" s="15" t="s">
        <v>627</v>
      </c>
    </row>
    <row r="4" spans="2:13" x14ac:dyDescent="0.2">
      <c r="B4" s="26" t="s">
        <v>47</v>
      </c>
      <c r="C4" s="1"/>
      <c r="D4" s="1"/>
    </row>
    <row r="5" spans="2:13" x14ac:dyDescent="0.2">
      <c r="B5" s="2" t="s">
        <v>628</v>
      </c>
      <c r="H5" s="16"/>
      <c r="I5" s="16"/>
      <c r="J5" s="16"/>
      <c r="K5" s="16"/>
      <c r="L5" s="16"/>
      <c r="M5" s="16"/>
    </row>
    <row r="6" spans="2:13" x14ac:dyDescent="0.2">
      <c r="H6" s="16"/>
      <c r="I6" s="16"/>
      <c r="J6" s="16"/>
      <c r="K6" s="16"/>
      <c r="L6" s="16"/>
      <c r="M6" s="16"/>
    </row>
    <row r="8" spans="2:13" s="8" customFormat="1" x14ac:dyDescent="0.2">
      <c r="B8" s="8" t="s">
        <v>36</v>
      </c>
      <c r="F8" s="8" t="s">
        <v>19</v>
      </c>
      <c r="H8" s="8" t="s">
        <v>20</v>
      </c>
      <c r="J8" s="8" t="s">
        <v>38</v>
      </c>
    </row>
    <row r="11" spans="2:13" s="8" customFormat="1" x14ac:dyDescent="0.2">
      <c r="B11" s="8" t="s">
        <v>139</v>
      </c>
    </row>
    <row r="13" spans="2:13" x14ac:dyDescent="0.2">
      <c r="B13" s="1" t="s">
        <v>629</v>
      </c>
    </row>
    <row r="14" spans="2:13" x14ac:dyDescent="0.2">
      <c r="B14" s="2" t="s">
        <v>630</v>
      </c>
      <c r="F14" s="2" t="s">
        <v>151</v>
      </c>
      <c r="H14" s="34">
        <f>'Gegevens raming 2025'!N82</f>
        <v>2938857</v>
      </c>
      <c r="L14" s="162"/>
      <c r="M14" s="32"/>
    </row>
    <row r="15" spans="2:13" x14ac:dyDescent="0.2">
      <c r="M15" s="32"/>
    </row>
    <row r="16" spans="2:13" x14ac:dyDescent="0.2">
      <c r="B16" s="1" t="s">
        <v>602</v>
      </c>
      <c r="M16" s="32"/>
    </row>
    <row r="17" spans="2:13" x14ac:dyDescent="0.2">
      <c r="B17" s="2" t="s">
        <v>603</v>
      </c>
      <c r="F17" s="2" t="s">
        <v>362</v>
      </c>
      <c r="H17" s="34">
        <f>'Berekening kostenbasis'!N98</f>
        <v>6498494.8087183591</v>
      </c>
      <c r="J17" s="2" t="s">
        <v>318</v>
      </c>
      <c r="L17" s="162"/>
      <c r="M17" s="32"/>
    </row>
    <row r="18" spans="2:13" x14ac:dyDescent="0.2">
      <c r="B18" s="2" t="s">
        <v>631</v>
      </c>
      <c r="F18" s="2" t="s">
        <v>362</v>
      </c>
      <c r="H18" s="34">
        <f>'Totaaloverzicht correcties'!N83</f>
        <v>397879.01529145625</v>
      </c>
      <c r="L18" s="162"/>
      <c r="M18" s="32"/>
    </row>
    <row r="19" spans="2:13" x14ac:dyDescent="0.2">
      <c r="B19" s="2" t="s">
        <v>632</v>
      </c>
      <c r="F19" s="2" t="s">
        <v>362</v>
      </c>
      <c r="H19" s="35">
        <f>H17+H18</f>
        <v>6896373.8240098152</v>
      </c>
      <c r="L19" s="133"/>
      <c r="M19" s="32"/>
    </row>
    <row r="20" spans="2:13" x14ac:dyDescent="0.2">
      <c r="M20" s="32"/>
    </row>
    <row r="21" spans="2:13" x14ac:dyDescent="0.2">
      <c r="B21" s="2" t="s">
        <v>633</v>
      </c>
      <c r="F21" s="2" t="s">
        <v>356</v>
      </c>
      <c r="H21" s="142">
        <f>'Variabel tarief elektriciteit'!H43</f>
        <v>0.31359999999999999</v>
      </c>
      <c r="J21" s="2" t="s">
        <v>310</v>
      </c>
      <c r="L21" s="168"/>
      <c r="M21" s="168"/>
    </row>
    <row r="22" spans="2:13" x14ac:dyDescent="0.2">
      <c r="B22" s="2" t="s">
        <v>319</v>
      </c>
      <c r="F22" s="2" t="s">
        <v>153</v>
      </c>
      <c r="H22" s="142">
        <f>'Gegevens raming 2025'!N27</f>
        <v>3.8977090254720119</v>
      </c>
      <c r="L22" s="168"/>
      <c r="M22" s="168"/>
    </row>
    <row r="23" spans="2:13" x14ac:dyDescent="0.2">
      <c r="B23" s="2" t="s">
        <v>320</v>
      </c>
      <c r="F23" s="2" t="s">
        <v>362</v>
      </c>
      <c r="H23" s="169">
        <f>H14*H22*H21</f>
        <v>3592228.2446086938</v>
      </c>
      <c r="L23" s="104"/>
      <c r="M23" s="168"/>
    </row>
    <row r="24" spans="2:13" x14ac:dyDescent="0.2">
      <c r="M24" s="168"/>
    </row>
    <row r="25" spans="2:13" x14ac:dyDescent="0.2">
      <c r="B25" s="2" t="s">
        <v>634</v>
      </c>
      <c r="F25" s="2" t="s">
        <v>365</v>
      </c>
      <c r="H25" s="150">
        <f>(H19+H23)/H14</f>
        <v>3.5689392401938953</v>
      </c>
      <c r="L25" s="43"/>
      <c r="M25" s="168"/>
    </row>
    <row r="26" spans="2:13" x14ac:dyDescent="0.2">
      <c r="B26" s="2" t="s">
        <v>635</v>
      </c>
      <c r="F26" s="2" t="s">
        <v>365</v>
      </c>
      <c r="H26" s="156">
        <f>ROUND(H25,4)</f>
        <v>3.5689000000000002</v>
      </c>
      <c r="J26" s="2" t="s">
        <v>312</v>
      </c>
      <c r="L26" s="43"/>
      <c r="M26" s="168"/>
    </row>
    <row r="28" spans="2:13" s="8" customFormat="1" x14ac:dyDescent="0.2">
      <c r="B28" s="8" t="s">
        <v>321</v>
      </c>
    </row>
    <row r="30" spans="2:13" x14ac:dyDescent="0.2">
      <c r="B30" s="2" t="s">
        <v>147</v>
      </c>
      <c r="F30" s="2" t="s">
        <v>362</v>
      </c>
      <c r="H30" s="34">
        <f>'Totaaloverzicht correcties'!O84</f>
        <v>-18969.09145377055</v>
      </c>
    </row>
    <row r="31" spans="2:13" x14ac:dyDescent="0.2">
      <c r="B31" s="2" t="s">
        <v>322</v>
      </c>
      <c r="F31" s="2" t="s">
        <v>365</v>
      </c>
      <c r="H31" s="150">
        <f>H30/H14</f>
        <v>-6.4545813061916762E-3</v>
      </c>
    </row>
    <row r="33" spans="2:13" x14ac:dyDescent="0.2">
      <c r="B33" s="2" t="s">
        <v>323</v>
      </c>
      <c r="F33" s="2" t="s">
        <v>119</v>
      </c>
      <c r="H33" s="151">
        <f>'Gegevens raming 2025'!O35</f>
        <v>0.12147214933123054</v>
      </c>
    </row>
    <row r="34" spans="2:13" x14ac:dyDescent="0.2">
      <c r="B34" s="2" t="s">
        <v>636</v>
      </c>
      <c r="F34" s="2" t="s">
        <v>365</v>
      </c>
      <c r="H34" s="170">
        <f>(H26+H31)/(1-H33)</f>
        <v>4.0550170560693513</v>
      </c>
    </row>
    <row r="35" spans="2:13" x14ac:dyDescent="0.2">
      <c r="B35" s="2" t="s">
        <v>637</v>
      </c>
      <c r="F35" s="2" t="s">
        <v>365</v>
      </c>
      <c r="H35" s="51">
        <f>ROUND(H34,3)</f>
        <v>4.0549999999999997</v>
      </c>
      <c r="J35" s="2" t="s">
        <v>324</v>
      </c>
      <c r="M35" s="50"/>
    </row>
    <row r="36" spans="2:13" x14ac:dyDescent="0.2">
      <c r="H36" s="171"/>
    </row>
    <row r="39" spans="2:13" x14ac:dyDescent="0.2">
      <c r="B39" s="4" t="s">
        <v>62</v>
      </c>
    </row>
  </sheetData>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C73E9-C680-41D8-B1F4-2C641E618474}">
  <sheetPr>
    <tabColor rgb="FFFFFFCC"/>
  </sheetPr>
  <dimension ref="B2:P63"/>
  <sheetViews>
    <sheetView showGridLines="0" zoomScale="85" zoomScaleNormal="85" workbookViewId="0">
      <pane xSplit="6" ySplit="10" topLeftCell="G11" activePane="bottomRight" state="frozen"/>
      <selection pane="topRight"/>
      <selection pane="bottomLeft"/>
      <selection pane="bottomRight"/>
    </sheetView>
  </sheetViews>
  <sheetFormatPr defaultRowHeight="12.75" x14ac:dyDescent="0.2"/>
  <cols>
    <col min="1" max="1" width="4.7109375" style="2" customWidth="1"/>
    <col min="2" max="2" width="61.5703125" style="2" customWidth="1"/>
    <col min="3" max="3" width="21" style="2" customWidth="1"/>
    <col min="4" max="5" width="4.5703125" style="2" customWidth="1"/>
    <col min="6" max="6" width="24.2851562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2" width="19.140625" style="2" customWidth="1"/>
    <col min="13" max="15" width="4" style="2" customWidth="1"/>
    <col min="16" max="16" width="12.5703125" style="2" customWidth="1"/>
    <col min="17" max="29" width="13.7109375" style="2" customWidth="1"/>
    <col min="30" max="16384" width="9.140625" style="2"/>
  </cols>
  <sheetData>
    <row r="2" spans="2:10" s="15" customFormat="1" ht="18" x14ac:dyDescent="0.2">
      <c r="B2" s="15" t="s">
        <v>638</v>
      </c>
    </row>
    <row r="4" spans="2:10" x14ac:dyDescent="0.2">
      <c r="B4" s="26" t="s">
        <v>47</v>
      </c>
      <c r="C4" s="1"/>
      <c r="D4" s="1"/>
    </row>
    <row r="5" spans="2:10" x14ac:dyDescent="0.2">
      <c r="B5" s="2" t="s">
        <v>303</v>
      </c>
      <c r="H5" s="16"/>
    </row>
    <row r="6" spans="2:10" x14ac:dyDescent="0.2">
      <c r="B6" s="2" t="s">
        <v>325</v>
      </c>
    </row>
    <row r="9" spans="2:10" s="8" customFormat="1" x14ac:dyDescent="0.2">
      <c r="B9" s="8" t="s">
        <v>36</v>
      </c>
      <c r="F9" s="8" t="s">
        <v>19</v>
      </c>
      <c r="H9" s="8" t="s">
        <v>20</v>
      </c>
      <c r="J9" s="8" t="s">
        <v>38</v>
      </c>
    </row>
    <row r="12" spans="2:10" s="8" customFormat="1" x14ac:dyDescent="0.2">
      <c r="B12" s="8" t="s">
        <v>118</v>
      </c>
    </row>
    <row r="14" spans="2:10" x14ac:dyDescent="0.2">
      <c r="B14" s="2" t="s">
        <v>371</v>
      </c>
      <c r="F14" s="2" t="s">
        <v>119</v>
      </c>
      <c r="H14" s="126">
        <f>Parameters!H20</f>
        <v>2.5000000000000001E-2</v>
      </c>
    </row>
    <row r="16" spans="2:10" s="8" customFormat="1" x14ac:dyDescent="0.2">
      <c r="B16" s="8" t="s">
        <v>638</v>
      </c>
    </row>
    <row r="18" spans="2:16" x14ac:dyDescent="0.2">
      <c r="B18" s="1" t="s">
        <v>326</v>
      </c>
    </row>
    <row r="19" spans="2:16" x14ac:dyDescent="0.2">
      <c r="B19" s="2" t="s">
        <v>639</v>
      </c>
      <c r="F19" s="2" t="s">
        <v>362</v>
      </c>
      <c r="H19" s="34">
        <f>'Berekening kostenbasis'!O98</f>
        <v>7818867.3265243191</v>
      </c>
      <c r="P19" s="32"/>
    </row>
    <row r="20" spans="2:16" x14ac:dyDescent="0.2">
      <c r="B20" s="2" t="s">
        <v>128</v>
      </c>
      <c r="F20" s="2" t="s">
        <v>362</v>
      </c>
      <c r="H20" s="34">
        <f>'Totaaloverzicht correcties'!O86</f>
        <v>493349.59557459661</v>
      </c>
      <c r="P20" s="32"/>
    </row>
    <row r="21" spans="2:16" x14ac:dyDescent="0.2">
      <c r="B21" s="2" t="s">
        <v>619</v>
      </c>
      <c r="F21" s="2" t="s">
        <v>362</v>
      </c>
      <c r="H21" s="35">
        <f>H19+H20</f>
        <v>8312216.922098916</v>
      </c>
      <c r="P21" s="32"/>
    </row>
    <row r="22" spans="2:16" x14ac:dyDescent="0.2">
      <c r="P22" s="32"/>
    </row>
    <row r="23" spans="2:16" x14ac:dyDescent="0.2">
      <c r="B23" s="2" t="s">
        <v>620</v>
      </c>
      <c r="F23" s="2" t="s">
        <v>155</v>
      </c>
      <c r="H23" s="34">
        <f>'Gegevens raming 2025'!O82</f>
        <v>3380.3125</v>
      </c>
      <c r="P23" s="32"/>
    </row>
    <row r="24" spans="2:16" x14ac:dyDescent="0.2">
      <c r="B24" s="2" t="s">
        <v>640</v>
      </c>
      <c r="F24" s="2" t="s">
        <v>641</v>
      </c>
      <c r="H24" s="163">
        <f>H21/H23/12</f>
        <v>204.91736888475342</v>
      </c>
      <c r="P24" s="32"/>
    </row>
    <row r="26" spans="2:16" x14ac:dyDescent="0.2">
      <c r="B26" s="1" t="s">
        <v>306</v>
      </c>
    </row>
    <row r="27" spans="2:16" ht="25.5" x14ac:dyDescent="0.2">
      <c r="B27" s="115" t="s">
        <v>79</v>
      </c>
      <c r="C27" s="116" t="s">
        <v>194</v>
      </c>
      <c r="H27" s="122"/>
    </row>
    <row r="28" spans="2:16" x14ac:dyDescent="0.2">
      <c r="B28" s="111" t="s">
        <v>104</v>
      </c>
      <c r="C28" s="127">
        <f>'Gegevens raming 2025'!C69</f>
        <v>0.25</v>
      </c>
      <c r="F28" s="2" t="s">
        <v>623</v>
      </c>
      <c r="H28" s="166">
        <f t="shared" ref="H28:H33" si="0">C28*$H$24</f>
        <v>51.229342221188354</v>
      </c>
    </row>
    <row r="29" spans="2:16" x14ac:dyDescent="0.2">
      <c r="B29" s="111" t="s">
        <v>105</v>
      </c>
      <c r="C29" s="127">
        <f>'Gegevens raming 2025'!C70</f>
        <v>0.5625</v>
      </c>
      <c r="F29" s="2" t="s">
        <v>623</v>
      </c>
      <c r="H29" s="166">
        <f t="shared" si="0"/>
        <v>115.26601999767379</v>
      </c>
    </row>
    <row r="30" spans="2:16" x14ac:dyDescent="0.2">
      <c r="B30" s="111" t="s">
        <v>106</v>
      </c>
      <c r="C30" s="127">
        <f>'Gegevens raming 2025'!C71</f>
        <v>1</v>
      </c>
      <c r="F30" s="2" t="s">
        <v>623</v>
      </c>
      <c r="H30" s="166">
        <f t="shared" si="0"/>
        <v>204.91736888475342</v>
      </c>
    </row>
    <row r="31" spans="2:16" x14ac:dyDescent="0.2">
      <c r="B31" s="52" t="s">
        <v>107</v>
      </c>
      <c r="C31" s="127">
        <f>'Gegevens raming 2025'!C72</f>
        <v>1.5625</v>
      </c>
      <c r="F31" s="2" t="s">
        <v>623</v>
      </c>
      <c r="H31" s="166">
        <f t="shared" si="0"/>
        <v>320.18338888242721</v>
      </c>
    </row>
    <row r="32" spans="2:16" x14ac:dyDescent="0.2">
      <c r="B32" s="111" t="s">
        <v>108</v>
      </c>
      <c r="C32" s="127">
        <f>'Gegevens raming 2025'!C73</f>
        <v>4</v>
      </c>
      <c r="F32" s="2" t="s">
        <v>623</v>
      </c>
      <c r="H32" s="166">
        <f t="shared" si="0"/>
        <v>819.66947553901366</v>
      </c>
    </row>
    <row r="33" spans="2:10" x14ac:dyDescent="0.2">
      <c r="B33" s="111" t="s">
        <v>109</v>
      </c>
      <c r="C33" s="127">
        <f>'Gegevens raming 2025'!C74</f>
        <v>16</v>
      </c>
      <c r="F33" s="2" t="s">
        <v>623</v>
      </c>
      <c r="H33" s="166">
        <f t="shared" si="0"/>
        <v>3278.6779021560546</v>
      </c>
      <c r="J33" s="172"/>
    </row>
    <row r="36" spans="2:10" s="8" customFormat="1" x14ac:dyDescent="0.2">
      <c r="B36" s="8" t="s">
        <v>327</v>
      </c>
    </row>
    <row r="38" spans="2:10" x14ac:dyDescent="0.2">
      <c r="B38" s="1" t="s">
        <v>328</v>
      </c>
    </row>
    <row r="39" spans="2:10" x14ac:dyDescent="0.2">
      <c r="B39" s="52" t="s">
        <v>642</v>
      </c>
      <c r="F39" s="2" t="s">
        <v>362</v>
      </c>
      <c r="H39" s="141">
        <f>'Berekening kostenbasis'!P98</f>
        <v>178193.10133342008</v>
      </c>
    </row>
    <row r="40" spans="2:10" x14ac:dyDescent="0.2">
      <c r="B40" s="2" t="s">
        <v>329</v>
      </c>
      <c r="F40" s="2" t="s">
        <v>362</v>
      </c>
      <c r="H40" s="141">
        <f>'Totaaloverzicht correcties'!P84</f>
        <v>8951.8254665685599</v>
      </c>
    </row>
    <row r="41" spans="2:10" x14ac:dyDescent="0.2">
      <c r="B41" s="52" t="s">
        <v>643</v>
      </c>
      <c r="F41" s="2" t="s">
        <v>362</v>
      </c>
      <c r="H41" s="35">
        <f>H39+H40</f>
        <v>187144.92679998864</v>
      </c>
    </row>
    <row r="42" spans="2:10" x14ac:dyDescent="0.2">
      <c r="B42" s="52"/>
    </row>
    <row r="43" spans="2:10" x14ac:dyDescent="0.2">
      <c r="B43" s="52" t="s">
        <v>644</v>
      </c>
      <c r="F43" s="2" t="s">
        <v>151</v>
      </c>
      <c r="H43" s="141">
        <f>'Gegevens raming 2025'!P82</f>
        <v>19406</v>
      </c>
    </row>
    <row r="44" spans="2:10" x14ac:dyDescent="0.2">
      <c r="B44" s="52"/>
    </row>
    <row r="45" spans="2:10" x14ac:dyDescent="0.2">
      <c r="B45" s="52" t="s">
        <v>330</v>
      </c>
      <c r="F45" s="2" t="s">
        <v>365</v>
      </c>
      <c r="H45" s="173">
        <f>H41/H43</f>
        <v>9.6436631351122664</v>
      </c>
    </row>
    <row r="46" spans="2:10" x14ac:dyDescent="0.2">
      <c r="B46" s="2" t="s">
        <v>343</v>
      </c>
      <c r="F46" s="2" t="s">
        <v>365</v>
      </c>
      <c r="H46" s="142">
        <f>'Variabel tarief drinkwater'!H26</f>
        <v>3.5689000000000002</v>
      </c>
      <c r="J46" s="2" t="s">
        <v>331</v>
      </c>
    </row>
    <row r="47" spans="2:10" x14ac:dyDescent="0.2">
      <c r="B47" s="2" t="s">
        <v>102</v>
      </c>
      <c r="F47" s="2" t="s">
        <v>365</v>
      </c>
      <c r="H47" s="103">
        <f>H45+H46</f>
        <v>13.212563135112266</v>
      </c>
    </row>
    <row r="48" spans="2:10" x14ac:dyDescent="0.2">
      <c r="B48" s="2" t="s">
        <v>332</v>
      </c>
      <c r="F48" s="2" t="s">
        <v>365</v>
      </c>
      <c r="H48" s="174">
        <f>ROUND(H47,3)</f>
        <v>13.212999999999999</v>
      </c>
    </row>
    <row r="51" spans="2:10" s="8" customFormat="1" x14ac:dyDescent="0.2">
      <c r="B51" s="8" t="s">
        <v>333</v>
      </c>
    </row>
    <row r="53" spans="2:10" x14ac:dyDescent="0.2">
      <c r="B53" s="52" t="s">
        <v>314</v>
      </c>
      <c r="F53" s="2" t="s">
        <v>97</v>
      </c>
      <c r="H53" s="127">
        <f>'Gegevens raming 2025'!O40</f>
        <v>40</v>
      </c>
    </row>
    <row r="54" spans="2:10" x14ac:dyDescent="0.2">
      <c r="B54" s="52" t="s">
        <v>625</v>
      </c>
      <c r="F54" s="2" t="s">
        <v>362</v>
      </c>
      <c r="H54" s="166">
        <f>H53</f>
        <v>40</v>
      </c>
      <c r="J54" s="2" t="s">
        <v>334</v>
      </c>
    </row>
    <row r="56" spans="2:10" x14ac:dyDescent="0.2">
      <c r="B56" s="1" t="s">
        <v>316</v>
      </c>
    </row>
    <row r="57" spans="2:10" x14ac:dyDescent="0.2">
      <c r="B57" s="2" t="s">
        <v>335</v>
      </c>
      <c r="F57" s="2" t="s">
        <v>97</v>
      </c>
      <c r="H57" s="127">
        <f>'Gegevens raming 2025'!O41</f>
        <v>1191.5936187033803</v>
      </c>
    </row>
    <row r="58" spans="2:10" x14ac:dyDescent="0.2">
      <c r="B58" s="2" t="s">
        <v>645</v>
      </c>
      <c r="F58" s="2" t="s">
        <v>362</v>
      </c>
      <c r="H58" s="166">
        <f>H57*(1+$H$14)</f>
        <v>1221.3834591709647</v>
      </c>
      <c r="J58" s="25"/>
    </row>
    <row r="63" spans="2:10" x14ac:dyDescent="0.2">
      <c r="B63" s="4" t="s">
        <v>62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G42"/>
  <sheetViews>
    <sheetView showGridLines="0" zoomScale="85" zoomScaleNormal="85" workbookViewId="0">
      <pane ySplit="3" topLeftCell="A4" activePane="bottomLeft" state="frozen"/>
      <selection activeCell="B6" sqref="B6"/>
      <selection pane="bottomLeft"/>
    </sheetView>
  </sheetViews>
  <sheetFormatPr defaultColWidth="9.140625" defaultRowHeight="12.75" x14ac:dyDescent="0.2"/>
  <cols>
    <col min="1" max="1" width="5.7109375" style="2" customWidth="1"/>
    <col min="2" max="2" width="7.5703125" style="2" customWidth="1"/>
    <col min="3" max="3" width="58.42578125" style="2" bestFit="1" customWidth="1"/>
    <col min="4" max="4" width="36.28515625" style="2" customWidth="1"/>
    <col min="5" max="5" width="91.140625" style="2" bestFit="1" customWidth="1"/>
    <col min="6" max="6" width="5.7109375" style="2" customWidth="1"/>
    <col min="7" max="16384" width="9.140625" style="2"/>
  </cols>
  <sheetData>
    <row r="2" spans="2:7" s="7" customFormat="1" ht="18" x14ac:dyDescent="0.2">
      <c r="B2" s="7" t="s">
        <v>17</v>
      </c>
    </row>
    <row r="5" spans="2:7" s="8" customFormat="1" x14ac:dyDescent="0.2">
      <c r="B5" s="8" t="s">
        <v>18</v>
      </c>
    </row>
    <row r="7" spans="2:7" x14ac:dyDescent="0.2">
      <c r="B7" s="27" t="s">
        <v>51</v>
      </c>
    </row>
    <row r="8" spans="2:7" x14ac:dyDescent="0.2">
      <c r="B8" s="27" t="s">
        <v>52</v>
      </c>
    </row>
    <row r="10" spans="2:7" x14ac:dyDescent="0.2">
      <c r="B10" s="17" t="s">
        <v>45</v>
      </c>
      <c r="C10" s="17" t="s">
        <v>46</v>
      </c>
      <c r="D10" s="17" t="s">
        <v>63</v>
      </c>
      <c r="E10" s="17" t="s">
        <v>64</v>
      </c>
      <c r="G10" s="25"/>
    </row>
    <row r="11" spans="2:7" x14ac:dyDescent="0.2">
      <c r="B11" s="14"/>
      <c r="C11" s="22" t="s">
        <v>50</v>
      </c>
      <c r="D11" s="22" t="s">
        <v>770</v>
      </c>
      <c r="E11" s="22" t="s">
        <v>65</v>
      </c>
    </row>
    <row r="12" spans="2:7" x14ac:dyDescent="0.2">
      <c r="B12" s="23">
        <v>1</v>
      </c>
      <c r="C12" s="6" t="s">
        <v>402</v>
      </c>
      <c r="D12" s="6"/>
      <c r="E12" s="176" t="s">
        <v>403</v>
      </c>
    </row>
    <row r="13" spans="2:7" x14ac:dyDescent="0.2">
      <c r="B13" s="6">
        <v>2</v>
      </c>
      <c r="C13" s="6" t="s">
        <v>161</v>
      </c>
      <c r="D13" s="6"/>
      <c r="E13" s="176" t="s">
        <v>404</v>
      </c>
    </row>
    <row r="14" spans="2:7" x14ac:dyDescent="0.2">
      <c r="B14" s="23">
        <v>3</v>
      </c>
      <c r="C14" s="6" t="s">
        <v>163</v>
      </c>
      <c r="D14" s="6"/>
      <c r="E14" s="176" t="s">
        <v>405</v>
      </c>
    </row>
    <row r="15" spans="2:7" x14ac:dyDescent="0.2">
      <c r="B15" s="6">
        <v>4</v>
      </c>
      <c r="C15" s="6" t="s">
        <v>707</v>
      </c>
      <c r="D15" s="6" t="s">
        <v>771</v>
      </c>
      <c r="E15" s="6" t="s">
        <v>708</v>
      </c>
    </row>
    <row r="16" spans="2:7" x14ac:dyDescent="0.2">
      <c r="B16" s="23">
        <v>5</v>
      </c>
      <c r="C16" s="6" t="s">
        <v>422</v>
      </c>
      <c r="D16" s="6"/>
      <c r="E16" s="176" t="s">
        <v>423</v>
      </c>
    </row>
    <row r="17" spans="2:5" x14ac:dyDescent="0.2">
      <c r="B17" s="6">
        <v>6</v>
      </c>
      <c r="C17" s="6" t="s">
        <v>434</v>
      </c>
      <c r="D17" s="6" t="s">
        <v>500</v>
      </c>
      <c r="E17" s="6" t="s">
        <v>502</v>
      </c>
    </row>
    <row r="18" spans="2:5" x14ac:dyDescent="0.2">
      <c r="B18" s="23">
        <v>7</v>
      </c>
      <c r="C18" s="6" t="s">
        <v>435</v>
      </c>
      <c r="D18" s="6" t="s">
        <v>763</v>
      </c>
      <c r="E18" s="6" t="s">
        <v>503</v>
      </c>
    </row>
    <row r="19" spans="2:5" x14ac:dyDescent="0.2">
      <c r="B19" s="6">
        <v>8</v>
      </c>
      <c r="C19" s="6" t="s">
        <v>663</v>
      </c>
      <c r="D19" s="6" t="s">
        <v>765</v>
      </c>
      <c r="E19" s="6" t="s">
        <v>504</v>
      </c>
    </row>
    <row r="20" spans="2:5" x14ac:dyDescent="0.2">
      <c r="B20" s="23">
        <v>9</v>
      </c>
      <c r="C20" s="6" t="s">
        <v>436</v>
      </c>
      <c r="D20" s="6" t="s">
        <v>764</v>
      </c>
      <c r="E20" s="6" t="s">
        <v>754</v>
      </c>
    </row>
    <row r="21" spans="2:5" x14ac:dyDescent="0.2">
      <c r="B21" s="6">
        <v>10</v>
      </c>
      <c r="C21" s="6" t="s">
        <v>501</v>
      </c>
      <c r="D21" s="6" t="s">
        <v>766</v>
      </c>
      <c r="E21" s="6" t="s">
        <v>504</v>
      </c>
    </row>
    <row r="22" spans="2:5" x14ac:dyDescent="0.2">
      <c r="B22" s="23">
        <v>11</v>
      </c>
      <c r="C22" s="6" t="s">
        <v>453</v>
      </c>
      <c r="D22" s="6"/>
      <c r="E22" s="6" t="s">
        <v>767</v>
      </c>
    </row>
    <row r="23" spans="2:5" x14ac:dyDescent="0.2">
      <c r="B23" s="6">
        <v>12</v>
      </c>
      <c r="C23" s="6" t="s">
        <v>731</v>
      </c>
      <c r="D23" s="6" t="s">
        <v>768</v>
      </c>
      <c r="E23" s="6" t="s">
        <v>732</v>
      </c>
    </row>
    <row r="24" spans="2:5" x14ac:dyDescent="0.2">
      <c r="B24" s="23">
        <v>13</v>
      </c>
      <c r="C24" s="6" t="s">
        <v>505</v>
      </c>
      <c r="D24" s="6"/>
      <c r="E24" s="176" t="s">
        <v>513</v>
      </c>
    </row>
    <row r="25" spans="2:5" x14ac:dyDescent="0.2">
      <c r="B25" s="6">
        <v>14</v>
      </c>
      <c r="C25" s="6" t="s">
        <v>480</v>
      </c>
      <c r="D25" s="6"/>
      <c r="E25" s="176" t="s">
        <v>506</v>
      </c>
    </row>
    <row r="26" spans="2:5" x14ac:dyDescent="0.2">
      <c r="B26" s="23">
        <v>15</v>
      </c>
      <c r="C26" s="6" t="s">
        <v>482</v>
      </c>
      <c r="D26" s="6" t="s">
        <v>762</v>
      </c>
      <c r="E26" s="6" t="s">
        <v>507</v>
      </c>
    </row>
    <row r="27" spans="2:5" x14ac:dyDescent="0.2">
      <c r="B27" s="6">
        <v>16</v>
      </c>
      <c r="C27" s="6" t="s">
        <v>760</v>
      </c>
      <c r="D27" s="6" t="s">
        <v>769</v>
      </c>
      <c r="E27" s="6" t="s">
        <v>761</v>
      </c>
    </row>
    <row r="28" spans="2:5" x14ac:dyDescent="0.2">
      <c r="B28" s="23">
        <v>17</v>
      </c>
      <c r="C28" s="6" t="s">
        <v>508</v>
      </c>
      <c r="D28" s="6"/>
      <c r="E28" s="176" t="s">
        <v>512</v>
      </c>
    </row>
    <row r="29" spans="2:5" x14ac:dyDescent="0.2">
      <c r="B29" s="6">
        <v>18</v>
      </c>
      <c r="C29" s="6" t="s">
        <v>509</v>
      </c>
      <c r="D29" s="6"/>
      <c r="E29" s="176" t="s">
        <v>515</v>
      </c>
    </row>
    <row r="30" spans="2:5" x14ac:dyDescent="0.2">
      <c r="B30" s="23">
        <v>19</v>
      </c>
      <c r="C30" s="6" t="s">
        <v>496</v>
      </c>
      <c r="D30" s="6"/>
      <c r="E30" s="176" t="s">
        <v>514</v>
      </c>
    </row>
    <row r="31" spans="2:5" x14ac:dyDescent="0.2">
      <c r="B31" s="6">
        <v>20</v>
      </c>
      <c r="C31" s="6" t="s">
        <v>510</v>
      </c>
      <c r="D31" s="6"/>
      <c r="E31" s="176" t="s">
        <v>511</v>
      </c>
    </row>
    <row r="33" spans="2:2" s="8" customFormat="1" x14ac:dyDescent="0.2">
      <c r="B33" s="8" t="s">
        <v>43</v>
      </c>
    </row>
    <row r="35" spans="2:2" x14ac:dyDescent="0.2">
      <c r="B35" s="27" t="s">
        <v>41</v>
      </c>
    </row>
    <row r="36" spans="2:2" x14ac:dyDescent="0.2">
      <c r="B36" s="27" t="s">
        <v>42</v>
      </c>
    </row>
    <row r="42" spans="2:2" x14ac:dyDescent="0.2">
      <c r="B42" s="27" t="s">
        <v>62</v>
      </c>
    </row>
  </sheetData>
  <phoneticPr fontId="32" type="noConversion"/>
  <hyperlinks>
    <hyperlink ref="E12" r:id="rId1" location="/CBS/nl/dataset/84046NED/table" xr:uid="{32DAAF7D-99F1-4B1B-A678-E6E85ACE8379}"/>
    <hyperlink ref="E13" r:id="rId2" xr:uid="{195A3261-ACF2-410B-81D2-2C36EF8B33D8}"/>
    <hyperlink ref="E14" r:id="rId3" xr:uid="{DE70CE2A-C0FD-4B4E-A99B-55CBC79AA344}"/>
    <hyperlink ref="E16" r:id="rId4" display="https://www.acm.nl/nl/publicaties/methodebesluit-elektriciteit-en-drinkwater-caribisch-nederland-2020-2025" xr:uid="{B0D88A43-85E2-4D6C-BA1A-B5C64E616AA6}"/>
    <hyperlink ref="E25" r:id="rId5" display="https://www.webbonaire.com/wp-content/uploads/2022/12/WEB-NL-Elektriciteits-tarieven-per-januari-2023.pdf" xr:uid="{F752CA60-61FB-4165-B0CF-99BE31416DD0}"/>
    <hyperlink ref="E28" r:id="rId6" display="https://www.acm.nl/nl/publicaties/beschikking-distributietarieven-elektriciteit-2024-bonaire-web" xr:uid="{B11B39E5-B4FD-404F-AE39-DC2BDB3E4EB5}"/>
    <hyperlink ref="E24" r:id="rId7" display="https://www.acm.nl/nl/publicaties/beschikking-distributietarieven-elektriciteit-2023-bonaire-web" xr:uid="{AF418A19-D47E-44CF-87BE-15A599A05233}"/>
    <hyperlink ref="E30" r:id="rId8" display="https://www.acm.nl/nl/publicaties/beschikking-productieprijs-elektriciteit-2023-bonaire-contourglobal" xr:uid="{A829E779-72C6-442A-AC38-687D0745504A}"/>
    <hyperlink ref="E31" r:id="rId9" display="https://www.acm.nl/nl/publicaties/beschikking-variabel-tarief-elektriciteit-1-juli-2023-bonaire" xr:uid="{735F8CAA-7A3D-4996-B145-15303938E781}"/>
    <hyperlink ref="E29" r:id="rId10" display="https://www.acm.nl/nl/publicaties/beschikking-variabel-tarief-elektriciteit-1-juli-2024-bonaire-caribisch-nederland" xr:uid="{F79C6192-320B-4113-9FFA-6F02DE0502AB}"/>
  </hyperlinks>
  <pageMargins left="0.75" right="0.75" top="1" bottom="1" header="0.5" footer="0.5"/>
  <pageSetup paperSize="9" orientation="portrait" r:id="rId1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9F04E-DBA1-4CB5-A263-4D5EA55EF092}">
  <sheetPr>
    <tabColor rgb="FFCCFFFF"/>
  </sheetPr>
  <dimension ref="B2:P71"/>
  <sheetViews>
    <sheetView showGridLines="0" zoomScale="85" zoomScaleNormal="85" workbookViewId="0">
      <pane xSplit="6" ySplit="12" topLeftCell="G13" activePane="bottomRight" state="frozen"/>
      <selection pane="topRight"/>
      <selection pane="bottomLeft"/>
      <selection pane="bottomRight"/>
    </sheetView>
  </sheetViews>
  <sheetFormatPr defaultRowHeight="12.75" x14ac:dyDescent="0.2"/>
  <cols>
    <col min="1" max="1" width="5.7109375" style="2" customWidth="1"/>
    <col min="2" max="2" width="62.28515625" style="2" customWidth="1"/>
    <col min="3" max="5" width="5.7109375" style="2" customWidth="1"/>
    <col min="6" max="6" width="24.28515625" style="2" customWidth="1"/>
    <col min="7" max="7" width="2.7109375" style="2" customWidth="1"/>
    <col min="8" max="8" width="15.5703125" style="2" customWidth="1"/>
    <col min="9" max="9" width="2.7109375" style="2" customWidth="1"/>
    <col min="10" max="10" width="28.7109375" style="2" customWidth="1"/>
    <col min="11" max="11" width="2.7109375" style="2" customWidth="1"/>
    <col min="12" max="12" width="51.28515625" style="2" customWidth="1"/>
    <col min="13" max="21" width="12.5703125" style="2" customWidth="1"/>
    <col min="22" max="24" width="2.7109375" style="2" customWidth="1"/>
    <col min="25" max="25" width="30.85546875" style="2" customWidth="1"/>
    <col min="26" max="39" width="13.7109375" style="2" customWidth="1"/>
    <col min="40" max="16384" width="9.140625" style="2"/>
  </cols>
  <sheetData>
    <row r="2" spans="2:12" s="15" customFormat="1" ht="18" x14ac:dyDescent="0.2">
      <c r="B2" s="15" t="s">
        <v>25</v>
      </c>
    </row>
    <row r="4" spans="2:12" x14ac:dyDescent="0.2">
      <c r="B4" s="26" t="s">
        <v>48</v>
      </c>
      <c r="C4" s="1"/>
      <c r="D4" s="1"/>
    </row>
    <row r="5" spans="2:12" x14ac:dyDescent="0.2">
      <c r="B5" s="2" t="s">
        <v>354</v>
      </c>
      <c r="H5" s="16"/>
    </row>
    <row r="6" spans="2:12" x14ac:dyDescent="0.2">
      <c r="H6" s="16"/>
    </row>
    <row r="7" spans="2:12" x14ac:dyDescent="0.2">
      <c r="B7" s="2" t="s">
        <v>352</v>
      </c>
      <c r="H7" s="16"/>
    </row>
    <row r="8" spans="2:12" x14ac:dyDescent="0.2">
      <c r="B8" s="2" t="s">
        <v>353</v>
      </c>
      <c r="H8" s="16"/>
    </row>
    <row r="9" spans="2:12" x14ac:dyDescent="0.2">
      <c r="H9" s="16"/>
    </row>
    <row r="11" spans="2:12" s="8" customFormat="1" x14ac:dyDescent="0.2">
      <c r="B11" s="8" t="s">
        <v>36</v>
      </c>
      <c r="F11" s="8" t="s">
        <v>19</v>
      </c>
      <c r="H11" s="8" t="s">
        <v>20</v>
      </c>
      <c r="J11" s="8" t="s">
        <v>70</v>
      </c>
      <c r="L11" s="8" t="s">
        <v>38</v>
      </c>
    </row>
    <row r="14" spans="2:12" s="8" customFormat="1" x14ac:dyDescent="0.2">
      <c r="B14" s="8" t="s">
        <v>355</v>
      </c>
    </row>
    <row r="16" spans="2:12" x14ac:dyDescent="0.2">
      <c r="B16" s="1" t="s">
        <v>71</v>
      </c>
    </row>
    <row r="17" spans="2:16" x14ac:dyDescent="0.2">
      <c r="B17" s="2" t="s">
        <v>112</v>
      </c>
      <c r="F17" s="2" t="s">
        <v>356</v>
      </c>
      <c r="H17" s="41">
        <f>'Variabel tarief elektriciteit'!H18</f>
        <v>0.58279999999999998</v>
      </c>
      <c r="J17" s="2" t="s">
        <v>358</v>
      </c>
      <c r="L17" s="2" t="s">
        <v>73</v>
      </c>
      <c r="M17" s="42"/>
      <c r="N17" s="43"/>
      <c r="O17" s="44"/>
    </row>
    <row r="18" spans="2:16" x14ac:dyDescent="0.2">
      <c r="B18" s="2" t="s">
        <v>357</v>
      </c>
      <c r="F18" s="2" t="s">
        <v>356</v>
      </c>
      <c r="H18" s="41">
        <f>'Variabel tarief elektriciteit'!H24</f>
        <v>0.29896132220328953</v>
      </c>
      <c r="J18" s="2" t="s">
        <v>74</v>
      </c>
      <c r="L18" s="2" t="s">
        <v>75</v>
      </c>
      <c r="M18" s="43"/>
      <c r="N18" s="43"/>
      <c r="O18" s="32"/>
      <c r="P18" s="43"/>
    </row>
    <row r="19" spans="2:16" x14ac:dyDescent="0.2">
      <c r="H19" s="46"/>
      <c r="M19" s="46"/>
      <c r="N19" s="43"/>
      <c r="O19" s="32"/>
    </row>
    <row r="20" spans="2:16" x14ac:dyDescent="0.2">
      <c r="B20" s="1" t="s">
        <v>76</v>
      </c>
      <c r="H20" s="46"/>
      <c r="M20" s="46"/>
      <c r="N20" s="43"/>
      <c r="O20" s="32"/>
    </row>
    <row r="21" spans="2:16" x14ac:dyDescent="0.2">
      <c r="B21" s="2" t="s">
        <v>359</v>
      </c>
      <c r="F21" s="2" t="s">
        <v>356</v>
      </c>
      <c r="H21" s="41">
        <f>'Variabel tarief elektriciteit'!H43</f>
        <v>0.31359999999999999</v>
      </c>
      <c r="J21" s="2" t="s">
        <v>363</v>
      </c>
      <c r="M21" s="42"/>
      <c r="N21" s="43"/>
      <c r="O21" s="32"/>
    </row>
    <row r="22" spans="2:16" x14ac:dyDescent="0.2">
      <c r="B22" s="2" t="s">
        <v>77</v>
      </c>
      <c r="F22" s="2" t="s">
        <v>356</v>
      </c>
      <c r="H22" s="41">
        <f>'Vaste tarieven elektriciteit'!H48</f>
        <v>0.64390000000000003</v>
      </c>
      <c r="J22" s="2" t="s">
        <v>363</v>
      </c>
      <c r="M22" s="42"/>
      <c r="N22" s="43"/>
      <c r="O22" s="32"/>
    </row>
    <row r="23" spans="2:16" x14ac:dyDescent="0.2">
      <c r="N23" s="44"/>
    </row>
    <row r="24" spans="2:16" x14ac:dyDescent="0.2">
      <c r="B24" s="1" t="s">
        <v>78</v>
      </c>
      <c r="N24" s="44"/>
    </row>
    <row r="25" spans="2:16" x14ac:dyDescent="0.2">
      <c r="B25" s="1" t="s">
        <v>79</v>
      </c>
      <c r="C25" s="1" t="s">
        <v>80</v>
      </c>
      <c r="L25" s="16"/>
      <c r="N25" s="44"/>
    </row>
    <row r="26" spans="2:16" x14ac:dyDescent="0.2">
      <c r="B26" s="2" t="s">
        <v>81</v>
      </c>
      <c r="C26" s="47">
        <v>3.1</v>
      </c>
      <c r="F26" s="2" t="s">
        <v>360</v>
      </c>
      <c r="H26" s="48">
        <f>'Vaste tarieven elektriciteit'!H28</f>
        <v>48.481796817763019</v>
      </c>
      <c r="J26" s="2" t="s">
        <v>358</v>
      </c>
      <c r="M26" s="49"/>
      <c r="N26" s="44"/>
    </row>
    <row r="27" spans="2:16" x14ac:dyDescent="0.2">
      <c r="B27" s="2" t="s">
        <v>82</v>
      </c>
      <c r="C27" s="47">
        <v>4.4000000000000004</v>
      </c>
      <c r="F27" s="2" t="s">
        <v>360</v>
      </c>
      <c r="H27" s="48">
        <f>'Vaste tarieven elektriciteit'!H29</f>
        <v>68.812872902631383</v>
      </c>
      <c r="J27" s="2" t="s">
        <v>358</v>
      </c>
      <c r="M27" s="49"/>
      <c r="N27" s="44"/>
    </row>
    <row r="28" spans="2:16" x14ac:dyDescent="0.2">
      <c r="B28" s="2" t="s">
        <v>83</v>
      </c>
      <c r="C28" s="47">
        <v>4.4000000000000004</v>
      </c>
      <c r="F28" s="2" t="s">
        <v>360</v>
      </c>
      <c r="H28" s="48">
        <f>'Vaste tarieven elektriciteit'!H30</f>
        <v>68.812872902631383</v>
      </c>
      <c r="J28" s="2" t="s">
        <v>358</v>
      </c>
      <c r="M28" s="49"/>
      <c r="N28" s="44"/>
    </row>
    <row r="29" spans="2:16" x14ac:dyDescent="0.2">
      <c r="B29" s="2" t="s">
        <v>84</v>
      </c>
      <c r="C29" s="47">
        <v>11.4</v>
      </c>
      <c r="F29" s="2" t="s">
        <v>360</v>
      </c>
      <c r="H29" s="48">
        <f>'Vaste tarieven elektriciteit'!H31</f>
        <v>178.28789797499948</v>
      </c>
      <c r="J29" s="2" t="s">
        <v>358</v>
      </c>
      <c r="M29" s="49"/>
      <c r="N29" s="44"/>
    </row>
    <row r="30" spans="2:16" x14ac:dyDescent="0.2">
      <c r="B30" s="2" t="s">
        <v>85</v>
      </c>
      <c r="C30" s="47">
        <v>19.2</v>
      </c>
      <c r="F30" s="2" t="s">
        <v>360</v>
      </c>
      <c r="H30" s="48">
        <f>'Vaste tarieven elektriciteit'!H32</f>
        <v>300.27435448420965</v>
      </c>
      <c r="J30" s="2" t="s">
        <v>358</v>
      </c>
      <c r="M30" s="49"/>
      <c r="N30" s="44"/>
    </row>
    <row r="31" spans="2:16" x14ac:dyDescent="0.2">
      <c r="B31" s="2" t="s">
        <v>86</v>
      </c>
      <c r="C31" s="47">
        <v>30.4</v>
      </c>
      <c r="F31" s="2" t="s">
        <v>360</v>
      </c>
      <c r="H31" s="48">
        <f>'Vaste tarieven elektriciteit'!H33</f>
        <v>475.4343945999986</v>
      </c>
      <c r="J31" s="2" t="s">
        <v>358</v>
      </c>
      <c r="M31" s="49"/>
      <c r="N31" s="44"/>
    </row>
    <row r="32" spans="2:16" x14ac:dyDescent="0.2">
      <c r="B32" s="2" t="s">
        <v>87</v>
      </c>
      <c r="C32" s="47">
        <v>38.1</v>
      </c>
      <c r="F32" s="2" t="s">
        <v>360</v>
      </c>
      <c r="H32" s="48">
        <f>'Vaste tarieven elektriciteit'!H34</f>
        <v>595.85692217960354</v>
      </c>
      <c r="J32" s="2" t="s">
        <v>358</v>
      </c>
      <c r="M32" s="49"/>
      <c r="N32" s="44"/>
    </row>
    <row r="33" spans="2:14" x14ac:dyDescent="0.2">
      <c r="B33" s="2" t="s">
        <v>88</v>
      </c>
      <c r="C33" s="47">
        <v>47.6</v>
      </c>
      <c r="F33" s="2" t="s">
        <v>360</v>
      </c>
      <c r="H33" s="48">
        <f>'Vaste tarieven elektriciteit'!H35</f>
        <v>744.43017049210312</v>
      </c>
      <c r="J33" s="2" t="s">
        <v>358</v>
      </c>
      <c r="M33" s="49"/>
      <c r="N33" s="44"/>
    </row>
    <row r="34" spans="2:14" x14ac:dyDescent="0.2">
      <c r="B34" s="2" t="s">
        <v>89</v>
      </c>
      <c r="C34" s="47">
        <v>52.5</v>
      </c>
      <c r="F34" s="2" t="s">
        <v>360</v>
      </c>
      <c r="H34" s="48">
        <f>'Vaste tarieven elektriciteit'!H36</f>
        <v>821.06268804276078</v>
      </c>
      <c r="J34" s="2" t="s">
        <v>358</v>
      </c>
      <c r="M34" s="49"/>
      <c r="N34" s="44"/>
    </row>
    <row r="35" spans="2:14" x14ac:dyDescent="0.2">
      <c r="B35" s="2" t="s">
        <v>90</v>
      </c>
      <c r="C35" s="47">
        <v>60.9</v>
      </c>
      <c r="F35" s="2" t="s">
        <v>360</v>
      </c>
      <c r="H35" s="48">
        <f>'Vaste tarieven elektriciteit'!H37</f>
        <v>952.43271812960245</v>
      </c>
      <c r="J35" s="2" t="s">
        <v>358</v>
      </c>
      <c r="M35" s="49"/>
      <c r="N35" s="44"/>
    </row>
    <row r="36" spans="2:14" x14ac:dyDescent="0.2">
      <c r="B36" s="2" t="s">
        <v>91</v>
      </c>
      <c r="C36" s="47">
        <v>65.7</v>
      </c>
      <c r="F36" s="2" t="s">
        <v>360</v>
      </c>
      <c r="H36" s="48">
        <f>'Vaste tarieven elektriciteit'!H38</f>
        <v>1027.501306750655</v>
      </c>
      <c r="J36" s="2" t="s">
        <v>358</v>
      </c>
      <c r="M36" s="49"/>
      <c r="N36" s="44"/>
    </row>
    <row r="37" spans="2:14" x14ac:dyDescent="0.2">
      <c r="B37" s="2" t="s">
        <v>92</v>
      </c>
      <c r="C37" s="47">
        <v>76.099999999999994</v>
      </c>
      <c r="F37" s="2" t="s">
        <v>360</v>
      </c>
      <c r="H37" s="48">
        <f>'Vaste tarieven elektriciteit'!H39</f>
        <v>1190.1499154296018</v>
      </c>
      <c r="J37" s="2" t="s">
        <v>358</v>
      </c>
      <c r="M37" s="49"/>
      <c r="N37" s="44"/>
    </row>
    <row r="38" spans="2:14" x14ac:dyDescent="0.2">
      <c r="B38" s="2" t="s">
        <v>93</v>
      </c>
      <c r="C38" s="47">
        <v>1</v>
      </c>
      <c r="F38" s="2" t="s">
        <v>361</v>
      </c>
      <c r="H38" s="48">
        <f>'Vaste tarieven elektriciteit'!H40</f>
        <v>15.639289296052587</v>
      </c>
      <c r="J38" s="2" t="s">
        <v>358</v>
      </c>
      <c r="L38" s="2" t="s">
        <v>94</v>
      </c>
      <c r="M38" s="49"/>
      <c r="N38" s="44"/>
    </row>
    <row r="39" spans="2:14" x14ac:dyDescent="0.2">
      <c r="N39" s="44"/>
    </row>
    <row r="40" spans="2:14" x14ac:dyDescent="0.2">
      <c r="B40" s="1" t="s">
        <v>95</v>
      </c>
      <c r="N40" s="44"/>
    </row>
    <row r="41" spans="2:14" x14ac:dyDescent="0.2">
      <c r="B41" s="2" t="s">
        <v>96</v>
      </c>
      <c r="F41" s="2" t="s">
        <v>362</v>
      </c>
      <c r="H41" s="48">
        <f>'Vaste tarieven elektriciteit'!H54</f>
        <v>40</v>
      </c>
      <c r="J41" s="2" t="s">
        <v>358</v>
      </c>
      <c r="M41" s="49"/>
      <c r="N41" s="44"/>
    </row>
    <row r="42" spans="2:14" x14ac:dyDescent="0.2">
      <c r="B42" s="2" t="s">
        <v>98</v>
      </c>
      <c r="F42" s="2" t="s">
        <v>362</v>
      </c>
      <c r="H42" s="48">
        <f>'Vaste tarieven elektriciteit'!H58</f>
        <v>1793.9478587562744</v>
      </c>
      <c r="J42" s="2" t="s">
        <v>358</v>
      </c>
      <c r="M42" s="49"/>
      <c r="N42" s="44"/>
    </row>
    <row r="43" spans="2:14" x14ac:dyDescent="0.2">
      <c r="B43" s="4" t="s">
        <v>99</v>
      </c>
      <c r="N43" s="43"/>
    </row>
    <row r="44" spans="2:14" x14ac:dyDescent="0.2">
      <c r="N44" s="43"/>
    </row>
    <row r="45" spans="2:14" x14ac:dyDescent="0.2">
      <c r="N45" s="43"/>
    </row>
    <row r="46" spans="2:14" s="8" customFormat="1" x14ac:dyDescent="0.2">
      <c r="B46" s="8" t="s">
        <v>364</v>
      </c>
    </row>
    <row r="47" spans="2:14" x14ac:dyDescent="0.2">
      <c r="N47" s="43"/>
    </row>
    <row r="48" spans="2:14" x14ac:dyDescent="0.2">
      <c r="B48" s="1" t="s">
        <v>71</v>
      </c>
      <c r="N48" s="43"/>
    </row>
    <row r="49" spans="2:15" x14ac:dyDescent="0.2">
      <c r="B49" s="2" t="s">
        <v>100</v>
      </c>
      <c r="F49" s="2" t="s">
        <v>365</v>
      </c>
      <c r="H49" s="41">
        <f>'Variabel tarief drinkwater'!H26</f>
        <v>3.5689000000000002</v>
      </c>
      <c r="J49" s="2" t="s">
        <v>358</v>
      </c>
      <c r="M49" s="42"/>
      <c r="N49" s="50"/>
      <c r="O49" s="44"/>
    </row>
    <row r="50" spans="2:15" x14ac:dyDescent="0.2">
      <c r="H50" s="46"/>
      <c r="M50" s="46"/>
      <c r="N50" s="50"/>
      <c r="O50" s="44"/>
    </row>
    <row r="51" spans="2:15" x14ac:dyDescent="0.2">
      <c r="B51" s="1" t="s">
        <v>76</v>
      </c>
      <c r="H51" s="46"/>
      <c r="M51" s="46"/>
      <c r="N51" s="50"/>
      <c r="O51" s="44"/>
    </row>
    <row r="52" spans="2:15" x14ac:dyDescent="0.2">
      <c r="B52" s="2" t="s">
        <v>101</v>
      </c>
      <c r="F52" s="2" t="s">
        <v>365</v>
      </c>
      <c r="H52" s="51">
        <f>'Variabel tarief drinkwater'!H35</f>
        <v>4.0549999999999997</v>
      </c>
      <c r="J52" s="2" t="s">
        <v>358</v>
      </c>
      <c r="M52" s="42"/>
      <c r="N52" s="50"/>
      <c r="O52" s="44"/>
    </row>
    <row r="53" spans="2:15" x14ac:dyDescent="0.2">
      <c r="B53" s="2" t="s">
        <v>102</v>
      </c>
      <c r="F53" s="2" t="s">
        <v>365</v>
      </c>
      <c r="H53" s="51">
        <f>'Vaste tarieven drinkwater'!H48</f>
        <v>13.212999999999999</v>
      </c>
      <c r="J53" s="2" t="s">
        <v>358</v>
      </c>
      <c r="M53" s="42"/>
      <c r="N53" s="50"/>
      <c r="O53" s="44"/>
    </row>
    <row r="54" spans="2:15" x14ac:dyDescent="0.2">
      <c r="N54" s="44"/>
    </row>
    <row r="55" spans="2:15" x14ac:dyDescent="0.2">
      <c r="B55" s="1" t="s">
        <v>103</v>
      </c>
      <c r="N55" s="44"/>
    </row>
    <row r="56" spans="2:15" x14ac:dyDescent="0.2">
      <c r="B56" s="1" t="s">
        <v>79</v>
      </c>
      <c r="N56" s="44"/>
    </row>
    <row r="57" spans="2:15" x14ac:dyDescent="0.2">
      <c r="B57" s="2" t="s">
        <v>104</v>
      </c>
      <c r="F57" s="2" t="s">
        <v>360</v>
      </c>
      <c r="H57" s="48">
        <f>'Vaste tarieven drinkwater'!H28</f>
        <v>51.229342221188354</v>
      </c>
      <c r="J57" s="2" t="s">
        <v>358</v>
      </c>
      <c r="M57" s="49"/>
      <c r="N57" s="44"/>
    </row>
    <row r="58" spans="2:15" x14ac:dyDescent="0.2">
      <c r="B58" s="2" t="s">
        <v>105</v>
      </c>
      <c r="F58" s="2" t="s">
        <v>360</v>
      </c>
      <c r="H58" s="48">
        <f>'Vaste tarieven drinkwater'!H29</f>
        <v>115.26601999767379</v>
      </c>
      <c r="J58" s="2" t="s">
        <v>358</v>
      </c>
      <c r="M58" s="49"/>
      <c r="N58" s="44"/>
    </row>
    <row r="59" spans="2:15" x14ac:dyDescent="0.2">
      <c r="B59" s="2" t="s">
        <v>106</v>
      </c>
      <c r="F59" s="2" t="s">
        <v>360</v>
      </c>
      <c r="H59" s="48">
        <f>'Vaste tarieven drinkwater'!H30</f>
        <v>204.91736888475342</v>
      </c>
      <c r="J59" s="2" t="s">
        <v>358</v>
      </c>
      <c r="M59" s="49"/>
      <c r="N59" s="44"/>
    </row>
    <row r="60" spans="2:15" x14ac:dyDescent="0.2">
      <c r="B60" s="52" t="s">
        <v>107</v>
      </c>
      <c r="F60" s="2" t="s">
        <v>360</v>
      </c>
      <c r="H60" s="48">
        <f>'Vaste tarieven drinkwater'!H31</f>
        <v>320.18338888242721</v>
      </c>
      <c r="J60" s="2" t="s">
        <v>358</v>
      </c>
      <c r="M60" s="49"/>
      <c r="N60" s="44"/>
    </row>
    <row r="61" spans="2:15" x14ac:dyDescent="0.2">
      <c r="B61" s="2" t="s">
        <v>108</v>
      </c>
      <c r="F61" s="2" t="s">
        <v>360</v>
      </c>
      <c r="H61" s="48">
        <f>'Vaste tarieven drinkwater'!H32</f>
        <v>819.66947553901366</v>
      </c>
      <c r="J61" s="2" t="s">
        <v>358</v>
      </c>
      <c r="M61" s="49"/>
      <c r="N61" s="44"/>
    </row>
    <row r="62" spans="2:15" x14ac:dyDescent="0.2">
      <c r="B62" s="2" t="s">
        <v>109</v>
      </c>
      <c r="F62" s="2" t="s">
        <v>360</v>
      </c>
      <c r="H62" s="48">
        <f>'Vaste tarieven drinkwater'!H33</f>
        <v>3278.6779021560546</v>
      </c>
      <c r="J62" s="2" t="s">
        <v>358</v>
      </c>
      <c r="M62" s="49"/>
      <c r="N62" s="44"/>
    </row>
    <row r="63" spans="2:15" x14ac:dyDescent="0.2">
      <c r="N63" s="44"/>
    </row>
    <row r="64" spans="2:15" x14ac:dyDescent="0.2">
      <c r="B64" s="1" t="s">
        <v>95</v>
      </c>
      <c r="N64" s="44"/>
    </row>
    <row r="65" spans="2:14" x14ac:dyDescent="0.2">
      <c r="B65" s="2" t="s">
        <v>96</v>
      </c>
      <c r="F65" s="2" t="s">
        <v>362</v>
      </c>
      <c r="H65" s="48">
        <f>'Vaste tarieven drinkwater'!H54</f>
        <v>40</v>
      </c>
      <c r="J65" s="2" t="s">
        <v>358</v>
      </c>
      <c r="M65" s="49"/>
      <c r="N65" s="44"/>
    </row>
    <row r="66" spans="2:14" x14ac:dyDescent="0.2">
      <c r="B66" s="2" t="s">
        <v>98</v>
      </c>
      <c r="F66" s="2" t="s">
        <v>362</v>
      </c>
      <c r="H66" s="48">
        <f>'Vaste tarieven drinkwater'!H58</f>
        <v>1221.3834591709647</v>
      </c>
      <c r="J66" s="2" t="s">
        <v>358</v>
      </c>
      <c r="M66" s="49"/>
      <c r="N66" s="44"/>
    </row>
    <row r="67" spans="2:14" x14ac:dyDescent="0.2">
      <c r="B67" s="4" t="s">
        <v>99</v>
      </c>
    </row>
    <row r="71" spans="2:14" x14ac:dyDescent="0.2">
      <c r="B71" s="4" t="s">
        <v>62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08D71-E0F1-4508-BBC0-C51E92C9AF5B}">
  <sheetPr>
    <tabColor rgb="FFCCFFFF"/>
  </sheetPr>
  <dimension ref="A1:J94"/>
  <sheetViews>
    <sheetView showGridLines="0" zoomScale="85" zoomScaleNormal="85" workbookViewId="0"/>
  </sheetViews>
  <sheetFormatPr defaultRowHeight="12.75" x14ac:dyDescent="0.2"/>
  <cols>
    <col min="1" max="2" width="2.85546875" style="2" customWidth="1"/>
    <col min="3" max="3" width="45.42578125" style="2" customWidth="1"/>
    <col min="4" max="4" width="16.85546875" style="2" customWidth="1"/>
    <col min="5" max="5" width="4.85546875" style="2" customWidth="1"/>
    <col min="6" max="6" width="26" style="2" customWidth="1"/>
    <col min="7" max="7" width="13" style="2" customWidth="1"/>
    <col min="8" max="8" width="2.85546875" style="2" customWidth="1"/>
    <col min="9" max="9" width="13" style="2" customWidth="1"/>
    <col min="10" max="10" width="4.85546875" style="2" customWidth="1"/>
    <col min="11" max="15" width="9.140625" style="2"/>
    <col min="16" max="16" width="10.28515625" style="2" bestFit="1" customWidth="1"/>
    <col min="17" max="16384" width="9.140625" style="2"/>
  </cols>
  <sheetData>
    <row r="1" spans="1:9" x14ac:dyDescent="0.2">
      <c r="A1" s="9"/>
    </row>
    <row r="2" spans="1:9" s="7" customFormat="1" ht="18" x14ac:dyDescent="0.2">
      <c r="C2" s="7" t="s">
        <v>110</v>
      </c>
    </row>
    <row r="3" spans="1:9" customFormat="1" x14ac:dyDescent="0.2"/>
    <row r="4" spans="1:9" customFormat="1" x14ac:dyDescent="0.2">
      <c r="C4" s="26" t="s">
        <v>12</v>
      </c>
    </row>
    <row r="5" spans="1:9" customFormat="1" x14ac:dyDescent="0.2">
      <c r="C5" t="s">
        <v>390</v>
      </c>
    </row>
    <row r="6" spans="1:9" customFormat="1" x14ac:dyDescent="0.2"/>
    <row r="7" spans="1:9" s="8" customFormat="1" x14ac:dyDescent="0.2">
      <c r="C7" s="8" t="s">
        <v>111</v>
      </c>
      <c r="F7" s="8" t="s">
        <v>19</v>
      </c>
    </row>
    <row r="8" spans="1:9" customFormat="1" x14ac:dyDescent="0.2"/>
    <row r="9" spans="1:9" customFormat="1" x14ac:dyDescent="0.2">
      <c r="C9" t="s">
        <v>112</v>
      </c>
      <c r="D9" s="2"/>
      <c r="E9" s="2"/>
      <c r="F9" s="2" t="s">
        <v>356</v>
      </c>
      <c r="G9" s="53">
        <f>Resultaat!H17</f>
        <v>0.58279999999999998</v>
      </c>
    </row>
    <row r="10" spans="1:9" customFormat="1" ht="13.5" thickBot="1" x14ac:dyDescent="0.25">
      <c r="G10" s="54"/>
    </row>
    <row r="11" spans="1:9" customFormat="1" x14ac:dyDescent="0.2">
      <c r="B11" s="55"/>
      <c r="C11" s="56"/>
      <c r="D11" s="56"/>
      <c r="E11" s="56"/>
      <c r="F11" s="56"/>
      <c r="G11" s="57"/>
      <c r="H11" s="58"/>
    </row>
    <row r="12" spans="1:9" s="8" customFormat="1" x14ac:dyDescent="0.2">
      <c r="B12" s="59"/>
      <c r="C12" s="8" t="s">
        <v>366</v>
      </c>
      <c r="F12" s="8" t="s">
        <v>19</v>
      </c>
      <c r="G12" s="60" t="s">
        <v>113</v>
      </c>
      <c r="H12" s="61"/>
    </row>
    <row r="13" spans="1:9" customFormat="1" x14ac:dyDescent="0.2">
      <c r="B13" s="62"/>
      <c r="G13" s="63"/>
      <c r="H13" s="64"/>
    </row>
    <row r="14" spans="1:9" customFormat="1" x14ac:dyDescent="0.2">
      <c r="B14" s="62"/>
      <c r="C14" s="1" t="s">
        <v>367</v>
      </c>
      <c r="D14" s="2"/>
      <c r="E14" s="2"/>
      <c r="F14" s="2"/>
      <c r="G14" s="65"/>
      <c r="H14" s="66"/>
      <c r="I14" s="2"/>
    </row>
    <row r="15" spans="1:9" customFormat="1" x14ac:dyDescent="0.2">
      <c r="B15" s="62"/>
      <c r="C15" s="2" t="s">
        <v>114</v>
      </c>
      <c r="D15" s="2"/>
      <c r="E15" s="2"/>
      <c r="F15" s="2" t="s">
        <v>356</v>
      </c>
      <c r="G15" s="67">
        <f>Resultaat!H21</f>
        <v>0.31359999999999999</v>
      </c>
      <c r="H15" s="66"/>
    </row>
    <row r="16" spans="1:9" customFormat="1" x14ac:dyDescent="0.2">
      <c r="B16" s="62"/>
      <c r="C16" s="2" t="s">
        <v>77</v>
      </c>
      <c r="D16" s="2"/>
      <c r="E16" s="2"/>
      <c r="F16" s="2" t="s">
        <v>356</v>
      </c>
      <c r="G16" s="67">
        <f>Resultaat!H22</f>
        <v>0.64390000000000003</v>
      </c>
      <c r="H16" s="66"/>
    </row>
    <row r="17" spans="2:9" customFormat="1" x14ac:dyDescent="0.2">
      <c r="B17" s="62"/>
      <c r="C17" s="2"/>
      <c r="D17" s="2"/>
      <c r="E17" s="2"/>
      <c r="F17" s="2"/>
      <c r="G17" s="68"/>
      <c r="H17" s="66"/>
      <c r="I17" s="2"/>
    </row>
    <row r="18" spans="2:9" customFormat="1" x14ac:dyDescent="0.2">
      <c r="B18" s="62"/>
      <c r="C18" s="1" t="s">
        <v>115</v>
      </c>
      <c r="D18" s="2"/>
      <c r="E18" s="2"/>
      <c r="F18" s="2"/>
      <c r="G18" s="68"/>
      <c r="H18" s="66"/>
      <c r="I18" s="2"/>
    </row>
    <row r="19" spans="2:9" customFormat="1" x14ac:dyDescent="0.2">
      <c r="B19" s="62"/>
      <c r="C19" s="2" t="s">
        <v>79</v>
      </c>
      <c r="D19" s="69" t="s">
        <v>80</v>
      </c>
      <c r="E19" s="1"/>
      <c r="F19" s="2"/>
      <c r="G19" s="68"/>
      <c r="H19" s="66"/>
      <c r="I19" s="2"/>
    </row>
    <row r="20" spans="2:9" customFormat="1" x14ac:dyDescent="0.2">
      <c r="B20" s="62"/>
      <c r="C20" s="2" t="s">
        <v>81</v>
      </c>
      <c r="D20" s="47">
        <v>3.1</v>
      </c>
      <c r="E20" s="70"/>
      <c r="F20" s="2" t="s">
        <v>360</v>
      </c>
      <c r="G20" s="71">
        <f>Resultaat!H26</f>
        <v>48.481796817763019</v>
      </c>
      <c r="H20" s="66"/>
    </row>
    <row r="21" spans="2:9" customFormat="1" x14ac:dyDescent="0.2">
      <c r="B21" s="62"/>
      <c r="C21" s="2" t="s">
        <v>82</v>
      </c>
      <c r="D21" s="47">
        <v>4.4000000000000004</v>
      </c>
      <c r="E21" s="70"/>
      <c r="F21" s="2" t="s">
        <v>360</v>
      </c>
      <c r="G21" s="71">
        <f>Resultaat!H27</f>
        <v>68.812872902631383</v>
      </c>
      <c r="H21" s="66"/>
    </row>
    <row r="22" spans="2:9" customFormat="1" x14ac:dyDescent="0.2">
      <c r="B22" s="62"/>
      <c r="C22" s="2" t="s">
        <v>83</v>
      </c>
      <c r="D22" s="47">
        <v>4.4000000000000004</v>
      </c>
      <c r="E22" s="70"/>
      <c r="F22" s="2" t="s">
        <v>360</v>
      </c>
      <c r="G22" s="71">
        <f>Resultaat!H28</f>
        <v>68.812872902631383</v>
      </c>
      <c r="H22" s="66"/>
    </row>
    <row r="23" spans="2:9" customFormat="1" x14ac:dyDescent="0.2">
      <c r="B23" s="62"/>
      <c r="C23" s="2" t="s">
        <v>84</v>
      </c>
      <c r="D23" s="47">
        <v>11.4</v>
      </c>
      <c r="E23" s="70"/>
      <c r="F23" s="2" t="s">
        <v>360</v>
      </c>
      <c r="G23" s="71">
        <f>Resultaat!H29</f>
        <v>178.28789797499948</v>
      </c>
      <c r="H23" s="66"/>
    </row>
    <row r="24" spans="2:9" customFormat="1" x14ac:dyDescent="0.2">
      <c r="B24" s="62"/>
      <c r="C24" s="2" t="s">
        <v>85</v>
      </c>
      <c r="D24" s="47">
        <v>19.2</v>
      </c>
      <c r="E24" s="70"/>
      <c r="F24" s="2" t="s">
        <v>360</v>
      </c>
      <c r="G24" s="71">
        <f>Resultaat!H30</f>
        <v>300.27435448420965</v>
      </c>
      <c r="H24" s="66"/>
    </row>
    <row r="25" spans="2:9" customFormat="1" x14ac:dyDescent="0.2">
      <c r="B25" s="62"/>
      <c r="C25" s="2" t="s">
        <v>86</v>
      </c>
      <c r="D25" s="47">
        <v>30.4</v>
      </c>
      <c r="E25" s="70"/>
      <c r="F25" s="2" t="s">
        <v>360</v>
      </c>
      <c r="G25" s="71">
        <f>Resultaat!H31</f>
        <v>475.4343945999986</v>
      </c>
      <c r="H25" s="66"/>
    </row>
    <row r="26" spans="2:9" customFormat="1" x14ac:dyDescent="0.2">
      <c r="B26" s="62"/>
      <c r="C26" s="2" t="s">
        <v>87</v>
      </c>
      <c r="D26" s="47">
        <v>38.1</v>
      </c>
      <c r="E26" s="70"/>
      <c r="F26" s="2" t="s">
        <v>360</v>
      </c>
      <c r="G26" s="71">
        <f>Resultaat!H32</f>
        <v>595.85692217960354</v>
      </c>
      <c r="H26" s="66"/>
    </row>
    <row r="27" spans="2:9" customFormat="1" x14ac:dyDescent="0.2">
      <c r="B27" s="62"/>
      <c r="C27" s="2" t="s">
        <v>88</v>
      </c>
      <c r="D27" s="47">
        <v>47.6</v>
      </c>
      <c r="E27" s="70"/>
      <c r="F27" s="2" t="s">
        <v>360</v>
      </c>
      <c r="G27" s="71">
        <f>Resultaat!H33</f>
        <v>744.43017049210312</v>
      </c>
      <c r="H27" s="66"/>
    </row>
    <row r="28" spans="2:9" customFormat="1" x14ac:dyDescent="0.2">
      <c r="B28" s="62"/>
      <c r="C28" s="2" t="s">
        <v>89</v>
      </c>
      <c r="D28" s="47">
        <v>52.5</v>
      </c>
      <c r="E28" s="70"/>
      <c r="F28" s="2" t="s">
        <v>360</v>
      </c>
      <c r="G28" s="71">
        <f>Resultaat!H34</f>
        <v>821.06268804276078</v>
      </c>
      <c r="H28" s="66"/>
    </row>
    <row r="29" spans="2:9" customFormat="1" x14ac:dyDescent="0.2">
      <c r="B29" s="62"/>
      <c r="C29" s="2" t="s">
        <v>90</v>
      </c>
      <c r="D29" s="47">
        <v>60.9</v>
      </c>
      <c r="E29" s="70"/>
      <c r="F29" s="2" t="s">
        <v>360</v>
      </c>
      <c r="G29" s="71">
        <f>Resultaat!H35</f>
        <v>952.43271812960245</v>
      </c>
      <c r="H29" s="66"/>
    </row>
    <row r="30" spans="2:9" customFormat="1" x14ac:dyDescent="0.2">
      <c r="B30" s="62"/>
      <c r="C30" s="2" t="s">
        <v>91</v>
      </c>
      <c r="D30" s="47">
        <v>65.7</v>
      </c>
      <c r="E30" s="70"/>
      <c r="F30" s="2" t="s">
        <v>360</v>
      </c>
      <c r="G30" s="71">
        <f>Resultaat!H36</f>
        <v>1027.501306750655</v>
      </c>
      <c r="H30" s="66"/>
    </row>
    <row r="31" spans="2:9" customFormat="1" x14ac:dyDescent="0.2">
      <c r="B31" s="62"/>
      <c r="C31" s="2" t="s">
        <v>92</v>
      </c>
      <c r="D31" s="47">
        <v>76.099999999999994</v>
      </c>
      <c r="E31" s="70"/>
      <c r="F31" s="2" t="s">
        <v>360</v>
      </c>
      <c r="G31" s="71">
        <f>Resultaat!H37</f>
        <v>1190.1499154296018</v>
      </c>
      <c r="H31" s="66"/>
    </row>
    <row r="32" spans="2:9" customFormat="1" x14ac:dyDescent="0.2">
      <c r="B32" s="62"/>
      <c r="C32" s="2" t="s">
        <v>116</v>
      </c>
      <c r="D32" s="72">
        <v>1</v>
      </c>
      <c r="E32" s="72"/>
      <c r="F32" s="2" t="s">
        <v>361</v>
      </c>
      <c r="G32" s="71">
        <f>Resultaat!H38</f>
        <v>15.639289296052587</v>
      </c>
      <c r="H32" s="66"/>
    </row>
    <row r="33" spans="2:10" customFormat="1" x14ac:dyDescent="0.2">
      <c r="B33" s="62"/>
      <c r="C33" s="2"/>
      <c r="D33" s="2"/>
      <c r="E33" s="2"/>
      <c r="F33" s="2"/>
      <c r="G33" s="68"/>
      <c r="H33" s="66"/>
    </row>
    <row r="34" spans="2:10" customFormat="1" x14ac:dyDescent="0.2">
      <c r="B34" s="62"/>
      <c r="C34" s="1" t="s">
        <v>95</v>
      </c>
      <c r="D34" s="2"/>
      <c r="E34" s="2"/>
      <c r="F34" s="2"/>
      <c r="G34" s="68"/>
      <c r="H34" s="66"/>
    </row>
    <row r="35" spans="2:10" customFormat="1" x14ac:dyDescent="0.2">
      <c r="B35" s="62"/>
      <c r="C35" s="2" t="s">
        <v>96</v>
      </c>
      <c r="D35" s="2"/>
      <c r="E35" s="2"/>
      <c r="F35" s="2" t="s">
        <v>362</v>
      </c>
      <c r="G35" s="71">
        <f>Resultaat!H41</f>
        <v>40</v>
      </c>
      <c r="H35" s="66"/>
    </row>
    <row r="36" spans="2:10" customFormat="1" x14ac:dyDescent="0.2">
      <c r="B36" s="62"/>
      <c r="C36" s="2" t="s">
        <v>98</v>
      </c>
      <c r="D36" s="2"/>
      <c r="E36" s="2"/>
      <c r="F36" s="2" t="s">
        <v>362</v>
      </c>
      <c r="G36" s="71">
        <f>Resultaat!H42</f>
        <v>1793.9478587562744</v>
      </c>
      <c r="H36" s="66"/>
    </row>
    <row r="37" spans="2:10" customFormat="1" x14ac:dyDescent="0.2">
      <c r="B37" s="62"/>
      <c r="C37" s="4" t="s">
        <v>99</v>
      </c>
      <c r="D37" s="2"/>
      <c r="E37" s="2"/>
      <c r="F37" s="2"/>
      <c r="G37" s="2"/>
      <c r="H37" s="66"/>
      <c r="I37" s="2"/>
    </row>
    <row r="38" spans="2:10" customFormat="1" ht="13.5" thickBot="1" x14ac:dyDescent="0.25">
      <c r="B38" s="73"/>
      <c r="C38" s="74"/>
      <c r="D38" s="75"/>
      <c r="E38" s="75"/>
      <c r="F38" s="75"/>
      <c r="G38" s="75"/>
      <c r="H38" s="76"/>
      <c r="I38" s="2"/>
    </row>
    <row r="39" spans="2:10" customFormat="1" ht="13.5" thickBot="1" x14ac:dyDescent="0.25"/>
    <row r="40" spans="2:10" customFormat="1" x14ac:dyDescent="0.2">
      <c r="B40" s="55"/>
      <c r="C40" s="56"/>
      <c r="D40" s="56"/>
      <c r="E40" s="56"/>
      <c r="F40" s="56"/>
      <c r="G40" s="56"/>
      <c r="H40" s="56"/>
      <c r="I40" s="56"/>
      <c r="J40" s="58"/>
    </row>
    <row r="41" spans="2:10" s="8" customFormat="1" x14ac:dyDescent="0.2">
      <c r="B41" s="59"/>
      <c r="C41" s="8" t="s">
        <v>368</v>
      </c>
      <c r="F41" s="8" t="s">
        <v>117</v>
      </c>
      <c r="J41" s="61"/>
    </row>
    <row r="42" spans="2:10" customFormat="1" x14ac:dyDescent="0.2">
      <c r="B42" s="62"/>
      <c r="J42" s="64"/>
    </row>
    <row r="43" spans="2:10" customFormat="1" x14ac:dyDescent="0.2">
      <c r="B43" s="62"/>
      <c r="C43" s="77" t="s">
        <v>118</v>
      </c>
      <c r="J43" s="64"/>
    </row>
    <row r="44" spans="2:10" customFormat="1" x14ac:dyDescent="0.2">
      <c r="B44" s="62"/>
      <c r="C44" s="2" t="s">
        <v>369</v>
      </c>
      <c r="F44" t="s">
        <v>119</v>
      </c>
      <c r="G44" s="78">
        <f>Parameters!H31</f>
        <v>6.4500000000000002E-2</v>
      </c>
      <c r="J44" s="64"/>
    </row>
    <row r="45" spans="2:10" customFormat="1" x14ac:dyDescent="0.2">
      <c r="B45" s="62"/>
      <c r="C45" s="2" t="s">
        <v>370</v>
      </c>
      <c r="F45" t="s">
        <v>119</v>
      </c>
      <c r="G45" s="78">
        <f>Parameters!H32</f>
        <v>5.6899999999999999E-2</v>
      </c>
      <c r="J45" s="64"/>
    </row>
    <row r="46" spans="2:10" customFormat="1" x14ac:dyDescent="0.2">
      <c r="B46" s="62"/>
      <c r="C46" s="2" t="s">
        <v>407</v>
      </c>
      <c r="F46" t="s">
        <v>119</v>
      </c>
      <c r="G46" s="78">
        <f>Parameters!H36</f>
        <v>8.2299999999999998E-2</v>
      </c>
      <c r="J46" s="64"/>
    </row>
    <row r="47" spans="2:10" customFormat="1" x14ac:dyDescent="0.2">
      <c r="B47" s="62"/>
      <c r="C47" s="2" t="s">
        <v>408</v>
      </c>
      <c r="F47" t="s">
        <v>119</v>
      </c>
      <c r="G47" s="78">
        <f>Parameters!H37</f>
        <v>7.1800000000000003E-2</v>
      </c>
      <c r="J47" s="64"/>
    </row>
    <row r="48" spans="2:10" customFormat="1" x14ac:dyDescent="0.2">
      <c r="B48" s="62"/>
      <c r="C48" s="2" t="s">
        <v>120</v>
      </c>
      <c r="F48" t="s">
        <v>119</v>
      </c>
      <c r="G48" s="78">
        <f>Parameters!H19</f>
        <v>1.9E-2</v>
      </c>
      <c r="J48" s="64"/>
    </row>
    <row r="49" spans="2:10" customFormat="1" x14ac:dyDescent="0.2">
      <c r="B49" s="62"/>
      <c r="C49" s="2" t="s">
        <v>371</v>
      </c>
      <c r="F49" t="s">
        <v>119</v>
      </c>
      <c r="G49" s="78">
        <f>Parameters!H20</f>
        <v>2.5000000000000001E-2</v>
      </c>
      <c r="J49" s="64"/>
    </row>
    <row r="50" spans="2:10" customFormat="1" x14ac:dyDescent="0.2">
      <c r="B50" s="62"/>
      <c r="C50" s="2" t="s">
        <v>121</v>
      </c>
      <c r="F50" t="s">
        <v>119</v>
      </c>
      <c r="G50" s="78">
        <f>Parameters!H43</f>
        <v>0.5</v>
      </c>
      <c r="J50" s="64"/>
    </row>
    <row r="51" spans="2:10" customFormat="1" x14ac:dyDescent="0.2">
      <c r="B51" s="62"/>
      <c r="J51" s="64"/>
    </row>
    <row r="52" spans="2:10" customFormat="1" ht="26.25" customHeight="1" x14ac:dyDescent="0.2">
      <c r="B52" s="62"/>
      <c r="C52" s="79" t="s">
        <v>372</v>
      </c>
      <c r="G52" s="80" t="s">
        <v>122</v>
      </c>
      <c r="I52" s="80" t="s">
        <v>123</v>
      </c>
      <c r="J52" s="64"/>
    </row>
    <row r="53" spans="2:10" customFormat="1" x14ac:dyDescent="0.2">
      <c r="B53" s="62"/>
      <c r="C53" s="2" t="s">
        <v>373</v>
      </c>
      <c r="F53" s="2" t="s">
        <v>125</v>
      </c>
      <c r="G53" s="81">
        <f>'Gegevens kosten 2023'!L34</f>
        <v>77661.548236779941</v>
      </c>
      <c r="I53" s="81">
        <f>'Gegevens kosten 2023'!M34</f>
        <v>12322967.813324362</v>
      </c>
      <c r="J53" s="64"/>
    </row>
    <row r="54" spans="2:10" customFormat="1" x14ac:dyDescent="0.2">
      <c r="B54" s="62"/>
      <c r="C54" s="2" t="s">
        <v>374</v>
      </c>
      <c r="F54" s="2" t="s">
        <v>125</v>
      </c>
      <c r="G54" s="81">
        <f>'Gegevens kosten 2023'!L20</f>
        <v>306512.65575067198</v>
      </c>
      <c r="I54" s="81">
        <f>'Gegevens kosten 2023'!M20</f>
        <v>37669225.96047581</v>
      </c>
      <c r="J54" s="64"/>
    </row>
    <row r="55" spans="2:10" customFormat="1" x14ac:dyDescent="0.2">
      <c r="B55" s="62"/>
      <c r="C55" s="2" t="s">
        <v>375</v>
      </c>
      <c r="F55" s="2" t="s">
        <v>125</v>
      </c>
      <c r="G55" s="81">
        <f>'Gegevens kosten 2023'!L21</f>
        <v>60184.210646361265</v>
      </c>
      <c r="I55" s="81">
        <f>'Gegevens kosten 2023'!M21</f>
        <v>3290310.4163911408</v>
      </c>
      <c r="J55" s="64"/>
    </row>
    <row r="56" spans="2:10" customFormat="1" x14ac:dyDescent="0.2">
      <c r="B56" s="62"/>
      <c r="J56" s="64"/>
    </row>
    <row r="57" spans="2:10" customFormat="1" x14ac:dyDescent="0.2">
      <c r="B57" s="62"/>
      <c r="C57" s="1" t="s">
        <v>124</v>
      </c>
      <c r="D57" s="2"/>
      <c r="E57" s="2"/>
      <c r="F57" s="2"/>
      <c r="G57" s="2"/>
      <c r="I57" s="2"/>
      <c r="J57" s="64"/>
    </row>
    <row r="58" spans="2:10" customFormat="1" x14ac:dyDescent="0.2">
      <c r="B58" s="62"/>
      <c r="C58" s="21" t="s">
        <v>781</v>
      </c>
      <c r="D58" s="2"/>
      <c r="E58" s="2"/>
      <c r="F58" s="2" t="s">
        <v>125</v>
      </c>
      <c r="G58" s="81">
        <f>'Input voor correcties'!L60</f>
        <v>7240.715191935451</v>
      </c>
      <c r="I58" s="81">
        <f>'Input voor correcties'!M60</f>
        <v>523588.78519078501</v>
      </c>
      <c r="J58" s="64"/>
    </row>
    <row r="59" spans="2:10" customFormat="1" x14ac:dyDescent="0.2">
      <c r="B59" s="62"/>
      <c r="C59" s="2" t="s">
        <v>376</v>
      </c>
      <c r="D59" s="2"/>
      <c r="E59" s="2"/>
      <c r="F59" s="2" t="s">
        <v>125</v>
      </c>
      <c r="G59" s="81">
        <f>Volumecorrecties!L44</f>
        <v>-28793.999063355819</v>
      </c>
      <c r="I59" s="81">
        <f>Volumecorrecties!M44</f>
        <v>42130.226620852947</v>
      </c>
      <c r="J59" s="64"/>
    </row>
    <row r="60" spans="2:10" customFormat="1" x14ac:dyDescent="0.2">
      <c r="B60" s="62"/>
      <c r="C60" s="2" t="s">
        <v>377</v>
      </c>
      <c r="D60" s="2"/>
      <c r="E60" s="2"/>
      <c r="F60" s="2" t="s">
        <v>125</v>
      </c>
      <c r="I60" s="81">
        <f>Volumecorrecties!M58</f>
        <v>10079.978769359197</v>
      </c>
      <c r="J60" s="64"/>
    </row>
    <row r="61" spans="2:10" customFormat="1" x14ac:dyDescent="0.2">
      <c r="B61" s="62"/>
      <c r="C61" s="2" t="s">
        <v>378</v>
      </c>
      <c r="D61" s="2"/>
      <c r="E61" s="2"/>
      <c r="F61" s="2" t="s">
        <v>125</v>
      </c>
      <c r="G61" s="81">
        <f>'Profit sharing'!L63</f>
        <v>-24607.422098151641</v>
      </c>
      <c r="I61" s="81">
        <f>'Profit sharing'!M63</f>
        <v>1708149.315894274</v>
      </c>
      <c r="J61" s="64"/>
    </row>
    <row r="62" spans="2:10" customFormat="1" x14ac:dyDescent="0.2">
      <c r="B62" s="62"/>
      <c r="C62" s="2" t="s">
        <v>379</v>
      </c>
      <c r="D62" s="2"/>
      <c r="E62" s="2"/>
      <c r="F62" s="2" t="s">
        <v>125</v>
      </c>
      <c r="I62" s="81">
        <f>'Profit sharing'!M67</f>
        <v>-282812.61748823908</v>
      </c>
      <c r="J62" s="64"/>
    </row>
    <row r="63" spans="2:10" customFormat="1" x14ac:dyDescent="0.2">
      <c r="B63" s="62"/>
      <c r="C63" s="2" t="s">
        <v>380</v>
      </c>
      <c r="D63" s="2"/>
      <c r="E63" s="2"/>
      <c r="F63" s="2" t="s">
        <v>97</v>
      </c>
      <c r="I63" s="81">
        <f>'Input voor correcties'!M50</f>
        <v>-987471.15059939725</v>
      </c>
      <c r="J63" s="64"/>
    </row>
    <row r="64" spans="2:10" customFormat="1" x14ac:dyDescent="0.2">
      <c r="B64" s="62"/>
      <c r="C64" s="2"/>
      <c r="D64" s="2"/>
      <c r="E64" s="2"/>
      <c r="F64" s="2"/>
      <c r="J64" s="64"/>
    </row>
    <row r="65" spans="2:10" customFormat="1" x14ac:dyDescent="0.2">
      <c r="B65" s="62"/>
      <c r="C65" s="1" t="s">
        <v>126</v>
      </c>
      <c r="D65" s="2"/>
      <c r="E65" s="2"/>
      <c r="F65" s="2"/>
      <c r="J65" s="64"/>
    </row>
    <row r="66" spans="2:10" customFormat="1" x14ac:dyDescent="0.2">
      <c r="B66" s="62"/>
      <c r="C66" s="2" t="s">
        <v>749</v>
      </c>
      <c r="D66" s="2"/>
      <c r="E66" s="2"/>
      <c r="F66" s="2" t="s">
        <v>97</v>
      </c>
      <c r="G66" s="81">
        <f>'Totaaloverzicht correcties'!L48</f>
        <v>-1916</v>
      </c>
      <c r="I66" s="81">
        <f>'Totaaloverzicht correcties'!M48</f>
        <v>-287511</v>
      </c>
      <c r="J66" s="64"/>
    </row>
    <row r="67" spans="2:10" customFormat="1" x14ac:dyDescent="0.2">
      <c r="B67" s="62"/>
      <c r="C67" s="2"/>
      <c r="D67" s="2"/>
      <c r="E67" s="2"/>
      <c r="F67" s="2"/>
      <c r="J67" s="64"/>
    </row>
    <row r="68" spans="2:10" customFormat="1" x14ac:dyDescent="0.2">
      <c r="B68" s="62"/>
      <c r="C68" s="1" t="s">
        <v>127</v>
      </c>
      <c r="J68" s="64"/>
    </row>
    <row r="69" spans="2:10" customFormat="1" x14ac:dyDescent="0.2">
      <c r="B69" s="62"/>
      <c r="C69" s="2" t="s">
        <v>381</v>
      </c>
      <c r="F69" s="2" t="s">
        <v>362</v>
      </c>
      <c r="I69" s="81">
        <f>'Totaaloverzicht correcties'!M84</f>
        <v>-340287.42937997857</v>
      </c>
      <c r="J69" s="64"/>
    </row>
    <row r="70" spans="2:10" customFormat="1" x14ac:dyDescent="0.2">
      <c r="B70" s="62"/>
      <c r="C70" s="2" t="s">
        <v>382</v>
      </c>
      <c r="F70" s="2" t="s">
        <v>362</v>
      </c>
      <c r="I70" s="81">
        <f>'Totaaloverzicht correcties'!M85</f>
        <v>-1017095.2851173792</v>
      </c>
      <c r="J70" s="64"/>
    </row>
    <row r="71" spans="2:10" customFormat="1" x14ac:dyDescent="0.2">
      <c r="B71" s="62"/>
      <c r="C71" s="2" t="s">
        <v>128</v>
      </c>
      <c r="F71" s="2" t="s">
        <v>362</v>
      </c>
      <c r="I71" s="81">
        <f>'Totaaloverzicht correcties'!M86</f>
        <v>2116210.5788632017</v>
      </c>
      <c r="J71" s="64"/>
    </row>
    <row r="72" spans="2:10" customFormat="1" x14ac:dyDescent="0.2">
      <c r="B72" s="62"/>
      <c r="J72" s="64"/>
    </row>
    <row r="73" spans="2:10" customFormat="1" x14ac:dyDescent="0.2">
      <c r="B73" s="62"/>
      <c r="C73" s="1" t="s">
        <v>383</v>
      </c>
      <c r="D73" s="2"/>
      <c r="E73" s="2"/>
      <c r="J73" s="64"/>
    </row>
    <row r="74" spans="2:10" customFormat="1" x14ac:dyDescent="0.2">
      <c r="B74" s="62"/>
      <c r="C74" s="2" t="s">
        <v>384</v>
      </c>
      <c r="F74" s="2" t="s">
        <v>362</v>
      </c>
      <c r="G74" s="81">
        <f>'Berekening kostenbasis'!L98</f>
        <v>164879.50459276966</v>
      </c>
      <c r="I74" s="81">
        <f>'Berekening kostenbasis'!M98</f>
        <v>19566046.14563603</v>
      </c>
      <c r="J74" s="64"/>
    </row>
    <row r="75" spans="2:10" customFormat="1" x14ac:dyDescent="0.2">
      <c r="B75" s="62"/>
      <c r="C75" s="2" t="s">
        <v>129</v>
      </c>
      <c r="D75" s="2"/>
      <c r="E75" s="2"/>
      <c r="F75" s="2" t="s">
        <v>362</v>
      </c>
      <c r="G75" s="81">
        <f>'Berekening kostenbasis'!L97</f>
        <v>0</v>
      </c>
      <c r="I75" s="81">
        <f>'Berekening kostenbasis'!M97</f>
        <v>4819225.7627032707</v>
      </c>
      <c r="J75" s="64"/>
    </row>
    <row r="76" spans="2:10" customFormat="1" x14ac:dyDescent="0.2">
      <c r="B76" s="62"/>
      <c r="C76" s="2" t="s">
        <v>385</v>
      </c>
      <c r="D76" s="2"/>
      <c r="E76" s="2"/>
      <c r="F76" s="2" t="s">
        <v>362</v>
      </c>
      <c r="G76" s="81">
        <f>'Variabel tarief elektriciteit'!H14</f>
        <v>164879.50459276966</v>
      </c>
      <c r="I76" s="81">
        <f>'Vaste tarieven elektriciteit'!H21</f>
        <v>21682256.724499233</v>
      </c>
      <c r="J76" s="64"/>
    </row>
    <row r="77" spans="2:10" customFormat="1" x14ac:dyDescent="0.2">
      <c r="B77" s="62"/>
      <c r="I77" s="82"/>
      <c r="J77" s="64"/>
    </row>
    <row r="78" spans="2:10" customFormat="1" x14ac:dyDescent="0.2">
      <c r="B78" s="62"/>
      <c r="C78" s="77" t="s">
        <v>386</v>
      </c>
      <c r="J78" s="64"/>
    </row>
    <row r="79" spans="2:10" customFormat="1" x14ac:dyDescent="0.2">
      <c r="B79" s="62"/>
      <c r="C79" t="s">
        <v>387</v>
      </c>
      <c r="F79" t="s">
        <v>130</v>
      </c>
      <c r="G79" s="81">
        <f>'Gegevens raming 2025'!L82</f>
        <v>282924.66000000003</v>
      </c>
      <c r="J79" s="64"/>
    </row>
    <row r="80" spans="2:10" customFormat="1" x14ac:dyDescent="0.2">
      <c r="B80" s="62"/>
      <c r="C80" t="s">
        <v>388</v>
      </c>
      <c r="F80" t="s">
        <v>130</v>
      </c>
      <c r="G80" s="81">
        <f>'Gegevens raming 2025'!L83</f>
        <v>186466155.65999997</v>
      </c>
      <c r="J80" s="64"/>
    </row>
    <row r="81" spans="2:10" customFormat="1" x14ac:dyDescent="0.2">
      <c r="B81" s="62"/>
      <c r="C81" t="s">
        <v>131</v>
      </c>
      <c r="F81" t="s">
        <v>132</v>
      </c>
      <c r="I81" s="81">
        <f>'Gegevens raming 2025'!M82</f>
        <v>115533.04583333334</v>
      </c>
      <c r="J81" s="64"/>
    </row>
    <row r="82" spans="2:10" customFormat="1" x14ac:dyDescent="0.2">
      <c r="B82" s="62"/>
      <c r="C82" s="2" t="s">
        <v>389</v>
      </c>
      <c r="D82" s="2"/>
      <c r="E82" s="2"/>
      <c r="F82" s="2" t="s">
        <v>119</v>
      </c>
      <c r="I82" s="83">
        <f>'Gegevens raming 2025'!M35</f>
        <v>9.0289629203973529E-2</v>
      </c>
      <c r="J82" s="64"/>
    </row>
    <row r="83" spans="2:10" customFormat="1" x14ac:dyDescent="0.2">
      <c r="B83" s="62"/>
      <c r="C83" s="2" t="s">
        <v>133</v>
      </c>
      <c r="D83" s="2"/>
      <c r="E83" s="2"/>
      <c r="F83" s="2" t="s">
        <v>134</v>
      </c>
      <c r="I83" s="84">
        <f>'Gegevens raming 2025'!M37</f>
        <v>208.33333333333334</v>
      </c>
      <c r="J83" s="64"/>
    </row>
    <row r="84" spans="2:10" customFormat="1" x14ac:dyDescent="0.2">
      <c r="B84" s="62"/>
      <c r="C84" s="2"/>
      <c r="D84" s="2"/>
      <c r="E84" s="2"/>
      <c r="F84" s="2"/>
      <c r="G84" s="2"/>
      <c r="J84" s="64"/>
    </row>
    <row r="85" spans="2:10" customFormat="1" x14ac:dyDescent="0.2">
      <c r="B85" s="62"/>
      <c r="C85" s="4" t="s">
        <v>135</v>
      </c>
      <c r="D85" s="2"/>
      <c r="E85" s="2"/>
      <c r="F85" s="2"/>
      <c r="G85" s="2"/>
      <c r="J85" s="64"/>
    </row>
    <row r="86" spans="2:10" customFormat="1" x14ac:dyDescent="0.2">
      <c r="B86" s="62"/>
      <c r="C86" s="2" t="s">
        <v>136</v>
      </c>
      <c r="D86" s="2"/>
      <c r="E86" s="2"/>
      <c r="F86" s="2"/>
      <c r="G86" s="2"/>
      <c r="H86" s="2"/>
      <c r="J86" s="64"/>
    </row>
    <row r="87" spans="2:10" customFormat="1" x14ac:dyDescent="0.2">
      <c r="B87" s="62"/>
      <c r="C87" s="2" t="s">
        <v>137</v>
      </c>
      <c r="J87" s="64"/>
    </row>
    <row r="88" spans="2:10" customFormat="1" x14ac:dyDescent="0.2">
      <c r="B88" s="62"/>
      <c r="C88" s="2"/>
      <c r="J88" s="64"/>
    </row>
    <row r="89" spans="2:10" customFormat="1" ht="13.5" thickBot="1" x14ac:dyDescent="0.25">
      <c r="B89" s="73"/>
      <c r="C89" s="85"/>
      <c r="D89" s="85"/>
      <c r="E89" s="85"/>
      <c r="F89" s="85"/>
      <c r="G89" s="85"/>
      <c r="H89" s="85"/>
      <c r="I89" s="85"/>
      <c r="J89" s="86"/>
    </row>
    <row r="90" spans="2:10" customFormat="1" x14ac:dyDescent="0.2"/>
    <row r="91" spans="2:10" customFormat="1" x14ac:dyDescent="0.2"/>
    <row r="92" spans="2:10" customFormat="1" x14ac:dyDescent="0.2">
      <c r="C92" s="2"/>
    </row>
    <row r="93" spans="2:10" customFormat="1" x14ac:dyDescent="0.2">
      <c r="C93" s="4" t="s">
        <v>62</v>
      </c>
    </row>
    <row r="94" spans="2:10" customFormat="1" x14ac:dyDescent="0.2"/>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49E4E-0886-4598-8652-FABAB2CBBBCB}">
  <sheetPr>
    <tabColor rgb="FFCCFFFF"/>
  </sheetPr>
  <dimension ref="B2:N86"/>
  <sheetViews>
    <sheetView showGridLines="0" zoomScale="85" zoomScaleNormal="85" workbookViewId="0"/>
  </sheetViews>
  <sheetFormatPr defaultRowHeight="12.75" x14ac:dyDescent="0.2"/>
  <cols>
    <col min="1" max="1" width="2.85546875" style="2" customWidth="1"/>
    <col min="2" max="2" width="3.7109375" style="2" customWidth="1"/>
    <col min="3" max="3" width="59.85546875" style="2" customWidth="1"/>
    <col min="4" max="4" width="3.7109375" style="2" customWidth="1"/>
    <col min="5" max="5" width="22" style="2" customWidth="1"/>
    <col min="6" max="6" width="12.28515625" style="2" customWidth="1"/>
    <col min="7" max="7" width="2" style="2" customWidth="1"/>
    <col min="8" max="8" width="12.85546875" style="2" customWidth="1"/>
    <col min="9" max="9" width="1.85546875" style="2" customWidth="1"/>
    <col min="10" max="10" width="15" style="2" customWidth="1"/>
    <col min="11" max="11" width="3.7109375" style="2" customWidth="1"/>
    <col min="12" max="15" width="9.140625" style="2"/>
    <col min="16" max="16" width="10.28515625" style="2" bestFit="1" customWidth="1"/>
    <col min="17" max="16384" width="9.140625" style="2"/>
  </cols>
  <sheetData>
    <row r="2" spans="2:7" s="7" customFormat="1" ht="18" x14ac:dyDescent="0.2">
      <c r="C2" s="7" t="s">
        <v>138</v>
      </c>
    </row>
    <row r="3" spans="2:7" customFormat="1" x14ac:dyDescent="0.2"/>
    <row r="4" spans="2:7" customFormat="1" x14ac:dyDescent="0.2">
      <c r="C4" s="26" t="s">
        <v>12</v>
      </c>
    </row>
    <row r="5" spans="2:7" customFormat="1" x14ac:dyDescent="0.2">
      <c r="C5" t="s">
        <v>391</v>
      </c>
    </row>
    <row r="6" spans="2:7" customFormat="1" x14ac:dyDescent="0.2"/>
    <row r="7" spans="2:7" s="8" customFormat="1" x14ac:dyDescent="0.2">
      <c r="C7" s="8" t="s">
        <v>111</v>
      </c>
      <c r="E7" s="8" t="s">
        <v>19</v>
      </c>
    </row>
    <row r="8" spans="2:7" customFormat="1" x14ac:dyDescent="0.2"/>
    <row r="9" spans="2:7" customFormat="1" x14ac:dyDescent="0.2">
      <c r="C9" s="2" t="s">
        <v>139</v>
      </c>
      <c r="D9" s="2"/>
      <c r="E9" s="2" t="s">
        <v>365</v>
      </c>
      <c r="F9" s="87">
        <f>Resultaat!H49</f>
        <v>3.5689000000000002</v>
      </c>
    </row>
    <row r="10" spans="2:7" customFormat="1" ht="13.5" thickBot="1" x14ac:dyDescent="0.25">
      <c r="C10" s="1"/>
      <c r="D10" s="2"/>
      <c r="E10" s="2"/>
      <c r="F10" s="2"/>
      <c r="G10" s="2"/>
    </row>
    <row r="11" spans="2:7" customFormat="1" x14ac:dyDescent="0.2">
      <c r="B11" s="55"/>
      <c r="C11" s="56"/>
      <c r="D11" s="56"/>
      <c r="E11" s="56"/>
      <c r="F11" s="88"/>
      <c r="G11" s="89"/>
    </row>
    <row r="12" spans="2:7" s="8" customFormat="1" x14ac:dyDescent="0.2">
      <c r="B12" s="59"/>
      <c r="C12" s="8" t="s">
        <v>140</v>
      </c>
      <c r="E12" s="8" t="s">
        <v>19</v>
      </c>
      <c r="F12" s="90" t="s">
        <v>113</v>
      </c>
      <c r="G12" s="91"/>
    </row>
    <row r="13" spans="2:7" customFormat="1" x14ac:dyDescent="0.2">
      <c r="B13" s="62"/>
      <c r="F13" s="92"/>
      <c r="G13" s="93"/>
    </row>
    <row r="14" spans="2:7" customFormat="1" x14ac:dyDescent="0.2">
      <c r="B14" s="62"/>
      <c r="C14" s="1" t="s">
        <v>141</v>
      </c>
      <c r="D14" s="2"/>
      <c r="E14" s="2"/>
      <c r="F14" s="94"/>
      <c r="G14" s="95"/>
    </row>
    <row r="15" spans="2:7" customFormat="1" x14ac:dyDescent="0.2">
      <c r="B15" s="62"/>
      <c r="C15" s="2" t="s">
        <v>114</v>
      </c>
      <c r="D15" s="2"/>
      <c r="E15" s="2" t="s">
        <v>365</v>
      </c>
      <c r="F15" s="96">
        <f>Resultaat!H52</f>
        <v>4.0549999999999997</v>
      </c>
      <c r="G15" s="95"/>
    </row>
    <row r="16" spans="2:7" customFormat="1" x14ac:dyDescent="0.2">
      <c r="B16" s="62"/>
      <c r="C16" s="2" t="s">
        <v>102</v>
      </c>
      <c r="D16" s="2"/>
      <c r="E16" s="2" t="s">
        <v>365</v>
      </c>
      <c r="F16" s="96">
        <f>Resultaat!H53</f>
        <v>13.212999999999999</v>
      </c>
      <c r="G16" s="95"/>
    </row>
    <row r="17" spans="2:7" customFormat="1" x14ac:dyDescent="0.2">
      <c r="B17" s="62"/>
      <c r="C17" s="2"/>
      <c r="D17" s="2"/>
      <c r="E17" s="2"/>
      <c r="F17" s="94"/>
      <c r="G17" s="95"/>
    </row>
    <row r="18" spans="2:7" customFormat="1" x14ac:dyDescent="0.2">
      <c r="B18" s="62"/>
      <c r="C18" s="1" t="s">
        <v>142</v>
      </c>
      <c r="D18" s="2"/>
      <c r="E18" s="2"/>
      <c r="F18" s="94"/>
      <c r="G18" s="95"/>
    </row>
    <row r="19" spans="2:7" customFormat="1" x14ac:dyDescent="0.2">
      <c r="B19" s="62"/>
      <c r="C19" s="1" t="s">
        <v>79</v>
      </c>
      <c r="D19" s="2"/>
      <c r="E19" s="2"/>
      <c r="F19" s="94"/>
      <c r="G19" s="95"/>
    </row>
    <row r="20" spans="2:7" customFormat="1" x14ac:dyDescent="0.2">
      <c r="B20" s="62"/>
      <c r="C20" s="2" t="s">
        <v>104</v>
      </c>
      <c r="D20" s="2"/>
      <c r="E20" s="2" t="s">
        <v>360</v>
      </c>
      <c r="F20" s="71">
        <f>Resultaat!H57</f>
        <v>51.229342221188354</v>
      </c>
      <c r="G20" s="95"/>
    </row>
    <row r="21" spans="2:7" customFormat="1" x14ac:dyDescent="0.2">
      <c r="B21" s="62"/>
      <c r="C21" s="2" t="s">
        <v>105</v>
      </c>
      <c r="D21" s="2"/>
      <c r="E21" s="2" t="s">
        <v>360</v>
      </c>
      <c r="F21" s="71">
        <f>Resultaat!H58</f>
        <v>115.26601999767379</v>
      </c>
      <c r="G21" s="95"/>
    </row>
    <row r="22" spans="2:7" customFormat="1" x14ac:dyDescent="0.2">
      <c r="B22" s="62"/>
      <c r="C22" s="2" t="s">
        <v>106</v>
      </c>
      <c r="D22" s="2"/>
      <c r="E22" s="2" t="s">
        <v>360</v>
      </c>
      <c r="F22" s="71">
        <f>Resultaat!H59</f>
        <v>204.91736888475342</v>
      </c>
      <c r="G22" s="95"/>
    </row>
    <row r="23" spans="2:7" customFormat="1" x14ac:dyDescent="0.2">
      <c r="B23" s="62"/>
      <c r="C23" s="52" t="s">
        <v>107</v>
      </c>
      <c r="D23" s="2"/>
      <c r="E23" s="2" t="s">
        <v>360</v>
      </c>
      <c r="F23" s="71">
        <f>Resultaat!H60</f>
        <v>320.18338888242721</v>
      </c>
      <c r="G23" s="95"/>
    </row>
    <row r="24" spans="2:7" customFormat="1" x14ac:dyDescent="0.2">
      <c r="B24" s="62"/>
      <c r="C24" s="2" t="s">
        <v>108</v>
      </c>
      <c r="D24" s="2"/>
      <c r="E24" s="2" t="s">
        <v>360</v>
      </c>
      <c r="F24" s="71">
        <f>Resultaat!H61</f>
        <v>819.66947553901366</v>
      </c>
      <c r="G24" s="95"/>
    </row>
    <row r="25" spans="2:7" customFormat="1" x14ac:dyDescent="0.2">
      <c r="B25" s="62"/>
      <c r="C25" s="2" t="s">
        <v>109</v>
      </c>
      <c r="D25" s="2"/>
      <c r="E25" s="2" t="s">
        <v>360</v>
      </c>
      <c r="F25" s="71">
        <f>Resultaat!H62</f>
        <v>3278.6779021560546</v>
      </c>
      <c r="G25" s="95"/>
    </row>
    <row r="26" spans="2:7" customFormat="1" x14ac:dyDescent="0.2">
      <c r="B26" s="62"/>
      <c r="C26" s="2"/>
      <c r="D26" s="2"/>
      <c r="E26" s="2"/>
      <c r="F26" s="94"/>
      <c r="G26" s="95"/>
    </row>
    <row r="27" spans="2:7" customFormat="1" x14ac:dyDescent="0.2">
      <c r="B27" s="62"/>
      <c r="C27" s="1" t="s">
        <v>95</v>
      </c>
      <c r="D27" s="2"/>
      <c r="E27" s="2"/>
      <c r="F27" s="94"/>
      <c r="G27" s="95"/>
    </row>
    <row r="28" spans="2:7" customFormat="1" x14ac:dyDescent="0.2">
      <c r="B28" s="62"/>
      <c r="C28" s="2" t="s">
        <v>96</v>
      </c>
      <c r="D28" s="2"/>
      <c r="E28" s="2" t="s">
        <v>362</v>
      </c>
      <c r="F28" s="97">
        <f>Resultaat!H65</f>
        <v>40</v>
      </c>
      <c r="G28" s="95"/>
    </row>
    <row r="29" spans="2:7" customFormat="1" x14ac:dyDescent="0.2">
      <c r="B29" s="62"/>
      <c r="C29" s="2" t="s">
        <v>98</v>
      </c>
      <c r="D29" s="2"/>
      <c r="E29" s="2" t="s">
        <v>362</v>
      </c>
      <c r="F29" s="97">
        <f>Resultaat!H66</f>
        <v>1221.3834591709647</v>
      </c>
      <c r="G29" s="95"/>
    </row>
    <row r="30" spans="2:7" customFormat="1" x14ac:dyDescent="0.2">
      <c r="B30" s="62"/>
      <c r="C30" s="4" t="s">
        <v>99</v>
      </c>
      <c r="D30" s="2"/>
      <c r="E30" s="2"/>
      <c r="F30" s="2"/>
      <c r="G30" s="95"/>
    </row>
    <row r="31" spans="2:7" customFormat="1" ht="13.5" thickBot="1" x14ac:dyDescent="0.25">
      <c r="B31" s="73"/>
      <c r="C31" s="75"/>
      <c r="D31" s="75"/>
      <c r="E31" s="75"/>
      <c r="F31" s="98"/>
      <c r="G31" s="99"/>
    </row>
    <row r="32" spans="2:7" customFormat="1" ht="13.5" thickBot="1" x14ac:dyDescent="0.25"/>
    <row r="33" spans="2:14" customFormat="1" x14ac:dyDescent="0.2">
      <c r="B33" s="55"/>
      <c r="C33" s="56"/>
      <c r="D33" s="56"/>
      <c r="E33" s="56"/>
      <c r="F33" s="56"/>
      <c r="G33" s="56"/>
      <c r="H33" s="56"/>
      <c r="I33" s="56"/>
      <c r="J33" s="56"/>
      <c r="K33" s="58"/>
    </row>
    <row r="34" spans="2:14" s="8" customFormat="1" x14ac:dyDescent="0.2">
      <c r="B34" s="59"/>
      <c r="C34" s="8" t="s">
        <v>392</v>
      </c>
      <c r="E34" s="8" t="s">
        <v>117</v>
      </c>
      <c r="K34" s="61"/>
    </row>
    <row r="35" spans="2:14" customFormat="1" x14ac:dyDescent="0.2">
      <c r="B35" s="62"/>
      <c r="K35" s="64"/>
    </row>
    <row r="36" spans="2:14" customFormat="1" x14ac:dyDescent="0.2">
      <c r="B36" s="62"/>
      <c r="C36" s="77" t="s">
        <v>118</v>
      </c>
      <c r="K36" s="64"/>
    </row>
    <row r="37" spans="2:14" customFormat="1" x14ac:dyDescent="0.2">
      <c r="B37" s="62"/>
      <c r="C37" s="2" t="s">
        <v>393</v>
      </c>
      <c r="E37" t="s">
        <v>119</v>
      </c>
      <c r="F37" s="78">
        <f>Parameters!H33</f>
        <v>6.3600000000000004E-2</v>
      </c>
      <c r="K37" s="64"/>
    </row>
    <row r="38" spans="2:14" customFormat="1" x14ac:dyDescent="0.2">
      <c r="B38" s="62"/>
      <c r="C38" s="2" t="s">
        <v>751</v>
      </c>
      <c r="E38" t="s">
        <v>119</v>
      </c>
      <c r="F38" s="78">
        <f>Parameters!H38</f>
        <v>8.1100000000000005E-2</v>
      </c>
      <c r="K38" s="64"/>
    </row>
    <row r="39" spans="2:14" customFormat="1" x14ac:dyDescent="0.2">
      <c r="B39" s="62"/>
      <c r="C39" s="2" t="s">
        <v>120</v>
      </c>
      <c r="E39" t="s">
        <v>119</v>
      </c>
      <c r="F39" s="78">
        <f>Parameters!H19</f>
        <v>1.9E-2</v>
      </c>
      <c r="K39" s="64"/>
    </row>
    <row r="40" spans="2:14" customFormat="1" x14ac:dyDescent="0.2">
      <c r="B40" s="62"/>
      <c r="C40" s="2" t="s">
        <v>371</v>
      </c>
      <c r="E40" t="s">
        <v>119</v>
      </c>
      <c r="F40" s="78">
        <f>Parameters!H20</f>
        <v>2.5000000000000001E-2</v>
      </c>
      <c r="K40" s="64"/>
    </row>
    <row r="41" spans="2:14" customFormat="1" x14ac:dyDescent="0.2">
      <c r="B41" s="62"/>
      <c r="C41" s="2" t="s">
        <v>121</v>
      </c>
      <c r="E41" t="s">
        <v>119</v>
      </c>
      <c r="F41" s="78">
        <f>Parameters!H43</f>
        <v>0.5</v>
      </c>
      <c r="K41" s="64"/>
    </row>
    <row r="42" spans="2:14" customFormat="1" x14ac:dyDescent="0.2">
      <c r="B42" s="62"/>
      <c r="K42" s="64"/>
    </row>
    <row r="43" spans="2:14" customFormat="1" ht="25.5" x14ac:dyDescent="0.2">
      <c r="B43" s="62"/>
      <c r="C43" s="79" t="s">
        <v>372</v>
      </c>
      <c r="F43" s="80" t="s">
        <v>143</v>
      </c>
      <c r="H43" s="80" t="s">
        <v>144</v>
      </c>
      <c r="I43" s="80"/>
      <c r="J43" s="80" t="s">
        <v>145</v>
      </c>
      <c r="K43" s="64"/>
    </row>
    <row r="44" spans="2:14" customFormat="1" x14ac:dyDescent="0.2">
      <c r="B44" s="62"/>
      <c r="C44" s="2" t="s">
        <v>373</v>
      </c>
      <c r="E44" s="2" t="s">
        <v>125</v>
      </c>
      <c r="F44" s="81">
        <f>'Gegevens kosten 2023'!N34</f>
        <v>2789930.7295693136</v>
      </c>
      <c r="G44" s="2"/>
      <c r="H44" s="81">
        <f>'Gegevens kosten 2023'!O34</f>
        <v>4036995.8419477199</v>
      </c>
      <c r="I44" s="80"/>
      <c r="J44" s="81">
        <f>'Gegevens kosten 2023'!P34</f>
        <v>168206.74659897812</v>
      </c>
      <c r="K44" s="64"/>
      <c r="N44" s="2"/>
    </row>
    <row r="45" spans="2:14" customFormat="1" x14ac:dyDescent="0.2">
      <c r="B45" s="62"/>
      <c r="C45" s="2" t="s">
        <v>394</v>
      </c>
      <c r="E45" s="2" t="s">
        <v>125</v>
      </c>
      <c r="F45" s="81">
        <f>'Gegevens kosten 2023'!N20</f>
        <v>2828778.0140036391</v>
      </c>
      <c r="G45" s="2"/>
      <c r="H45" s="81">
        <f>'Gegevens kosten 2023'!O20</f>
        <v>15546754.586916916</v>
      </c>
      <c r="I45" s="80"/>
      <c r="J45" s="81">
        <f>'Gegevens kosten 2023'!P20</f>
        <v>15397.222576164566</v>
      </c>
      <c r="K45" s="64"/>
    </row>
    <row r="46" spans="2:14" customFormat="1" x14ac:dyDescent="0.2">
      <c r="B46" s="62"/>
      <c r="C46" s="2" t="s">
        <v>395</v>
      </c>
      <c r="E46" s="2" t="s">
        <v>125</v>
      </c>
      <c r="F46" s="81">
        <f>'Gegevens kosten 2023'!N21</f>
        <v>288561.49620055628</v>
      </c>
      <c r="G46" s="2"/>
      <c r="H46" s="81">
        <f>'Gegevens kosten 2023'!O21</f>
        <v>2298513.1203133734</v>
      </c>
      <c r="I46" s="80"/>
      <c r="J46" s="81">
        <f>'Gegevens kosten 2023'!P21</f>
        <v>1526.0963236083708</v>
      </c>
      <c r="K46" s="64"/>
    </row>
    <row r="47" spans="2:14" customFormat="1" x14ac:dyDescent="0.2">
      <c r="B47" s="62"/>
      <c r="C47" s="2" t="s">
        <v>396</v>
      </c>
      <c r="E47" s="2" t="s">
        <v>125</v>
      </c>
      <c r="F47" s="81">
        <f>'Profit sharing'!N55</f>
        <v>1901224.9196447802</v>
      </c>
      <c r="K47" s="64"/>
    </row>
    <row r="48" spans="2:14" customFormat="1" x14ac:dyDescent="0.2">
      <c r="B48" s="62"/>
      <c r="I48" s="80"/>
      <c r="K48" s="64"/>
    </row>
    <row r="49" spans="2:11" customFormat="1" x14ac:dyDescent="0.2">
      <c r="B49" s="62"/>
      <c r="C49" s="1" t="s">
        <v>124</v>
      </c>
      <c r="I49" s="80"/>
      <c r="K49" s="64"/>
    </row>
    <row r="50" spans="2:11" customFormat="1" x14ac:dyDescent="0.2">
      <c r="B50" s="62"/>
      <c r="C50" s="21" t="s">
        <v>781</v>
      </c>
      <c r="E50" s="9" t="s">
        <v>125</v>
      </c>
      <c r="F50" s="81">
        <f>'Totaaloverzicht correcties'!N17</f>
        <v>249421.90412120428</v>
      </c>
      <c r="H50" s="81">
        <f>'Totaaloverzicht correcties'!O17</f>
        <v>287500.50105310517</v>
      </c>
      <c r="I50" s="2"/>
      <c r="J50" s="81">
        <f>'Totaaloverzicht correcties'!P17</f>
        <v>1606.1128495002649</v>
      </c>
      <c r="K50" s="64"/>
    </row>
    <row r="51" spans="2:11" customFormat="1" x14ac:dyDescent="0.2">
      <c r="B51" s="62"/>
      <c r="C51" s="2" t="s">
        <v>376</v>
      </c>
      <c r="D51" s="2"/>
      <c r="E51" s="2" t="s">
        <v>125</v>
      </c>
      <c r="F51" s="81">
        <f>Volumecorrecties!N44</f>
        <v>-140606.73452444421</v>
      </c>
      <c r="G51" s="2"/>
      <c r="H51" s="81">
        <f>Volumecorrecties!O44</f>
        <v>-14080.807335188394</v>
      </c>
      <c r="I51" s="80"/>
      <c r="J51" s="81">
        <f>Volumecorrecties!P44</f>
        <v>27590.029470108173</v>
      </c>
      <c r="K51" s="64"/>
    </row>
    <row r="52" spans="2:11" customFormat="1" x14ac:dyDescent="0.2">
      <c r="B52" s="62"/>
      <c r="C52" s="2" t="s">
        <v>378</v>
      </c>
      <c r="D52" s="2"/>
      <c r="E52" s="2" t="s">
        <v>125</v>
      </c>
      <c r="F52" s="81">
        <f>'Profit sharing'!N63</f>
        <v>293762.5219566063</v>
      </c>
      <c r="G52" s="2"/>
      <c r="H52" s="81">
        <f>'Profit sharing'!O63</f>
        <v>267327.09257164551</v>
      </c>
      <c r="I52" s="80"/>
      <c r="J52" s="81">
        <f>'Profit sharing'!P63</f>
        <v>-20758.18825554155</v>
      </c>
      <c r="K52" s="64"/>
    </row>
    <row r="53" spans="2:11" customFormat="1" x14ac:dyDescent="0.2">
      <c r="B53" s="62"/>
      <c r="C53" s="2" t="s">
        <v>397</v>
      </c>
      <c r="D53" s="2"/>
      <c r="E53" s="2" t="s">
        <v>125</v>
      </c>
      <c r="H53" s="81">
        <f>'Profit sharing'!O67</f>
        <v>-17880.188004308184</v>
      </c>
      <c r="I53" s="80"/>
      <c r="K53" s="64"/>
    </row>
    <row r="54" spans="2:11" customFormat="1" x14ac:dyDescent="0.2">
      <c r="B54" s="62"/>
      <c r="C54" s="2" t="s">
        <v>398</v>
      </c>
      <c r="D54" s="2"/>
      <c r="E54" s="2" t="s">
        <v>97</v>
      </c>
      <c r="F54" s="81">
        <f>'Totaaloverzicht correcties'!N43</f>
        <v>-12595.716191757345</v>
      </c>
      <c r="K54" s="64"/>
    </row>
    <row r="55" spans="2:11" customFormat="1" x14ac:dyDescent="0.2">
      <c r="B55" s="62"/>
      <c r="D55" s="2"/>
      <c r="E55" s="2"/>
      <c r="F55" s="2"/>
      <c r="G55" s="2"/>
      <c r="H55" s="2"/>
      <c r="I55" s="2"/>
      <c r="J55" s="2"/>
      <c r="K55" s="64"/>
    </row>
    <row r="56" spans="2:11" customFormat="1" x14ac:dyDescent="0.2">
      <c r="B56" s="62"/>
      <c r="C56" s="1" t="s">
        <v>126</v>
      </c>
      <c r="D56" s="2"/>
      <c r="E56" s="2"/>
      <c r="F56" s="2"/>
      <c r="G56" s="2"/>
      <c r="H56" s="2"/>
      <c r="I56" s="2"/>
      <c r="J56" s="2"/>
      <c r="K56" s="64"/>
    </row>
    <row r="57" spans="2:11" customFormat="1" x14ac:dyDescent="0.2">
      <c r="B57" s="62"/>
      <c r="C57" s="2" t="s">
        <v>749</v>
      </c>
      <c r="D57" s="2"/>
      <c r="E57" s="2" t="s">
        <v>97</v>
      </c>
      <c r="F57" s="81">
        <f>'Totaaloverzicht correcties'!N48</f>
        <v>-15769</v>
      </c>
      <c r="G57" s="2"/>
      <c r="H57" s="81">
        <f>'Totaaloverzicht correcties'!O48</f>
        <v>-77989</v>
      </c>
      <c r="I57" s="2"/>
      <c r="J57" s="2"/>
      <c r="K57" s="64"/>
    </row>
    <row r="58" spans="2:11" customFormat="1" x14ac:dyDescent="0.2">
      <c r="B58" s="62"/>
      <c r="D58" s="2"/>
      <c r="E58" s="2"/>
      <c r="F58" s="2"/>
      <c r="G58" s="2"/>
      <c r="H58" s="2"/>
      <c r="I58" s="2"/>
      <c r="J58" s="2"/>
      <c r="K58" s="64"/>
    </row>
    <row r="59" spans="2:11" customFormat="1" x14ac:dyDescent="0.2">
      <c r="B59" s="62"/>
      <c r="C59" s="1" t="s">
        <v>127</v>
      </c>
      <c r="D59" s="2"/>
      <c r="E59" s="2"/>
      <c r="F59" s="2"/>
      <c r="H59" s="2"/>
      <c r="I59" s="80"/>
      <c r="J59" s="2"/>
      <c r="K59" s="64"/>
    </row>
    <row r="60" spans="2:11" customFormat="1" x14ac:dyDescent="0.2">
      <c r="B60" s="62"/>
      <c r="C60" s="2" t="s">
        <v>146</v>
      </c>
      <c r="D60" s="2"/>
      <c r="E60" s="2" t="s">
        <v>362</v>
      </c>
      <c r="F60" s="81">
        <f>'Totaaloverzicht correcties'!N83</f>
        <v>397879.01529145625</v>
      </c>
      <c r="H60" s="2"/>
      <c r="I60" s="80"/>
      <c r="J60" s="2"/>
      <c r="K60" s="64"/>
    </row>
    <row r="61" spans="2:11" customFormat="1" x14ac:dyDescent="0.2">
      <c r="B61" s="62"/>
      <c r="C61" s="2" t="s">
        <v>147</v>
      </c>
      <c r="D61" s="2"/>
      <c r="E61" s="2" t="s">
        <v>362</v>
      </c>
      <c r="F61" s="2"/>
      <c r="H61" s="81">
        <f>'Totaaloverzicht correcties'!O84</f>
        <v>-18969.09145377055</v>
      </c>
      <c r="I61" s="80"/>
      <c r="J61" s="81">
        <f>'Totaaloverzicht correcties'!P84</f>
        <v>8951.8254665685599</v>
      </c>
      <c r="K61" s="64"/>
    </row>
    <row r="62" spans="2:11" customFormat="1" x14ac:dyDescent="0.2">
      <c r="B62" s="62"/>
      <c r="C62" s="2" t="s">
        <v>128</v>
      </c>
      <c r="D62" s="2"/>
      <c r="E62" s="2" t="s">
        <v>362</v>
      </c>
      <c r="F62" s="2"/>
      <c r="H62" s="81">
        <f>'Totaaloverzicht correcties'!O86</f>
        <v>493349.59557459661</v>
      </c>
      <c r="I62" s="80"/>
      <c r="J62" s="2"/>
      <c r="K62" s="64"/>
    </row>
    <row r="63" spans="2:11" customFormat="1" x14ac:dyDescent="0.2">
      <c r="B63" s="62"/>
      <c r="C63" s="2"/>
      <c r="D63" s="2"/>
      <c r="E63" s="2"/>
      <c r="F63" s="2"/>
      <c r="H63" s="2"/>
      <c r="I63" s="80"/>
      <c r="K63" s="64"/>
    </row>
    <row r="64" spans="2:11" customFormat="1" x14ac:dyDescent="0.2">
      <c r="B64" s="62"/>
      <c r="C64" s="1" t="s">
        <v>383</v>
      </c>
      <c r="D64" s="2"/>
      <c r="F64" s="2"/>
      <c r="G64" s="2"/>
      <c r="H64" s="2"/>
      <c r="I64" s="2"/>
      <c r="J64" s="2"/>
      <c r="K64" s="64"/>
    </row>
    <row r="65" spans="2:11" customFormat="1" x14ac:dyDescent="0.2">
      <c r="B65" s="62"/>
      <c r="C65" s="2" t="s">
        <v>399</v>
      </c>
      <c r="D65" s="2"/>
      <c r="E65" s="2" t="s">
        <v>362</v>
      </c>
      <c r="F65" s="81">
        <f>'Berekening kostenbasis'!N98</f>
        <v>6498494.8087183591</v>
      </c>
      <c r="G65" s="2"/>
      <c r="H65" s="81">
        <f>'Berekening kostenbasis'!O98</f>
        <v>7818867.3265243191</v>
      </c>
      <c r="I65" s="80"/>
      <c r="J65" s="81">
        <f>'Berekening kostenbasis'!P98</f>
        <v>178193.10133342008</v>
      </c>
      <c r="K65" s="64"/>
    </row>
    <row r="66" spans="2:11" customFormat="1" x14ac:dyDescent="0.2">
      <c r="B66" s="62"/>
      <c r="C66" s="2" t="s">
        <v>129</v>
      </c>
      <c r="E66" s="2" t="s">
        <v>362</v>
      </c>
      <c r="F66" s="81">
        <f>'Berekening kostenbasis'!N97</f>
        <v>799377.06291082082</v>
      </c>
      <c r="G66" s="2"/>
      <c r="H66" s="81">
        <f>'Berekening kostenbasis'!O97</f>
        <v>2403123.7098316508</v>
      </c>
      <c r="I66" s="80"/>
      <c r="J66" s="81">
        <f>'Berekening kostenbasis'!P97</f>
        <v>26200.339154589623</v>
      </c>
      <c r="K66" s="64"/>
    </row>
    <row r="67" spans="2:11" customFormat="1" x14ac:dyDescent="0.2">
      <c r="B67" s="62"/>
      <c r="C67" s="2" t="s">
        <v>148</v>
      </c>
      <c r="E67" s="2" t="s">
        <v>362</v>
      </c>
      <c r="F67" s="81">
        <f>'Berekening kostenbasis'!N41</f>
        <v>1572183.4968613936</v>
      </c>
      <c r="G67" s="2"/>
      <c r="H67" s="2"/>
      <c r="I67" s="2"/>
      <c r="J67" s="2"/>
      <c r="K67" s="64"/>
    </row>
    <row r="68" spans="2:11" customFormat="1" x14ac:dyDescent="0.2">
      <c r="B68" s="62"/>
      <c r="C68" s="2" t="s">
        <v>385</v>
      </c>
      <c r="E68" s="2" t="s">
        <v>362</v>
      </c>
      <c r="F68" s="81">
        <f>'Variabel tarief drinkwater'!H19</f>
        <v>6896373.8240098152</v>
      </c>
      <c r="H68" s="81">
        <f>'Vaste tarieven drinkwater'!H21</f>
        <v>8312216.922098916</v>
      </c>
      <c r="I68" s="80"/>
      <c r="J68" s="81">
        <f>'Vaste tarieven drinkwater'!H41</f>
        <v>187144.92679998864</v>
      </c>
      <c r="K68" s="64"/>
    </row>
    <row r="69" spans="2:11" customFormat="1" x14ac:dyDescent="0.2">
      <c r="B69" s="62"/>
      <c r="C69" s="2" t="s">
        <v>149</v>
      </c>
      <c r="D69" s="2"/>
      <c r="E69" s="2" t="s">
        <v>362</v>
      </c>
      <c r="F69" s="81">
        <f>'Variabel tarief drinkwater'!H23</f>
        <v>3592228.2446086938</v>
      </c>
      <c r="K69" s="64"/>
    </row>
    <row r="70" spans="2:11" customFormat="1" x14ac:dyDescent="0.2">
      <c r="B70" s="62"/>
      <c r="K70" s="64"/>
    </row>
    <row r="71" spans="2:11" customFormat="1" x14ac:dyDescent="0.2">
      <c r="B71" s="62"/>
      <c r="C71" s="77" t="s">
        <v>400</v>
      </c>
      <c r="K71" s="64"/>
    </row>
    <row r="72" spans="2:11" customFormat="1" x14ac:dyDescent="0.2">
      <c r="B72" s="62"/>
      <c r="C72" s="2" t="s">
        <v>150</v>
      </c>
      <c r="D72" s="2"/>
      <c r="E72" s="52" t="s">
        <v>151</v>
      </c>
      <c r="F72" s="81">
        <f>'Gegevens raming 2025'!N82</f>
        <v>2938857</v>
      </c>
      <c r="K72" s="64"/>
    </row>
    <row r="73" spans="2:11" customFormat="1" x14ac:dyDescent="0.2">
      <c r="B73" s="62"/>
      <c r="C73" s="2" t="s">
        <v>152</v>
      </c>
      <c r="D73" s="2"/>
      <c r="E73" s="2" t="s">
        <v>153</v>
      </c>
      <c r="F73" s="96">
        <f>'Gegevens raming 2025'!N27</f>
        <v>3.8977090254720119</v>
      </c>
      <c r="K73" s="64"/>
    </row>
    <row r="74" spans="2:11" customFormat="1" x14ac:dyDescent="0.2">
      <c r="B74" s="62"/>
      <c r="C74" s="2" t="s">
        <v>154</v>
      </c>
      <c r="D74" s="2"/>
      <c r="E74" s="2" t="s">
        <v>155</v>
      </c>
      <c r="F74" s="2"/>
      <c r="H74" s="81">
        <f>'Gegevens raming 2025'!O82</f>
        <v>3380.3125</v>
      </c>
      <c r="K74" s="64"/>
    </row>
    <row r="75" spans="2:11" customFormat="1" x14ac:dyDescent="0.2">
      <c r="B75" s="62"/>
      <c r="C75" s="2" t="s">
        <v>156</v>
      </c>
      <c r="E75" t="s">
        <v>151</v>
      </c>
      <c r="J75" s="81">
        <f>'Gegevens raming 2025'!P82</f>
        <v>19406</v>
      </c>
      <c r="K75" s="64"/>
    </row>
    <row r="76" spans="2:11" customFormat="1" x14ac:dyDescent="0.2">
      <c r="B76" s="62"/>
      <c r="C76" s="2" t="s">
        <v>401</v>
      </c>
      <c r="D76" s="2"/>
      <c r="E76" s="2" t="s">
        <v>119</v>
      </c>
      <c r="H76" s="83">
        <f>'Gegevens raming 2025'!O35</f>
        <v>0.12147214933123054</v>
      </c>
      <c r="K76" s="64"/>
    </row>
    <row r="77" spans="2:11" customFormat="1" x14ac:dyDescent="0.2">
      <c r="B77" s="62"/>
      <c r="C77" s="2"/>
      <c r="D77" s="2"/>
      <c r="E77" s="2"/>
      <c r="F77" s="2"/>
      <c r="K77" s="64"/>
    </row>
    <row r="78" spans="2:11" customFormat="1" x14ac:dyDescent="0.2">
      <c r="B78" s="62"/>
      <c r="C78" s="4" t="s">
        <v>135</v>
      </c>
      <c r="D78" s="2"/>
      <c r="E78" s="2"/>
      <c r="F78" s="2"/>
      <c r="G78" s="2"/>
      <c r="K78" s="64"/>
    </row>
    <row r="79" spans="2:11" customFormat="1" x14ac:dyDescent="0.2">
      <c r="B79" s="62"/>
      <c r="C79" s="2" t="s">
        <v>136</v>
      </c>
      <c r="D79" s="2"/>
      <c r="E79" s="2"/>
      <c r="F79" s="2"/>
      <c r="G79" s="2"/>
      <c r="K79" s="64"/>
    </row>
    <row r="80" spans="2:11" customFormat="1" x14ac:dyDescent="0.2">
      <c r="B80" s="62"/>
      <c r="C80" s="2" t="s">
        <v>157</v>
      </c>
      <c r="D80" s="2"/>
      <c r="E80" s="2"/>
      <c r="F80" s="2"/>
      <c r="G80" s="2"/>
      <c r="K80" s="64"/>
    </row>
    <row r="81" spans="2:11" customFormat="1" x14ac:dyDescent="0.2">
      <c r="B81" s="62"/>
      <c r="K81" s="64"/>
    </row>
    <row r="82" spans="2:11" customFormat="1" ht="13.5" thickBot="1" x14ac:dyDescent="0.25">
      <c r="B82" s="73"/>
      <c r="C82" s="85"/>
      <c r="D82" s="85"/>
      <c r="E82" s="85"/>
      <c r="F82" s="85"/>
      <c r="G82" s="85"/>
      <c r="H82" s="85"/>
      <c r="I82" s="85"/>
      <c r="J82" s="85"/>
      <c r="K82" s="86"/>
    </row>
    <row r="83" spans="2:11" customFormat="1" x14ac:dyDescent="0.2"/>
    <row r="84" spans="2:11" customFormat="1" x14ac:dyDescent="0.2"/>
    <row r="85" spans="2:11" customFormat="1" x14ac:dyDescent="0.2"/>
    <row r="86" spans="2:11" customFormat="1" x14ac:dyDescent="0.2">
      <c r="C86" s="4" t="s">
        <v>62</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97DE0-70F1-48CA-B447-66B950148732}">
  <sheetPr>
    <tabColor theme="0" tint="-4.9989318521683403E-2"/>
  </sheetPr>
  <dimension ref="B2:B3"/>
  <sheetViews>
    <sheetView showGridLines="0" zoomScale="85" zoomScaleNormal="85" workbookViewId="0"/>
  </sheetViews>
  <sheetFormatPr defaultRowHeight="12.75" x14ac:dyDescent="0.2"/>
  <cols>
    <col min="1" max="1" width="5.7109375" style="19" customWidth="1"/>
    <col min="2" max="16384" width="9.140625" style="19"/>
  </cols>
  <sheetData>
    <row r="2" spans="2:2" x14ac:dyDescent="0.2">
      <c r="B2" s="36" t="s">
        <v>66</v>
      </c>
    </row>
    <row r="3" spans="2:2" x14ac:dyDescent="0.2">
      <c r="B3" s="36" t="s">
        <v>67</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BF550-FBB3-4C88-B171-7F29F272129F}">
  <sheetPr>
    <tabColor rgb="FFE1FFE1"/>
  </sheetPr>
  <dimension ref="A2:L49"/>
  <sheetViews>
    <sheetView showGridLines="0" zoomScale="85" zoomScaleNormal="85" workbookViewId="0">
      <pane xSplit="6" ySplit="14" topLeftCell="G15" activePane="bottomRight" state="frozen"/>
      <selection pane="topRight"/>
      <selection pane="bottomLeft"/>
      <selection pane="bottomRight"/>
    </sheetView>
  </sheetViews>
  <sheetFormatPr defaultRowHeight="12.75" x14ac:dyDescent="0.2"/>
  <cols>
    <col min="1" max="1" width="5.7109375" style="2" customWidth="1"/>
    <col min="2" max="2" width="51.57031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42.140625" style="2" customWidth="1"/>
    <col min="11" max="11" width="2.7109375" style="2" customWidth="1"/>
    <col min="12" max="21" width="12.5703125" style="2" customWidth="1"/>
    <col min="22" max="22" width="2.7109375" style="2" customWidth="1"/>
    <col min="23" max="23" width="20.7109375" style="2" customWidth="1"/>
    <col min="24" max="24" width="2.7109375" style="2" customWidth="1"/>
    <col min="25" max="25" width="30.7109375" style="2" customWidth="1"/>
    <col min="26" max="26" width="2.7109375" style="2" customWidth="1"/>
    <col min="27" max="41" width="13.7109375" style="2" customWidth="1"/>
    <col min="42" max="16384" width="9.140625" style="2"/>
  </cols>
  <sheetData>
    <row r="2" spans="2:12" s="15" customFormat="1" ht="18" x14ac:dyDescent="0.2">
      <c r="B2" s="15" t="s">
        <v>118</v>
      </c>
    </row>
    <row r="4" spans="2:12" x14ac:dyDescent="0.2">
      <c r="B4" s="26" t="s">
        <v>21</v>
      </c>
      <c r="C4" s="1"/>
      <c r="D4" s="1"/>
    </row>
    <row r="5" spans="2:12" x14ac:dyDescent="0.2">
      <c r="B5" s="2" t="s">
        <v>158</v>
      </c>
      <c r="H5" s="16"/>
    </row>
    <row r="6" spans="2:12" x14ac:dyDescent="0.2">
      <c r="H6" s="16"/>
    </row>
    <row r="7" spans="2:12" x14ac:dyDescent="0.2">
      <c r="B7" s="27" t="s">
        <v>22</v>
      </c>
      <c r="H7" s="16"/>
    </row>
    <row r="8" spans="2:12" x14ac:dyDescent="0.2">
      <c r="B8" s="21" t="s">
        <v>159</v>
      </c>
    </row>
    <row r="9" spans="2:12" x14ac:dyDescent="0.2">
      <c r="B9" s="21" t="s">
        <v>160</v>
      </c>
    </row>
    <row r="10" spans="2:12" x14ac:dyDescent="0.2">
      <c r="B10" s="27"/>
    </row>
    <row r="11" spans="2:12" x14ac:dyDescent="0.2">
      <c r="B11" s="27" t="s">
        <v>709</v>
      </c>
    </row>
    <row r="12" spans="2:12" x14ac:dyDescent="0.2">
      <c r="B12" s="27"/>
    </row>
    <row r="13" spans="2:12" s="8" customFormat="1" x14ac:dyDescent="0.2">
      <c r="B13" s="8" t="s">
        <v>36</v>
      </c>
      <c r="F13" s="8" t="s">
        <v>19</v>
      </c>
      <c r="H13" s="8" t="s">
        <v>20</v>
      </c>
      <c r="J13" s="8" t="s">
        <v>37</v>
      </c>
      <c r="L13" s="8" t="s">
        <v>38</v>
      </c>
    </row>
    <row r="16" spans="2:12" s="8" customFormat="1" x14ac:dyDescent="0.2">
      <c r="B16" s="8" t="s">
        <v>410</v>
      </c>
    </row>
    <row r="18" spans="1:12" x14ac:dyDescent="0.2">
      <c r="B18" s="1" t="s">
        <v>411</v>
      </c>
      <c r="L18" s="2" t="s">
        <v>417</v>
      </c>
    </row>
    <row r="19" spans="1:12" x14ac:dyDescent="0.2">
      <c r="B19" s="2" t="s">
        <v>413</v>
      </c>
      <c r="F19" s="2" t="s">
        <v>119</v>
      </c>
      <c r="H19" s="107">
        <v>1.9E-2</v>
      </c>
      <c r="J19" s="2" t="s">
        <v>402</v>
      </c>
    </row>
    <row r="20" spans="1:12" x14ac:dyDescent="0.2">
      <c r="A20" s="9"/>
      <c r="B20" s="2" t="s">
        <v>414</v>
      </c>
      <c r="F20" s="2" t="s">
        <v>119</v>
      </c>
      <c r="H20" s="107">
        <v>2.5000000000000001E-2</v>
      </c>
      <c r="J20" s="2" t="s">
        <v>402</v>
      </c>
    </row>
    <row r="22" spans="1:12" x14ac:dyDescent="0.2">
      <c r="B22" s="1" t="s">
        <v>412</v>
      </c>
      <c r="L22" s="2" t="s">
        <v>418</v>
      </c>
    </row>
    <row r="23" spans="1:12" x14ac:dyDescent="0.2">
      <c r="B23" s="2" t="s">
        <v>161</v>
      </c>
      <c r="F23" s="2" t="s">
        <v>119</v>
      </c>
      <c r="H23" s="102">
        <v>0.03</v>
      </c>
    </row>
    <row r="24" spans="1:12" x14ac:dyDescent="0.2">
      <c r="B24" s="2" t="s">
        <v>415</v>
      </c>
      <c r="F24" s="2" t="s">
        <v>162</v>
      </c>
      <c r="H24" s="103">
        <f>(1+H23)^2</f>
        <v>1.0609</v>
      </c>
    </row>
    <row r="25" spans="1:12" x14ac:dyDescent="0.2">
      <c r="B25" s="2" t="s">
        <v>416</v>
      </c>
      <c r="F25" s="2" t="s">
        <v>162</v>
      </c>
      <c r="H25" s="103">
        <f>1+H23</f>
        <v>1.03</v>
      </c>
    </row>
    <row r="28" spans="1:12" s="8" customFormat="1" x14ac:dyDescent="0.2">
      <c r="B28" s="8" t="s">
        <v>406</v>
      </c>
    </row>
    <row r="30" spans="1:12" x14ac:dyDescent="0.2">
      <c r="B30" s="1" t="s">
        <v>419</v>
      </c>
      <c r="L30" s="2" t="s">
        <v>421</v>
      </c>
    </row>
    <row r="31" spans="1:12" x14ac:dyDescent="0.2">
      <c r="B31" s="2" t="s">
        <v>369</v>
      </c>
      <c r="F31" s="2" t="s">
        <v>119</v>
      </c>
      <c r="H31" s="102">
        <v>6.4500000000000002E-2</v>
      </c>
      <c r="J31" s="2" t="s">
        <v>163</v>
      </c>
    </row>
    <row r="32" spans="1:12" x14ac:dyDescent="0.2">
      <c r="B32" s="2" t="s">
        <v>370</v>
      </c>
      <c r="F32" s="2" t="s">
        <v>119</v>
      </c>
      <c r="H32" s="102">
        <v>5.6899999999999999E-2</v>
      </c>
      <c r="J32" s="2" t="s">
        <v>163</v>
      </c>
    </row>
    <row r="33" spans="1:12" x14ac:dyDescent="0.2">
      <c r="B33" s="2" t="s">
        <v>393</v>
      </c>
      <c r="F33" s="2" t="s">
        <v>119</v>
      </c>
      <c r="H33" s="102">
        <v>6.3600000000000004E-2</v>
      </c>
      <c r="J33" s="2" t="s">
        <v>163</v>
      </c>
    </row>
    <row r="35" spans="1:12" x14ac:dyDescent="0.2">
      <c r="B35" s="1" t="s">
        <v>420</v>
      </c>
      <c r="L35" s="2" t="s">
        <v>786</v>
      </c>
    </row>
    <row r="36" spans="1:12" x14ac:dyDescent="0.2">
      <c r="A36" s="9"/>
      <c r="B36" s="2" t="s">
        <v>407</v>
      </c>
      <c r="F36" s="2" t="s">
        <v>119</v>
      </c>
      <c r="H36" s="102">
        <v>8.2299999999999998E-2</v>
      </c>
      <c r="J36" s="2" t="s">
        <v>707</v>
      </c>
    </row>
    <row r="37" spans="1:12" x14ac:dyDescent="0.2">
      <c r="A37" s="9"/>
      <c r="B37" s="2" t="s">
        <v>408</v>
      </c>
      <c r="F37" s="2" t="s">
        <v>119</v>
      </c>
      <c r="H37" s="102">
        <v>7.1800000000000003E-2</v>
      </c>
      <c r="J37" s="2" t="s">
        <v>707</v>
      </c>
    </row>
    <row r="38" spans="1:12" x14ac:dyDescent="0.2">
      <c r="A38" s="9"/>
      <c r="B38" s="2" t="s">
        <v>409</v>
      </c>
      <c r="F38" s="2" t="s">
        <v>119</v>
      </c>
      <c r="H38" s="102">
        <v>8.1100000000000005E-2</v>
      </c>
      <c r="J38" s="2" t="s">
        <v>707</v>
      </c>
    </row>
    <row r="41" spans="1:12" s="8" customFormat="1" x14ac:dyDescent="0.2">
      <c r="B41" s="8" t="s">
        <v>164</v>
      </c>
    </row>
    <row r="43" spans="1:12" x14ac:dyDescent="0.2">
      <c r="B43" s="2" t="s">
        <v>165</v>
      </c>
      <c r="F43" s="2" t="s">
        <v>119</v>
      </c>
      <c r="H43" s="102">
        <v>0.5</v>
      </c>
      <c r="J43" s="2" t="s">
        <v>422</v>
      </c>
    </row>
    <row r="49" spans="2:2" x14ac:dyDescent="0.2">
      <c r="B49" s="4" t="s">
        <v>62</v>
      </c>
    </row>
  </sheetData>
  <phoneticPr fontId="32"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53F56-D865-478D-A300-27EE952425EB}">
  <sheetPr>
    <tabColor rgb="FFE1FFE1"/>
  </sheetPr>
  <dimension ref="A2:X52"/>
  <sheetViews>
    <sheetView showGridLines="0" zoomScale="85" zoomScaleNormal="85" workbookViewId="0">
      <pane xSplit="6" ySplit="15" topLeftCell="G16" activePane="bottomRight" state="frozen"/>
      <selection pane="topRight"/>
      <selection pane="bottomLeft"/>
      <selection pane="bottomRight"/>
    </sheetView>
  </sheetViews>
  <sheetFormatPr defaultRowHeight="12.75" x14ac:dyDescent="0.2"/>
  <cols>
    <col min="1" max="1" width="5.7109375" style="2" customWidth="1"/>
    <col min="2" max="2" width="58.28515625" style="2" customWidth="1"/>
    <col min="3" max="5" width="5.710937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7" width="12.5703125" style="2" customWidth="1"/>
    <col min="18" max="18" width="65.28515625" style="2" customWidth="1"/>
    <col min="19" max="19" width="2.7109375" style="2" customWidth="1"/>
    <col min="20" max="21" width="12.5703125" style="2" customWidth="1"/>
    <col min="22" max="22" width="2.7109375" style="2" customWidth="1"/>
    <col min="23" max="23" width="20.7109375" style="2" customWidth="1"/>
    <col min="24" max="24" width="2.7109375" style="2" customWidth="1"/>
    <col min="25" max="25" width="30.7109375" style="2" customWidth="1"/>
    <col min="26" max="26" width="2.7109375" style="2" customWidth="1"/>
    <col min="27" max="41" width="13.7109375" style="2" customWidth="1"/>
    <col min="42" max="16384" width="9.140625" style="2"/>
  </cols>
  <sheetData>
    <row r="2" spans="2:20" s="15" customFormat="1" ht="18" x14ac:dyDescent="0.2">
      <c r="B2" s="15" t="s">
        <v>690</v>
      </c>
    </row>
    <row r="4" spans="2:20" x14ac:dyDescent="0.2">
      <c r="B4" s="26" t="s">
        <v>21</v>
      </c>
      <c r="C4" s="1"/>
      <c r="D4" s="1"/>
      <c r="L4"/>
    </row>
    <row r="5" spans="2:20" x14ac:dyDescent="0.2">
      <c r="B5" s="2" t="s">
        <v>437</v>
      </c>
      <c r="H5" s="16"/>
    </row>
    <row r="6" spans="2:20" x14ac:dyDescent="0.2">
      <c r="B6" s="2" t="s">
        <v>664</v>
      </c>
      <c r="H6" s="16"/>
    </row>
    <row r="7" spans="2:20" x14ac:dyDescent="0.2">
      <c r="B7" s="2" t="s">
        <v>665</v>
      </c>
      <c r="H7" s="16"/>
    </row>
    <row r="8" spans="2:20" x14ac:dyDescent="0.2">
      <c r="B8" s="146" t="s">
        <v>425</v>
      </c>
    </row>
    <row r="9" spans="2:20" x14ac:dyDescent="0.2">
      <c r="H9" s="16"/>
    </row>
    <row r="10" spans="2:20" x14ac:dyDescent="0.2">
      <c r="B10" s="27" t="s">
        <v>22</v>
      </c>
      <c r="H10" s="16"/>
    </row>
    <row r="11" spans="2:20" x14ac:dyDescent="0.2">
      <c r="B11" s="146" t="s">
        <v>424</v>
      </c>
      <c r="H11" s="16"/>
      <c r="T11" s="16"/>
    </row>
    <row r="14" spans="2:20" s="8" customFormat="1" ht="25.5" x14ac:dyDescent="0.2">
      <c r="B14" s="8" t="s">
        <v>36</v>
      </c>
      <c r="F14" s="8" t="s">
        <v>19</v>
      </c>
      <c r="H14" s="8" t="s">
        <v>20</v>
      </c>
      <c r="J14" s="8" t="s">
        <v>40</v>
      </c>
      <c r="L14" s="38" t="s">
        <v>166</v>
      </c>
      <c r="M14" s="38" t="s">
        <v>167</v>
      </c>
      <c r="N14" s="38" t="s">
        <v>168</v>
      </c>
      <c r="O14" s="38" t="s">
        <v>169</v>
      </c>
      <c r="P14" s="38" t="s">
        <v>170</v>
      </c>
      <c r="R14" s="8" t="s">
        <v>37</v>
      </c>
      <c r="T14" s="8" t="s">
        <v>38</v>
      </c>
    </row>
    <row r="17" spans="1:20" s="8" customFormat="1" x14ac:dyDescent="0.2">
      <c r="B17" s="8" t="s">
        <v>426</v>
      </c>
    </row>
    <row r="18" spans="1:20" x14ac:dyDescent="0.2">
      <c r="L18" s="104"/>
      <c r="M18" s="104"/>
      <c r="N18" s="104"/>
      <c r="O18" s="104"/>
      <c r="P18" s="104"/>
    </row>
    <row r="19" spans="1:20" x14ac:dyDescent="0.2">
      <c r="A19" s="9"/>
      <c r="B19" s="26" t="s">
        <v>171</v>
      </c>
      <c r="L19" s="104"/>
      <c r="M19" s="104"/>
      <c r="N19" s="104"/>
      <c r="O19" s="104"/>
      <c r="P19" s="104"/>
    </row>
    <row r="20" spans="1:20" x14ac:dyDescent="0.2">
      <c r="A20" s="9"/>
      <c r="B20" s="2" t="s">
        <v>174</v>
      </c>
      <c r="F20" s="2" t="s">
        <v>125</v>
      </c>
      <c r="J20" s="105">
        <f>SUM(L20:P20)</f>
        <v>56366668.439723201</v>
      </c>
      <c r="L20" s="31">
        <v>306512.65575067198</v>
      </c>
      <c r="M20" s="31">
        <v>37669225.96047581</v>
      </c>
      <c r="N20" s="31">
        <v>2828778.0140036391</v>
      </c>
      <c r="O20" s="31">
        <v>15546754.586916916</v>
      </c>
      <c r="P20" s="31">
        <v>15397.222576164566</v>
      </c>
      <c r="R20" s="2" t="s">
        <v>649</v>
      </c>
      <c r="T20" s="2" t="s">
        <v>651</v>
      </c>
    </row>
    <row r="21" spans="1:20" x14ac:dyDescent="0.2">
      <c r="A21" s="9"/>
      <c r="B21" s="2" t="s">
        <v>427</v>
      </c>
      <c r="F21" s="2" t="s">
        <v>125</v>
      </c>
      <c r="J21" s="105">
        <f>SUM(L21:P21)</f>
        <v>5939095.3398750396</v>
      </c>
      <c r="L21" s="31">
        <v>60184.210646361265</v>
      </c>
      <c r="M21" s="31">
        <v>3290310.4163911408</v>
      </c>
      <c r="N21" s="31">
        <v>288561.49620055628</v>
      </c>
      <c r="O21" s="31">
        <v>2298513.1203133734</v>
      </c>
      <c r="P21" s="31">
        <v>1526.0963236083708</v>
      </c>
      <c r="R21" s="2" t="s">
        <v>650</v>
      </c>
      <c r="T21" s="2" t="s">
        <v>652</v>
      </c>
    </row>
    <row r="22" spans="1:20" x14ac:dyDescent="0.2">
      <c r="A22" s="9"/>
      <c r="L22" s="104"/>
      <c r="M22" s="104"/>
      <c r="N22" s="104"/>
      <c r="O22" s="104"/>
      <c r="P22" s="104"/>
    </row>
    <row r="23" spans="1:20" x14ac:dyDescent="0.2">
      <c r="A23" s="9"/>
      <c r="B23" s="26" t="s">
        <v>653</v>
      </c>
    </row>
    <row r="24" spans="1:20" x14ac:dyDescent="0.2">
      <c r="A24" s="9"/>
      <c r="B24" s="2" t="s">
        <v>172</v>
      </c>
      <c r="F24" s="2" t="s">
        <v>173</v>
      </c>
      <c r="N24" s="31">
        <v>12597117.704368059</v>
      </c>
      <c r="O24" s="104"/>
      <c r="R24" s="2" t="s">
        <v>648</v>
      </c>
    </row>
    <row r="25" spans="1:20" x14ac:dyDescent="0.2">
      <c r="A25" s="9"/>
      <c r="B25" s="2" t="s">
        <v>174</v>
      </c>
      <c r="F25" s="2" t="s">
        <v>173</v>
      </c>
      <c r="H25" s="26"/>
      <c r="N25" s="31">
        <v>11680343.850784749</v>
      </c>
      <c r="O25" s="104"/>
      <c r="R25" s="2" t="s">
        <v>654</v>
      </c>
    </row>
    <row r="26" spans="1:20" x14ac:dyDescent="0.2">
      <c r="A26" s="9"/>
      <c r="B26" s="2" t="s">
        <v>427</v>
      </c>
      <c r="F26" s="2" t="s">
        <v>173</v>
      </c>
      <c r="N26" s="31">
        <v>916773.85358333378</v>
      </c>
      <c r="O26" s="104"/>
      <c r="R26" s="2" t="s">
        <v>655</v>
      </c>
    </row>
    <row r="27" spans="1:20" x14ac:dyDescent="0.2">
      <c r="A27" s="9"/>
      <c r="O27" s="104"/>
    </row>
    <row r="28" spans="1:20" x14ac:dyDescent="0.2">
      <c r="A28" s="9"/>
      <c r="B28" s="26" t="s">
        <v>647</v>
      </c>
      <c r="O28" s="104"/>
    </row>
    <row r="29" spans="1:20" x14ac:dyDescent="0.2">
      <c r="A29" s="9"/>
      <c r="B29" s="2" t="s">
        <v>175</v>
      </c>
      <c r="F29" s="2" t="s">
        <v>173</v>
      </c>
      <c r="N29" s="31">
        <v>10763569.997201407</v>
      </c>
      <c r="O29" s="104"/>
      <c r="R29" s="2" t="s">
        <v>656</v>
      </c>
    </row>
    <row r="30" spans="1:20" x14ac:dyDescent="0.2">
      <c r="A30" s="9"/>
      <c r="B30" s="2" t="s">
        <v>429</v>
      </c>
      <c r="F30" s="2" t="s">
        <v>173</v>
      </c>
      <c r="N30" s="31">
        <v>916773.85358333378</v>
      </c>
      <c r="O30" s="104"/>
      <c r="R30" s="2" t="s">
        <v>657</v>
      </c>
    </row>
    <row r="31" spans="1:20" x14ac:dyDescent="0.2">
      <c r="A31" s="9"/>
      <c r="B31" s="2" t="s">
        <v>430</v>
      </c>
      <c r="F31" s="2" t="s">
        <v>173</v>
      </c>
      <c r="N31" s="31">
        <v>9846796.1436180789</v>
      </c>
      <c r="O31" s="104"/>
      <c r="R31" s="2" t="s">
        <v>658</v>
      </c>
    </row>
    <row r="32" spans="1:20" x14ac:dyDescent="0.2">
      <c r="L32" s="104"/>
      <c r="M32" s="104"/>
      <c r="N32" s="104"/>
      <c r="O32" s="104"/>
      <c r="P32" s="104"/>
      <c r="Q32" s="104"/>
      <c r="R32" s="104"/>
    </row>
    <row r="33" spans="1:24" x14ac:dyDescent="0.2">
      <c r="B33" s="1" t="s">
        <v>176</v>
      </c>
      <c r="L33" s="104"/>
      <c r="M33" s="104"/>
      <c r="N33" s="104"/>
      <c r="O33" s="104"/>
      <c r="P33" s="104"/>
    </row>
    <row r="34" spans="1:24" x14ac:dyDescent="0.2">
      <c r="A34" s="9"/>
      <c r="B34" s="2" t="s">
        <v>428</v>
      </c>
      <c r="F34" s="2" t="s">
        <v>125</v>
      </c>
      <c r="J34" s="105">
        <f>SUM(L34:P34)</f>
        <v>19395762.679677155</v>
      </c>
      <c r="L34" s="31">
        <v>77661.548236779941</v>
      </c>
      <c r="M34" s="31">
        <v>12322967.813324362</v>
      </c>
      <c r="N34" s="31">
        <v>2789930.7295693136</v>
      </c>
      <c r="O34" s="31">
        <v>4036995.8419477199</v>
      </c>
      <c r="P34" s="31">
        <v>168206.74659897812</v>
      </c>
      <c r="R34" s="2" t="s">
        <v>660</v>
      </c>
      <c r="T34"/>
    </row>
    <row r="35" spans="1:24" x14ac:dyDescent="0.2">
      <c r="A35" s="9"/>
      <c r="B35" s="2" t="s">
        <v>646</v>
      </c>
      <c r="F35" s="2" t="s">
        <v>125</v>
      </c>
      <c r="J35" s="105">
        <f>SUM(L35:P35)</f>
        <v>19395762.679677155</v>
      </c>
      <c r="L35" s="31">
        <v>77661.548236779941</v>
      </c>
      <c r="M35" s="31">
        <v>12322967.813324362</v>
      </c>
      <c r="N35" s="31">
        <v>2789930.7295693136</v>
      </c>
      <c r="O35" s="31">
        <v>4036995.8419477199</v>
      </c>
      <c r="P35" s="31">
        <v>168206.74659897812</v>
      </c>
      <c r="R35" s="2" t="s">
        <v>659</v>
      </c>
      <c r="T35"/>
    </row>
    <row r="36" spans="1:24" x14ac:dyDescent="0.2">
      <c r="B36" s="25"/>
      <c r="L36" s="104"/>
      <c r="M36" s="104"/>
      <c r="N36" s="104"/>
      <c r="O36" s="104"/>
      <c r="P36" s="104"/>
    </row>
    <row r="38" spans="1:24" s="8" customFormat="1" x14ac:dyDescent="0.2">
      <c r="B38" s="8" t="s">
        <v>177</v>
      </c>
    </row>
    <row r="40" spans="1:24" x14ac:dyDescent="0.2">
      <c r="B40" s="1" t="s">
        <v>431</v>
      </c>
    </row>
    <row r="41" spans="1:24" x14ac:dyDescent="0.2">
      <c r="A41" s="9"/>
      <c r="B41" s="2" t="s">
        <v>432</v>
      </c>
      <c r="F41" s="2" t="s">
        <v>119</v>
      </c>
      <c r="L41" s="106">
        <v>0</v>
      </c>
      <c r="M41" s="106">
        <v>0.5</v>
      </c>
      <c r="N41" s="106">
        <v>0</v>
      </c>
      <c r="O41" s="106">
        <v>0.5</v>
      </c>
      <c r="P41" s="106">
        <v>0.5</v>
      </c>
      <c r="R41" s="2" t="s">
        <v>662</v>
      </c>
    </row>
    <row r="42" spans="1:24" x14ac:dyDescent="0.2">
      <c r="A42" s="9"/>
      <c r="B42" s="2" t="s">
        <v>433</v>
      </c>
      <c r="F42" s="2" t="s">
        <v>119</v>
      </c>
      <c r="L42" s="106">
        <v>0</v>
      </c>
      <c r="M42" s="106">
        <v>0.5</v>
      </c>
      <c r="N42" s="106">
        <v>0</v>
      </c>
      <c r="O42" s="106">
        <v>0.5</v>
      </c>
      <c r="P42" s="106">
        <v>0.5</v>
      </c>
      <c r="R42" s="2" t="s">
        <v>662</v>
      </c>
    </row>
    <row r="43" spans="1:24" x14ac:dyDescent="0.2">
      <c r="A43" s="9"/>
      <c r="B43" s="2" t="s">
        <v>179</v>
      </c>
      <c r="F43" s="2" t="s">
        <v>119</v>
      </c>
      <c r="L43" s="106">
        <v>0</v>
      </c>
      <c r="M43" s="107">
        <v>0.14099999999999999</v>
      </c>
      <c r="N43" s="107">
        <v>0.23799999999999999</v>
      </c>
      <c r="O43" s="107">
        <v>0.14199999999999999</v>
      </c>
      <c r="P43" s="108">
        <f>O43</f>
        <v>0.14199999999999999</v>
      </c>
      <c r="R43" s="2" t="s">
        <v>661</v>
      </c>
      <c r="T43" t="s">
        <v>180</v>
      </c>
      <c r="X43" s="16"/>
    </row>
    <row r="44" spans="1:24" x14ac:dyDescent="0.2">
      <c r="T44" s="25"/>
    </row>
    <row r="45" spans="1:24" x14ac:dyDescent="0.2">
      <c r="L45" s="44"/>
      <c r="M45" s="44"/>
      <c r="N45" s="44"/>
      <c r="O45" s="44"/>
      <c r="P45" s="104"/>
    </row>
    <row r="46" spans="1:24" x14ac:dyDescent="0.2">
      <c r="L46" s="104"/>
      <c r="M46" s="104"/>
      <c r="N46" s="104"/>
      <c r="O46" s="104"/>
      <c r="P46" s="104"/>
    </row>
    <row r="47" spans="1:24" x14ac:dyDescent="0.2">
      <c r="L47" s="104"/>
      <c r="M47" s="104"/>
      <c r="N47" s="104"/>
      <c r="O47" s="104"/>
      <c r="P47" s="104"/>
    </row>
    <row r="48" spans="1:24" x14ac:dyDescent="0.2">
      <c r="L48" s="44"/>
      <c r="M48" s="44"/>
      <c r="N48" s="44"/>
      <c r="O48" s="44"/>
      <c r="P48" s="104"/>
    </row>
    <row r="49" spans="2:16" x14ac:dyDescent="0.2">
      <c r="L49" s="128"/>
      <c r="M49" s="128"/>
      <c r="N49" s="128"/>
      <c r="O49" s="32"/>
      <c r="P49" s="128"/>
    </row>
    <row r="50" spans="2:16" x14ac:dyDescent="0.2">
      <c r="B50" s="4" t="s">
        <v>62</v>
      </c>
    </row>
    <row r="52" spans="2:16" x14ac:dyDescent="0.2">
      <c r="N52" s="104"/>
    </row>
  </sheetData>
  <phoneticPr fontId="32" type="noConversion"/>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44c9b78b1b5f99b81785515933270f61">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682d6accd8b13bfc1b5fd9028b61781a"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ECT67VDXDTCW-640230012-28</_dlc_DocId>
    <_dlc_DocIdUrl xmlns="5e7bef76-b888-41a2-a261-5f525b37d47e">
      <Url>https://intranet.acm.local/project/excellent-in-excel/_layouts/15/DocIdRedir.aspx?ID=ECT67VDXDTCW-640230012-28</Url>
      <Description>ECT67VDXDTCW-640230012-28</Description>
    </_dlc_DocIdUrl>
    <Status xmlns="94b38974-1436-4631-a0be-797faa579778">Actueel</Status>
  </documentManagement>
</p:properties>
</file>

<file path=customXml/itemProps1.xml><?xml version="1.0" encoding="utf-8"?>
<ds:datastoreItem xmlns:ds="http://schemas.openxmlformats.org/officeDocument/2006/customXml" ds:itemID="{33320577-CAFC-4BDF-9994-709EBF76F7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CB1C9F-CCF9-4E38-862A-1CB92CDDD7E1}">
  <ds:schemaRefs>
    <ds:schemaRef ds:uri="http://schemas.microsoft.com/sharepoint/v3/contenttype/forms"/>
  </ds:schemaRefs>
</ds:datastoreItem>
</file>

<file path=customXml/itemProps3.xml><?xml version="1.0" encoding="utf-8"?>
<ds:datastoreItem xmlns:ds="http://schemas.openxmlformats.org/officeDocument/2006/customXml" ds:itemID="{BACF5907-5A9C-413A-AB63-8A8AE74C2D68}">
  <ds:schemaRefs>
    <ds:schemaRef ds:uri="http://schemas.microsoft.com/sharepoint/events"/>
  </ds:schemaRefs>
</ds:datastoreItem>
</file>

<file path=customXml/itemProps4.xml><?xml version="1.0" encoding="utf-8"?>
<ds:datastoreItem xmlns:ds="http://schemas.openxmlformats.org/officeDocument/2006/customXml" ds:itemID="{46DC4B28-42FD-4275-AD39-0DAE99CBE63F}">
  <ds:schemaRefs>
    <ds:schemaRef ds:uri="http://purl.org/dc/terms/"/>
    <ds:schemaRef ds:uri="http://schemas.microsoft.com/office/2006/documentManagement/types"/>
    <ds:schemaRef ds:uri="http://purl.org/dc/elements/1.1/"/>
    <ds:schemaRef ds:uri="http://schemas.microsoft.com/office/2006/metadata/properties"/>
    <ds:schemaRef ds:uri="5e7bef76-b888-41a2-a261-5f525b37d47e"/>
    <ds:schemaRef ds:uri="http://schemas.microsoft.com/office/infopath/2007/PartnerControls"/>
    <ds:schemaRef ds:uri="http://schemas.openxmlformats.org/package/2006/metadata/core-properties"/>
    <ds:schemaRef ds:uri="94b38974-1436-4631-a0be-797faa57977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23</vt:i4>
      </vt:variant>
    </vt:vector>
  </HeadingPairs>
  <TitlesOfParts>
    <vt:vector size="23" baseType="lpstr">
      <vt:lpstr>Titelblad</vt:lpstr>
      <vt:lpstr>Toelichting</vt:lpstr>
      <vt:lpstr>Bronnen en toepassingen</vt:lpstr>
      <vt:lpstr>Resultaat</vt:lpstr>
      <vt:lpstr>Dictum &amp; Bijlagen Elektriciteit</vt:lpstr>
      <vt:lpstr>Dictum &amp; Bijlagen Drinkwater</vt:lpstr>
      <vt:lpstr>Input --&gt;</vt:lpstr>
      <vt:lpstr>Parameters</vt:lpstr>
      <vt:lpstr>Gegevens kosten 2023</vt:lpstr>
      <vt:lpstr>Gegevens volumes 2023</vt:lpstr>
      <vt:lpstr>Gegevens raming 2025</vt:lpstr>
      <vt:lpstr>Omvangrijke gebeurtenissen</vt:lpstr>
      <vt:lpstr>Input voor correcties</vt:lpstr>
      <vt:lpstr>Berekening correcties --&gt;</vt:lpstr>
      <vt:lpstr>Volumecorrecties</vt:lpstr>
      <vt:lpstr>Profit sharing</vt:lpstr>
      <vt:lpstr>Totaaloverzicht correcties</vt:lpstr>
      <vt:lpstr>Berekening tarieven --&gt;</vt:lpstr>
      <vt:lpstr>Berekening kostenbasis</vt:lpstr>
      <vt:lpstr>Variabel tarief elektriciteit</vt:lpstr>
      <vt:lpstr>Vaste tarieven elektriciteit</vt:lpstr>
      <vt:lpstr>Variabel tarief drinkwater</vt:lpstr>
      <vt:lpstr>Vaste tarieven drinkwater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2021-06-08T09:19:18Z</dcterms:created>
  <dcterms:modified xsi:type="dcterms:W3CDTF">2024-12-12T16:05:33Z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3787884f-217a-413a-809c-5823269b9869</vt:lpwstr>
  </property>
</Properties>
</file>