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318805AB-597E-4DFE-AB40-E4E82BDA3787}" xr6:coauthVersionLast="47" xr6:coauthVersionMax="47" xr10:uidLastSave="{00000000-0000-0000-0000-000000000000}"/>
  <bookViews>
    <workbookView xWindow="28680" yWindow="-120" windowWidth="29040" windowHeight="15840" tabRatio="806" xr2:uid="{00000000-000D-0000-FFFF-FFFF00000000}"/>
  </bookViews>
  <sheets>
    <sheet name="Cover sheet" sheetId="9" r:id="rId1"/>
    <sheet name="Explanation" sheetId="10" r:id="rId2"/>
    <sheet name="Sources and specifics" sheetId="11" r:id="rId3"/>
    <sheet name="Result" sheetId="21" r:id="rId4"/>
    <sheet name="Input --&gt;" sheetId="13" r:id="rId5"/>
    <sheet name="Parameters" sheetId="18" r:id="rId6"/>
    <sheet name="Historical data" sheetId="24" r:id="rId7"/>
    <sheet name="Estimates for 2025" sheetId="27" r:id="rId8"/>
    <sheet name="Data ACM" sheetId="41" r:id="rId9"/>
    <sheet name="Financial data" sheetId="46" r:id="rId10"/>
    <sheet name="Calculations corrections --&gt;" sheetId="15" r:id="rId11"/>
    <sheet name="WACC correction 2023" sheetId="51" r:id="rId12"/>
    <sheet name="Volume-effect 2023" sheetId="33" r:id="rId13"/>
    <sheet name="Profit Sharing 2023" sheetId="22" r:id="rId14"/>
    <sheet name="Energy cost correction 2024" sheetId="35" r:id="rId15"/>
    <sheet name="Overview corrections" sheetId="48" r:id="rId16"/>
    <sheet name="Calculations tariffs --&gt;" sheetId="29" r:id="rId17"/>
    <sheet name="Fixed-variable costs" sheetId="36" r:id="rId18"/>
    <sheet name="Income level" sheetId="37" r:id="rId19"/>
    <sheet name="Variable tariffs electricity" sheetId="47" r:id="rId20"/>
    <sheet name="Fixed tariffs electricity" sheetId="49" r:id="rId21"/>
    <sheet name="Variable tariffs water" sheetId="40" r:id="rId22"/>
    <sheet name="Fixed tariffs water" sheetId="50" r:id="rId23"/>
    <sheet name="Dictum&amp;Bijlage 1 Electricity EN" sheetId="43" r:id="rId24"/>
    <sheet name="Dictum&amp;Bijlage 1 Water EN" sheetId="4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44" l="1"/>
  <c r="E51" i="43"/>
  <c r="E50" i="43"/>
  <c r="O67" i="22" l="1"/>
  <c r="O66" i="22"/>
  <c r="O39" i="46" l="1"/>
  <c r="O40" i="46"/>
  <c r="O38" i="46"/>
  <c r="O43" i="46"/>
  <c r="O42" i="46"/>
  <c r="O41" i="46"/>
  <c r="O45" i="46" l="1"/>
  <c r="F47" i="44" s="1"/>
  <c r="O44" i="46"/>
  <c r="F46" i="44" s="1"/>
  <c r="O18" i="22" l="1"/>
  <c r="M17" i="22"/>
  <c r="N17" i="22"/>
  <c r="O17" i="22"/>
  <c r="P17" i="22"/>
  <c r="L17" i="22"/>
  <c r="P28" i="27" l="1"/>
  <c r="O20" i="22" l="1"/>
  <c r="O19" i="22"/>
  <c r="P13" i="22"/>
  <c r="O13" i="22"/>
  <c r="N13" i="22"/>
  <c r="M13" i="22"/>
  <c r="L13" i="22"/>
  <c r="L28" i="51"/>
  <c r="M28" i="51"/>
  <c r="N28" i="51"/>
  <c r="P28" i="51"/>
  <c r="O27" i="51"/>
  <c r="O28" i="51"/>
  <c r="O29" i="51"/>
  <c r="M26" i="51"/>
  <c r="N26" i="51"/>
  <c r="O26" i="51"/>
  <c r="P26" i="51"/>
  <c r="L26" i="51"/>
  <c r="O21" i="51"/>
  <c r="L22" i="51"/>
  <c r="M22" i="51"/>
  <c r="N22" i="51"/>
  <c r="O22" i="51"/>
  <c r="O36" i="51" s="1"/>
  <c r="P22" i="51"/>
  <c r="O23" i="51"/>
  <c r="M20" i="51"/>
  <c r="N20" i="51"/>
  <c r="O20" i="51"/>
  <c r="P20" i="51"/>
  <c r="L20" i="51"/>
  <c r="O16" i="51"/>
  <c r="M17" i="51"/>
  <c r="N17" i="51"/>
  <c r="O17" i="51"/>
  <c r="P17" i="51"/>
  <c r="P36" i="51" s="1"/>
  <c r="J20" i="51" l="1"/>
  <c r="O37" i="51"/>
  <c r="J26" i="51"/>
  <c r="N34" i="51"/>
  <c r="O35" i="51"/>
  <c r="L34" i="51"/>
  <c r="M34" i="51"/>
  <c r="P34" i="51"/>
  <c r="P40" i="51" s="1"/>
  <c r="N36" i="51"/>
  <c r="O34" i="51"/>
  <c r="O40" i="51" s="1"/>
  <c r="M36" i="51"/>
  <c r="M40" i="51" l="1"/>
  <c r="N40" i="51"/>
  <c r="N24" i="48"/>
  <c r="N39" i="48" s="1"/>
  <c r="E50" i="44" s="1"/>
  <c r="M24" i="48" l="1"/>
  <c r="M39" i="48" s="1"/>
  <c r="F69" i="43" s="1"/>
  <c r="O24" i="48"/>
  <c r="O39" i="48" s="1"/>
  <c r="F50" i="44" s="1"/>
  <c r="P24" i="48"/>
  <c r="P39" i="48" s="1"/>
  <c r="G50" i="44" s="1"/>
  <c r="L60" i="46" l="1"/>
  <c r="L50" i="46"/>
  <c r="H36" i="40"/>
  <c r="L26" i="48"/>
  <c r="L52" i="46" l="1"/>
  <c r="L53" i="46" s="1"/>
  <c r="L56" i="46" l="1"/>
  <c r="L57" i="46" s="1"/>
  <c r="L38" i="36" s="1"/>
  <c r="P28" i="24"/>
  <c r="L58" i="46" l="1"/>
  <c r="L59" i="46" s="1"/>
  <c r="L61" i="46" s="1"/>
  <c r="L37" i="36" s="1"/>
  <c r="M29" i="36"/>
  <c r="N29" i="36"/>
  <c r="O29" i="36"/>
  <c r="P29" i="36"/>
  <c r="M31" i="36"/>
  <c r="N31" i="36"/>
  <c r="O31" i="36"/>
  <c r="P31" i="36"/>
  <c r="L31" i="36"/>
  <c r="M30" i="46"/>
  <c r="M32" i="36" s="1"/>
  <c r="N30" i="46"/>
  <c r="N32" i="36" s="1"/>
  <c r="O30" i="46"/>
  <c r="O32" i="36" s="1"/>
  <c r="P30" i="46"/>
  <c r="P32" i="36" s="1"/>
  <c r="L30" i="46"/>
  <c r="L32" i="36" s="1"/>
  <c r="M28" i="46"/>
  <c r="M30" i="36" s="1"/>
  <c r="N28" i="46"/>
  <c r="N30" i="36" s="1"/>
  <c r="O28" i="46"/>
  <c r="O30" i="36" s="1"/>
  <c r="P28" i="46"/>
  <c r="P30" i="36" s="1"/>
  <c r="L28" i="46" l="1"/>
  <c r="L30" i="36" s="1"/>
  <c r="H41" i="49" l="1"/>
  <c r="H21" i="50"/>
  <c r="H24" i="50"/>
  <c r="H29" i="50" s="1"/>
  <c r="H26" i="50"/>
  <c r="H25" i="50"/>
  <c r="H30" i="50" l="1"/>
  <c r="H31" i="50"/>
  <c r="H45" i="49"/>
  <c r="H52" i="49" s="1"/>
  <c r="H47" i="49"/>
  <c r="H54" i="49" s="1"/>
  <c r="H48" i="49"/>
  <c r="H44" i="49"/>
  <c r="H51" i="49" s="1"/>
  <c r="B36" i="49"/>
  <c r="B35" i="49"/>
  <c r="B34" i="49"/>
  <c r="B33" i="49"/>
  <c r="B32" i="49"/>
  <c r="B31" i="49"/>
  <c r="B30" i="49"/>
  <c r="B29" i="49"/>
  <c r="B28" i="49"/>
  <c r="B27" i="49"/>
  <c r="B26" i="49"/>
  <c r="B25" i="49"/>
  <c r="B24" i="49"/>
  <c r="B23" i="49"/>
  <c r="B22" i="49"/>
  <c r="B21" i="49"/>
  <c r="B20" i="49"/>
  <c r="H55" i="49" l="1"/>
  <c r="E53" i="43" l="1"/>
  <c r="E52" i="43"/>
  <c r="E32" i="44" l="1"/>
  <c r="H43" i="21" l="1"/>
  <c r="P16" i="36"/>
  <c r="O16" i="36"/>
  <c r="N16" i="36"/>
  <c r="M16" i="36"/>
  <c r="L16" i="36"/>
  <c r="L39" i="36" s="1"/>
  <c r="E66" i="43" s="1"/>
  <c r="H62" i="21" l="1"/>
  <c r="H37" i="47"/>
  <c r="L31" i="48"/>
  <c r="M18" i="48"/>
  <c r="H13" i="48"/>
  <c r="L17" i="48"/>
  <c r="M44" i="48" l="1"/>
  <c r="J44" i="48" l="1"/>
  <c r="F74" i="43"/>
  <c r="M48" i="48"/>
  <c r="H33" i="47" s="1"/>
  <c r="J42" i="24" l="1"/>
  <c r="J43" i="24"/>
  <c r="H48" i="24"/>
  <c r="H23" i="47" s="1"/>
  <c r="H24" i="18" l="1"/>
  <c r="H14" i="48" s="1"/>
  <c r="N27" i="37" l="1"/>
  <c r="O27" i="37"/>
  <c r="M27" i="37"/>
  <c r="P27" i="37"/>
  <c r="L36" i="48"/>
  <c r="L41" i="48"/>
  <c r="P71" i="27"/>
  <c r="O71" i="27"/>
  <c r="N71" i="27"/>
  <c r="J41" i="48" l="1"/>
  <c r="L29" i="37"/>
  <c r="J29" i="37" s="1"/>
  <c r="J36" i="48"/>
  <c r="L24" i="37"/>
  <c r="J24" i="37" s="1"/>
  <c r="H46" i="40"/>
  <c r="P30" i="48"/>
  <c r="P15" i="37"/>
  <c r="H15" i="50"/>
  <c r="O15" i="37"/>
  <c r="H15" i="40"/>
  <c r="N30" i="48"/>
  <c r="N15" i="37"/>
  <c r="O36" i="36"/>
  <c r="O35" i="36"/>
  <c r="N39" i="27"/>
  <c r="L34" i="27"/>
  <c r="L33" i="27"/>
  <c r="O65" i="36" l="1"/>
  <c r="F59" i="44" s="1"/>
  <c r="J16" i="46"/>
  <c r="J17" i="46"/>
  <c r="J19" i="46"/>
  <c r="J20" i="46"/>
  <c r="J23" i="46"/>
  <c r="J24" i="46"/>
  <c r="F70" i="44" l="1"/>
  <c r="F69" i="44"/>
  <c r="E67" i="44"/>
  <c r="G65" i="44"/>
  <c r="E64" i="44"/>
  <c r="E37" i="44" l="1"/>
  <c r="E35" i="44"/>
  <c r="E34" i="44"/>
  <c r="F89" i="43"/>
  <c r="E85" i="43"/>
  <c r="E84" i="43"/>
  <c r="F62" i="43"/>
  <c r="F63" i="43"/>
  <c r="E63" i="43"/>
  <c r="E62" i="43"/>
  <c r="F60" i="43"/>
  <c r="F61" i="43"/>
  <c r="E61" i="43"/>
  <c r="E60" i="43"/>
  <c r="E57" i="43"/>
  <c r="E56" i="43"/>
  <c r="E55" i="43"/>
  <c r="L17" i="24" l="1"/>
  <c r="L21" i="36" l="1"/>
  <c r="L17" i="51"/>
  <c r="L36" i="51" s="1"/>
  <c r="L40" i="51" s="1"/>
  <c r="L31" i="22"/>
  <c r="L24" i="48" l="1"/>
  <c r="L39" i="48" s="1"/>
  <c r="J40" i="51"/>
  <c r="E87" i="43"/>
  <c r="E69" i="43" l="1"/>
  <c r="L27" i="37"/>
  <c r="J27" i="37" s="1"/>
  <c r="J39" i="48"/>
  <c r="P26" i="22"/>
  <c r="O26" i="22"/>
  <c r="N26" i="22"/>
  <c r="N40" i="22" s="1"/>
  <c r="M26" i="22"/>
  <c r="M40" i="22" s="1"/>
  <c r="L26" i="22"/>
  <c r="L40" i="22" s="1"/>
  <c r="M25" i="22"/>
  <c r="M39" i="22" s="1"/>
  <c r="N25" i="22"/>
  <c r="N39" i="22" s="1"/>
  <c r="O25" i="22"/>
  <c r="P25" i="22"/>
  <c r="L25" i="22"/>
  <c r="L39" i="22" s="1"/>
  <c r="L46" i="22" l="1"/>
  <c r="N46" i="22"/>
  <c r="M46" i="22"/>
  <c r="J25" i="22"/>
  <c r="J26" i="22"/>
  <c r="N38" i="27" l="1"/>
  <c r="N40" i="27" s="1"/>
  <c r="E66" i="44" s="1"/>
  <c r="E36" i="44"/>
  <c r="M63" i="27" l="1"/>
  <c r="F90" i="43" l="1"/>
  <c r="M71" i="27"/>
  <c r="H16" i="49" l="1"/>
  <c r="M15" i="37"/>
  <c r="O24" i="24"/>
  <c r="L35" i="27"/>
  <c r="H21" i="47" s="1"/>
  <c r="O21" i="37" l="1"/>
  <c r="E86" i="43"/>
  <c r="E38" i="43"/>
  <c r="H47" i="21" l="1"/>
  <c r="H46" i="21"/>
  <c r="H66" i="21"/>
  <c r="H48" i="21"/>
  <c r="H65" i="21"/>
  <c r="E19" i="44"/>
  <c r="H17" i="36"/>
  <c r="H21" i="40"/>
  <c r="L26" i="36" l="1"/>
  <c r="N18" i="35"/>
  <c r="N17" i="35"/>
  <c r="N19" i="35"/>
  <c r="N20" i="35"/>
  <c r="N16" i="35"/>
  <c r="O63" i="22"/>
  <c r="M63" i="22"/>
  <c r="O62" i="22"/>
  <c r="M62" i="22"/>
  <c r="N61" i="22"/>
  <c r="L60" i="22"/>
  <c r="L59" i="22"/>
  <c r="M31" i="22"/>
  <c r="N31" i="22"/>
  <c r="O31" i="22"/>
  <c r="P31" i="22"/>
  <c r="O30" i="22"/>
  <c r="L24" i="22"/>
  <c r="P24" i="22" l="1"/>
  <c r="M24" i="22"/>
  <c r="N24" i="22"/>
  <c r="O24" i="22"/>
  <c r="M23" i="22"/>
  <c r="N23" i="22"/>
  <c r="O23" i="22"/>
  <c r="P23" i="22"/>
  <c r="L23" i="22"/>
  <c r="M37" i="22" l="1"/>
  <c r="J23" i="22"/>
  <c r="J24" i="22"/>
  <c r="L19" i="22"/>
  <c r="M19" i="22"/>
  <c r="N19" i="22"/>
  <c r="P19" i="22"/>
  <c r="H14" i="22"/>
  <c r="O20" i="33"/>
  <c r="M20" i="33"/>
  <c r="M18" i="33"/>
  <c r="N18" i="33"/>
  <c r="O18" i="33"/>
  <c r="P18" i="33"/>
  <c r="L18" i="33"/>
  <c r="M17" i="33"/>
  <c r="N17" i="33"/>
  <c r="O17" i="33"/>
  <c r="P17" i="33"/>
  <c r="L17" i="33"/>
  <c r="N49" i="22" l="1"/>
  <c r="M49" i="22"/>
  <c r="L49" i="22"/>
  <c r="J17" i="22"/>
  <c r="M13" i="33"/>
  <c r="N13" i="33"/>
  <c r="O13" i="33"/>
  <c r="P13" i="33"/>
  <c r="L13" i="33"/>
  <c r="L25" i="33" s="1"/>
  <c r="N25" i="35" l="1"/>
  <c r="N24" i="35"/>
  <c r="N27" i="35" l="1"/>
  <c r="N25" i="48" s="1"/>
  <c r="N40" i="48" s="1"/>
  <c r="L61" i="22"/>
  <c r="O49" i="22"/>
  <c r="N37" i="22"/>
  <c r="M38" i="22"/>
  <c r="N38" i="22"/>
  <c r="P49" i="22"/>
  <c r="L37" i="22"/>
  <c r="L38" i="22"/>
  <c r="J18" i="33"/>
  <c r="J17" i="33"/>
  <c r="J13" i="33"/>
  <c r="J40" i="48" l="1"/>
  <c r="E54" i="44"/>
  <c r="N28" i="37"/>
  <c r="L45" i="22"/>
  <c r="L50" i="22" s="1"/>
  <c r="N45" i="22"/>
  <c r="N50" i="22" s="1"/>
  <c r="M45" i="22"/>
  <c r="M50" i="22" s="1"/>
  <c r="M66" i="22"/>
  <c r="M67" i="22"/>
  <c r="O70" i="22"/>
  <c r="O71" i="22" s="1"/>
  <c r="O23" i="48" s="1"/>
  <c r="O45" i="48" s="1"/>
  <c r="F53" i="44" s="1"/>
  <c r="O49" i="48" l="1"/>
  <c r="H33" i="40" s="1"/>
  <c r="J49" i="22"/>
  <c r="L53" i="22"/>
  <c r="M70" i="22"/>
  <c r="M71" i="22" s="1"/>
  <c r="M23" i="48" s="1"/>
  <c r="M45" i="48" s="1"/>
  <c r="N53" i="22"/>
  <c r="N54" i="22" s="1"/>
  <c r="N22" i="48" s="1"/>
  <c r="N38" i="48" s="1"/>
  <c r="N26" i="37" s="1"/>
  <c r="M53" i="22"/>
  <c r="M54" i="22" s="1"/>
  <c r="M22" i="48" s="1"/>
  <c r="M38" i="48" s="1"/>
  <c r="M26" i="37" s="1"/>
  <c r="L54" i="22" l="1"/>
  <c r="L22" i="48" s="1"/>
  <c r="L38" i="48" s="1"/>
  <c r="L26" i="37" s="1"/>
  <c r="F72" i="43"/>
  <c r="J45" i="48"/>
  <c r="N25" i="33"/>
  <c r="O25" i="33" l="1"/>
  <c r="O26" i="33" s="1"/>
  <c r="O21" i="48" s="1"/>
  <c r="O37" i="48" s="1"/>
  <c r="O25" i="37" s="1"/>
  <c r="N26" i="33"/>
  <c r="N21" i="48" s="1"/>
  <c r="N37" i="48" s="1"/>
  <c r="N25" i="37" s="1"/>
  <c r="P25" i="33"/>
  <c r="P26" i="33" s="1"/>
  <c r="P21" i="48" s="1"/>
  <c r="P37" i="48" s="1"/>
  <c r="P25" i="37" s="1"/>
  <c r="M25" i="33"/>
  <c r="M26" i="33" s="1"/>
  <c r="M21" i="48" s="1"/>
  <c r="M37" i="48" s="1"/>
  <c r="M25" i="37" l="1"/>
  <c r="L26" i="33"/>
  <c r="L21" i="48" s="1"/>
  <c r="L37" i="48" s="1"/>
  <c r="L25" i="37" s="1"/>
  <c r="J25" i="33"/>
  <c r="J37" i="48" l="1"/>
  <c r="J25" i="37"/>
  <c r="J26" i="33"/>
  <c r="H32" i="22" l="1"/>
  <c r="O28" i="36"/>
  <c r="L22" i="27"/>
  <c r="L71" i="27" s="1"/>
  <c r="H16" i="47" l="1"/>
  <c r="L30" i="48"/>
  <c r="M49" i="48" s="1"/>
  <c r="H34" i="47" s="1"/>
  <c r="L15" i="37"/>
  <c r="O39" i="22"/>
  <c r="P40" i="22"/>
  <c r="P39" i="22"/>
  <c r="O40" i="22"/>
  <c r="E83" i="43"/>
  <c r="O37" i="22"/>
  <c r="P38" i="22"/>
  <c r="O38" i="22"/>
  <c r="P37" i="22"/>
  <c r="L24" i="27"/>
  <c r="H22" i="47" s="1"/>
  <c r="H24" i="47" s="1"/>
  <c r="H15" i="21" s="1"/>
  <c r="P46" i="22" l="1"/>
  <c r="O45" i="22"/>
  <c r="P45" i="22"/>
  <c r="O46" i="22"/>
  <c r="J37" i="22"/>
  <c r="J38" i="22"/>
  <c r="J39" i="22"/>
  <c r="M21" i="36"/>
  <c r="N21" i="36"/>
  <c r="O21" i="36"/>
  <c r="O16" i="37" s="1"/>
  <c r="P21" i="36"/>
  <c r="L29" i="36"/>
  <c r="M24" i="36"/>
  <c r="N24" i="36"/>
  <c r="O24" i="36"/>
  <c r="M25" i="36"/>
  <c r="N25" i="36"/>
  <c r="O25" i="36"/>
  <c r="L25" i="36"/>
  <c r="L24" i="36"/>
  <c r="M26" i="36"/>
  <c r="N26" i="36"/>
  <c r="O26" i="36"/>
  <c r="P26" i="36"/>
  <c r="M27" i="36"/>
  <c r="N27" i="36"/>
  <c r="O27" i="36"/>
  <c r="P27" i="36"/>
  <c r="L27" i="36"/>
  <c r="H15" i="36"/>
  <c r="E21" i="44"/>
  <c r="E20" i="44"/>
  <c r="O46" i="36" l="1"/>
  <c r="P46" i="36"/>
  <c r="P50" i="22"/>
  <c r="P53" i="22" s="1"/>
  <c r="P54" i="22" s="1"/>
  <c r="P22" i="48" s="1"/>
  <c r="P38" i="48" s="1"/>
  <c r="P26" i="37" s="1"/>
  <c r="O50" i="22"/>
  <c r="O53" i="22" s="1"/>
  <c r="F42" i="44"/>
  <c r="O45" i="36"/>
  <c r="F41" i="44" s="1"/>
  <c r="P45" i="36"/>
  <c r="G41" i="44" s="1"/>
  <c r="O47" i="36"/>
  <c r="O57" i="36" s="1"/>
  <c r="O58" i="36" s="1"/>
  <c r="P47" i="36"/>
  <c r="G43" i="44" s="1"/>
  <c r="O44" i="36"/>
  <c r="P44" i="36"/>
  <c r="O52" i="36" l="1"/>
  <c r="G40" i="44"/>
  <c r="P52" i="36"/>
  <c r="O59" i="36"/>
  <c r="O60" i="36" s="1"/>
  <c r="O54" i="22"/>
  <c r="O22" i="48" s="1"/>
  <c r="O38" i="48" s="1"/>
  <c r="O26" i="37" s="1"/>
  <c r="J53" i="22"/>
  <c r="G42" i="44"/>
  <c r="P57" i="36"/>
  <c r="P58" i="36" s="1"/>
  <c r="J50" i="22"/>
  <c r="F40" i="44"/>
  <c r="F43" i="44"/>
  <c r="J26" i="37" l="1"/>
  <c r="J28" i="37"/>
  <c r="J38" i="48"/>
  <c r="E39" i="43"/>
  <c r="E43" i="43"/>
  <c r="E42" i="43"/>
  <c r="N45" i="36" l="1"/>
  <c r="E41" i="44" s="1"/>
  <c r="M45" i="36"/>
  <c r="N44" i="36"/>
  <c r="L44" i="36"/>
  <c r="N47" i="36"/>
  <c r="E43" i="44" s="1"/>
  <c r="M47" i="36"/>
  <c r="L47" i="36"/>
  <c r="N46" i="36"/>
  <c r="L46" i="36"/>
  <c r="E40" i="44" l="1"/>
  <c r="N52" i="36"/>
  <c r="L57" i="36"/>
  <c r="L58" i="36" s="1"/>
  <c r="L53" i="36"/>
  <c r="L54" i="36" s="1"/>
  <c r="E42" i="44"/>
  <c r="N57" i="36"/>
  <c r="N58" i="36" s="1"/>
  <c r="P53" i="36"/>
  <c r="P54" i="36" s="1"/>
  <c r="J26" i="36"/>
  <c r="J27" i="36"/>
  <c r="J25" i="36"/>
  <c r="J24" i="36"/>
  <c r="N53" i="36"/>
  <c r="N54" i="36" s="1"/>
  <c r="M46" i="36"/>
  <c r="M57" i="36" s="1"/>
  <c r="M58" i="36" s="1"/>
  <c r="M44" i="36"/>
  <c r="M52" i="36" s="1"/>
  <c r="L45" i="36"/>
  <c r="L52" i="36" s="1"/>
  <c r="J47" i="36" l="1"/>
  <c r="J45" i="36"/>
  <c r="J44" i="36"/>
  <c r="J46" i="36"/>
  <c r="M59" i="36"/>
  <c r="M60" i="36" s="1"/>
  <c r="N59" i="36"/>
  <c r="N60" i="36" s="1"/>
  <c r="O53" i="36"/>
  <c r="O54" i="36" s="1"/>
  <c r="M53" i="36"/>
  <c r="M54" i="36" s="1"/>
  <c r="P59" i="36" l="1"/>
  <c r="P60" i="36" s="1"/>
  <c r="J53" i="36"/>
  <c r="J28" i="36" l="1"/>
  <c r="H14" i="36" l="1"/>
  <c r="L63" i="36" s="1"/>
  <c r="E54" i="43"/>
  <c r="E33" i="44"/>
  <c r="O63" i="36" l="1"/>
  <c r="O19" i="37" s="1"/>
  <c r="O64" i="36"/>
  <c r="E71" i="43"/>
  <c r="E73" i="43"/>
  <c r="E70" i="43"/>
  <c r="E75" i="43"/>
  <c r="N63" i="36"/>
  <c r="P63" i="36"/>
  <c r="P19" i="37" s="1"/>
  <c r="M63" i="36"/>
  <c r="M19" i="37" s="1"/>
  <c r="P64" i="36"/>
  <c r="G52" i="44"/>
  <c r="G51" i="44"/>
  <c r="F70" i="43"/>
  <c r="F71" i="43"/>
  <c r="F52" i="44"/>
  <c r="F51" i="44"/>
  <c r="M64" i="36"/>
  <c r="N64" i="36"/>
  <c r="E52" i="44"/>
  <c r="E51" i="44"/>
  <c r="J52" i="36"/>
  <c r="L59" i="36"/>
  <c r="L60" i="36" s="1"/>
  <c r="L64" i="36" s="1"/>
  <c r="L19" i="37"/>
  <c r="J57" i="36"/>
  <c r="B16" i="10"/>
  <c r="B23" i="10" s="1"/>
  <c r="E58" i="44" l="1"/>
  <c r="N20" i="37"/>
  <c r="G58" i="44"/>
  <c r="P20" i="37"/>
  <c r="P34" i="37" s="1"/>
  <c r="F79" i="43"/>
  <c r="M20" i="37"/>
  <c r="M34" i="37" s="1"/>
  <c r="N19" i="37"/>
  <c r="E79" i="43"/>
  <c r="L20" i="37"/>
  <c r="L34" i="37" s="1"/>
  <c r="F58" i="44"/>
  <c r="O20" i="37"/>
  <c r="O34" i="37" s="1"/>
  <c r="J58" i="36"/>
  <c r="J59" i="36"/>
  <c r="B17" i="10"/>
  <c r="P35" i="37" l="1"/>
  <c r="G57" i="44"/>
  <c r="M35" i="37"/>
  <c r="H15" i="49" s="1"/>
  <c r="H17" i="49" s="1"/>
  <c r="H22" i="21" s="1"/>
  <c r="F78" i="43"/>
  <c r="O35" i="37"/>
  <c r="H14" i="50" s="1"/>
  <c r="H16" i="50" s="1"/>
  <c r="H59" i="21" s="1"/>
  <c r="F57" i="44"/>
  <c r="L35" i="37"/>
  <c r="H15" i="47" s="1"/>
  <c r="H17" i="47" s="1"/>
  <c r="H18" i="47" s="1"/>
  <c r="H14" i="21" s="1"/>
  <c r="E78" i="43"/>
  <c r="N34" i="37"/>
  <c r="J63" i="36"/>
  <c r="B18" i="10"/>
  <c r="B22" i="10" s="1"/>
  <c r="E17" i="43" l="1"/>
  <c r="H32" i="49"/>
  <c r="H24" i="49"/>
  <c r="H28" i="21" s="1"/>
  <c r="E23" i="43" s="1"/>
  <c r="H33" i="49"/>
  <c r="H37" i="21" s="1"/>
  <c r="E32" i="43" s="1"/>
  <c r="H25" i="49"/>
  <c r="H29" i="21" s="1"/>
  <c r="E24" i="43" s="1"/>
  <c r="H30" i="49"/>
  <c r="H34" i="21" s="1"/>
  <c r="E29" i="43" s="1"/>
  <c r="H22" i="49"/>
  <c r="H26" i="21" s="1"/>
  <c r="E21" i="43" s="1"/>
  <c r="H31" i="49"/>
  <c r="H35" i="21" s="1"/>
  <c r="E30" i="43" s="1"/>
  <c r="H23" i="49"/>
  <c r="H27" i="21" s="1"/>
  <c r="E22" i="43" s="1"/>
  <c r="H36" i="49"/>
  <c r="H40" i="21" s="1"/>
  <c r="E35" i="43" s="1"/>
  <c r="H28" i="49"/>
  <c r="H32" i="21" s="1"/>
  <c r="E27" i="43" s="1"/>
  <c r="H20" i="49"/>
  <c r="H24" i="21" s="1"/>
  <c r="E19" i="43" s="1"/>
  <c r="H29" i="49"/>
  <c r="H33" i="21" s="1"/>
  <c r="E28" i="43" s="1"/>
  <c r="H21" i="49"/>
  <c r="H25" i="21" s="1"/>
  <c r="E20" i="43" s="1"/>
  <c r="H34" i="49"/>
  <c r="H38" i="21" s="1"/>
  <c r="E33" i="43" s="1"/>
  <c r="H26" i="49"/>
  <c r="H30" i="21" s="1"/>
  <c r="E25" i="43" s="1"/>
  <c r="H35" i="49"/>
  <c r="H39" i="21" s="1"/>
  <c r="E34" i="43" s="1"/>
  <c r="H27" i="49"/>
  <c r="H31" i="21" s="1"/>
  <c r="E26" i="43" s="1"/>
  <c r="G60" i="44"/>
  <c r="H45" i="40"/>
  <c r="E16" i="44"/>
  <c r="F60" i="44"/>
  <c r="E80" i="43"/>
  <c r="F80" i="43"/>
  <c r="N35" i="37"/>
  <c r="H14" i="40" s="1"/>
  <c r="H16" i="40" s="1"/>
  <c r="E57" i="44"/>
  <c r="H27" i="47"/>
  <c r="H28" i="47" s="1"/>
  <c r="H16" i="21" s="1"/>
  <c r="E9" i="43"/>
  <c r="H20" i="40" l="1"/>
  <c r="H22" i="40" s="1"/>
  <c r="H36" i="21"/>
  <c r="E31" i="43" s="1"/>
  <c r="E60" i="44"/>
  <c r="H40" i="47"/>
  <c r="H41" i="47" s="1"/>
  <c r="H19" i="21" s="1"/>
  <c r="H19" i="40" l="1"/>
  <c r="H23" i="40" s="1"/>
  <c r="H24" i="40" s="1"/>
  <c r="E14" i="43"/>
  <c r="E61" i="44" l="1"/>
  <c r="H27" i="40"/>
  <c r="H39" i="40" l="1"/>
  <c r="H40" i="40" s="1"/>
  <c r="H56" i="21" s="1"/>
  <c r="E14" i="44" s="1"/>
  <c r="H28" i="40"/>
  <c r="H53" i="21" s="1"/>
  <c r="E9" i="44" s="1"/>
  <c r="H47" i="40"/>
  <c r="H48" i="40" l="1"/>
  <c r="H69" i="21" s="1"/>
  <c r="E24"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2" authorId="0" shapeId="0" xr:uid="{00000000-0006-0000-0400-000001000000}">
      <text>
        <r>
          <rPr>
            <sz val="8"/>
            <color indexed="81"/>
            <rFont val="Tahoma"/>
            <family val="2"/>
          </rPr>
          <t>At all times a (group of) pink cell(s) needs an explanantion on its special nature. This explanation will be added through this remark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M15" authorId="0" shapeId="0" xr:uid="{2FFD01F5-1C3C-460A-A3B6-DDD5C1CE0831}">
      <text>
        <r>
          <rPr>
            <sz val="9"/>
            <color indexed="81"/>
            <rFont val="Tahoma"/>
            <family val="2"/>
          </rPr>
          <t>Sum of connections per category multiplied by kVA of that category. Connections per category is the average number of connections in that category for the period December 31 2022 to December 31  2023.</t>
        </r>
      </text>
    </comment>
    <comment ref="O15" authorId="0" shapeId="0" xr:uid="{D1A351C4-2A83-4DAC-9618-8B50CD2E45AF}">
      <text>
        <r>
          <rPr>
            <sz val="9"/>
            <color indexed="81"/>
            <rFont val="Tahoma"/>
            <family val="2"/>
          </rPr>
          <t>Total connections billed in 2023  divided by 12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29" authorId="0" shapeId="0" xr:uid="{31DB1D88-C811-4623-B1C7-0ADA370CE230}">
      <text>
        <r>
          <rPr>
            <sz val="9"/>
            <color indexed="81"/>
            <rFont val="Tahoma"/>
            <family val="2"/>
          </rPr>
          <t>Costs related to network growth are calculated separately (see below)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19" authorId="0" shapeId="0" xr:uid="{5CE7BBD8-8244-4AA8-8A7D-4E258BD784A0}">
      <text>
        <r>
          <rPr>
            <sz val="9"/>
            <color indexed="81"/>
            <rFont val="Tahoma"/>
            <family val="2"/>
          </rPr>
          <t xml:space="preserve">Only operational costs. Estimated variable capital costs per new connection are listed in O20.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52" authorId="0" shapeId="0" xr:uid="{F4C00F2E-D804-4583-B2F1-6DDAD1C577D7}">
      <text>
        <r>
          <rPr>
            <sz val="8"/>
            <color indexed="81"/>
            <rFont val="Tahoma"/>
            <family val="2"/>
          </rPr>
          <t>Income related to new connections is deducted from fixed operational costs</t>
        </r>
      </text>
    </comment>
    <comment ref="L57" authorId="0" shapeId="0" xr:uid="{906CB5C4-EFDA-4BFA-897A-865465CDF428}">
      <text>
        <r>
          <rPr>
            <sz val="9"/>
            <color indexed="81"/>
            <rFont val="Tahoma"/>
            <family val="2"/>
          </rPr>
          <t>Includes additions in estimated capital costs for solar park phase 3.</t>
        </r>
      </text>
    </comment>
    <comment ref="O65" authorId="0" shapeId="0" xr:uid="{9994C04C-7A7A-46B6-AC3E-AA3EC91961D8}">
      <text>
        <r>
          <rPr>
            <sz val="9"/>
            <color indexed="81"/>
            <rFont val="Tahoma"/>
            <family val="2"/>
          </rPr>
          <t>These extra variable costs  are added per new water connection above the number of connections in 2023.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16" authorId="0" shapeId="0" xr:uid="{CDF24042-260D-4185-B837-777476C8A9A7}">
      <text>
        <r>
          <rPr>
            <sz val="9"/>
            <color indexed="81"/>
            <rFont val="Tahoma"/>
            <family val="2"/>
          </rPr>
          <t xml:space="preserve">Needed for variable capital costs per new water connection.Amount of new connections is: Estimated number of connections 2025 minus number of connections 2023.
</t>
        </r>
      </text>
    </comment>
    <comment ref="O34" authorId="0" shapeId="0" xr:uid="{84D2BB73-EC38-40F1-8E24-7AA791A4BE4F}">
      <text>
        <r>
          <rPr>
            <sz val="9"/>
            <color indexed="81"/>
            <rFont val="Tahoma"/>
            <family val="2"/>
          </rPr>
          <t>Variable capital cost per new connection only apply to new connections.</t>
        </r>
      </text>
    </comment>
  </commentList>
</comments>
</file>

<file path=xl/sharedStrings.xml><?xml version="1.0" encoding="utf-8"?>
<sst xmlns="http://schemas.openxmlformats.org/spreadsheetml/2006/main" count="1670" uniqueCount="800">
  <si>
    <t>Disclaimer</t>
  </si>
  <si>
    <t>Data</t>
  </si>
  <si>
    <t>Input --&gt;</t>
  </si>
  <si>
    <t>About this file</t>
  </si>
  <si>
    <t>Case number</t>
  </si>
  <si>
    <t>File title</t>
  </si>
  <si>
    <t>Subtitle</t>
  </si>
  <si>
    <t>Other remarks</t>
  </si>
  <si>
    <t>About the status of this file</t>
  </si>
  <si>
    <t>Final version? (y/n)</t>
  </si>
  <si>
    <t>Is this file legally part of the decision(s) listed above? (y/n)</t>
  </si>
  <si>
    <t>Cell colors (for numbers)</t>
  </si>
  <si>
    <t>Description</t>
  </si>
  <si>
    <t>Data and input (source required)</t>
  </si>
  <si>
    <t>Calculated value</t>
  </si>
  <si>
    <t>Empty cell (not zero) used in a formula range</t>
  </si>
  <si>
    <t>Value or calculation that needs special attention or explanation</t>
  </si>
  <si>
    <t>Sheet tab colors</t>
  </si>
  <si>
    <t>Sheet with result/output</t>
  </si>
  <si>
    <t>Sheet with input</t>
  </si>
  <si>
    <t>Sheet with calculations</t>
  </si>
  <si>
    <t>Model sheets</t>
  </si>
  <si>
    <t>Result</t>
  </si>
  <si>
    <t>Calculation</t>
  </si>
  <si>
    <t>Explanatory sheets</t>
  </si>
  <si>
    <t>Explanation</t>
  </si>
  <si>
    <t>Special attention:</t>
  </si>
  <si>
    <t>Source overview and specific applications</t>
  </si>
  <si>
    <t>Source overview</t>
  </si>
  <si>
    <t>Each input sheet contains a column 'Source', in which the sources are referred to by their shortened name. These sources are further explained in the table below.</t>
  </si>
  <si>
    <t>No.</t>
  </si>
  <si>
    <t>Shortened name</t>
  </si>
  <si>
    <t>External file name</t>
  </si>
  <si>
    <t>As referred to in Source column</t>
  </si>
  <si>
    <t>Exact file name</t>
  </si>
  <si>
    <t>Date received, email, URL, file location</t>
  </si>
  <si>
    <t>Unit</t>
  </si>
  <si>
    <t>Constant</t>
  </si>
  <si>
    <t>Row total</t>
  </si>
  <si>
    <t>Remarks</t>
  </si>
  <si>
    <t>Source</t>
  </si>
  <si>
    <t>Cover sheet</t>
  </si>
  <si>
    <t>Belongs to decision(s):</t>
  </si>
  <si>
    <t>Reference number of decision(s)</t>
  </si>
  <si>
    <t>Objections and appeals can be filed against the decision to which this file belongs.</t>
  </si>
  <si>
    <t xml:space="preserve">If there are any substantive differences between the calculation in this file and the calculation that follows from the relevant decision, the decision's calculation is authentic. </t>
  </si>
  <si>
    <t>Explanatory notes to this file</t>
  </si>
  <si>
    <t xml:space="preserve">Explanation about how this file works </t>
  </si>
  <si>
    <t>Legend for the cell and sheet colors</t>
  </si>
  <si>
    <t>Value that is taken from another sheet or cell without calculation</t>
  </si>
  <si>
    <t>Result/calculated value that is used in another sheet</t>
  </si>
  <si>
    <t>Input or calculation that is not yet up-to-date or work in progress</t>
  </si>
  <si>
    <t>Sheet that is not yet up-to-date/work in progress</t>
  </si>
  <si>
    <t xml:space="preserve">Empty sheet used for indexing </t>
  </si>
  <si>
    <t>Additional information about this source</t>
  </si>
  <si>
    <t xml:space="preserve">If ACM does use cell or range references, macros, or other more complex functions in Excel, these will be explained on this sheet. </t>
  </si>
  <si>
    <t>Relationship to other calculation files</t>
  </si>
  <si>
    <t>in the overview below, ACM lists the sources that are used for data and calculations in this file.</t>
  </si>
  <si>
    <t>Explanation of the use of specific Excel-applications and other details</t>
  </si>
  <si>
    <t xml:space="preserve">In its calculation files, ACM seeks to use simple and easy-to-follow calculations as much as possible, and seeks to avoid the use of complex formulas or specific applications. </t>
  </si>
  <si>
    <t>When final, will this file be published?</t>
  </si>
  <si>
    <t>When published, doe this file contain business-confidential information? (y/n)</t>
  </si>
  <si>
    <t>This calculation is developed in the standardized format used by the Energy Department of ACM (based on version 5, june 2021)</t>
  </si>
  <si>
    <t>[ END OF SHEET ]</t>
  </si>
  <si>
    <t>Parameters</t>
  </si>
  <si>
    <t>Description data</t>
  </si>
  <si>
    <t>Explanatory notes</t>
  </si>
  <si>
    <t xml:space="preserve">The development of the CPI of Q3 year T and Q3 year T-1 will be used as the estimated inflation for the year T+1. The estimated inflation is rounded to one decimal. </t>
  </si>
  <si>
    <t>As of the development of the CPI between Q3 2017 and Q3 2018, the 2017 = 100 serie is used. Before this, the 2010 = 100 serie has been used.</t>
  </si>
  <si>
    <t xml:space="preserve">Electricity production </t>
  </si>
  <si>
    <t>Electricity distribution</t>
  </si>
  <si>
    <t>Water production</t>
  </si>
  <si>
    <t>Water distribution</t>
  </si>
  <si>
    <t>Water truck delivery</t>
  </si>
  <si>
    <t>%</t>
  </si>
  <si>
    <t>Estimated inflation 2024</t>
  </si>
  <si>
    <t xml:space="preserve">WACC </t>
  </si>
  <si>
    <t>ACM WACC decision 2023-2025</t>
  </si>
  <si>
    <t>Wettelijke rente CNL ('legal fixed interest rate')</t>
  </si>
  <si>
    <t>Wettelijke rente CNL</t>
  </si>
  <si>
    <t>Variable part of capital costs</t>
  </si>
  <si>
    <t xml:space="preserve">Description data </t>
  </si>
  <si>
    <t xml:space="preserve">Description </t>
  </si>
  <si>
    <t xml:space="preserve">Unit </t>
  </si>
  <si>
    <t xml:space="preserve">Constant </t>
  </si>
  <si>
    <t xml:space="preserve">Row total </t>
  </si>
  <si>
    <t>Input from the OPEX-model</t>
  </si>
  <si>
    <t>OPEX-model, sheet "Output"; row 11</t>
  </si>
  <si>
    <t>OPEX-model, sheet "Output"; row 12</t>
  </si>
  <si>
    <t>Input from the RAB-model</t>
  </si>
  <si>
    <t>USD</t>
  </si>
  <si>
    <t>RAB-value does not relate to any price level due to the use of a nominal WACC.</t>
  </si>
  <si>
    <t>Depreciation does not relate to any price level due to the use of a nominal WACC.</t>
  </si>
  <si>
    <t>Realized volumes</t>
  </si>
  <si>
    <t>(see column)</t>
  </si>
  <si>
    <t>kWh</t>
  </si>
  <si>
    <t>kVA</t>
  </si>
  <si>
    <t>m3</t>
  </si>
  <si>
    <t>connections</t>
  </si>
  <si>
    <t>Estimated production data electricity</t>
  </si>
  <si>
    <t xml:space="preserve">kWh </t>
  </si>
  <si>
    <t>liters</t>
  </si>
  <si>
    <t>liters/kWh</t>
  </si>
  <si>
    <t>Most recent fuel price</t>
  </si>
  <si>
    <t>USD/liter</t>
  </si>
  <si>
    <t>Estimated production data water</t>
  </si>
  <si>
    <t>Production yield based on electricity</t>
  </si>
  <si>
    <t>kWh/m3</t>
  </si>
  <si>
    <t>Estimated distribution data</t>
  </si>
  <si>
    <t>USD, pl 2023</t>
  </si>
  <si>
    <t>Tariff for road crossing, per meter</t>
  </si>
  <si>
    <t>Tariff new electricity connection 3,2 and 7,7 kVA (incl. up to 25 meters)</t>
  </si>
  <si>
    <t>Tariff for road crossing for 3,2 kVA connection, per meter</t>
  </si>
  <si>
    <t>Tariff for road crossing for 7,7 kVA connection, per meter</t>
  </si>
  <si>
    <t>Reconnection fee</t>
  </si>
  <si>
    <t>Income associated with new water connections</t>
  </si>
  <si>
    <t>#</t>
  </si>
  <si>
    <t>Excluding mark-up for road crossings.</t>
  </si>
  <si>
    <t xml:space="preserve">Income associated with new connections </t>
  </si>
  <si>
    <t>This calculation is added, since the income from new drinking water connections is lower than the associated costs, due to a specific tariff arrangement.</t>
  </si>
  <si>
    <t>For electricity, the tariff category is determined by the kVA of the connection.</t>
  </si>
  <si>
    <t>Number of connections per kVA</t>
  </si>
  <si>
    <t># connections</t>
  </si>
  <si>
    <t>Total estimated volume</t>
  </si>
  <si>
    <t>Number of connections for water</t>
  </si>
  <si>
    <t>Standardized sheets with general information about this file</t>
  </si>
  <si>
    <t>CPI CBS</t>
  </si>
  <si>
    <t>https://opendata.cbs.nl/statline/#/CBS/nl/dataset/84046NED/table</t>
  </si>
  <si>
    <t>https://wetten.overheid.nl/BWBR0030649/2011-11-18</t>
  </si>
  <si>
    <t>Besluit WACC Caribisch Nederland 2023-2025</t>
  </si>
  <si>
    <t>https://www.acm.nl/nl/publicaties/wacc-elektriciteit-en-drinkwater-caribisch-nederland-2023-2025</t>
  </si>
  <si>
    <t>OPEX-model</t>
  </si>
  <si>
    <t>RAB-model</t>
  </si>
  <si>
    <t>Fuel model</t>
  </si>
  <si>
    <t>Beschikking productieprijs elektriciteit 2023 Sint Eustatius STUCO | ACM.nl</t>
  </si>
  <si>
    <t>This sheet seperates different types of sheets and is intentionally left blank</t>
  </si>
  <si>
    <t>Data on corrections</t>
  </si>
  <si>
    <t>USD, pl 2024</t>
  </si>
  <si>
    <t>Corrections as calculated in fuel model</t>
  </si>
  <si>
    <t>Applicable period</t>
  </si>
  <si>
    <t>Production price</t>
  </si>
  <si>
    <t>Production price excl fuel</t>
  </si>
  <si>
    <t xml:space="preserve">Production price incl fuel </t>
  </si>
  <si>
    <t>Variable distribution tariff</t>
  </si>
  <si>
    <t>Fixed distribution tariff per kVA category</t>
  </si>
  <si>
    <t>3,2</t>
  </si>
  <si>
    <t>7,7</t>
  </si>
  <si>
    <t>13,3</t>
  </si>
  <si>
    <t>30,4</t>
  </si>
  <si>
    <t>38,0</t>
  </si>
  <si>
    <t>11,0</t>
  </si>
  <si>
    <t>19,0</t>
  </si>
  <si>
    <t>47,5</t>
  </si>
  <si>
    <t>13,9</t>
  </si>
  <si>
    <t>23,9</t>
  </si>
  <si>
    <t>60,8</t>
  </si>
  <si>
    <t>85,5</t>
  </si>
  <si>
    <t>119,7</t>
  </si>
  <si>
    <t>Tariff for reconnection</t>
  </si>
  <si>
    <t>Tariff for connection</t>
  </si>
  <si>
    <t>Connection 3,2 and 7,7 kVA (incl. up to 25 meters)</t>
  </si>
  <si>
    <t>The reconnection fee is set fixed at USD 40.</t>
  </si>
  <si>
    <t>175,0</t>
  </si>
  <si>
    <t>95,0</t>
  </si>
  <si>
    <t>76,0</t>
  </si>
  <si>
    <t>Production price per m3 (incl electricity costs)</t>
  </si>
  <si>
    <t>Fixed distribution tariff</t>
  </si>
  <si>
    <t>Standard connection (incl. up to 25 meters)</t>
  </si>
  <si>
    <t>Tariff for road crossing for standard connection, per meter</t>
  </si>
  <si>
    <t>Distribution by truck</t>
  </si>
  <si>
    <t>Price distribution by truck</t>
  </si>
  <si>
    <t>Electricity production</t>
  </si>
  <si>
    <t>Relevant data</t>
  </si>
  <si>
    <t>Income related to new connections</t>
  </si>
  <si>
    <t>Volume</t>
  </si>
  <si>
    <t>Fixed/variable operational costs</t>
  </si>
  <si>
    <t>Fixed/variable capital costs</t>
  </si>
  <si>
    <t>USD / #</t>
  </si>
  <si>
    <t>Input</t>
  </si>
  <si>
    <t>Income level</t>
  </si>
  <si>
    <t>Fuel component</t>
  </si>
  <si>
    <t>Fuel data</t>
  </si>
  <si>
    <t>Income level per kVA per month</t>
  </si>
  <si>
    <t>Estimated volume</t>
  </si>
  <si>
    <t>Profit sharing-percentage</t>
  </si>
  <si>
    <t>Estimated production and distribution data</t>
  </si>
  <si>
    <t>Lost subsidy income</t>
  </si>
  <si>
    <t>Data on the energy cost correction</t>
  </si>
  <si>
    <t>Data on energy costs</t>
  </si>
  <si>
    <t xml:space="preserve">Description calculation </t>
  </si>
  <si>
    <t>On this sheet the ACM calculates the correction for the volume effect.</t>
  </si>
  <si>
    <t xml:space="preserve">Relevant data for volume-effect correction </t>
  </si>
  <si>
    <t>Calculation volume-effect correction</t>
  </si>
  <si>
    <t>Calculation coverage of fixed costs</t>
  </si>
  <si>
    <t>Relevant data for profit sharing  correction</t>
  </si>
  <si>
    <t>Realized costs</t>
  </si>
  <si>
    <t xml:space="preserve">Negative amount indicates realized costs were higher than estimated. </t>
  </si>
  <si>
    <t>As a result of profit sharing, the income in 2024 will be increased by 50% of the difference between the realized and estimated costs.</t>
  </si>
  <si>
    <t>Calculation of the energy cost correction for water production</t>
  </si>
  <si>
    <t>The correction for energy costs is based on the difference between the variable distribution tariff, as used in the calculation of the drinking water production price, and the variable distribution tariff that is set for the second half of the year.</t>
  </si>
  <si>
    <t>The difference between both prices results in an under- or overrecovery of electricity costs for the drinking water producer, which the energy cost correction corrects for.</t>
  </si>
  <si>
    <t>USD, pl 2023/kWh</t>
  </si>
  <si>
    <t>Calculation of the energy cost correction</t>
  </si>
  <si>
    <t>The volume effect for distribution is corrected for the fact that subsidy income does not increase with rising volume</t>
  </si>
  <si>
    <t>Calculation profit sharing</t>
  </si>
  <si>
    <t>On this sheet ACM calculates the profit sharing correction for regular costs and for network losses.</t>
  </si>
  <si>
    <t>No</t>
  </si>
  <si>
    <t>ACM assumes other income to be related to fixed costs.</t>
  </si>
  <si>
    <t>Allocation key fixed/variable costs</t>
  </si>
  <si>
    <t>Historical data</t>
  </si>
  <si>
    <t>Data for the energy cost correction</t>
  </si>
  <si>
    <t>Number of connections 2016</t>
  </si>
  <si>
    <t>RAB water distribution 2016</t>
  </si>
  <si>
    <t>Depreciation water distribution 2016</t>
  </si>
  <si>
    <t>ACM method decision 2020-2025</t>
  </si>
  <si>
    <t>Corrections to income level</t>
  </si>
  <si>
    <t>Estimated production yield drinking water</t>
  </si>
  <si>
    <t>Energy consumption for drinking water production</t>
  </si>
  <si>
    <t>Profit-sharing percentage</t>
  </si>
  <si>
    <t>Fuel model STUCO 2024</t>
  </si>
  <si>
    <t>OPEX Model STUCO 2024</t>
  </si>
  <si>
    <t>RAB model STUCO 2024</t>
  </si>
  <si>
    <t>7. STUCO Electricity connections by KVA in 2022</t>
  </si>
  <si>
    <t>Berekening tarieven STUCO 2023</t>
  </si>
  <si>
    <t>OPEX-model, sheet "Output"; row 18</t>
  </si>
  <si>
    <t>OPEX-model, sheet "Output"; row 19</t>
  </si>
  <si>
    <t>USD/gallon</t>
  </si>
  <si>
    <t>US gallon to liter</t>
  </si>
  <si>
    <t>Profit sharing and cost estimates are both calculated in this file. In previous years, profit sharing was a separate file.</t>
  </si>
  <si>
    <t>Assets in row 5, 9 and 10 are related to water production (Source: e-mail sent by STUCO on September 27 2023)</t>
  </si>
  <si>
    <t>Connections for internal use are added to the total number of connections for their kVA category</t>
  </si>
  <si>
    <t>This sheet contains the calculation of the energy cost correction for the water production.</t>
  </si>
  <si>
    <t>ACM Method decision 2020-2025</t>
  </si>
  <si>
    <t>Methodebesluit elektriciteit en drinkwater Caribisch Nederland 2020-2025 | ACM.nl</t>
  </si>
  <si>
    <t>Methodebesluit elektriciteit en drinkwater Caribisch Nederland 2020-2025</t>
  </si>
  <si>
    <t>Beschikking variabel tarief elektriciteit 1 juli 2023 St. Eustatius | ACM.nl</t>
  </si>
  <si>
    <t>The outcome of the tariff calculations is displayed on this sheet.</t>
  </si>
  <si>
    <t>Dictum en Bijlage 1 Besluit: tariffs and key figures Electricity</t>
  </si>
  <si>
    <t>Tariffs to include in Dictum production price decision</t>
  </si>
  <si>
    <t xml:space="preserve">Production price electricity excl. fuel </t>
  </si>
  <si>
    <t xml:space="preserve">Variable distribution tariff electricity </t>
  </si>
  <si>
    <t xml:space="preserve">Fixed distribution tariff electricity </t>
  </si>
  <si>
    <t>Tariff per kVA</t>
  </si>
  <si>
    <t xml:space="preserve">Tariff category </t>
  </si>
  <si>
    <t xml:space="preserve">  3,2 kVA</t>
  </si>
  <si>
    <t xml:space="preserve">  7,7 kVA</t>
  </si>
  <si>
    <t xml:space="preserve">  11 kVA</t>
  </si>
  <si>
    <t xml:space="preserve">  13,86 kVA</t>
  </si>
  <si>
    <t xml:space="preserve">  13,3 kVA</t>
  </si>
  <si>
    <t xml:space="preserve">  19 kVA</t>
  </si>
  <si>
    <t xml:space="preserve">  23,94 kVA</t>
  </si>
  <si>
    <t xml:space="preserve">  30,4 kVA</t>
  </si>
  <si>
    <t xml:space="preserve">  38 kVA</t>
  </si>
  <si>
    <t xml:space="preserve">  47,5 kVA</t>
  </si>
  <si>
    <t xml:space="preserve">  60,8 kVA</t>
  </si>
  <si>
    <t xml:space="preserve">  76 kVA</t>
  </si>
  <si>
    <t xml:space="preserve">  85,5 kVA</t>
  </si>
  <si>
    <t xml:space="preserve">  95 kVA</t>
  </si>
  <si>
    <t xml:space="preserve">  119,7 kVA</t>
  </si>
  <si>
    <t xml:space="preserve">  175 kVA</t>
  </si>
  <si>
    <t xml:space="preserve">Connections tariffs electricity </t>
  </si>
  <si>
    <t xml:space="preserve">Additional tariff for road crossing </t>
  </si>
  <si>
    <t>Profit sharing percentage</t>
  </si>
  <si>
    <t xml:space="preserve">  of which are the estimated variable costs per unit</t>
  </si>
  <si>
    <t>Total estimated production volume</t>
  </si>
  <si>
    <t xml:space="preserve">   Production by solar</t>
  </si>
  <si>
    <t xml:space="preserve">   Production by fuel</t>
  </si>
  <si>
    <t>Estimated production yield for fuel</t>
  </si>
  <si>
    <t>Liter/kWh</t>
  </si>
  <si>
    <t>Price fuel (most recent)</t>
  </si>
  <si>
    <t xml:space="preserve">Note: 'pl' means price level </t>
  </si>
  <si>
    <t>Dictum en Bijlage 1 Besluit: tariffs and key figures Drinking Water</t>
  </si>
  <si>
    <t>Production price drinking water</t>
  </si>
  <si>
    <t xml:space="preserve">Variable distribution tariff drinking water </t>
  </si>
  <si>
    <t xml:space="preserve">Fixed distribution tariff drinking water </t>
  </si>
  <si>
    <t>Connection tariffs drinking water</t>
  </si>
  <si>
    <t>Price drinking water by truck</t>
  </si>
  <si>
    <t>Percentage for profit sharing</t>
  </si>
  <si>
    <t xml:space="preserve">Water production </t>
  </si>
  <si>
    <t xml:space="preserve">Water distribution </t>
  </si>
  <si>
    <t>Data on developments</t>
  </si>
  <si>
    <t xml:space="preserve">  plus extra variable capital costs per new water connection</t>
  </si>
  <si>
    <t>Additional: total electricity costs for production of drinking water</t>
  </si>
  <si>
    <t xml:space="preserve">   of which distributed by truck</t>
  </si>
  <si>
    <t>Required electricity for drinking water</t>
  </si>
  <si>
    <t>kVA-connection for water production</t>
  </si>
  <si>
    <t xml:space="preserve">  200 kVA</t>
  </si>
  <si>
    <t>Depreciation in 2023</t>
  </si>
  <si>
    <t>This file uses the output from the OPEX model, RAB model and the Fuel model</t>
  </si>
  <si>
    <t>ACM/23/181660</t>
  </si>
  <si>
    <t>Berekening tarieven STUCO 2025</t>
  </si>
  <si>
    <t>Beschikking productieprijs elektriciteit 2025 STUCO
Beschikking productieprijs drinkwater 2025 STUCO
Beschikking distributietarieven elektriciteit 2025 STUCO
Beschikking distributietarieven drinkwater 2025 STUCO</t>
  </si>
  <si>
    <t>This document contains the calculation of electricity and drinking water tariffs for 2025. These tariffs are based on cost estimates for STUCO for 2025 and the results of profit sharing for 2023.</t>
  </si>
  <si>
    <t>ACM bases cost estimates for 2025 on realized costs in 2023, as found in the financial statements of STUCO.</t>
  </si>
  <si>
    <t>Estimated inflation 2025</t>
  </si>
  <si>
    <t>WACC 2025</t>
  </si>
  <si>
    <t>WACC 2025 - Electricity production</t>
  </si>
  <si>
    <t>WACC 2025 - Electricity distribution</t>
  </si>
  <si>
    <t>WACC 2025 - Water production and distribution</t>
  </si>
  <si>
    <t>CPI</t>
  </si>
  <si>
    <t>Legal interest rate</t>
  </si>
  <si>
    <t>ACM uses the legal fixed interest rate to adjust corrections to price level 2025.</t>
  </si>
  <si>
    <t>Data ACM</t>
  </si>
  <si>
    <t>This sheet displays the percentages used for the CPI, WACC, legal fixed interest rate and the profit sharing.</t>
  </si>
  <si>
    <t>This sheet displays data sourced from ACM tariff models.</t>
  </si>
  <si>
    <t>Data from tariff model 2023 is used for the volume correction and profit sharing</t>
  </si>
  <si>
    <t>Realized volume 2021</t>
  </si>
  <si>
    <t>Estimated fixed/variable costs from tariffs 2023</t>
  </si>
  <si>
    <t>Total estimated fixed costs 2023</t>
  </si>
  <si>
    <t>Total estimated regular variable capital costs 2023 (excl. addition new water connections)</t>
  </si>
  <si>
    <t>Total estimated variable costs 2023 per unit (excl. addition for network growth)</t>
  </si>
  <si>
    <t>USD, pl 2023 / #</t>
  </si>
  <si>
    <t>Extra estimated variable costs 2023 for network growth per new water connection</t>
  </si>
  <si>
    <t>Estimated volume 2023</t>
  </si>
  <si>
    <t>Estimated network losses 2023</t>
  </si>
  <si>
    <t>Production price 2023</t>
  </si>
  <si>
    <t>Production price incl fuel (Jan-Jun 2023)</t>
  </si>
  <si>
    <t>USD/kWh, pl 2023</t>
  </si>
  <si>
    <t>Production price incl fuel (Jul-Dec 2023)</t>
  </si>
  <si>
    <t>USD/m3, pl 2023</t>
  </si>
  <si>
    <t>Total expected water production 2024</t>
  </si>
  <si>
    <t>Variable distribution tariff per 1 January 2024</t>
  </si>
  <si>
    <t>USD, pp 2024/kWh</t>
  </si>
  <si>
    <t>Variable distribution tariff per 1 July 2024</t>
  </si>
  <si>
    <t>Expected share of water distribution in second half of the year 2024</t>
  </si>
  <si>
    <t>Tariffs associated with connection activities</t>
  </si>
  <si>
    <t>Tariff for new water connection in 2024</t>
  </si>
  <si>
    <t>Data from tariff model 2024 and July 2024</t>
  </si>
  <si>
    <t>Total estimated water production 2024</t>
  </si>
  <si>
    <t>Berekening variabel gebruikstarief STUCO 1 juli 2024</t>
  </si>
  <si>
    <t>Berekening variabel gebruikstarief STUCO 1 juli 2023</t>
  </si>
  <si>
    <t>Data from tariff model 2023 and July 2023</t>
  </si>
  <si>
    <t>Data from tariff model 2024 is used for the energy cost correction and tariffs associated with connection activities.</t>
  </si>
  <si>
    <t>Expected share of 50% as is assumed in the 2024 decisions.</t>
  </si>
  <si>
    <t>Fuel component correction May - October 2024</t>
  </si>
  <si>
    <t xml:space="preserve">Operational costs (excl fuel) 2023 </t>
  </si>
  <si>
    <t>Other income 2023</t>
  </si>
  <si>
    <t>Operational costs (excl fuel) 2023 for Profit Sharing</t>
  </si>
  <si>
    <t>Other income 2023 for Profit Sharing</t>
  </si>
  <si>
    <t>RAB-value ultimo 2023</t>
  </si>
  <si>
    <t>Depreciation 2023</t>
  </si>
  <si>
    <t>Fuel cost correction 2023</t>
  </si>
  <si>
    <t>Distributed water 2023</t>
  </si>
  <si>
    <t>Realized volume 2023</t>
  </si>
  <si>
    <t>Network losses 2023</t>
  </si>
  <si>
    <t>Number of new connections in 2023</t>
  </si>
  <si>
    <t>Tariff for new connections in 2023</t>
  </si>
  <si>
    <t>Delivery of drinking water by truck 2023</t>
  </si>
  <si>
    <t>Realisation of water distributed by line in 2023</t>
  </si>
  <si>
    <t>Percentage water distribution by truck 2023</t>
  </si>
  <si>
    <t>Estimates for 2025</t>
  </si>
  <si>
    <t>Estimated production volume 2025</t>
  </si>
  <si>
    <t>Estimated network losses 2025 in %</t>
  </si>
  <si>
    <t>Estimated production by solar in 2025</t>
  </si>
  <si>
    <t>Estimated production by fuel in 2025</t>
  </si>
  <si>
    <t>Estimated total production in 2025</t>
  </si>
  <si>
    <t>Estimated total production first half 2025</t>
  </si>
  <si>
    <t>Estimated share of production with fuel in 2025</t>
  </si>
  <si>
    <t>Estimated delivery of drinking water by truck 2025</t>
  </si>
  <si>
    <t>Estimated drinking water delivered by truck in 2025</t>
  </si>
  <si>
    <t>Estimated percentage of drinking water delivered by truck in 2025</t>
  </si>
  <si>
    <t>Estimated fuel efficiency 2025</t>
  </si>
  <si>
    <t>Tariff categories and volumes 2025</t>
  </si>
  <si>
    <t>Expected number of connections in 2025</t>
  </si>
  <si>
    <t>Realized liters of fuel consumed for production in 2023</t>
  </si>
  <si>
    <t>Realized production volume by fuel in 2023</t>
  </si>
  <si>
    <t>Realized water production in 2023</t>
  </si>
  <si>
    <t>Estimated water production 2025</t>
  </si>
  <si>
    <t>Estimated electricity production 2025</t>
  </si>
  <si>
    <t>Distributed water 2025</t>
  </si>
  <si>
    <t>Projection kVA 2025, row O</t>
  </si>
  <si>
    <t>Water connections 2025</t>
  </si>
  <si>
    <t>Electricity for water production 2023, sum of row 5, 9 and 10.</t>
  </si>
  <si>
    <t>Volumes data 2023</t>
  </si>
  <si>
    <t>Data for production yield</t>
  </si>
  <si>
    <t>Production yield electricity</t>
  </si>
  <si>
    <t>Estimated production yield electricity</t>
  </si>
  <si>
    <t>Estimated production yield</t>
  </si>
  <si>
    <t>Production yield drinking water</t>
  </si>
  <si>
    <t>Total estimated volume per category</t>
  </si>
  <si>
    <t>Estimated volume 2025</t>
  </si>
  <si>
    <t>Calculation volume-effect correction 2023</t>
  </si>
  <si>
    <t>Total estimated fixed costs for 2023</t>
  </si>
  <si>
    <t>Total lost subsidy income as a result of rising volumes in 2023</t>
  </si>
  <si>
    <t>Realized income to cover fixed costs 2023</t>
  </si>
  <si>
    <t>Volume-effect correction 2023</t>
  </si>
  <si>
    <t>ACM assumes an even distribution between the first and second half of 2023</t>
  </si>
  <si>
    <t>Estimated fixed operational costs 2025</t>
  </si>
  <si>
    <t>Estimated variable operational costs 2025</t>
  </si>
  <si>
    <t>Estimated variable operational costs 2025 per unit</t>
  </si>
  <si>
    <t>Estimated fixed capital costs 2025</t>
  </si>
  <si>
    <t>Total estimated fixed costs 2025</t>
  </si>
  <si>
    <t>Operational costs 2023 (excl. fuel and other income)</t>
  </si>
  <si>
    <t>Other income 2023 (excl. income new connections for water distribution)</t>
  </si>
  <si>
    <t>Operational costs 2023 (excl. fuel)</t>
  </si>
  <si>
    <t>USD, pl 2025</t>
  </si>
  <si>
    <t>USD, pl 2025 / #</t>
  </si>
  <si>
    <t>Capital costs (RAB*WACC+ depreciation)</t>
  </si>
  <si>
    <t>USD/connection</t>
  </si>
  <si>
    <t>Addition in RAB per connection</t>
  </si>
  <si>
    <t>Addition in depreciation per connection</t>
  </si>
  <si>
    <t>Number of connections 2023</t>
  </si>
  <si>
    <t>RAB water distribution 2023</t>
  </si>
  <si>
    <t>Depreciation water distribution 2023</t>
  </si>
  <si>
    <t>Additional costs related to new water connections 2025</t>
  </si>
  <si>
    <t>Total estimated variable costs 2025 per unit</t>
  </si>
  <si>
    <t>Estimated variable capital costs 2025</t>
  </si>
  <si>
    <t>Estimated variable capital costs 2025 per unit</t>
  </si>
  <si>
    <t>Total fixed/variable costs</t>
  </si>
  <si>
    <t>Calculation fixed-variable costs for cost estimates 2025</t>
  </si>
  <si>
    <t>Calculation split water distribution</t>
  </si>
  <si>
    <t>Variable part of operational costs</t>
  </si>
  <si>
    <t>Realized costs after split water distribution</t>
  </si>
  <si>
    <t>Estimated fixed costs 2023</t>
  </si>
  <si>
    <t>Estimated variable costs 2023 per unit</t>
  </si>
  <si>
    <t>Operational costs 2023 (excl fuel)</t>
  </si>
  <si>
    <t>Production price incl fuel Jan-Jun 2023</t>
  </si>
  <si>
    <t>Production price incl fuel Jul-Dec 2023</t>
  </si>
  <si>
    <t>Average production price 2023</t>
  </si>
  <si>
    <t>Realized network losses 2023</t>
  </si>
  <si>
    <t>Total estimated costs for 2023 adjusted for realized volume</t>
  </si>
  <si>
    <t>Total realized costs for 2023</t>
  </si>
  <si>
    <t>Realized profit (loss) over 2023 for profit sharing</t>
  </si>
  <si>
    <t>Profit sharing correction 2023</t>
  </si>
  <si>
    <t>Estimated costs of network losses 2023</t>
  </si>
  <si>
    <t>Realized costs of network losses 2023</t>
  </si>
  <si>
    <t>Realized profit (loss) over network losses 2023</t>
  </si>
  <si>
    <t>Profit sharing add-on for network losses 2023</t>
  </si>
  <si>
    <t>The energy cost correction is calculated for 2024, based on the variable distribution tariff as set in the semi-annual tariff decision for electricity distribution.</t>
  </si>
  <si>
    <t>Required amount of electricity for drinking water production 2024</t>
  </si>
  <si>
    <t>Energy cost correction 2024</t>
  </si>
  <si>
    <t>USD, pl 2024/kWh</t>
  </si>
  <si>
    <t>Compounded legal fixed interest rate over 2023 - 2025</t>
  </si>
  <si>
    <t>Corrections in price level 2025</t>
  </si>
  <si>
    <t>Cost of emergency production 2023</t>
  </si>
  <si>
    <t>Legal fixed interest rate over 2024 - 2025</t>
  </si>
  <si>
    <t>Additional costs related to new water connections is calculated using data from tariff model 2016.</t>
  </si>
  <si>
    <t>USD/#</t>
  </si>
  <si>
    <t>USD /#</t>
  </si>
  <si>
    <t>Regular cost base</t>
  </si>
  <si>
    <t>Additions to cost base (major occurrences)</t>
  </si>
  <si>
    <t>Variable capital costs per new connection</t>
  </si>
  <si>
    <t>This sheet displays STUCO's cost base over 2023. This is used to calculate STUCO's income level for 2025 and profit sharing over regular costs for 2023.</t>
  </si>
  <si>
    <t>Cost base 2023</t>
  </si>
  <si>
    <r>
      <t xml:space="preserve">On this sheet the ACM imports estimates for 2025. This data comes from </t>
    </r>
    <r>
      <rPr>
        <i/>
        <sz val="10"/>
        <rFont val="Arial"/>
        <family val="2"/>
      </rPr>
      <t>Forward looking information</t>
    </r>
    <r>
      <rPr>
        <sz val="10"/>
        <rFont val="Arial"/>
        <family val="2"/>
      </rPr>
      <t xml:space="preserve"> that ACM recieved from STUCO.</t>
    </r>
  </si>
  <si>
    <r>
      <t xml:space="preserve">This sheet displays historical data over 2023. This data comes from </t>
    </r>
    <r>
      <rPr>
        <i/>
        <sz val="10"/>
        <rFont val="Arial"/>
        <family val="2"/>
      </rPr>
      <t>Historic data</t>
    </r>
    <r>
      <rPr>
        <sz val="10"/>
        <rFont val="Arial"/>
        <family val="2"/>
      </rPr>
      <t xml:space="preserve"> that ACM recieved from STUCO.</t>
    </r>
  </si>
  <si>
    <t>Annual depreciation per extra connection</t>
  </si>
  <si>
    <t>Addtional RAB per extra connection</t>
  </si>
  <si>
    <t>USD/kWh, pl 2025</t>
  </si>
  <si>
    <t>Estimated share production with fuel 2025</t>
  </si>
  <si>
    <t>Fixed/variable costs</t>
  </si>
  <si>
    <t>Calculation income level</t>
  </si>
  <si>
    <t>Estimated network losses 2025</t>
  </si>
  <si>
    <t>USD, pl 2025/#</t>
  </si>
  <si>
    <t>Overview corrections</t>
  </si>
  <si>
    <t>Corrections to variable distribution tariff</t>
  </si>
  <si>
    <t>This sheet gives an overview of corrections that affect the tariffs for 2025 and converts them to price level 2025.</t>
  </si>
  <si>
    <t>Corrections calculated in tariff model</t>
  </si>
  <si>
    <t>Profit sharing 2023: regular costs</t>
  </si>
  <si>
    <t>Profit sharing 2023: network losses</t>
  </si>
  <si>
    <t>Corrections imported from fuel model</t>
  </si>
  <si>
    <t>Estimated production 1st half of 2025</t>
  </si>
  <si>
    <t>USD/kVA/month, pl 2025</t>
  </si>
  <si>
    <t>Fixed distribution tariff per category</t>
  </si>
  <si>
    <t>USD/month, pl 2025</t>
  </si>
  <si>
    <t>Fuel component correction May - October 2024 per kWh</t>
  </si>
  <si>
    <t>Calculation Income level 2025</t>
  </si>
  <si>
    <t>Calculation Fixed/Variable costs 2025</t>
  </si>
  <si>
    <t>USD/m3, pl 2025</t>
  </si>
  <si>
    <t>Variable distribution tariff electricity 2025</t>
  </si>
  <si>
    <t>Profit sharing: network losses 2023 per m3</t>
  </si>
  <si>
    <t>Network losses (NRW)</t>
  </si>
  <si>
    <t>Costs of emergency production are renumerated separately. Therefore, production by GTI is omitted from realized volume for profit sharing and for the income level 2025. Production by GTI is included in the volume correction, because electricity produced by GTI was distributed to consumers.</t>
  </si>
  <si>
    <t xml:space="preserve">On this sheet all the relevant information to include in the appendix of the decision on the tariffs of 2025 is shown. </t>
  </si>
  <si>
    <t>USD, pp 2025 / m3</t>
  </si>
  <si>
    <t>Distribution tariffs 2025</t>
  </si>
  <si>
    <t xml:space="preserve">USD, pp 2025 / month </t>
  </si>
  <si>
    <t>Key figures Tariff decisions STUCO 2025 - Drinking Water</t>
  </si>
  <si>
    <t>WACC 2025 - Electricity Production</t>
  </si>
  <si>
    <t>WACC 2025 - Electricity Distribution</t>
  </si>
  <si>
    <t>WACC 2025 - Water Production and Distribution</t>
  </si>
  <si>
    <t>Expected percentage of drinking water delivered by truck in 2025</t>
  </si>
  <si>
    <t>Addition in RAB in 2025 due to growth of the water network</t>
  </si>
  <si>
    <t>Addition in depreciation in 2025 due to growth of the water network</t>
  </si>
  <si>
    <t>Income level 2025</t>
  </si>
  <si>
    <t>Total estimated costs 2025 based on estimated volume 2025</t>
  </si>
  <si>
    <t>Income level 2025 after corrections</t>
  </si>
  <si>
    <t>Other parameters (expectations 2025 drinking water)</t>
  </si>
  <si>
    <t>Network loss (estimated for 2025)</t>
  </si>
  <si>
    <t>Energy costs correction 2024</t>
  </si>
  <si>
    <t>Summary of cost data 2023</t>
  </si>
  <si>
    <t>Regulated Asset Value (ultimo 2023)</t>
  </si>
  <si>
    <t>Depreciation over 2023</t>
  </si>
  <si>
    <t>Volume-effect 2023</t>
  </si>
  <si>
    <t>Profit sharing: regular costs 2023</t>
  </si>
  <si>
    <t>Profit sharing: network losses 2023</t>
  </si>
  <si>
    <t>Estimated number of connections 2025 (standard category)</t>
  </si>
  <si>
    <t>USD, pl 2025 / kWh</t>
  </si>
  <si>
    <t>USD, pl 2025 / month</t>
  </si>
  <si>
    <t xml:space="preserve">Key figures Tariff decisions STUCO 2025 - Electricity </t>
  </si>
  <si>
    <t>Capital costs in 2025 related to major occurrences</t>
  </si>
  <si>
    <t>Other parameters (expectations 2025 electricity)</t>
  </si>
  <si>
    <t>Network losses (estimate for 2025)</t>
  </si>
  <si>
    <t>Total capacity of the network (estimate for 2025)</t>
  </si>
  <si>
    <t>Fuel component correction May-October 2024</t>
  </si>
  <si>
    <t>Total cost of production by GTI in 2023</t>
  </si>
  <si>
    <t>STUCO Water usage analysis 2016</t>
  </si>
  <si>
    <t>Total number of consumers billed divided by 12</t>
  </si>
  <si>
    <t>Rekenmodel_stuco_2018</t>
  </si>
  <si>
    <t>Rekenmodel bij beschikking productieprijs en distributietarieven elektriciteit en drinkwater 2018 STUCO (Caribisch Nederland) | ACM.nl</t>
  </si>
  <si>
    <t>Request 8 (8144 STUCO Water usage analysis for 2016)</t>
  </si>
  <si>
    <t>E-mail sent by STUCO on November 27, 2017.</t>
  </si>
  <si>
    <t>Fixed distribution tariff for water production facility</t>
  </si>
  <si>
    <t>ACM/UIT/625869
ACM/UIT/625870
ACM/UIT/625874
ACM/UIT/625875</t>
  </si>
  <si>
    <t>ACM uses WACC 2025 to calculate estimated cost of capital 2025.</t>
  </si>
  <si>
    <t>Tariff model 2023, sheet "Fixed-variable costs", row 65.</t>
  </si>
  <si>
    <t>Tariff model 2023, sheet "Fixed-variable costs", row 66.</t>
  </si>
  <si>
    <t>Tariff model 2023, sheet "Fixed-variable costs", row 67-68.</t>
  </si>
  <si>
    <t>Tariff model 2023, sheet "Fixed-variable costs", row 69.</t>
  </si>
  <si>
    <t>Tariff model 2023, sheet "Data on volumes and tariffs", cell L18; cell M80; cell N29; cell O55; cell P83.</t>
  </si>
  <si>
    <t>Tariff model 2023, sheet "Data on volumes and tariffs", cell O13.</t>
  </si>
  <si>
    <t>Tariff model 2023, sheet "Data on volumes and tariffs", row 34.</t>
  </si>
  <si>
    <t>Tariff model 2023, sheet "Tariffs electricity", cell L74.</t>
  </si>
  <si>
    <t>Tariff model July 2023, sheet "Result", cell H40.</t>
  </si>
  <si>
    <t>Tariff model 2023, sheet "Tariffs drinking water", cell N56.</t>
  </si>
  <si>
    <t>Tariff model 2024, sheet "Estimates for 2024", cell N14.</t>
  </si>
  <si>
    <t>Tariff model 2024, sheet "Electricity Distribution", cell M67.</t>
  </si>
  <si>
    <t>Tariff model July 2024, sheet "Result", cell H40.</t>
  </si>
  <si>
    <t>Tariff model 2024, sheet "Estimates for 2024", cell N40.</t>
  </si>
  <si>
    <t>Tariff model 2024, sheet "Water distribution", cell  O56.</t>
  </si>
  <si>
    <t>Tariff model 2024, sheet "Water distribution", cell  O57.</t>
  </si>
  <si>
    <t>Tariff model 2024, sheet "Electricity distribution"; cell M98; sheet "Water distribution", cell O53.</t>
  </si>
  <si>
    <t>Tariff model 2018, sheet "Input costs and subsidies", cell I20</t>
  </si>
  <si>
    <t>Tariff model 2018, sheet "Input costs and subsidies", cell I21</t>
  </si>
  <si>
    <t>Capital cost 2023 (RAB*WACC+ depreciation)</t>
  </si>
  <si>
    <t>Net operational costs 2023 (OPEX excl fuel - other income)</t>
  </si>
  <si>
    <t>Total realized costs</t>
  </si>
  <si>
    <t>Corrections to variable distribution tariff per unit</t>
  </si>
  <si>
    <t>Profit sharing 2023: network losses per kWh / m3</t>
  </si>
  <si>
    <t>Income level (before corrections)</t>
  </si>
  <si>
    <t>Income level (after corrections)</t>
  </si>
  <si>
    <t>Profit sharing over network losses 2023 per kWh</t>
  </si>
  <si>
    <t>Network losses</t>
  </si>
  <si>
    <t>Corrections added to variable tariff</t>
  </si>
  <si>
    <t>Profit sharing over regular costs 2023</t>
  </si>
  <si>
    <t>On this sheet the ACM calculates an income level per activity for 2025 based on estimated fixed and variable costs.</t>
  </si>
  <si>
    <t>Fuel component January 2025</t>
  </si>
  <si>
    <t>The fuel component correction May-October 2024 will be included in the variable usage tariff January-June 2025. Therefore, this amount is divided by the volume for 1st half of 2025.</t>
  </si>
  <si>
    <t>The income level before corrections is equal to estimated costs for 2025 including a reasonable return (WACC).</t>
  </si>
  <si>
    <t>Tariff model 2024, sheet "Historical data", row 25.</t>
  </si>
  <si>
    <t>Tariff model 2024, sheet "Historical data", row 26.</t>
  </si>
  <si>
    <t>Tariff model 2018</t>
  </si>
  <si>
    <t>Tariff model 2023</t>
  </si>
  <si>
    <t>Tariff model July 2023</t>
  </si>
  <si>
    <t>Tariff model 2024</t>
  </si>
  <si>
    <t>Tariff model July 2024</t>
  </si>
  <si>
    <t>Berekening tarieven STUCO 2024</t>
  </si>
  <si>
    <t>Beschikking productieprijs elektriciteit 2024 Sint Eustatius STUCO | ACM.nl</t>
  </si>
  <si>
    <t>Beschikking variabel tarief elektriciteit 1 juli 2024 St. Eustatius (Caribisch Nederland) | ACM.nl</t>
  </si>
  <si>
    <t>Data for indexation</t>
  </si>
  <si>
    <t>The CBS has changed the CPI for Statia for Q3 2023, therefore the value for estimated inflation 2024 in this model differs from the value for estimated inflation 2024 in the tariff model for 2024.</t>
  </si>
  <si>
    <t>Profit sharing for regular costs</t>
  </si>
  <si>
    <t>Calculation profit sharing for regular costs 2023</t>
  </si>
  <si>
    <t>Profit sharing for network losses</t>
  </si>
  <si>
    <t>Estimated and realized costs 2023</t>
  </si>
  <si>
    <t>Estimated and realized costs of network losses 2023</t>
  </si>
  <si>
    <t>Calculation profit sharing for network losses 2023</t>
  </si>
  <si>
    <t>Input for profit sharing over network losses</t>
  </si>
  <si>
    <t xml:space="preserve">Income level for electricity distribution per kVA 2025 </t>
  </si>
  <si>
    <t xml:space="preserve">Income level for electricity distribution per kVA per month 2025 </t>
  </si>
  <si>
    <t>Production price electricity</t>
  </si>
  <si>
    <t xml:space="preserve">Calculation variable distribution tariff </t>
  </si>
  <si>
    <t>Income level for water production per m3 2025</t>
  </si>
  <si>
    <t>Estimated volume water production 2025</t>
  </si>
  <si>
    <t>Corrections added to variable distribution tariff</t>
  </si>
  <si>
    <t>Fixed distribution tariffs electricity</t>
  </si>
  <si>
    <t>Variable distribution tariff drinking water</t>
  </si>
  <si>
    <t>Calculation variable distribution tariff drinking water</t>
  </si>
  <si>
    <t>Variable distribution tariff 2025 drinking water</t>
  </si>
  <si>
    <t>Fixed distribution tariff drinking water</t>
  </si>
  <si>
    <t>Calculation fixed distribution tariff</t>
  </si>
  <si>
    <t>Water distribution by truck</t>
  </si>
  <si>
    <t>Calculation tariff distribution by truck</t>
  </si>
  <si>
    <t>Income level is for the whole year 2025, therefore income level per month is income level divided by 12.</t>
  </si>
  <si>
    <t>ACM uses CPI to adjust estimated operational costs and tariffs for connection activities to price level 2025.</t>
  </si>
  <si>
    <t>The (monthly) fixed distribution tariff for drinking water is income level per connection per month. Income level is for the whole year 2025, therefore income level per month is income level divided by 12.</t>
  </si>
  <si>
    <t>Fixed distribution tariff drinking water 2025</t>
  </si>
  <si>
    <t>The tariff for water distribution by truck is the production price drinking water plus income level per m3 for water distribution by truck.</t>
  </si>
  <si>
    <t>The reconnection fee is set fixed at USD 40. Therefore, it is not indexed.</t>
  </si>
  <si>
    <t>Estimated percentage of water by truck 2025</t>
  </si>
  <si>
    <r>
      <t xml:space="preserve">The calculations are explained in the </t>
    </r>
    <r>
      <rPr>
        <i/>
        <sz val="10"/>
        <rFont val="Arial"/>
        <family val="2"/>
      </rPr>
      <t>Remarks</t>
    </r>
    <r>
      <rPr>
        <sz val="10"/>
        <rFont val="Arial"/>
        <family val="2"/>
      </rPr>
      <t xml:space="preserve"> column.</t>
    </r>
  </si>
  <si>
    <t>The variable distribution tariff drinking water is the production price drinking water plus corrections, divided by percentage billed water.</t>
  </si>
  <si>
    <t>The variable distribution tairff for electricity is the production price electricity plus corrections, divided by percentage billed electricity.</t>
  </si>
  <si>
    <t>The (monthly) fixed distribution tariff per category is income level per kVA per month, multiplied by the kVA of the connection.</t>
  </si>
  <si>
    <t>Cost base</t>
  </si>
  <si>
    <t>On this sheet the ACM splits costs per department in a fixed and variable part.</t>
  </si>
  <si>
    <r>
      <t xml:space="preserve">Variable costs per unit are costs multiplied by percentage variable, divided by </t>
    </r>
    <r>
      <rPr>
        <u/>
        <sz val="10"/>
        <rFont val="Arial"/>
        <family val="2"/>
      </rPr>
      <t>realized</t>
    </r>
    <r>
      <rPr>
        <sz val="10"/>
        <rFont val="Arial"/>
        <family val="2"/>
      </rPr>
      <t xml:space="preserve"> volume 2023. Fixed costs are costs multiplied by percentage fixed (= 1 - percentage variable). </t>
    </r>
  </si>
  <si>
    <t>2025 whole year</t>
  </si>
  <si>
    <t>January - June 2025</t>
  </si>
  <si>
    <t>Overview tariffs electricity 2025</t>
  </si>
  <si>
    <t>Overview tariffs drinking water 2025</t>
  </si>
  <si>
    <t>Variable distribution tariff water 2025</t>
  </si>
  <si>
    <t>Tariff for reconnection 2025</t>
  </si>
  <si>
    <t>New connection tariff 2025</t>
  </si>
  <si>
    <t>ACM splits cost of water distribution between distribution by line and by truck, using estimated percentage of water by truck as allocation key.</t>
  </si>
  <si>
    <t>ACM splits cost of water distribution between distribution by line and by truck, using realized percentage of water by truck as allocation key.</t>
  </si>
  <si>
    <t>Realized costs (after split water distribution)</t>
  </si>
  <si>
    <t>Split water distribution</t>
  </si>
  <si>
    <t>Tariff for new water connection 2025</t>
  </si>
  <si>
    <t>Tariff for road crossing, per meter 2025</t>
  </si>
  <si>
    <t>Tariff new electricity connection 3,2 and 7,7 kVA (incl. up to 25 meters) 2025</t>
  </si>
  <si>
    <t>Tariff for road crossing for 3,2 kVA connection, per meter 2025</t>
  </si>
  <si>
    <t>Tariff for road crossing for 7,7 kVA connection, per meter 2025</t>
  </si>
  <si>
    <t>Estimated volume electricity production 2025</t>
  </si>
  <si>
    <t>Production price excluding fuel</t>
  </si>
  <si>
    <t>Income level for electricity production 2025</t>
  </si>
  <si>
    <t>The production price for electricity, excluding fuel component, is equal to income level divided by estimated volume for electricity production.</t>
  </si>
  <si>
    <t xml:space="preserve">On this sheet the ACM calculates the production price and variable distribution tariff for electricity. </t>
  </si>
  <si>
    <t>Total estimated kVA of connections 2025</t>
  </si>
  <si>
    <t>Tariffs for connection activities</t>
  </si>
  <si>
    <t>Tariffs for connection activities 2024</t>
  </si>
  <si>
    <t>Tariffs for connection activities 2025</t>
  </si>
  <si>
    <r>
      <t xml:space="preserve">Income level is fixed costs plus variable costs multiplied by </t>
    </r>
    <r>
      <rPr>
        <u/>
        <sz val="10"/>
        <rFont val="Arial"/>
        <family val="2"/>
      </rPr>
      <t>estimated</t>
    </r>
    <r>
      <rPr>
        <sz val="10"/>
        <rFont val="Arial"/>
        <family val="2"/>
      </rPr>
      <t xml:space="preserve"> volume 2025.</t>
    </r>
  </si>
  <si>
    <t xml:space="preserve">The fuel component is fuel costs per kWh, given by: fuel price * fuel efficiency * share of production by fuel. </t>
  </si>
  <si>
    <t>Production price including fuel</t>
  </si>
  <si>
    <t xml:space="preserve">Production price electricty 2025 incl. fuel </t>
  </si>
  <si>
    <t>Production price electricity 2025 excl. fuel</t>
  </si>
  <si>
    <t>Electricity costs of water production</t>
  </si>
  <si>
    <t>Fixed tariffs are charged monthly, therefore annual fixed electricity costs equal the fixed tariff muliplied by 12.</t>
  </si>
  <si>
    <t>Production price including electricity costs</t>
  </si>
  <si>
    <t>Production price drinking water 2025 (excl. electricity costs)</t>
  </si>
  <si>
    <t>Production price drinking water 2025 (incl. electricity costs)</t>
  </si>
  <si>
    <t>Production price excluding electricity costs</t>
  </si>
  <si>
    <t>Variable electricity costs for water production per m3</t>
  </si>
  <si>
    <t>Estimated volume water distributed by truck 2025</t>
  </si>
  <si>
    <t>Income level for water truck delivery</t>
  </si>
  <si>
    <t>Estimated number of drinking water connections 2025</t>
  </si>
  <si>
    <t>Tariff for road crossing, per meter 2024</t>
  </si>
  <si>
    <t>Tariffs associated with connection activities in 2024</t>
  </si>
  <si>
    <t>Tariffs associated with connection activities in 2025</t>
  </si>
  <si>
    <t>January 2025</t>
  </si>
  <si>
    <t>Reconnection fee 2024</t>
  </si>
  <si>
    <t>Reconnection fee 2025</t>
  </si>
  <si>
    <t>Tariff for water distribution by truck 2025</t>
  </si>
  <si>
    <t>Not established in the tariff decision, ACM only establishes a production price including electricity costs. This is unlike the production price electricity because the fuel component for electricity can change monthly, but electricity tariffs for the water plant can not.</t>
  </si>
  <si>
    <t>Estimated share of water distribution in 2nd half of 2024</t>
  </si>
  <si>
    <t>Electricity for drinking water production in 2nd half of 2024</t>
  </si>
  <si>
    <t>Difference variable tariff per January 1st and per July 1st 2024</t>
  </si>
  <si>
    <t>Electricity costs for water production per m3</t>
  </si>
  <si>
    <t>The fixed distribution tariffs are based on income level for electricity distribution. Tarrifs for connection activities are last year's tariffs indexed for inflation.</t>
  </si>
  <si>
    <t>The production price is based on income level for electricity production. The variable distribution tariff electricity is based on the production price electricity.</t>
  </si>
  <si>
    <t>Fixed part of operational costs</t>
  </si>
  <si>
    <t>Fixed part of capital costs</t>
  </si>
  <si>
    <t>Fuel Invoice Delta Petroleum 20240727</t>
  </si>
  <si>
    <t>Electricity production 2023</t>
  </si>
  <si>
    <t>Electricity connections 2023</t>
  </si>
  <si>
    <t>Water production 2023</t>
  </si>
  <si>
    <t>Net losses electricity 2023</t>
  </si>
  <si>
    <t>Water connections 2023</t>
  </si>
  <si>
    <t>Net losses water 2023</t>
  </si>
  <si>
    <t>Electricity for water production 2023</t>
  </si>
  <si>
    <t>New water connnections 2023</t>
  </si>
  <si>
    <t>Net losses electricity 2025</t>
  </si>
  <si>
    <t>Net losses water 2025</t>
  </si>
  <si>
    <t>Projection kVA 2025</t>
  </si>
  <si>
    <t>E-mail sent by STUCO on September 2, 2024.</t>
  </si>
  <si>
    <t>Distributed water 2025, "2025 Distr of Water", cell N6.</t>
  </si>
  <si>
    <t>Estimated water production 2025, "2025 Prod of Water", cell O9.</t>
  </si>
  <si>
    <t>Estimated electricity production 2025, "Elec Meter readings Month(2025)", cell W59</t>
  </si>
  <si>
    <t>Estimated electricity production 2025, "Elec Meter readings Month(2025)", cell W44</t>
  </si>
  <si>
    <t>Water connections 2025, "2025 Connections", O5.</t>
  </si>
  <si>
    <t>Tarif model STUCO 2023, sheet "Tariffs drinking water", cell O69.</t>
  </si>
  <si>
    <t>Distributed water 2023, "2023 Distr of Water", cell N5</t>
  </si>
  <si>
    <t>Net losses electricity 2023, "8143 Elec usage 2023" cell O10; Net losses water 2023, "8144Water usage 2023 Correc", cell O18</t>
  </si>
  <si>
    <t>New water connections 2023, "2023 New Water Connections", cell N5</t>
  </si>
  <si>
    <t>RAB-model, sheet "Output"; row 51</t>
  </si>
  <si>
    <t>RAB-model, sheet "Output"; row 52</t>
  </si>
  <si>
    <t>Fuel model, sheet "Result", cell H12</t>
  </si>
  <si>
    <t>Fuel model, sheet "Result", cell H13</t>
  </si>
  <si>
    <t>Production by GTI</t>
  </si>
  <si>
    <t>Production excluding GTI</t>
  </si>
  <si>
    <t>Electricity production by GTI</t>
  </si>
  <si>
    <t>Cost of emergency production</t>
  </si>
  <si>
    <t>Solar park phase 3</t>
  </si>
  <si>
    <t>Total costs phase 3</t>
  </si>
  <si>
    <t>Subsidy EZK phase 3</t>
  </si>
  <si>
    <t>Contribution STUCO to phase 3</t>
  </si>
  <si>
    <t>Estimated date of capitalization</t>
  </si>
  <si>
    <t>Depreciation rate</t>
  </si>
  <si>
    <t>Annual depreciation</t>
  </si>
  <si>
    <t xml:space="preserve">Period in use </t>
  </si>
  <si>
    <t>Months</t>
  </si>
  <si>
    <t>Depreciation in 2025</t>
  </si>
  <si>
    <t>Estimated RAB value ultimo 2025</t>
  </si>
  <si>
    <t>Average RAB value 2025</t>
  </si>
  <si>
    <t>Average RAB value 2025, by ratio of months in use</t>
  </si>
  <si>
    <t>Addition to RAB phase 3</t>
  </si>
  <si>
    <t>Addtion to depreciation phase 3</t>
  </si>
  <si>
    <t>Additionals to fixed capital costs phase 3</t>
  </si>
  <si>
    <t>E-mail sent by STUCO on November 22 2023</t>
  </si>
  <si>
    <t>Estimated electricity production 2025, "Elec Meter readings Month(2025)", sum of I61:N61</t>
  </si>
  <si>
    <t>WACC 2023 - adjusted risk free rate</t>
  </si>
  <si>
    <t>Adjusted WACC 2023 - Electricity production</t>
  </si>
  <si>
    <t>Adjusted WACC 2023 - Electricity distribution</t>
  </si>
  <si>
    <t>Adujusted WACC 2023 - Water production and distribution</t>
  </si>
  <si>
    <t>ACM uses the adjusted WACC to correct for the risk free rate</t>
  </si>
  <si>
    <t>WACC correction 2023</t>
  </si>
  <si>
    <t>WACC correction 2025</t>
  </si>
  <si>
    <t>Last update input CBS: November 12, 2024.</t>
  </si>
  <si>
    <t>Data from tariff model 2023 with adjusted WACC</t>
  </si>
  <si>
    <t>Estimated fixed/variable costs from tariffs 2023, adjusted for WACC</t>
  </si>
  <si>
    <t>Fixed/variable costs after WACC correction</t>
  </si>
  <si>
    <t>WACC correction</t>
  </si>
  <si>
    <t>WACC correction for fixed costs 2023</t>
  </si>
  <si>
    <t>WACC correction for regular variable capital costs 2023 (excl. addition new water connections)</t>
  </si>
  <si>
    <t>WACC correction extra estimated variable costs 2023 for network growth per new water connection</t>
  </si>
  <si>
    <t>WACC correction for variable costs 2023  (excl. addition for network growth)</t>
  </si>
  <si>
    <t>Total WACC correction</t>
  </si>
  <si>
    <t>Estimated costs after WACC correction</t>
  </si>
  <si>
    <t>Income per kVA per month</t>
  </si>
  <si>
    <t>Production price electricity 2025 excl. fuel (rounded)</t>
  </si>
  <si>
    <t>Production price electricty 2025 incl. fuel (rounded)</t>
  </si>
  <si>
    <t>Production price drinking water 2025 (incl. electricity costs, rounded)</t>
  </si>
  <si>
    <t>Tariff for water distribution by truck 2025 (rounded)</t>
  </si>
  <si>
    <t>Variable distribution tariff 2025 drinking water (rounded)</t>
  </si>
  <si>
    <t>Rounded to four decimals.</t>
  </si>
  <si>
    <t>Rounded to three decimals.</t>
  </si>
  <si>
    <t>WACC electricity production 2024</t>
  </si>
  <si>
    <t>E-mail sent by STUCO on October 16 2024</t>
  </si>
  <si>
    <t>Estimated RAB value at time of capitalization</t>
  </si>
  <si>
    <t>14. STUCO Drinking Water Connections for 2023</t>
  </si>
  <si>
    <t>13. A detailed (monthly) overview of the net losses of elec WP 8143 (A) Electricity Usage Summary Revenue Analysis 2023 (EY 35 UA)</t>
  </si>
  <si>
    <t>17. An overview of the production of drinking Water in M3 in 2023</t>
  </si>
  <si>
    <t>18. An Overview of the distributed drinking Water per category in 2023 per month</t>
  </si>
  <si>
    <t>19. A detailed (monthly) overview of the net losses of water WP 8144 (A) Water Summary Revenue Analysis 2023 (EY 39 UA)</t>
  </si>
  <si>
    <t>20. STUCO Overview of the electricity used for the Production and Distribution of drinking water in 2023</t>
  </si>
  <si>
    <t>E-mail sent by STUCO on October 17, 2024.</t>
  </si>
  <si>
    <t>11. STUCO FUEL PURCHASES DELTA 7</t>
  </si>
  <si>
    <t>21. STUCO Electricity connections by KVA in projection 2025</t>
  </si>
  <si>
    <t>22. STUCO Overview of Production of Electricity per month in 2025 FINAL dd 16-Oct-2024</t>
  </si>
  <si>
    <t>27. STUCO Estimated Overview production Water in M3 in 2025 (4. B3 PRODUCTION STUCO production of Water in M3 for 2023)</t>
  </si>
  <si>
    <t>E-mail sent by STUCO on September 3, 2024.</t>
  </si>
  <si>
    <t>24. STUCO Estimation of Net Losses Electricity 2025 (WP 8143 (A) Electricity Usage Summary Revenue Analysis 2023 (EY E1))</t>
  </si>
  <si>
    <t>15. STUCO New Drinking Water Connections for 2023</t>
  </si>
  <si>
    <t>E-mail sent by STUCO on September 2, 2023.</t>
  </si>
  <si>
    <t>28. STUCO estimation of distributed Water M3 per category for 2025</t>
  </si>
  <si>
    <t>26. STUCO Estimation of Drinking Water Connections for 2025</t>
  </si>
  <si>
    <t>30. STUCO Estimation of Net Losses of drinking water in 2025 WP 8144 (A) Water Summ Rev Analysis UPDATED</t>
  </si>
  <si>
    <t>Electricity production 2023, "Elec Meter readings Month(2023)", cell W26; Electricity connections 2023, "2023", column O; Water production 2023, "2023 Prod of Water", cell O9; Water connections 2023, "2023 connections", row 5; Distributed water 2023, "2023 Distr of Water", N6</t>
  </si>
  <si>
    <t>10. STUCO Overview of Production of Electricity per month in 2024UPDATED</t>
  </si>
  <si>
    <t>E-mail sent by STUCO on October 6, 2024.</t>
  </si>
  <si>
    <t>Based on analysis by ACM on fixed/variable costs in the Caribbean Netherlands and as used in the 2024 decisions.</t>
  </si>
  <si>
    <t>Based on assumption by ACM on fixed/variable costs in the Caribbean Netherlands and as used in the 2024 decisions.</t>
  </si>
  <si>
    <t>Budget 2023</t>
  </si>
  <si>
    <t>02. STUCO BUDGET 2023 FINAL d.d. Feb 2 2023</t>
  </si>
  <si>
    <t xml:space="preserve">Budget 2023, page 18 </t>
  </si>
  <si>
    <t>Subsidy grant phase 3</t>
  </si>
  <si>
    <t>17. Subsidieverlening fase 3 van de zonneweide op Sint Eustatius</t>
  </si>
  <si>
    <t>Tariff model 2023 - updated WACC</t>
  </si>
  <si>
    <t>Tariff model 2023 - updated WACC, sheet "Fixed-variable costs", row 65.</t>
  </si>
  <si>
    <t>Tariff model 2023 - updated WACC, sheet "Fixed-variable costs", row 66.</t>
  </si>
  <si>
    <t>Tariff model 2023 - updated WACC, sheet "Fixed-variable costs", row 67-68.</t>
  </si>
  <si>
    <t>Tariff model 2023 - updated WACC, sheet "Fixed-variable costs", row 69.</t>
  </si>
  <si>
    <t>Electricity production 2023, sheet "Elec Meter readings Month(2023), cell W45</t>
  </si>
  <si>
    <t>ACM updated WACC 2023</t>
  </si>
  <si>
    <t>Fuel model, sheet "Data production"; sum of cells J15:U15</t>
  </si>
  <si>
    <t>Fuel model, sheet "Data production"; sum of cells J16:U16</t>
  </si>
  <si>
    <t>Net losses electricity 2025, "8143Elec usage 2025", cell O10; Net losses water 2025 cell O20</t>
  </si>
  <si>
    <t>Data from tariff decisions 2018</t>
  </si>
  <si>
    <r>
      <t>This data is sourced from underlying ACM models based on</t>
    </r>
    <r>
      <rPr>
        <i/>
        <sz val="10"/>
        <rFont val="Arial"/>
        <family val="2"/>
      </rPr>
      <t xml:space="preserve"> Financial information</t>
    </r>
    <r>
      <rPr>
        <sz val="10"/>
        <rFont val="Arial"/>
        <family val="2"/>
      </rPr>
      <t xml:space="preserve"> that ACM received from STUCO.</t>
    </r>
  </si>
  <si>
    <t>OPEX model, sheet "Assessment OPEX", row 256</t>
  </si>
  <si>
    <t>Capitalized construction interest 2024</t>
  </si>
  <si>
    <t>Tariff model 2024 , sheet "Result", cell H44</t>
  </si>
  <si>
    <t>Tariff model 2024 , sheet "Result", cell H45</t>
  </si>
  <si>
    <t>Tariff model 2024 , sheet "Result", cell H46</t>
  </si>
  <si>
    <t>ACM calculation lost subsidy income</t>
  </si>
  <si>
    <t>Berekening gederfde subsidies STUCO 2023</t>
  </si>
  <si>
    <t>Major occurrences in 2024 or 2025 are added to the cost base in the calculation of income level for 2025.</t>
  </si>
  <si>
    <t>Fixed/variable costs before WACC correction</t>
  </si>
  <si>
    <t>On this sheet the ACM calculates the fixed distribution tariffs and the tariffs for connection activities for electricity.</t>
  </si>
  <si>
    <t>Tariff calculation Electricity - variable</t>
  </si>
  <si>
    <t>Tariff calculation Electricity - fixed</t>
  </si>
  <si>
    <t>Tariff calculation drinking water - variable</t>
  </si>
  <si>
    <t>Tariff calculation drinking water - fixed</t>
  </si>
  <si>
    <t>On this sheet the ACM calculates the production price, variable distribution tariff and tariff for truck delivery of drinking water.</t>
  </si>
  <si>
    <t>Fixed electricity costs for water production</t>
  </si>
  <si>
    <t>On this sheet the ACM calculates the fixed distribution tariff and the tariffs for connection activities for drinking water</t>
  </si>
  <si>
    <t>USD, pl. 2025</t>
  </si>
  <si>
    <t>Income level for drinking water distribution 2025</t>
  </si>
  <si>
    <t>On this sheet ACM calculates the WACC correction 2023.</t>
  </si>
  <si>
    <t>In the WACC decision 2023-2025, ACM decided to include a yearly ex post recalculation of the risk free rate in the tariff decisions.</t>
  </si>
  <si>
    <t xml:space="preserve">The calculation is done by comparing the difference between estimated fixed and variable costs before adjusting the risk free rate with the estimated fixed and variable costs after adjusting the risk free rate. </t>
  </si>
  <si>
    <t>200,0</t>
  </si>
  <si>
    <t>ACM calculation lost subsidy income, sheet "Lost subsidy income 2023", Cell E94 and E107</t>
  </si>
  <si>
    <t>Additions to capital costs due to network growth</t>
  </si>
  <si>
    <t>Recalculated WACC 2023 - Electricity Production</t>
  </si>
  <si>
    <t>Recalculated WACC 2023 - Electricity Distribution</t>
  </si>
  <si>
    <t>Recalculated WACC 2023 - Water Production and Distribution</t>
  </si>
  <si>
    <t>Estimated fixed costs before WACC correction</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</si>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</sst>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_ ;_ * \-#,##0.000_ ;_ * &quot;-&quot;??_ ;_ @_ "/>
    <numFmt numFmtId="166" formatCode="_ * #,##0.0000_ ;_ * \-#,##0.0000_ ;_ * &quot;-&quot;??_ ;_ @_ "/>
    <numFmt numFmtId="167" formatCode="0.0%"/>
    <numFmt numFmtId="168" formatCode="_ * #,##0.0_ ;_ * \-#,##0.0_ ;_ * &quot;-&quot;??_ ;_ @_ "/>
    <numFmt numFmtId="169" formatCode="0.0"/>
    <numFmt numFmtId="170" formatCode="0.0000"/>
    <numFmt numFmtId="171" formatCode="_ * #,##0.00000_ ;_ * \-#,##0.00000_ ;_ * &quot;-&quot;??_ ;_ @_ "/>
    <numFmt numFmtId="172" formatCode="_ * #,##0.0_ ;_ * \-#,##0.0_ ;_ * &quot;-&quot;_ ;_ @_ "/>
    <numFmt numFmtId="173" formatCode="_ * #,##0.00_ ;_ * \-#,##0.00_ ;_ * &quot;-&quot;_ ;_ @_ "/>
    <numFmt numFmtId="174" formatCode="_ * #,##0.0000_ ;_ * \-#,##0.0000_ ;_ * &quot;-&quot;_ ;_ @_ "/>
    <numFmt numFmtId="175" formatCode="_ * #,##0.000_ ;_ * \-#,##0.000_ ;_ * &quot;-&quot;_ ;_ @_ "/>
    <numFmt numFmtId="176" formatCode="0.000"/>
  </numFmts>
  <fonts count="40"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rgb="FF00B0F0"/>
      <name val="Arial"/>
      <family val="2"/>
    </font>
    <font>
      <sz val="10"/>
      <color rgb="FF00B0F0"/>
      <name val="Arial"/>
      <family val="2"/>
    </font>
    <font>
      <sz val="8"/>
      <name val="Arial"/>
      <family val="2"/>
    </font>
    <font>
      <sz val="10"/>
      <color indexed="8"/>
      <name val="Arial"/>
      <family val="2"/>
    </font>
    <font>
      <i/>
      <sz val="10"/>
      <color rgb="FFFF0000"/>
      <name val="Arial"/>
      <family val="2"/>
    </font>
    <font>
      <sz val="9"/>
      <color indexed="81"/>
      <name val="Tahoma"/>
      <family val="2"/>
    </font>
    <font>
      <u/>
      <sz val="10"/>
      <name val="Arial"/>
      <family val="2"/>
    </font>
    <font>
      <b/>
      <sz val="10"/>
      <color indexed="8"/>
      <name val="Arial"/>
      <family val="2"/>
    </font>
    <font>
      <sz val="9"/>
      <name val="Arial"/>
      <family val="2"/>
    </font>
    <font>
      <b/>
      <sz val="9"/>
      <color theme="0"/>
      <name val="Arial"/>
      <family val="2"/>
    </font>
    <font>
      <b/>
      <sz val="9"/>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4">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7" borderId="1">
      <alignment vertical="top"/>
    </xf>
    <xf numFmtId="49" fontId="6" fillId="0" borderId="0">
      <alignment vertical="top"/>
    </xf>
    <xf numFmtId="41" fontId="5" fillId="10" borderId="0">
      <alignment vertical="top"/>
    </xf>
    <xf numFmtId="41" fontId="5" fillId="9" borderId="0">
      <alignment vertical="top"/>
    </xf>
    <xf numFmtId="41" fontId="5" fillId="8" borderId="0">
      <alignment vertical="top"/>
    </xf>
    <xf numFmtId="41" fontId="5" fillId="44" borderId="0">
      <alignment vertical="top"/>
    </xf>
    <xf numFmtId="41" fontId="5" fillId="7" borderId="0">
      <alignment vertical="top"/>
    </xf>
    <xf numFmtId="41" fontId="5" fillId="11" borderId="0">
      <alignment vertical="top"/>
    </xf>
    <xf numFmtId="49" fontId="10" fillId="0" borderId="0">
      <alignment vertical="top"/>
    </xf>
    <xf numFmtId="49" fontId="9" fillId="0" borderId="0">
      <alignment vertical="top"/>
    </xf>
    <xf numFmtId="0" fontId="15" fillId="13" borderId="8" applyNumberFormat="0" applyAlignment="0" applyProtection="0"/>
    <xf numFmtId="0" fontId="16" fillId="14" borderId="9" applyNumberFormat="0" applyAlignment="0" applyProtection="0"/>
    <xf numFmtId="0" fontId="17" fillId="14" borderId="8" applyNumberFormat="0" applyAlignment="0" applyProtection="0"/>
    <xf numFmtId="0" fontId="18" fillId="0" borderId="10" applyNumberFormat="0" applyFill="0" applyAlignment="0" applyProtection="0"/>
    <xf numFmtId="0" fontId="12" fillId="15" borderId="11" applyNumberFormat="0" applyAlignment="0" applyProtection="0"/>
    <xf numFmtId="0" fontId="14" fillId="16" borderId="12"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6" applyNumberFormat="0" applyFill="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7" fillId="41"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2" borderId="0" applyNumberFormat="0">
      <alignment vertical="top"/>
    </xf>
    <xf numFmtId="43" fontId="5" fillId="9" borderId="0" applyFont="0" applyFill="0" applyBorder="0" applyAlignment="0" applyProtection="0">
      <alignment vertical="top"/>
    </xf>
    <xf numFmtId="10" fontId="5" fillId="0" borderId="0" applyFont="0" applyFill="0" applyBorder="0" applyAlignment="0" applyProtection="0">
      <alignment vertical="top"/>
    </xf>
    <xf numFmtId="41" fontId="5" fillId="43" borderId="0">
      <alignment vertical="top"/>
    </xf>
    <xf numFmtId="0" fontId="14" fillId="0" borderId="0"/>
    <xf numFmtId="43" fontId="5" fillId="45" borderId="0">
      <alignment vertical="top"/>
    </xf>
    <xf numFmtId="43" fontId="5" fillId="9" borderId="0">
      <alignment vertical="top"/>
    </xf>
    <xf numFmtId="49" fontId="6" fillId="17" borderId="1">
      <alignment vertical="top"/>
    </xf>
    <xf numFmtId="43" fontId="5" fillId="10" borderId="0">
      <alignment vertical="top"/>
    </xf>
    <xf numFmtId="43" fontId="5" fillId="11" borderId="0">
      <alignment vertical="top"/>
    </xf>
    <xf numFmtId="43" fontId="5" fillId="8" borderId="0">
      <alignment vertical="top"/>
    </xf>
    <xf numFmtId="0" fontId="32" fillId="0" borderId="0">
      <alignment vertical="top"/>
    </xf>
  </cellStyleXfs>
  <cellXfs count="172">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7" borderId="1" xfId="6">
      <alignment vertical="top"/>
    </xf>
    <xf numFmtId="0" fontId="5" fillId="0" borderId="2" xfId="4" applyBorder="1" applyAlignment="1">
      <alignment horizontal="left" vertical="top" wrapText="1"/>
    </xf>
    <xf numFmtId="0" fontId="5" fillId="6" borderId="0" xfId="4" applyFill="1">
      <alignment vertical="top"/>
    </xf>
    <xf numFmtId="1" fontId="5" fillId="0" borderId="0" xfId="4" applyNumberFormat="1">
      <alignment vertical="top"/>
    </xf>
    <xf numFmtId="0" fontId="8" fillId="5" borderId="1" xfId="5" applyNumberFormat="1">
      <alignment vertical="top"/>
    </xf>
    <xf numFmtId="0" fontId="13" fillId="0" borderId="0" xfId="4" applyFont="1">
      <alignment vertical="top"/>
    </xf>
    <xf numFmtId="0" fontId="5" fillId="12" borderId="0" xfId="4" applyFill="1">
      <alignment vertical="top"/>
    </xf>
    <xf numFmtId="49" fontId="5" fillId="17" borderId="2" xfId="6" applyFont="1" applyBorder="1">
      <alignment vertical="top"/>
    </xf>
    <xf numFmtId="0" fontId="5" fillId="0" borderId="0" xfId="4" quotePrefix="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10" borderId="0" xfId="8">
      <alignment vertical="top"/>
    </xf>
    <xf numFmtId="9" fontId="5" fillId="0" borderId="0" xfId="4" applyNumberFormat="1">
      <alignment vertical="top"/>
    </xf>
    <xf numFmtId="41" fontId="5" fillId="8" borderId="0" xfId="10">
      <alignment vertical="top"/>
    </xf>
    <xf numFmtId="41" fontId="5" fillId="7" borderId="0" xfId="12">
      <alignment vertical="top"/>
    </xf>
    <xf numFmtId="41" fontId="5" fillId="44" borderId="0" xfId="11">
      <alignment vertical="top"/>
    </xf>
    <xf numFmtId="41" fontId="5" fillId="11" borderId="0" xfId="13">
      <alignment vertical="top"/>
    </xf>
    <xf numFmtId="41" fontId="5" fillId="9" borderId="0" xfId="9">
      <alignment vertical="top"/>
    </xf>
    <xf numFmtId="49" fontId="29" fillId="0" borderId="0" xfId="14" applyFont="1">
      <alignment vertical="top"/>
    </xf>
    <xf numFmtId="0" fontId="30" fillId="0" borderId="0" xfId="4" applyFont="1">
      <alignment vertical="top"/>
    </xf>
    <xf numFmtId="49" fontId="5" fillId="17" borderId="0" xfId="6" applyFont="1" applyBorder="1">
      <alignment vertical="top"/>
    </xf>
    <xf numFmtId="49" fontId="12" fillId="5" borderId="1" xfId="5" applyFont="1">
      <alignment vertical="top"/>
    </xf>
    <xf numFmtId="49" fontId="5" fillId="0" borderId="0" xfId="7" applyFont="1">
      <alignment vertical="top"/>
    </xf>
    <xf numFmtId="0" fontId="9" fillId="12" borderId="0" xfId="4" applyFont="1" applyFill="1">
      <alignment vertical="top"/>
    </xf>
    <xf numFmtId="0" fontId="14" fillId="0" borderId="0" xfId="66" applyAlignment="1">
      <alignment vertical="top"/>
    </xf>
    <xf numFmtId="43" fontId="5" fillId="9" borderId="0" xfId="68">
      <alignment vertical="top"/>
    </xf>
    <xf numFmtId="10" fontId="5" fillId="9" borderId="0" xfId="68" applyNumberFormat="1">
      <alignment vertical="top"/>
    </xf>
    <xf numFmtId="164" fontId="5" fillId="9" borderId="0" xfId="68" applyNumberFormat="1">
      <alignment vertical="top"/>
    </xf>
    <xf numFmtId="164" fontId="13" fillId="6" borderId="0" xfId="67" applyNumberFormat="1" applyFont="1" applyFill="1">
      <alignment vertical="top"/>
    </xf>
    <xf numFmtId="164" fontId="5" fillId="0" borderId="0" xfId="4" applyNumberFormat="1">
      <alignment vertical="top"/>
    </xf>
    <xf numFmtId="0" fontId="13" fillId="6" borderId="0" xfId="4" applyFont="1" applyFill="1">
      <alignment vertical="top"/>
    </xf>
    <xf numFmtId="0" fontId="5" fillId="42" borderId="0" xfId="62" applyNumberFormat="1">
      <alignment vertical="top"/>
    </xf>
    <xf numFmtId="9" fontId="5" fillId="9" borderId="0" xfId="68" applyNumberFormat="1">
      <alignment vertical="top"/>
    </xf>
    <xf numFmtId="165" fontId="5" fillId="9" borderId="0" xfId="67" applyNumberFormat="1" applyFill="1">
      <alignment vertical="top"/>
    </xf>
    <xf numFmtId="0" fontId="26" fillId="0" borderId="0" xfId="66" applyFont="1" applyAlignment="1">
      <alignment vertical="top"/>
    </xf>
    <xf numFmtId="0" fontId="13" fillId="6" borderId="0" xfId="4" applyFont="1" applyFill="1" applyAlignment="1">
      <alignment vertical="top" wrapText="1"/>
    </xf>
    <xf numFmtId="167" fontId="13" fillId="6" borderId="0" xfId="67" applyNumberFormat="1" applyFont="1" applyFill="1">
      <alignment vertical="top"/>
    </xf>
    <xf numFmtId="167" fontId="5" fillId="6" borderId="0" xfId="67" applyNumberFormat="1" applyFill="1">
      <alignment vertical="top"/>
    </xf>
    <xf numFmtId="49" fontId="10" fillId="17" borderId="1" xfId="6" applyFont="1">
      <alignment vertical="top"/>
    </xf>
    <xf numFmtId="0" fontId="13" fillId="42" borderId="0" xfId="62" applyNumberFormat="1" applyFont="1">
      <alignment vertical="top"/>
    </xf>
    <xf numFmtId="43" fontId="13" fillId="6" borderId="0" xfId="67" applyFont="1" applyFill="1">
      <alignment vertical="top"/>
    </xf>
    <xf numFmtId="43" fontId="5" fillId="6" borderId="0" xfId="67" applyFill="1">
      <alignment vertical="top"/>
    </xf>
    <xf numFmtId="43" fontId="13" fillId="0" borderId="0" xfId="4" applyNumberFormat="1" applyFont="1">
      <alignment vertical="top"/>
    </xf>
    <xf numFmtId="164" fontId="5" fillId="9" borderId="0" xfId="67" applyNumberFormat="1" applyFill="1">
      <alignment vertical="top"/>
    </xf>
    <xf numFmtId="0" fontId="6" fillId="42" borderId="0" xfId="62" applyNumberFormat="1" applyFont="1">
      <alignment vertical="top"/>
    </xf>
    <xf numFmtId="49" fontId="13" fillId="0" borderId="0" xfId="15" applyFont="1">
      <alignment vertical="top"/>
    </xf>
    <xf numFmtId="0" fontId="1" fillId="0" borderId="0" xfId="66" applyFont="1"/>
    <xf numFmtId="164" fontId="5" fillId="0" borderId="0" xfId="68" applyNumberFormat="1" applyFill="1">
      <alignment vertical="top"/>
    </xf>
    <xf numFmtId="49" fontId="20" fillId="0" borderId="2" xfId="61" applyBorder="1" applyAlignment="1">
      <alignment vertical="top"/>
    </xf>
    <xf numFmtId="164" fontId="5" fillId="42" borderId="0" xfId="62" applyNumberFormat="1">
      <alignment vertical="top"/>
    </xf>
    <xf numFmtId="164" fontId="13" fillId="42" borderId="0" xfId="62" applyNumberFormat="1" applyFont="1">
      <alignment vertical="top"/>
    </xf>
    <xf numFmtId="166" fontId="5" fillId="10" borderId="0" xfId="70" applyNumberFormat="1">
      <alignment vertical="top"/>
    </xf>
    <xf numFmtId="166" fontId="5" fillId="9" borderId="0" xfId="68" applyNumberFormat="1">
      <alignment vertical="top"/>
    </xf>
    <xf numFmtId="43" fontId="5" fillId="10" borderId="0" xfId="70">
      <alignment vertical="top"/>
    </xf>
    <xf numFmtId="169" fontId="5" fillId="0" borderId="0" xfId="4" quotePrefix="1" applyNumberFormat="1">
      <alignment vertical="top"/>
    </xf>
    <xf numFmtId="43" fontId="5" fillId="10" borderId="0" xfId="4" applyNumberFormat="1" applyFill="1">
      <alignment vertical="top"/>
    </xf>
    <xf numFmtId="43" fontId="5" fillId="42" borderId="0" xfId="62">
      <alignment vertical="top"/>
    </xf>
    <xf numFmtId="167" fontId="5" fillId="11" borderId="0" xfId="71" applyNumberFormat="1">
      <alignment vertical="top"/>
    </xf>
    <xf numFmtId="10" fontId="5" fillId="11" borderId="0" xfId="71" applyNumberFormat="1">
      <alignment vertical="top"/>
    </xf>
    <xf numFmtId="164" fontId="5" fillId="11" borderId="0" xfId="71" applyNumberFormat="1">
      <alignment vertical="top"/>
    </xf>
    <xf numFmtId="164" fontId="5" fillId="6" borderId="0" xfId="71" applyNumberFormat="1" applyFill="1">
      <alignment vertical="top"/>
    </xf>
    <xf numFmtId="164" fontId="5" fillId="9" borderId="0" xfId="71" applyNumberFormat="1" applyFill="1">
      <alignment vertical="top"/>
    </xf>
    <xf numFmtId="9" fontId="5" fillId="11" borderId="0" xfId="71" applyNumberFormat="1">
      <alignment vertical="top"/>
    </xf>
    <xf numFmtId="0" fontId="14" fillId="0" borderId="0" xfId="66"/>
    <xf numFmtId="171" fontId="14" fillId="0" borderId="0" xfId="66" applyNumberFormat="1"/>
    <xf numFmtId="43" fontId="5" fillId="11" borderId="0" xfId="71">
      <alignment vertical="top"/>
    </xf>
    <xf numFmtId="0" fontId="5" fillId="46" borderId="0" xfId="4" applyFill="1">
      <alignment vertical="top"/>
    </xf>
    <xf numFmtId="166" fontId="5" fillId="11" borderId="0" xfId="71" applyNumberFormat="1">
      <alignment vertical="top"/>
    </xf>
    <xf numFmtId="172" fontId="5" fillId="11" borderId="0" xfId="13" applyNumberFormat="1">
      <alignment vertical="top"/>
    </xf>
    <xf numFmtId="10" fontId="5" fillId="11" borderId="0" xfId="13" applyNumberFormat="1">
      <alignment vertical="top"/>
    </xf>
    <xf numFmtId="173" fontId="5" fillId="11" borderId="0" xfId="13" applyNumberFormat="1">
      <alignment vertical="top"/>
    </xf>
    <xf numFmtId="173" fontId="5" fillId="10" borderId="0" xfId="8" applyNumberFormat="1">
      <alignment vertical="top"/>
    </xf>
    <xf numFmtId="10" fontId="5" fillId="0" borderId="0" xfId="4" applyNumberFormat="1">
      <alignment vertical="top"/>
    </xf>
    <xf numFmtId="43" fontId="5" fillId="42" borderId="0" xfId="62" applyNumberFormat="1">
      <alignment vertical="top"/>
    </xf>
    <xf numFmtId="10" fontId="5" fillId="9" borderId="0" xfId="4" applyNumberFormat="1" applyFill="1">
      <alignment vertical="top"/>
    </xf>
    <xf numFmtId="49" fontId="5" fillId="0" borderId="0" xfId="15" applyFont="1">
      <alignment vertical="top"/>
    </xf>
    <xf numFmtId="49" fontId="5" fillId="42" borderId="0" xfId="62" applyNumberFormat="1">
      <alignment vertical="top"/>
    </xf>
    <xf numFmtId="49" fontId="6" fillId="0" borderId="0" xfId="4" applyNumberFormat="1" applyFont="1">
      <alignment vertical="top"/>
    </xf>
    <xf numFmtId="0" fontId="5" fillId="0" borderId="0" xfId="62" applyNumberFormat="1" applyFill="1">
      <alignment vertical="top"/>
    </xf>
    <xf numFmtId="166" fontId="5" fillId="9" borderId="0" xfId="4" applyNumberFormat="1" applyFill="1">
      <alignment vertical="top"/>
    </xf>
    <xf numFmtId="164" fontId="5" fillId="9" borderId="0" xfId="63" applyNumberFormat="1" applyFill="1">
      <alignment vertical="top"/>
    </xf>
    <xf numFmtId="49" fontId="6" fillId="0" borderId="0" xfId="15" applyFont="1">
      <alignment vertical="top"/>
    </xf>
    <xf numFmtId="10" fontId="5" fillId="9" borderId="0" xfId="64" applyFill="1">
      <alignment vertical="top"/>
    </xf>
    <xf numFmtId="173" fontId="5" fillId="9" borderId="0" xfId="9" applyNumberFormat="1">
      <alignment vertical="top"/>
    </xf>
    <xf numFmtId="0" fontId="5" fillId="0" borderId="0" xfId="4" applyFont="1">
      <alignment vertical="top"/>
    </xf>
    <xf numFmtId="41" fontId="5" fillId="42" borderId="0" xfId="62" applyNumberFormat="1">
      <alignment vertical="top"/>
    </xf>
    <xf numFmtId="174" fontId="5" fillId="9" borderId="0" xfId="9" applyNumberFormat="1">
      <alignment vertical="top"/>
    </xf>
    <xf numFmtId="174" fontId="5" fillId="11" borderId="0" xfId="13" applyNumberFormat="1">
      <alignment vertical="top"/>
    </xf>
    <xf numFmtId="174" fontId="5" fillId="10" borderId="0" xfId="8" applyNumberFormat="1">
      <alignment vertical="top"/>
    </xf>
    <xf numFmtId="49" fontId="20" fillId="0" borderId="0" xfId="61" applyAlignment="1">
      <alignment vertical="top"/>
    </xf>
    <xf numFmtId="166" fontId="5" fillId="10" borderId="0" xfId="4" applyNumberFormat="1" applyFill="1">
      <alignment vertical="top"/>
    </xf>
    <xf numFmtId="170" fontId="1" fillId="12" borderId="0" xfId="66" applyNumberFormat="1" applyFont="1" applyFill="1"/>
    <xf numFmtId="0" fontId="1" fillId="0" borderId="5" xfId="66" applyFont="1" applyBorder="1"/>
    <xf numFmtId="0" fontId="1" fillId="0" borderId="6" xfId="66" applyFont="1" applyBorder="1"/>
    <xf numFmtId="0" fontId="1" fillId="0" borderId="7" xfId="66" applyFont="1" applyBorder="1"/>
    <xf numFmtId="49" fontId="6" fillId="17" borderId="3" xfId="6" applyBorder="1">
      <alignment vertical="top"/>
    </xf>
    <xf numFmtId="49" fontId="6" fillId="17" borderId="4" xfId="6" applyBorder="1">
      <alignment vertical="top"/>
    </xf>
    <xf numFmtId="0" fontId="1" fillId="0" borderId="17" xfId="66" applyFont="1" applyBorder="1"/>
    <xf numFmtId="0" fontId="1" fillId="0" borderId="18" xfId="66" applyFont="1" applyBorder="1"/>
    <xf numFmtId="43" fontId="1" fillId="12" borderId="0" xfId="66" applyNumberFormat="1" applyFont="1" applyFill="1"/>
    <xf numFmtId="43" fontId="5" fillId="12" borderId="0" xfId="4" applyNumberFormat="1" applyFill="1">
      <alignment vertical="top"/>
    </xf>
    <xf numFmtId="0" fontId="5" fillId="0" borderId="18" xfId="4" applyBorder="1">
      <alignment vertical="top"/>
    </xf>
    <xf numFmtId="0" fontId="5" fillId="0" borderId="17" xfId="4" applyBorder="1">
      <alignment vertical="top"/>
    </xf>
    <xf numFmtId="0" fontId="1" fillId="0" borderId="19" xfId="66" applyFont="1" applyBorder="1"/>
    <xf numFmtId="0" fontId="5" fillId="0" borderId="20" xfId="4" applyBorder="1">
      <alignment vertical="top"/>
    </xf>
    <xf numFmtId="0" fontId="5" fillId="0" borderId="21" xfId="4" applyBorder="1">
      <alignment vertical="top"/>
    </xf>
    <xf numFmtId="0" fontId="5" fillId="0" borderId="6" xfId="4" applyBorder="1">
      <alignment vertical="top"/>
    </xf>
    <xf numFmtId="0" fontId="5" fillId="0" borderId="7" xfId="4" applyBorder="1">
      <alignment vertical="top"/>
    </xf>
    <xf numFmtId="10" fontId="5" fillId="12" borderId="0" xfId="4" applyNumberFormat="1" applyFill="1">
      <alignment vertical="top"/>
    </xf>
    <xf numFmtId="0" fontId="5" fillId="0" borderId="0" xfId="4" applyAlignment="1">
      <alignment horizontal="center" vertical="center"/>
    </xf>
    <xf numFmtId="0" fontId="6" fillId="0" borderId="0" xfId="4" applyFont="1" applyAlignment="1">
      <alignment horizontal="center" vertical="center" wrapText="1"/>
    </xf>
    <xf numFmtId="164" fontId="5" fillId="12" borderId="0" xfId="63" applyNumberFormat="1" applyFont="1" applyFill="1" applyBorder="1">
      <alignment vertical="top"/>
    </xf>
    <xf numFmtId="164" fontId="1" fillId="0" borderId="0" xfId="66" applyNumberFormat="1" applyFont="1"/>
    <xf numFmtId="165" fontId="5" fillId="12" borderId="0" xfId="63" applyNumberFormat="1" applyFont="1" applyFill="1" applyBorder="1">
      <alignment vertical="top"/>
    </xf>
    <xf numFmtId="0" fontId="26" fillId="0" borderId="0" xfId="66" applyFont="1"/>
    <xf numFmtId="166" fontId="5" fillId="12" borderId="0" xfId="63" applyNumberFormat="1" applyFont="1" applyFill="1" applyBorder="1">
      <alignment vertical="top"/>
    </xf>
    <xf numFmtId="166" fontId="5" fillId="0" borderId="0" xfId="63" applyNumberFormat="1" applyFont="1" applyFill="1" applyBorder="1">
      <alignment vertical="top"/>
    </xf>
    <xf numFmtId="10" fontId="5" fillId="12" borderId="0" xfId="64" applyFont="1" applyFill="1" applyBorder="1">
      <alignment vertical="top"/>
    </xf>
    <xf numFmtId="0" fontId="1" fillId="0" borderId="20" xfId="66" applyFont="1" applyBorder="1"/>
    <xf numFmtId="0" fontId="1" fillId="0" borderId="21" xfId="66" applyFont="1" applyBorder="1"/>
    <xf numFmtId="164" fontId="5" fillId="46" borderId="0" xfId="63" applyNumberFormat="1" applyFont="1" applyFill="1" applyBorder="1">
      <alignment vertical="top"/>
    </xf>
    <xf numFmtId="168" fontId="5" fillId="12" borderId="0" xfId="63" applyNumberFormat="1" applyFont="1" applyFill="1" applyBorder="1">
      <alignment vertical="top"/>
    </xf>
    <xf numFmtId="0" fontId="1" fillId="46" borderId="17" xfId="66" applyFont="1" applyFill="1" applyBorder="1"/>
    <xf numFmtId="168" fontId="5" fillId="46" borderId="0" xfId="63" applyNumberFormat="1" applyFont="1" applyFill="1" applyBorder="1">
      <alignment vertical="top"/>
    </xf>
    <xf numFmtId="0" fontId="1" fillId="46" borderId="0" xfId="66" applyFont="1" applyFill="1"/>
    <xf numFmtId="0" fontId="1" fillId="46" borderId="18" xfId="66" applyFont="1" applyFill="1" applyBorder="1"/>
    <xf numFmtId="43" fontId="5" fillId="12" borderId="0" xfId="63" applyNumberFormat="1" applyFont="1" applyFill="1" applyBorder="1">
      <alignment vertical="top"/>
    </xf>
    <xf numFmtId="10" fontId="5" fillId="44" borderId="0" xfId="11" applyNumberFormat="1">
      <alignment vertical="top"/>
    </xf>
    <xf numFmtId="9" fontId="5" fillId="44" borderId="0" xfId="11" applyNumberFormat="1">
      <alignment vertical="top"/>
    </xf>
    <xf numFmtId="173" fontId="5" fillId="44" borderId="0" xfId="11" applyNumberFormat="1">
      <alignment vertical="top"/>
    </xf>
    <xf numFmtId="174" fontId="5" fillId="44" borderId="0" xfId="11" applyNumberFormat="1">
      <alignment vertical="top"/>
    </xf>
    <xf numFmtId="41" fontId="5" fillId="44" borderId="0" xfId="11" applyNumberFormat="1">
      <alignment vertical="top"/>
    </xf>
    <xf numFmtId="49" fontId="33" fillId="0" borderId="0" xfId="15" applyFont="1">
      <alignment vertical="top"/>
    </xf>
    <xf numFmtId="0" fontId="1" fillId="0" borderId="0" xfId="4" applyFont="1">
      <alignment vertical="top"/>
    </xf>
    <xf numFmtId="173" fontId="5" fillId="8" borderId="0" xfId="10" applyNumberFormat="1">
      <alignment vertical="top"/>
    </xf>
    <xf numFmtId="0" fontId="32" fillId="0" borderId="0" xfId="73">
      <alignment vertical="top"/>
    </xf>
    <xf numFmtId="9" fontId="5" fillId="8" borderId="0" xfId="10" applyNumberFormat="1">
      <alignment vertical="top"/>
    </xf>
    <xf numFmtId="0" fontId="36" fillId="0" borderId="0" xfId="73" applyFont="1">
      <alignment vertical="top"/>
    </xf>
    <xf numFmtId="9" fontId="5" fillId="9" borderId="0" xfId="64" applyNumberFormat="1" applyFill="1">
      <alignment vertical="top"/>
    </xf>
    <xf numFmtId="9" fontId="5" fillId="9" borderId="0" xfId="9" applyNumberFormat="1">
      <alignment vertical="top"/>
    </xf>
    <xf numFmtId="175" fontId="5" fillId="11" borderId="0" xfId="13" applyNumberFormat="1">
      <alignment vertical="top"/>
    </xf>
    <xf numFmtId="175" fontId="5" fillId="9" borderId="0" xfId="9" applyNumberFormat="1">
      <alignment vertical="top"/>
    </xf>
    <xf numFmtId="14" fontId="5" fillId="44" borderId="0" xfId="11" applyNumberFormat="1">
      <alignment vertical="top"/>
    </xf>
    <xf numFmtId="10" fontId="5" fillId="44" borderId="0" xfId="64" applyFill="1">
      <alignment vertical="top"/>
    </xf>
    <xf numFmtId="41" fontId="5" fillId="9" borderId="0" xfId="9" applyNumberFormat="1">
      <alignment vertical="top"/>
    </xf>
    <xf numFmtId="173" fontId="5" fillId="42" borderId="0" xfId="62" applyNumberFormat="1">
      <alignment vertical="top"/>
    </xf>
    <xf numFmtId="41" fontId="5" fillId="0" borderId="0" xfId="4" applyNumberFormat="1">
      <alignment vertical="top"/>
    </xf>
    <xf numFmtId="2" fontId="5" fillId="10" borderId="0" xfId="4" applyNumberFormat="1" applyFill="1">
      <alignment vertical="top"/>
    </xf>
    <xf numFmtId="165" fontId="5" fillId="10" borderId="0" xfId="70" applyNumberFormat="1">
      <alignment vertical="top"/>
    </xf>
    <xf numFmtId="175" fontId="5" fillId="10" borderId="0" xfId="8" applyNumberFormat="1">
      <alignment vertical="top"/>
    </xf>
    <xf numFmtId="176" fontId="1" fillId="12" borderId="0" xfId="66" applyNumberFormat="1" applyFont="1" applyFill="1"/>
    <xf numFmtId="165" fontId="5" fillId="12" borderId="0" xfId="4" applyNumberFormat="1" applyFill="1">
      <alignment vertical="top"/>
    </xf>
    <xf numFmtId="0" fontId="1" fillId="0" borderId="2" xfId="4" applyFont="1" applyBorder="1">
      <alignment vertical="top"/>
    </xf>
    <xf numFmtId="0" fontId="5" fillId="0" borderId="2" xfId="4" applyFont="1" applyBorder="1">
      <alignment vertical="top"/>
    </xf>
    <xf numFmtId="176" fontId="5" fillId="10" borderId="0" xfId="4" applyNumberFormat="1" applyFill="1">
      <alignment vertical="top"/>
    </xf>
    <xf numFmtId="41" fontId="5" fillId="11" borderId="0" xfId="13" applyNumberFormat="1">
      <alignment vertical="top"/>
    </xf>
    <xf numFmtId="176" fontId="5" fillId="9" borderId="0" xfId="9" applyNumberFormat="1">
      <alignment vertical="top"/>
    </xf>
    <xf numFmtId="0" fontId="37" fillId="0" borderId="0" xfId="4" applyFont="1">
      <alignment vertical="top"/>
    </xf>
    <xf numFmtId="0" fontId="38" fillId="5" borderId="1" xfId="5" applyNumberFormat="1" applyFont="1">
      <alignment vertical="top"/>
    </xf>
    <xf numFmtId="49" fontId="39" fillId="0" borderId="0" xfId="7" applyFont="1">
      <alignment vertical="top"/>
    </xf>
    <xf numFmtId="0" fontId="5" fillId="0" borderId="0" xfId="4" applyAlignment="1">
      <alignment horizontal="left" vertical="top" wrapText="1"/>
    </xf>
    <xf numFmtId="0" fontId="7" fillId="0" borderId="0" xfId="4" applyFont="1" applyAlignment="1">
      <alignment horizontal="left" vertical="top" wrapText="1"/>
    </xf>
  </cellXfs>
  <cellStyles count="74">
    <cellStyle name="_kop1 Bladtitel" xfId="5" xr:uid="{00000000-0005-0000-0000-000000000000}"/>
    <cellStyle name="_kop2 Bloktitel" xfId="6" xr:uid="{00000000-0005-0000-0000-000001000000}"/>
    <cellStyle name="_kop2 Bloktitel 2" xfId="69" xr:uid="{C2CF9DFB-67CE-432D-A44A-58DF709AB70D}"/>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E0A95D49-8B2C-45C8-B1FA-2B4C69C4FF02}"/>
    <cellStyle name="Cel Berekening" xfId="9" xr:uid="{00000000-0005-0000-0000-00001D000000}"/>
    <cellStyle name="Cel Berekening 2" xfId="68" xr:uid="{E8D6279D-181C-414F-83DA-34F868260BBF}"/>
    <cellStyle name="Cel Bijzonderheid" xfId="10" xr:uid="{00000000-0005-0000-0000-00001E000000}"/>
    <cellStyle name="Cel Bijzonderheid 2" xfId="72" xr:uid="{A4CA7F2A-3248-4CD2-9BC3-8BE650255680}"/>
    <cellStyle name="Cel Dataverzoek" xfId="65" xr:uid="{00000000-0005-0000-0000-00001F000000}"/>
    <cellStyle name="Cel Input" xfId="11" xr:uid="{00000000-0005-0000-0000-000020000000}"/>
    <cellStyle name="Cel Input 2" xfId="67" xr:uid="{BAD5CA1F-8FF7-44D1-8A92-C93D93D2C5B2}"/>
    <cellStyle name="Cel n.v.t. (leeg)" xfId="62" xr:uid="{00000000-0005-0000-0000-000021000000}"/>
    <cellStyle name="Cel PM extern" xfId="12" xr:uid="{00000000-0005-0000-0000-000022000000}"/>
    <cellStyle name="Cel Verwijzing" xfId="13" xr:uid="{00000000-0005-0000-0000-000023000000}"/>
    <cellStyle name="Cel Verwijzing 2" xfId="71" xr:uid="{F9DC1D35-3E39-4B82-B03F-783C38245E56}"/>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rmal 2" xfId="73" xr:uid="{D5AD7B37-1534-4E04-86A9-B17A535F403E}"/>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2" xfId="66" xr:uid="{0B7B1EE6-8892-4792-AD00-1F8E9DAC9B9E}"/>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cm.nl/nl/publicaties/beschikking-variabel-tarief-elektriciteit-1-juli-2024-st-eustatius-caribisch-nederland" TargetMode="External"/><Relationship Id="rId3" Type="http://schemas.openxmlformats.org/officeDocument/2006/relationships/hyperlink" Target="https://www.acm.nl/nl/publicaties/wacc-elektriciteit-en-drinkwater-caribisch-nederland-2023-2025" TargetMode="External"/><Relationship Id="rId7" Type="http://schemas.openxmlformats.org/officeDocument/2006/relationships/hyperlink" Target="https://www.acm.nl/nl/publicaties/beschikking-productieprijs-elektriciteit-2024-sint-eustatius-stuco" TargetMode="External"/><Relationship Id="rId2" Type="http://schemas.openxmlformats.org/officeDocument/2006/relationships/hyperlink" Target="https://wetten.overheid.nl/BWBR0030649/2011-11-18" TargetMode="External"/><Relationship Id="rId1" Type="http://schemas.openxmlformats.org/officeDocument/2006/relationships/hyperlink" Target="https://opendata.cbs.nl/statline/" TargetMode="External"/><Relationship Id="rId6" Type="http://schemas.openxmlformats.org/officeDocument/2006/relationships/hyperlink" Target="https://www.acm.nl/nl/publicaties/rekenmodel-bij-beschikking-productieprijs-en-distributietarieven-elektriciteit-en-drinkwater-2018-stuco-caribisch-nederland" TargetMode="External"/><Relationship Id="rId5" Type="http://schemas.openxmlformats.org/officeDocument/2006/relationships/hyperlink" Target="https://www.acm.nl/nl/publicaties/beschikking-variabel-tarief-elektriciteit-1-juli-2023-st-eustatius" TargetMode="External"/><Relationship Id="rId4" Type="http://schemas.openxmlformats.org/officeDocument/2006/relationships/hyperlink" Target="https://www.acm.nl/nl/publicaties/methodebesluit-elektriciteit-en-drinkwater-caribisch-nederland-2020-2025"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E43"/>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44.5703125" style="2" customWidth="1"/>
    <col min="3" max="3" width="91.85546875" style="2" customWidth="1"/>
    <col min="4" max="16384" width="9.140625" style="2"/>
  </cols>
  <sheetData>
    <row r="2" spans="2:5" s="7" customFormat="1" ht="18" x14ac:dyDescent="0.2">
      <c r="B2" s="7" t="s">
        <v>41</v>
      </c>
    </row>
    <row r="6" spans="2:5" x14ac:dyDescent="0.2">
      <c r="B6" s="3"/>
    </row>
    <row r="13" spans="2:5" s="8" customFormat="1" x14ac:dyDescent="0.2">
      <c r="B13" s="8" t="s">
        <v>3</v>
      </c>
    </row>
    <row r="15" spans="2:5" x14ac:dyDescent="0.2">
      <c r="B15" s="9" t="s">
        <v>4</v>
      </c>
      <c r="C15" s="9" t="s">
        <v>289</v>
      </c>
      <c r="E15" s="18"/>
    </row>
    <row r="16" spans="2:5" x14ac:dyDescent="0.2">
      <c r="B16" s="9" t="s">
        <v>5</v>
      </c>
      <c r="C16" s="9" t="s">
        <v>290</v>
      </c>
    </row>
    <row r="17" spans="2:3" x14ac:dyDescent="0.2">
      <c r="B17" s="9" t="s">
        <v>6</v>
      </c>
      <c r="C17" s="9"/>
    </row>
    <row r="18" spans="2:3" ht="51" x14ac:dyDescent="0.2">
      <c r="B18" s="9" t="s">
        <v>42</v>
      </c>
      <c r="C18" s="9" t="s">
        <v>291</v>
      </c>
    </row>
    <row r="19" spans="2:3" ht="51" x14ac:dyDescent="0.2">
      <c r="B19" s="9" t="s">
        <v>43</v>
      </c>
      <c r="C19" s="9" t="s">
        <v>513</v>
      </c>
    </row>
    <row r="20" spans="2:3" x14ac:dyDescent="0.2">
      <c r="B20" s="9" t="s">
        <v>56</v>
      </c>
      <c r="C20" s="9" t="s">
        <v>288</v>
      </c>
    </row>
    <row r="21" spans="2:3" x14ac:dyDescent="0.2">
      <c r="B21" s="9" t="s">
        <v>7</v>
      </c>
      <c r="C21" s="9"/>
    </row>
    <row r="23" spans="2:3" x14ac:dyDescent="0.2">
      <c r="B23" s="20" t="s">
        <v>62</v>
      </c>
    </row>
    <row r="25" spans="2:3" s="8" customFormat="1" x14ac:dyDescent="0.2">
      <c r="B25" s="8" t="s">
        <v>8</v>
      </c>
    </row>
    <row r="27" spans="2:3" x14ac:dyDescent="0.2">
      <c r="B27" s="9" t="s">
        <v>9</v>
      </c>
      <c r="C27" s="9" t="s">
        <v>799</v>
      </c>
    </row>
    <row r="28" spans="2:3" x14ac:dyDescent="0.2">
      <c r="B28" s="9" t="s">
        <v>60</v>
      </c>
      <c r="C28" s="9" t="s">
        <v>799</v>
      </c>
    </row>
    <row r="29" spans="2:3" ht="25.5" x14ac:dyDescent="0.2">
      <c r="B29" s="9" t="s">
        <v>10</v>
      </c>
      <c r="C29" s="9" t="s">
        <v>799</v>
      </c>
    </row>
    <row r="30" spans="2:3" ht="25.5" x14ac:dyDescent="0.2">
      <c r="B30" s="9" t="s">
        <v>61</v>
      </c>
      <c r="C30" s="9" t="s">
        <v>206</v>
      </c>
    </row>
    <row r="31" spans="2:3" x14ac:dyDescent="0.2">
      <c r="B31" s="9" t="s">
        <v>7</v>
      </c>
      <c r="C31" s="9"/>
    </row>
    <row r="33" spans="2:4" x14ac:dyDescent="0.2">
      <c r="B33" s="170" t="s">
        <v>44</v>
      </c>
      <c r="C33" s="171"/>
      <c r="D33" s="5"/>
    </row>
    <row r="34" spans="2:4" x14ac:dyDescent="0.2">
      <c r="B34" s="17"/>
      <c r="C34" s="17"/>
      <c r="D34" s="5"/>
    </row>
    <row r="36" spans="2:4" s="8" customFormat="1" x14ac:dyDescent="0.2">
      <c r="B36" s="8" t="s">
        <v>0</v>
      </c>
    </row>
    <row r="38" spans="2:4" x14ac:dyDescent="0.2">
      <c r="B38" s="2" t="s">
        <v>45</v>
      </c>
    </row>
    <row r="41" spans="2:4" x14ac:dyDescent="0.2">
      <c r="B41" s="4" t="s">
        <v>63</v>
      </c>
    </row>
    <row r="43" spans="2:4" x14ac:dyDescent="0.2">
      <c r="C43" s="28"/>
    </row>
  </sheetData>
  <mergeCells count="1">
    <mergeCell ref="B33:C33"/>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03142-3A0B-42C6-BD9C-88B52044011D}">
  <sheetPr>
    <tabColor rgb="FFE1FFE1"/>
  </sheetPr>
  <dimension ref="B2:V73"/>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43.7109375" style="2" customWidth="1"/>
    <col min="19" max="19" width="2.7109375" style="2" customWidth="1"/>
    <col min="20" max="20" width="13.7109375" style="2" customWidth="1"/>
    <col min="21" max="21" width="2.7109375" style="2" customWidth="1"/>
    <col min="22" max="36" width="13.7109375" style="2" customWidth="1"/>
    <col min="37" max="16384" width="9.140625" style="2"/>
  </cols>
  <sheetData>
    <row r="2" spans="2:22" s="12" customFormat="1" ht="18" x14ac:dyDescent="0.2">
      <c r="B2" s="12" t="s">
        <v>443</v>
      </c>
    </row>
    <row r="4" spans="2:22" x14ac:dyDescent="0.2">
      <c r="B4" s="1" t="s">
        <v>81</v>
      </c>
      <c r="C4" s="1"/>
      <c r="D4" s="1"/>
    </row>
    <row r="5" spans="2:22" x14ac:dyDescent="0.2">
      <c r="B5" s="2" t="s">
        <v>442</v>
      </c>
      <c r="C5" s="3"/>
      <c r="D5" s="3"/>
      <c r="H5" s="13"/>
    </row>
    <row r="6" spans="2:22" x14ac:dyDescent="0.2">
      <c r="B6" s="2" t="s">
        <v>769</v>
      </c>
      <c r="C6" s="3"/>
      <c r="D6" s="3"/>
      <c r="H6" s="13"/>
    </row>
    <row r="7" spans="2:22" x14ac:dyDescent="0.2">
      <c r="B7" s="2" t="s">
        <v>777</v>
      </c>
      <c r="C7" s="3"/>
      <c r="D7" s="3"/>
      <c r="H7" s="13"/>
    </row>
    <row r="8" spans="2:22" x14ac:dyDescent="0.2">
      <c r="C8" s="3"/>
      <c r="D8" s="3"/>
      <c r="H8" s="13"/>
    </row>
    <row r="10" spans="2:22" s="8" customFormat="1" x14ac:dyDescent="0.2">
      <c r="B10" s="8" t="s">
        <v>82</v>
      </c>
      <c r="F10" s="8" t="s">
        <v>83</v>
      </c>
      <c r="H10" s="8" t="s">
        <v>84</v>
      </c>
      <c r="J10" s="8" t="s">
        <v>85</v>
      </c>
      <c r="L10" s="8" t="s">
        <v>69</v>
      </c>
      <c r="M10" s="8" t="s">
        <v>70</v>
      </c>
      <c r="N10" s="8" t="s">
        <v>71</v>
      </c>
      <c r="O10" s="8" t="s">
        <v>72</v>
      </c>
      <c r="P10" s="8" t="s">
        <v>73</v>
      </c>
      <c r="R10" s="8" t="s">
        <v>40</v>
      </c>
      <c r="T10" s="8" t="s">
        <v>39</v>
      </c>
    </row>
    <row r="13" spans="2:22" s="8" customFormat="1" x14ac:dyDescent="0.2">
      <c r="B13" s="8" t="s">
        <v>439</v>
      </c>
    </row>
    <row r="15" spans="2:22" x14ac:dyDescent="0.2">
      <c r="B15" s="91" t="s">
        <v>86</v>
      </c>
    </row>
    <row r="16" spans="2:22" x14ac:dyDescent="0.2">
      <c r="B16" s="2" t="s">
        <v>335</v>
      </c>
      <c r="F16" s="2" t="s">
        <v>109</v>
      </c>
      <c r="J16" s="37">
        <f>SUM(L16:P16)</f>
        <v>4569771</v>
      </c>
      <c r="L16" s="139">
        <v>1809291.5249999999</v>
      </c>
      <c r="M16" s="139">
        <v>1448608.9750000001</v>
      </c>
      <c r="N16" s="139">
        <v>648424.25</v>
      </c>
      <c r="O16" s="139">
        <v>663446.25</v>
      </c>
      <c r="P16" s="38"/>
      <c r="Q16" s="13"/>
      <c r="R16" s="143" t="s">
        <v>87</v>
      </c>
      <c r="S16" s="143"/>
      <c r="T16" s="143"/>
      <c r="U16" s="143"/>
      <c r="V16" s="143"/>
    </row>
    <row r="17" spans="2:22" x14ac:dyDescent="0.2">
      <c r="B17" s="2" t="s">
        <v>336</v>
      </c>
      <c r="F17" s="2" t="s">
        <v>109</v>
      </c>
      <c r="J17" s="37">
        <f>SUM(L17:P17)</f>
        <v>185632</v>
      </c>
      <c r="L17" s="139">
        <v>0</v>
      </c>
      <c r="M17" s="139">
        <v>161766</v>
      </c>
      <c r="N17" s="139">
        <v>0</v>
      </c>
      <c r="O17" s="139">
        <v>23866</v>
      </c>
      <c r="P17" s="38"/>
      <c r="Q17" s="13"/>
      <c r="R17" s="143" t="s">
        <v>88</v>
      </c>
      <c r="S17" s="143"/>
      <c r="T17" s="143"/>
      <c r="U17" s="143"/>
      <c r="V17" s="143"/>
    </row>
    <row r="18" spans="2:22" x14ac:dyDescent="0.2">
      <c r="Q18" s="13"/>
      <c r="R18" s="143"/>
      <c r="S18" s="143"/>
      <c r="T18" s="143"/>
      <c r="U18" s="143"/>
      <c r="V18" s="143"/>
    </row>
    <row r="19" spans="2:22" x14ac:dyDescent="0.2">
      <c r="B19" s="2" t="s">
        <v>337</v>
      </c>
      <c r="F19" s="2" t="s">
        <v>109</v>
      </c>
      <c r="J19" s="37">
        <f>SUM(L19:P19)</f>
        <v>4569771</v>
      </c>
      <c r="L19" s="139">
        <v>1809291.5249999999</v>
      </c>
      <c r="M19" s="139">
        <v>1448608.9750000001</v>
      </c>
      <c r="N19" s="139">
        <v>648424.25</v>
      </c>
      <c r="O19" s="139">
        <v>663446.25</v>
      </c>
      <c r="P19" s="38"/>
      <c r="Q19" s="13"/>
      <c r="R19" s="143" t="s">
        <v>224</v>
      </c>
      <c r="S19" s="143"/>
      <c r="T19" s="143"/>
      <c r="U19" s="143"/>
      <c r="V19" s="143"/>
    </row>
    <row r="20" spans="2:22" x14ac:dyDescent="0.2">
      <c r="B20" s="2" t="s">
        <v>338</v>
      </c>
      <c r="F20" s="2" t="s">
        <v>109</v>
      </c>
      <c r="J20" s="37">
        <f>SUM(L20:P20)</f>
        <v>185632</v>
      </c>
      <c r="L20" s="139">
        <v>0</v>
      </c>
      <c r="M20" s="139">
        <v>161766</v>
      </c>
      <c r="N20" s="139">
        <v>0</v>
      </c>
      <c r="O20" s="139">
        <v>23866</v>
      </c>
      <c r="P20" s="38"/>
      <c r="Q20" s="13"/>
      <c r="R20" s="143" t="s">
        <v>225</v>
      </c>
      <c r="S20" s="143"/>
      <c r="T20" s="143"/>
      <c r="U20" s="143"/>
      <c r="V20" s="143"/>
    </row>
    <row r="21" spans="2:22" x14ac:dyDescent="0.2">
      <c r="Q21" s="13"/>
      <c r="R21" s="143"/>
      <c r="S21" s="143"/>
      <c r="T21" s="143"/>
      <c r="U21" s="143"/>
      <c r="V21" s="143"/>
    </row>
    <row r="22" spans="2:22" x14ac:dyDescent="0.2">
      <c r="B22" s="91" t="s">
        <v>89</v>
      </c>
      <c r="J22" s="39"/>
      <c r="K22" s="39"/>
      <c r="L22" s="39"/>
      <c r="M22" s="39"/>
      <c r="N22" s="39"/>
      <c r="O22" s="39"/>
      <c r="P22" s="39"/>
      <c r="Q22" s="13"/>
      <c r="R22" s="143"/>
      <c r="S22" s="143"/>
      <c r="T22" s="143"/>
      <c r="U22" s="143"/>
      <c r="V22" s="143"/>
    </row>
    <row r="23" spans="2:22" x14ac:dyDescent="0.2">
      <c r="B23" s="2" t="s">
        <v>339</v>
      </c>
      <c r="F23" s="2" t="s">
        <v>90</v>
      </c>
      <c r="J23" s="37">
        <f>SUM(L23:P23)</f>
        <v>9781763.0934432726</v>
      </c>
      <c r="L23" s="139">
        <v>3133067.5893631591</v>
      </c>
      <c r="M23" s="139">
        <v>2103900.4805621775</v>
      </c>
      <c r="N23" s="139">
        <v>1316546.0730826384</v>
      </c>
      <c r="O23" s="139">
        <v>3226221.553020949</v>
      </c>
      <c r="P23" s="139">
        <v>2027.3974143497608</v>
      </c>
      <c r="Q23" s="13"/>
      <c r="R23" s="143" t="s">
        <v>675</v>
      </c>
      <c r="S23" s="143"/>
      <c r="T23" s="143" t="s">
        <v>91</v>
      </c>
      <c r="U23" s="143"/>
      <c r="V23" s="143"/>
    </row>
    <row r="24" spans="2:22" x14ac:dyDescent="0.2">
      <c r="B24" s="2" t="s">
        <v>340</v>
      </c>
      <c r="F24" s="2" t="s">
        <v>90</v>
      </c>
      <c r="J24" s="37">
        <f>SUM(L24:P24)</f>
        <v>962017.02892966114</v>
      </c>
      <c r="L24" s="139">
        <v>388402.20761383319</v>
      </c>
      <c r="M24" s="139">
        <v>225711.24242000727</v>
      </c>
      <c r="N24" s="139">
        <v>127230.91732758385</v>
      </c>
      <c r="O24" s="139">
        <v>220288.35036130657</v>
      </c>
      <c r="P24" s="139">
        <v>384.31120693018482</v>
      </c>
      <c r="Q24" s="13"/>
      <c r="R24" s="143" t="s">
        <v>676</v>
      </c>
      <c r="S24" s="143"/>
      <c r="T24" s="143" t="s">
        <v>92</v>
      </c>
      <c r="U24" s="143"/>
      <c r="V24" s="143"/>
    </row>
    <row r="25" spans="2:22" x14ac:dyDescent="0.2">
      <c r="R25" s="143"/>
      <c r="S25" s="143"/>
      <c r="T25" s="143"/>
      <c r="U25" s="143"/>
      <c r="V25" s="143"/>
    </row>
    <row r="26" spans="2:22" x14ac:dyDescent="0.2">
      <c r="B26" s="1" t="s">
        <v>208</v>
      </c>
      <c r="R26" s="143"/>
      <c r="S26" s="143"/>
      <c r="T26" s="143"/>
      <c r="U26" s="143"/>
      <c r="V26" s="143"/>
    </row>
    <row r="27" spans="2:22" x14ac:dyDescent="0.2">
      <c r="B27" s="2" t="s">
        <v>411</v>
      </c>
      <c r="F27" s="2" t="s">
        <v>74</v>
      </c>
      <c r="L27" s="138">
        <v>0.19410125059831115</v>
      </c>
      <c r="M27" s="138">
        <v>0.27580884597893079</v>
      </c>
      <c r="N27" s="138">
        <v>0.12889013723645187</v>
      </c>
      <c r="O27" s="138">
        <v>0.30232576550308171</v>
      </c>
      <c r="P27" s="138">
        <v>0.30232576550308171</v>
      </c>
      <c r="R27" s="2" t="s">
        <v>549</v>
      </c>
      <c r="T27" s="2" t="s">
        <v>751</v>
      </c>
    </row>
    <row r="28" spans="2:22" x14ac:dyDescent="0.2">
      <c r="B28" s="94" t="s">
        <v>651</v>
      </c>
      <c r="F28" s="2" t="s">
        <v>74</v>
      </c>
      <c r="L28" s="148">
        <f>1-L27</f>
        <v>0.80589874940168882</v>
      </c>
      <c r="M28" s="148">
        <f t="shared" ref="M28:P28" si="0">1-M27</f>
        <v>0.72419115402106926</v>
      </c>
      <c r="N28" s="148">
        <f t="shared" si="0"/>
        <v>0.87110986276354807</v>
      </c>
      <c r="O28" s="148">
        <f t="shared" si="0"/>
        <v>0.69767423449691823</v>
      </c>
      <c r="P28" s="148">
        <f t="shared" si="0"/>
        <v>0.69767423449691823</v>
      </c>
    </row>
    <row r="29" spans="2:22" x14ac:dyDescent="0.2">
      <c r="B29" s="2" t="s">
        <v>80</v>
      </c>
      <c r="F29" s="2" t="s">
        <v>74</v>
      </c>
      <c r="L29" s="138">
        <v>0</v>
      </c>
      <c r="M29" s="138">
        <v>0.5</v>
      </c>
      <c r="N29" s="138">
        <v>0</v>
      </c>
      <c r="O29" s="146">
        <v>0</v>
      </c>
      <c r="P29" s="138">
        <v>0.5</v>
      </c>
      <c r="R29" s="2" t="s">
        <v>550</v>
      </c>
      <c r="T29" s="2" t="s">
        <v>752</v>
      </c>
    </row>
    <row r="30" spans="2:22" x14ac:dyDescent="0.2">
      <c r="B30" s="2" t="s">
        <v>652</v>
      </c>
      <c r="F30" s="2" t="s">
        <v>74</v>
      </c>
      <c r="L30" s="149">
        <f>1-L29</f>
        <v>1</v>
      </c>
      <c r="M30" s="149">
        <f t="shared" ref="M30:P30" si="1">1-M29</f>
        <v>0.5</v>
      </c>
      <c r="N30" s="149">
        <f t="shared" si="1"/>
        <v>1</v>
      </c>
      <c r="O30" s="149">
        <f t="shared" si="1"/>
        <v>1</v>
      </c>
      <c r="P30" s="149">
        <f t="shared" si="1"/>
        <v>0.5</v>
      </c>
    </row>
    <row r="32" spans="2:22" s="8" customFormat="1" x14ac:dyDescent="0.2">
      <c r="B32" s="8" t="s">
        <v>440</v>
      </c>
    </row>
    <row r="34" spans="2:18" x14ac:dyDescent="0.2">
      <c r="B34" s="1" t="s">
        <v>681</v>
      </c>
    </row>
    <row r="35" spans="2:18" x14ac:dyDescent="0.2">
      <c r="B35" s="2" t="s">
        <v>682</v>
      </c>
      <c r="F35" s="2" t="s">
        <v>90</v>
      </c>
      <c r="L35" s="25">
        <v>326432</v>
      </c>
      <c r="M35" s="41"/>
      <c r="N35" s="41"/>
      <c r="O35" s="41"/>
      <c r="P35" s="41"/>
      <c r="R35" s="2" t="s">
        <v>770</v>
      </c>
    </row>
    <row r="37" spans="2:18" x14ac:dyDescent="0.2">
      <c r="B37" s="1" t="s">
        <v>794</v>
      </c>
    </row>
    <row r="38" spans="2:18" x14ac:dyDescent="0.2">
      <c r="B38" s="2" t="s">
        <v>211</v>
      </c>
      <c r="F38" s="2" t="s">
        <v>116</v>
      </c>
      <c r="L38" s="41"/>
      <c r="M38" s="41"/>
      <c r="N38" s="41"/>
      <c r="O38" s="26">
        <f>'Data ACM'!O65</f>
        <v>518</v>
      </c>
      <c r="P38" s="41"/>
    </row>
    <row r="39" spans="2:18" x14ac:dyDescent="0.2">
      <c r="B39" s="2" t="s">
        <v>212</v>
      </c>
      <c r="F39" s="2" t="s">
        <v>90</v>
      </c>
      <c r="L39" s="41"/>
      <c r="M39" s="41"/>
      <c r="N39" s="41"/>
      <c r="O39" s="26">
        <f>'Data ACM'!O66</f>
        <v>307847</v>
      </c>
      <c r="P39" s="41"/>
    </row>
    <row r="40" spans="2:18" x14ac:dyDescent="0.2">
      <c r="B40" s="2" t="s">
        <v>213</v>
      </c>
      <c r="F40" s="2" t="s">
        <v>90</v>
      </c>
      <c r="L40" s="41"/>
      <c r="M40" s="41"/>
      <c r="N40" s="41"/>
      <c r="O40" s="26">
        <f>'Data ACM'!O67</f>
        <v>24424</v>
      </c>
      <c r="P40" s="41"/>
    </row>
    <row r="41" spans="2:18" x14ac:dyDescent="0.2">
      <c r="B41" s="2" t="s">
        <v>401</v>
      </c>
      <c r="F41" s="2" t="s">
        <v>116</v>
      </c>
      <c r="L41" s="41"/>
      <c r="M41" s="41"/>
      <c r="N41" s="41"/>
      <c r="O41" s="26">
        <f>'Historical data'!O15</f>
        <v>1113.5</v>
      </c>
      <c r="P41" s="41"/>
    </row>
    <row r="42" spans="2:18" x14ac:dyDescent="0.2">
      <c r="B42" s="2" t="s">
        <v>402</v>
      </c>
      <c r="F42" s="2" t="s">
        <v>90</v>
      </c>
      <c r="L42" s="41"/>
      <c r="M42" s="41"/>
      <c r="N42" s="41"/>
      <c r="O42" s="165">
        <f>'Financial data'!O23</f>
        <v>3226221.553020949</v>
      </c>
      <c r="P42" s="41"/>
    </row>
    <row r="43" spans="2:18" x14ac:dyDescent="0.2">
      <c r="B43" s="2" t="s">
        <v>403</v>
      </c>
      <c r="F43" s="2" t="s">
        <v>90</v>
      </c>
      <c r="L43" s="41"/>
      <c r="M43" s="41"/>
      <c r="N43" s="41"/>
      <c r="O43" s="165">
        <f>'Financial data'!O24</f>
        <v>220288.35036130657</v>
      </c>
      <c r="P43" s="41"/>
    </row>
    <row r="44" spans="2:18" x14ac:dyDescent="0.2">
      <c r="B44" s="2" t="s">
        <v>447</v>
      </c>
      <c r="F44" s="2" t="s">
        <v>437</v>
      </c>
      <c r="L44" s="41"/>
      <c r="M44" s="41"/>
      <c r="N44" s="41"/>
      <c r="O44" s="154">
        <f>(O42-O39)/(O41-O38)</f>
        <v>4900.7129353836253</v>
      </c>
      <c r="P44" s="41"/>
    </row>
    <row r="45" spans="2:18" x14ac:dyDescent="0.2">
      <c r="B45" s="2" t="s">
        <v>446</v>
      </c>
      <c r="F45" s="2" t="s">
        <v>437</v>
      </c>
      <c r="L45" s="41"/>
      <c r="M45" s="41"/>
      <c r="N45" s="41"/>
      <c r="O45" s="154">
        <f>(O43-O40)/(O41-O38)</f>
        <v>328.90738935567856</v>
      </c>
      <c r="P45" s="41"/>
    </row>
    <row r="47" spans="2:18" x14ac:dyDescent="0.2">
      <c r="B47" s="1" t="s">
        <v>683</v>
      </c>
    </row>
    <row r="48" spans="2:18" x14ac:dyDescent="0.2">
      <c r="B48" s="2" t="s">
        <v>684</v>
      </c>
      <c r="F48" s="2" t="s">
        <v>90</v>
      </c>
      <c r="L48" s="25">
        <v>10910300</v>
      </c>
      <c r="M48" s="41"/>
      <c r="N48" s="41"/>
      <c r="O48" s="41"/>
      <c r="P48" s="41"/>
      <c r="R48" s="2" t="s">
        <v>755</v>
      </c>
    </row>
    <row r="49" spans="2:18" x14ac:dyDescent="0.2">
      <c r="B49" s="2" t="s">
        <v>685</v>
      </c>
      <c r="F49" s="2" t="s">
        <v>90</v>
      </c>
      <c r="L49" s="25">
        <v>10100000</v>
      </c>
      <c r="M49" s="41"/>
      <c r="N49" s="41"/>
      <c r="O49" s="41"/>
      <c r="P49" s="41"/>
      <c r="R49" s="2" t="s">
        <v>756</v>
      </c>
    </row>
    <row r="50" spans="2:18" x14ac:dyDescent="0.2">
      <c r="B50" s="2" t="s">
        <v>686</v>
      </c>
      <c r="F50" s="2" t="s">
        <v>90</v>
      </c>
      <c r="L50" s="27">
        <f>L48-L49</f>
        <v>810300</v>
      </c>
      <c r="M50" s="41"/>
      <c r="N50" s="41"/>
      <c r="O50" s="41"/>
      <c r="P50" s="41"/>
    </row>
    <row r="51" spans="2:18" x14ac:dyDescent="0.2">
      <c r="B51" s="2" t="s">
        <v>727</v>
      </c>
      <c r="F51" s="2" t="s">
        <v>74</v>
      </c>
      <c r="L51" s="153">
        <v>6.4600000000000005E-2</v>
      </c>
      <c r="M51" s="41"/>
      <c r="N51" s="41"/>
      <c r="O51" s="41"/>
      <c r="P51" s="41"/>
      <c r="R51" s="2" t="s">
        <v>77</v>
      </c>
    </row>
    <row r="52" spans="2:18" x14ac:dyDescent="0.2">
      <c r="B52" s="2" t="s">
        <v>771</v>
      </c>
      <c r="F52" s="2" t="s">
        <v>90</v>
      </c>
      <c r="L52" s="27">
        <f>L50*L51</f>
        <v>52345.380000000005</v>
      </c>
      <c r="M52" s="41"/>
      <c r="N52" s="41"/>
      <c r="O52" s="41"/>
      <c r="P52" s="41"/>
    </row>
    <row r="53" spans="2:18" x14ac:dyDescent="0.2">
      <c r="B53" s="2" t="s">
        <v>729</v>
      </c>
      <c r="F53" s="2" t="s">
        <v>90</v>
      </c>
      <c r="L53" s="27">
        <f>L50+L52</f>
        <v>862645.38</v>
      </c>
      <c r="M53" s="41"/>
      <c r="N53" s="41"/>
      <c r="O53" s="41"/>
      <c r="P53" s="41"/>
    </row>
    <row r="54" spans="2:18" x14ac:dyDescent="0.2">
      <c r="B54" s="2" t="s">
        <v>687</v>
      </c>
      <c r="L54" s="152">
        <v>45688</v>
      </c>
      <c r="M54" s="41"/>
      <c r="N54" s="41"/>
      <c r="O54" s="41"/>
      <c r="P54" s="41"/>
      <c r="R54" s="2" t="s">
        <v>728</v>
      </c>
    </row>
    <row r="55" spans="2:18" x14ac:dyDescent="0.2">
      <c r="B55" s="2" t="s">
        <v>688</v>
      </c>
      <c r="F55" s="2" t="s">
        <v>74</v>
      </c>
      <c r="L55" s="153">
        <v>7.0000000000000007E-2</v>
      </c>
      <c r="M55" s="41"/>
      <c r="N55" s="41"/>
      <c r="O55" s="41"/>
      <c r="P55" s="41"/>
      <c r="R55" s="2" t="s">
        <v>699</v>
      </c>
    </row>
    <row r="56" spans="2:18" x14ac:dyDescent="0.2">
      <c r="B56" s="2" t="s">
        <v>689</v>
      </c>
      <c r="F56" s="2" t="s">
        <v>90</v>
      </c>
      <c r="L56" s="27">
        <f>L53*L55</f>
        <v>60385.176600000006</v>
      </c>
      <c r="M56" s="41"/>
      <c r="N56" s="41"/>
      <c r="O56" s="41"/>
      <c r="P56" s="41"/>
    </row>
    <row r="57" spans="2:18" x14ac:dyDescent="0.2">
      <c r="B57" s="2" t="s">
        <v>692</v>
      </c>
      <c r="F57" s="2" t="s">
        <v>90</v>
      </c>
      <c r="L57" s="27">
        <f>((DATE(2026,1,1)-L54)/365.25)*L56</f>
        <v>55384.077100616021</v>
      </c>
      <c r="M57" s="41"/>
      <c r="N57" s="41"/>
      <c r="O57" s="41"/>
      <c r="P57" s="41"/>
    </row>
    <row r="58" spans="2:18" x14ac:dyDescent="0.2">
      <c r="B58" s="2" t="s">
        <v>693</v>
      </c>
      <c r="F58" s="2" t="s">
        <v>90</v>
      </c>
      <c r="L58" s="27">
        <f>L53-L57</f>
        <v>807261.30289938394</v>
      </c>
      <c r="M58" s="41"/>
      <c r="N58" s="41"/>
      <c r="O58" s="41"/>
      <c r="P58" s="41"/>
    </row>
    <row r="59" spans="2:18" x14ac:dyDescent="0.2">
      <c r="B59" s="2" t="s">
        <v>694</v>
      </c>
      <c r="F59" s="2" t="s">
        <v>90</v>
      </c>
      <c r="L59" s="154">
        <f>AVERAGE(L53,L58)</f>
        <v>834953.34144969191</v>
      </c>
      <c r="M59" s="41"/>
      <c r="N59" s="41"/>
      <c r="O59" s="41"/>
      <c r="P59" s="41"/>
    </row>
    <row r="60" spans="2:18" x14ac:dyDescent="0.2">
      <c r="B60" s="2" t="s">
        <v>690</v>
      </c>
      <c r="F60" s="2" t="s">
        <v>691</v>
      </c>
      <c r="L60" s="93">
        <f>((DATE(2026,1,1)-L54)/365.25)*12</f>
        <v>11.006160164271048</v>
      </c>
      <c r="M60" s="41"/>
      <c r="N60" s="41"/>
      <c r="O60" s="41"/>
      <c r="P60" s="41"/>
    </row>
    <row r="61" spans="2:18" x14ac:dyDescent="0.2">
      <c r="B61" s="2" t="s">
        <v>695</v>
      </c>
      <c r="F61" s="2" t="s">
        <v>90</v>
      </c>
      <c r="L61" s="27">
        <f>L59*L60/12</f>
        <v>765802.51714071678</v>
      </c>
      <c r="M61" s="41"/>
      <c r="N61" s="41"/>
      <c r="O61" s="41"/>
      <c r="P61" s="41"/>
    </row>
    <row r="73" spans="2:2" x14ac:dyDescent="0.2">
      <c r="B73" s="4" t="s">
        <v>63</v>
      </c>
    </row>
  </sheetData>
  <phoneticPr fontId="31" type="noConversion"/>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4"/>
  </cols>
  <sheetData>
    <row r="2" spans="2:2" x14ac:dyDescent="0.2">
      <c r="B2" s="33" t="s">
        <v>135</v>
      </c>
    </row>
    <row r="3" spans="2:2" x14ac:dyDescent="0.2">
      <c r="B3" s="3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C1CC-6907-46F5-B644-88E933494E51}">
  <sheetPr>
    <tabColor rgb="FFFFFFCC"/>
  </sheetPr>
  <dimension ref="A2:R47"/>
  <sheetViews>
    <sheetView showGridLines="0" zoomScale="85" zoomScaleNormal="85" workbookViewId="0">
      <pane xSplit="6" ySplit="10" topLeftCell="G11" activePane="bottomRight" state="frozen"/>
      <selection activeCell="L52" sqref="L52"/>
      <selection pane="topRight" activeCell="L52" sqref="L52"/>
      <selection pane="bottomLeft" activeCell="L52" sqref="L52"/>
      <selection pane="bottomRight" activeCell="G11" sqref="G11"/>
    </sheetView>
  </sheetViews>
  <sheetFormatPr defaultColWidth="9.140625" defaultRowHeight="12.75" x14ac:dyDescent="0.2"/>
  <cols>
    <col min="1" max="1" width="4.5703125" style="2" customWidth="1"/>
    <col min="2" max="2" width="41.425781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1:18" s="12" customFormat="1" ht="18" x14ac:dyDescent="0.2">
      <c r="B2" s="12" t="s">
        <v>706</v>
      </c>
    </row>
    <row r="4" spans="1:18" x14ac:dyDescent="0.2">
      <c r="B4" s="19" t="s">
        <v>81</v>
      </c>
      <c r="C4" s="1"/>
      <c r="D4" s="1"/>
    </row>
    <row r="5" spans="1:18" x14ac:dyDescent="0.2">
      <c r="B5" s="2" t="s">
        <v>789</v>
      </c>
      <c r="C5" s="3"/>
      <c r="D5" s="3"/>
      <c r="H5" s="13"/>
    </row>
    <row r="6" spans="1:18" x14ac:dyDescent="0.2">
      <c r="B6" s="2" t="s">
        <v>790</v>
      </c>
      <c r="C6" s="3"/>
      <c r="D6" s="3"/>
      <c r="H6" s="13"/>
    </row>
    <row r="7" spans="1:18" x14ac:dyDescent="0.2">
      <c r="B7" s="2" t="s">
        <v>791</v>
      </c>
      <c r="C7" s="3"/>
      <c r="D7" s="3"/>
      <c r="H7" s="13"/>
    </row>
    <row r="8" spans="1:18" x14ac:dyDescent="0.2">
      <c r="C8" s="3"/>
      <c r="D8" s="3"/>
    </row>
    <row r="9" spans="1:18" s="8" customFormat="1" ht="12.75" customHeight="1" x14ac:dyDescent="0.2">
      <c r="B9" s="8" t="s">
        <v>82</v>
      </c>
      <c r="F9" s="8" t="s">
        <v>83</v>
      </c>
      <c r="H9" s="8" t="s">
        <v>37</v>
      </c>
      <c r="J9" s="8" t="s">
        <v>38</v>
      </c>
      <c r="L9" s="8" t="s">
        <v>171</v>
      </c>
      <c r="M9" s="8" t="s">
        <v>70</v>
      </c>
      <c r="N9" s="8" t="s">
        <v>71</v>
      </c>
      <c r="O9" s="8" t="s">
        <v>72</v>
      </c>
      <c r="P9" s="8" t="s">
        <v>73</v>
      </c>
      <c r="R9" s="8" t="s">
        <v>39</v>
      </c>
    </row>
    <row r="12" spans="1:18" s="8" customFormat="1" x14ac:dyDescent="0.2">
      <c r="B12" s="8" t="s">
        <v>178</v>
      </c>
    </row>
    <row r="14" spans="1:18" x14ac:dyDescent="0.2">
      <c r="B14" s="1" t="s">
        <v>174</v>
      </c>
    </row>
    <row r="15" spans="1:18" s="20" customFormat="1" x14ac:dyDescent="0.2">
      <c r="A15" s="2"/>
      <c r="B15" s="20" t="s">
        <v>36</v>
      </c>
      <c r="F15" s="20" t="s">
        <v>94</v>
      </c>
      <c r="L15" s="20" t="s">
        <v>95</v>
      </c>
      <c r="M15" s="20" t="s">
        <v>96</v>
      </c>
      <c r="N15" s="20" t="s">
        <v>97</v>
      </c>
      <c r="O15" s="20" t="s">
        <v>98</v>
      </c>
      <c r="P15" s="20" t="s">
        <v>97</v>
      </c>
    </row>
    <row r="16" spans="1:18" s="20" customFormat="1" x14ac:dyDescent="0.2">
      <c r="A16" s="2"/>
      <c r="B16" s="2" t="s">
        <v>306</v>
      </c>
      <c r="C16" s="2"/>
      <c r="D16" s="2"/>
      <c r="E16" s="2"/>
      <c r="F16" s="20" t="s">
        <v>94</v>
      </c>
      <c r="L16" s="86"/>
      <c r="M16" s="86"/>
      <c r="N16" s="86"/>
      <c r="O16" s="26">
        <f>'Data ACM'!O34</f>
        <v>896.33333333333337</v>
      </c>
      <c r="P16" s="86"/>
    </row>
    <row r="17" spans="2:16" x14ac:dyDescent="0.2">
      <c r="B17" s="2" t="s">
        <v>343</v>
      </c>
      <c r="F17" s="20" t="s">
        <v>94</v>
      </c>
      <c r="J17" s="20"/>
      <c r="L17" s="69">
        <f>'Historical data'!L17</f>
        <v>15605964.800000001</v>
      </c>
      <c r="M17" s="69">
        <f>'Historical data'!M15</f>
        <v>18667.055804667601</v>
      </c>
      <c r="N17" s="69">
        <f>'Historical data'!N15</f>
        <v>193569</v>
      </c>
      <c r="O17" s="69">
        <f>'Historical data'!O15</f>
        <v>1113.5</v>
      </c>
      <c r="P17" s="69">
        <f>'Historical data'!P15</f>
        <v>1047.55</v>
      </c>
    </row>
    <row r="18" spans="2:16" x14ac:dyDescent="0.2">
      <c r="J18" s="20"/>
      <c r="M18"/>
      <c r="O18"/>
      <c r="P18"/>
    </row>
    <row r="19" spans="2:16" x14ac:dyDescent="0.2">
      <c r="B19" s="1" t="s">
        <v>778</v>
      </c>
      <c r="J19" s="20"/>
      <c r="M19"/>
      <c r="O19"/>
      <c r="P19"/>
    </row>
    <row r="20" spans="2:16" x14ac:dyDescent="0.2">
      <c r="B20" s="2" t="s">
        <v>308</v>
      </c>
      <c r="F20" s="2" t="s">
        <v>109</v>
      </c>
      <c r="J20" s="27">
        <f>SUM(L20:P20)</f>
        <v>3690424.3590884125</v>
      </c>
      <c r="L20" s="26">
        <f>'Data ACM'!L26</f>
        <v>1796243.7489777827</v>
      </c>
      <c r="M20" s="26">
        <f>'Data ACM'!M26</f>
        <v>629736.31116378494</v>
      </c>
      <c r="N20" s="26">
        <f>'Data ACM'!N26</f>
        <v>600036.07999590272</v>
      </c>
      <c r="O20" s="26">
        <f>'Data ACM'!O26</f>
        <v>652287.77947984054</v>
      </c>
      <c r="P20" s="26">
        <f>'Data ACM'!P26</f>
        <v>12120.439471101487</v>
      </c>
    </row>
    <row r="21" spans="2:16" x14ac:dyDescent="0.2">
      <c r="B21" s="2" t="s">
        <v>309</v>
      </c>
      <c r="F21" s="2" t="s">
        <v>109</v>
      </c>
      <c r="L21" s="95"/>
      <c r="M21" s="95"/>
      <c r="N21" s="95"/>
      <c r="O21" s="26">
        <f>'Data ACM'!O27</f>
        <v>176762.79285649688</v>
      </c>
      <c r="P21" s="95"/>
    </row>
    <row r="22" spans="2:16" x14ac:dyDescent="0.2">
      <c r="B22" s="2" t="s">
        <v>310</v>
      </c>
      <c r="F22" s="2" t="s">
        <v>311</v>
      </c>
      <c r="L22" s="97">
        <f>'Data ACM'!L28</f>
        <v>1.8215079898781135E-2</v>
      </c>
      <c r="M22" s="26">
        <f>'Data ACM'!M28</f>
        <v>23.011302852721723</v>
      </c>
      <c r="N22" s="97">
        <f>'Data ACM'!N28</f>
        <v>0.33152570820476024</v>
      </c>
      <c r="O22" s="26">
        <f>'Data ACM'!O28</f>
        <v>269.21298955077162</v>
      </c>
      <c r="P22" s="26">
        <f>'Data ACM'!P28</f>
        <v>4.306207207023462</v>
      </c>
    </row>
    <row r="23" spans="2:16" x14ac:dyDescent="0.2">
      <c r="B23" s="2" t="s">
        <v>312</v>
      </c>
      <c r="F23" s="2" t="s">
        <v>311</v>
      </c>
      <c r="L23" s="95"/>
      <c r="M23" s="95"/>
      <c r="N23" s="95"/>
      <c r="O23" s="26">
        <f>'Data ACM'!O29</f>
        <v>803.39896111205792</v>
      </c>
      <c r="P23" s="95"/>
    </row>
    <row r="25" spans="2:16" x14ac:dyDescent="0.2">
      <c r="B25" s="1" t="s">
        <v>711</v>
      </c>
    </row>
    <row r="26" spans="2:16" x14ac:dyDescent="0.2">
      <c r="B26" s="2" t="s">
        <v>308</v>
      </c>
      <c r="F26" s="2" t="s">
        <v>109</v>
      </c>
      <c r="J26" s="27">
        <f>SUM(L26:P26)</f>
        <v>3807636.2582193571</v>
      </c>
      <c r="L26" s="26">
        <f>'Data ACM'!L18</f>
        <v>1849946.1200570287</v>
      </c>
      <c r="M26" s="26">
        <f>'Data ACM'!M18</f>
        <v>642890.50295600458</v>
      </c>
      <c r="N26" s="26">
        <f>'Data ACM'!N18</f>
        <v>625054.13411037088</v>
      </c>
      <c r="O26" s="26">
        <f>'Data ACM'!O18</f>
        <v>677186.40136779915</v>
      </c>
      <c r="P26" s="26">
        <f>'Data ACM'!P18</f>
        <v>12559.099728153375</v>
      </c>
    </row>
    <row r="27" spans="2:16" x14ac:dyDescent="0.2">
      <c r="B27" s="2" t="s">
        <v>309</v>
      </c>
      <c r="F27" s="2" t="s">
        <v>109</v>
      </c>
      <c r="L27" s="95"/>
      <c r="M27" s="95"/>
      <c r="N27" s="95"/>
      <c r="O27" s="26">
        <f>'Data ACM'!O19</f>
        <v>201661.41474445545</v>
      </c>
      <c r="P27" s="95"/>
    </row>
    <row r="28" spans="2:16" x14ac:dyDescent="0.2">
      <c r="B28" s="2" t="s">
        <v>310</v>
      </c>
      <c r="F28" s="2" t="s">
        <v>311</v>
      </c>
      <c r="L28" s="97">
        <f>'Data ACM'!L20</f>
        <v>1.8215079898781135E-2</v>
      </c>
      <c r="M28" s="26">
        <f>'Data ACM'!M20</f>
        <v>23.746121151643816</v>
      </c>
      <c r="N28" s="97">
        <f>'Data ACM'!N20</f>
        <v>0.33152570820476024</v>
      </c>
      <c r="O28" s="26">
        <f>'Data ACM'!O20</f>
        <v>269.21298955077162</v>
      </c>
      <c r="P28" s="26">
        <f>'Data ACM'!P20</f>
        <v>4.5522447060710176</v>
      </c>
    </row>
    <row r="29" spans="2:16" x14ac:dyDescent="0.2">
      <c r="B29" s="2" t="s">
        <v>312</v>
      </c>
      <c r="F29" s="2" t="s">
        <v>311</v>
      </c>
      <c r="L29" s="95"/>
      <c r="M29" s="95"/>
      <c r="N29" s="95"/>
      <c r="O29" s="26">
        <f>'Data ACM'!O21</f>
        <v>919.07661101705776</v>
      </c>
      <c r="P29" s="95"/>
    </row>
    <row r="31" spans="2:16" s="8" customFormat="1" x14ac:dyDescent="0.2">
      <c r="B31" s="8" t="s">
        <v>23</v>
      </c>
    </row>
    <row r="33" spans="2:16" x14ac:dyDescent="0.2">
      <c r="B33" s="1" t="s">
        <v>712</v>
      </c>
    </row>
    <row r="34" spans="2:16" x14ac:dyDescent="0.2">
      <c r="B34" s="2" t="s">
        <v>713</v>
      </c>
      <c r="F34" s="2" t="s">
        <v>109</v>
      </c>
      <c r="L34" s="27">
        <f>L26-L20</f>
        <v>53702.371079246048</v>
      </c>
      <c r="M34" s="27">
        <f t="shared" ref="M34:P34" si="0">M26-M20</f>
        <v>13154.191792219644</v>
      </c>
      <c r="N34" s="27">
        <f t="shared" si="0"/>
        <v>25018.054114468163</v>
      </c>
      <c r="O34" s="27">
        <f t="shared" si="0"/>
        <v>24898.621887958609</v>
      </c>
      <c r="P34" s="27">
        <f t="shared" si="0"/>
        <v>438.66025705188804</v>
      </c>
    </row>
    <row r="35" spans="2:16" x14ac:dyDescent="0.2">
      <c r="B35" s="2" t="s">
        <v>714</v>
      </c>
      <c r="F35" s="2" t="s">
        <v>109</v>
      </c>
      <c r="L35" s="41"/>
      <c r="M35" s="41"/>
      <c r="N35" s="41"/>
      <c r="O35" s="27">
        <f>O27-O21</f>
        <v>24898.621887958579</v>
      </c>
      <c r="P35" s="41"/>
    </row>
    <row r="36" spans="2:16" x14ac:dyDescent="0.2">
      <c r="B36" s="2" t="s">
        <v>716</v>
      </c>
      <c r="F36" s="2" t="s">
        <v>109</v>
      </c>
      <c r="L36" s="27">
        <f>(L28-L22)*L17</f>
        <v>0</v>
      </c>
      <c r="M36" s="27">
        <f t="shared" ref="M36:P36" si="1">(M28-M22)*M17</f>
        <v>13716.89419226963</v>
      </c>
      <c r="N36" s="27">
        <f t="shared" si="1"/>
        <v>0</v>
      </c>
      <c r="O36" s="27">
        <f t="shared" si="1"/>
        <v>0</v>
      </c>
      <c r="P36" s="27">
        <f t="shared" si="1"/>
        <v>257.73658212726684</v>
      </c>
    </row>
    <row r="37" spans="2:16" x14ac:dyDescent="0.2">
      <c r="B37" s="2" t="s">
        <v>715</v>
      </c>
      <c r="F37" s="2" t="s">
        <v>109</v>
      </c>
      <c r="L37" s="41"/>
      <c r="M37" s="41"/>
      <c r="N37" s="41"/>
      <c r="O37" s="27">
        <f>(O29-O23)*(O17-O16)</f>
        <v>25121.32963770246</v>
      </c>
      <c r="P37" s="41"/>
    </row>
    <row r="39" spans="2:16" x14ac:dyDescent="0.2">
      <c r="B39" s="1" t="s">
        <v>717</v>
      </c>
    </row>
    <row r="40" spans="2:16" x14ac:dyDescent="0.2">
      <c r="B40" s="2" t="s">
        <v>706</v>
      </c>
      <c r="F40" s="2" t="s">
        <v>109</v>
      </c>
      <c r="J40" s="27">
        <f>SUM(L40:P40)</f>
        <v>181206.48143100229</v>
      </c>
      <c r="L40" s="21">
        <f>SUM(L34:L37)</f>
        <v>53702.371079246048</v>
      </c>
      <c r="M40" s="21">
        <f t="shared" ref="M40:P40" si="2">SUM(M34:M37)</f>
        <v>26871.085984489277</v>
      </c>
      <c r="N40" s="21">
        <f t="shared" si="2"/>
        <v>25018.054114468163</v>
      </c>
      <c r="O40" s="21">
        <f t="shared" si="2"/>
        <v>74918.573413619655</v>
      </c>
      <c r="P40" s="21">
        <f t="shared" si="2"/>
        <v>696.39683917915488</v>
      </c>
    </row>
    <row r="41" spans="2:16" x14ac:dyDescent="0.2">
      <c r="L41" s="156"/>
      <c r="M41" s="156"/>
      <c r="N41" s="156"/>
      <c r="O41" s="156"/>
      <c r="P41" s="156"/>
    </row>
    <row r="42" spans="2:16" x14ac:dyDescent="0.2">
      <c r="L42" s="156"/>
      <c r="M42" s="156"/>
      <c r="N42" s="156"/>
      <c r="O42" s="156"/>
      <c r="P42" s="156"/>
    </row>
    <row r="43" spans="2:16" x14ac:dyDescent="0.2">
      <c r="B43" s="4" t="s">
        <v>63</v>
      </c>
    </row>
    <row r="47" spans="2:16" x14ac:dyDescent="0.2">
      <c r="L47" s="156"/>
      <c r="M47" s="156"/>
      <c r="N47" s="156"/>
      <c r="O47" s="156"/>
      <c r="P47" s="156"/>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2FAAF-E534-4559-AB39-5CF0F422597A}">
  <sheetPr>
    <tabColor rgb="FFFFFFCC"/>
  </sheetPr>
  <dimension ref="A2:R30"/>
  <sheetViews>
    <sheetView showGridLines="0" zoomScale="85" zoomScaleNormal="85" workbookViewId="0">
      <pane xSplit="6" ySplit="8" topLeftCell="G9" activePane="bottomRight" state="frozen"/>
      <selection activeCell="L52" sqref="L52"/>
      <selection pane="topRight" activeCell="L52" sqref="L52"/>
      <selection pane="bottomLeft" activeCell="L52" sqref="L52"/>
      <selection pane="bottomRight" activeCell="G9" sqref="G9"/>
    </sheetView>
  </sheetViews>
  <sheetFormatPr defaultColWidth="9.140625" defaultRowHeight="12.75" x14ac:dyDescent="0.2"/>
  <cols>
    <col min="1" max="1" width="4.5703125" style="2" customWidth="1"/>
    <col min="2" max="2" width="41.425781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1:18" s="12" customFormat="1" ht="18" x14ac:dyDescent="0.2">
      <c r="B2" s="12" t="s">
        <v>381</v>
      </c>
    </row>
    <row r="4" spans="1:18" x14ac:dyDescent="0.2">
      <c r="B4" s="19" t="s">
        <v>189</v>
      </c>
      <c r="C4" s="1"/>
      <c r="D4" s="1"/>
    </row>
    <row r="5" spans="1:18" x14ac:dyDescent="0.2">
      <c r="B5" s="2" t="s">
        <v>190</v>
      </c>
      <c r="C5" s="3"/>
      <c r="D5" s="3"/>
      <c r="H5" s="13"/>
    </row>
    <row r="7" spans="1:18" s="8" customFormat="1" ht="12.75" customHeight="1" x14ac:dyDescent="0.2">
      <c r="B7" s="8" t="s">
        <v>82</v>
      </c>
      <c r="F7" s="8" t="s">
        <v>83</v>
      </c>
      <c r="H7" s="8" t="s">
        <v>37</v>
      </c>
      <c r="J7" s="8" t="s">
        <v>38</v>
      </c>
      <c r="L7" s="8" t="s">
        <v>171</v>
      </c>
      <c r="M7" s="8" t="s">
        <v>70</v>
      </c>
      <c r="N7" s="8" t="s">
        <v>71</v>
      </c>
      <c r="O7" s="8" t="s">
        <v>72</v>
      </c>
      <c r="P7" s="8" t="s">
        <v>73</v>
      </c>
      <c r="R7" s="8" t="s">
        <v>39</v>
      </c>
    </row>
    <row r="10" spans="1:18" s="8" customFormat="1" x14ac:dyDescent="0.2">
      <c r="B10" s="8" t="s">
        <v>191</v>
      </c>
    </row>
    <row r="11" spans="1:18" x14ac:dyDescent="0.2">
      <c r="H11"/>
      <c r="I11"/>
      <c r="J11"/>
      <c r="K11"/>
    </row>
    <row r="12" spans="1:18" x14ac:dyDescent="0.2">
      <c r="B12" s="19" t="s">
        <v>798</v>
      </c>
      <c r="K12"/>
      <c r="L12"/>
      <c r="M12"/>
      <c r="N12"/>
    </row>
    <row r="13" spans="1:18" x14ac:dyDescent="0.2">
      <c r="B13" s="2" t="s">
        <v>382</v>
      </c>
      <c r="F13" s="2" t="s">
        <v>109</v>
      </c>
      <c r="J13" s="27">
        <f>SUM(L13:P13)</f>
        <v>3690424.3590884125</v>
      </c>
      <c r="L13" s="69">
        <f>'Data ACM'!L26</f>
        <v>1796243.7489777827</v>
      </c>
      <c r="M13" s="69">
        <f>'Data ACM'!M26</f>
        <v>629736.31116378494</v>
      </c>
      <c r="N13" s="69">
        <f>'Data ACM'!N26</f>
        <v>600036.07999590272</v>
      </c>
      <c r="O13" s="69">
        <f>'Data ACM'!O26</f>
        <v>652287.77947984054</v>
      </c>
      <c r="P13" s="69">
        <f>'Data ACM'!P26</f>
        <v>12120.439471101487</v>
      </c>
    </row>
    <row r="14" spans="1:18" x14ac:dyDescent="0.2">
      <c r="M14"/>
      <c r="O14"/>
      <c r="P14"/>
    </row>
    <row r="15" spans="1:18" x14ac:dyDescent="0.2">
      <c r="B15" s="1" t="s">
        <v>174</v>
      </c>
    </row>
    <row r="16" spans="1:18" s="20" customFormat="1" x14ac:dyDescent="0.2">
      <c r="A16" s="2"/>
      <c r="B16" s="20" t="s">
        <v>36</v>
      </c>
      <c r="F16" s="20" t="s">
        <v>94</v>
      </c>
      <c r="L16" s="20" t="s">
        <v>95</v>
      </c>
      <c r="M16" s="20" t="s">
        <v>96</v>
      </c>
      <c r="N16" s="20" t="s">
        <v>97</v>
      </c>
      <c r="O16" s="20" t="s">
        <v>98</v>
      </c>
      <c r="P16" s="20" t="s">
        <v>97</v>
      </c>
    </row>
    <row r="17" spans="2:18" x14ac:dyDescent="0.2">
      <c r="B17" s="2" t="s">
        <v>313</v>
      </c>
      <c r="F17" s="20" t="s">
        <v>94</v>
      </c>
      <c r="J17" s="27">
        <f>SUM(L17:P17)</f>
        <v>17465426.604874365</v>
      </c>
      <c r="L17" s="69">
        <f>'Data ACM'!L33</f>
        <v>17256000</v>
      </c>
      <c r="M17" s="69">
        <f>'Data ACM'!M33</f>
        <v>18381.43631666667</v>
      </c>
      <c r="N17" s="69">
        <f>'Data ACM'!N33</f>
        <v>187300</v>
      </c>
      <c r="O17" s="69">
        <f>'Data ACM'!O33</f>
        <v>1092.9085904999338</v>
      </c>
      <c r="P17" s="69">
        <f>'Data ACM'!P33</f>
        <v>2652.2599671986422</v>
      </c>
    </row>
    <row r="18" spans="2:18" x14ac:dyDescent="0.2">
      <c r="B18" s="2" t="s">
        <v>343</v>
      </c>
      <c r="F18" s="20" t="s">
        <v>94</v>
      </c>
      <c r="J18" s="27">
        <f>SUM(L18:P18)</f>
        <v>17306497.105804667</v>
      </c>
      <c r="L18" s="69">
        <f>'Historical data'!L15</f>
        <v>17092100</v>
      </c>
      <c r="M18" s="69">
        <f>'Historical data'!M15</f>
        <v>18667.055804667601</v>
      </c>
      <c r="N18" s="69">
        <f>'Historical data'!N15</f>
        <v>193569</v>
      </c>
      <c r="O18" s="69">
        <f>'Historical data'!O15</f>
        <v>1113.5</v>
      </c>
      <c r="P18" s="69">
        <f>'Historical data'!P15</f>
        <v>1047.55</v>
      </c>
    </row>
    <row r="19" spans="2:18" x14ac:dyDescent="0.2">
      <c r="M19"/>
      <c r="O19"/>
      <c r="P19"/>
    </row>
    <row r="20" spans="2:18" x14ac:dyDescent="0.2">
      <c r="B20" s="2" t="s">
        <v>383</v>
      </c>
      <c r="F20" s="2" t="s">
        <v>109</v>
      </c>
      <c r="L20" s="41"/>
      <c r="M20" s="69">
        <f>'Data ACM'!M71</f>
        <v>18753.449778596929</v>
      </c>
      <c r="N20" s="41"/>
      <c r="O20" s="69">
        <f>'Data ACM'!O71</f>
        <v>24408.844863331749</v>
      </c>
      <c r="P20" s="41"/>
    </row>
    <row r="21" spans="2:18" x14ac:dyDescent="0.2">
      <c r="M21"/>
      <c r="O21"/>
      <c r="P21"/>
    </row>
    <row r="22" spans="2:18" s="8" customFormat="1" x14ac:dyDescent="0.2">
      <c r="B22" s="8" t="s">
        <v>192</v>
      </c>
    </row>
    <row r="23" spans="2:18" x14ac:dyDescent="0.2">
      <c r="M23"/>
      <c r="O23"/>
      <c r="P23"/>
    </row>
    <row r="24" spans="2:18" x14ac:dyDescent="0.2">
      <c r="B24" s="19" t="s">
        <v>193</v>
      </c>
      <c r="M24"/>
      <c r="O24"/>
      <c r="P24"/>
    </row>
    <row r="25" spans="2:18" x14ac:dyDescent="0.2">
      <c r="B25" s="2" t="s">
        <v>384</v>
      </c>
      <c r="F25" s="2" t="s">
        <v>109</v>
      </c>
      <c r="J25" s="27">
        <f>SUM(L25:P25)</f>
        <v>3708188.3611398945</v>
      </c>
      <c r="L25" s="37">
        <f>L13/L17*L18</f>
        <v>1779182.7643662007</v>
      </c>
      <c r="M25" s="37">
        <f>M13/M17*M18</f>
        <v>639521.45306845265</v>
      </c>
      <c r="N25" s="37">
        <f>N13/N17*N18</f>
        <v>620119.50864242867</v>
      </c>
      <c r="O25" s="37">
        <f>O13/O17*O18</f>
        <v>664577.48503793695</v>
      </c>
      <c r="P25" s="37">
        <f>P13/P17*P18</f>
        <v>4787.1500248759103</v>
      </c>
    </row>
    <row r="26" spans="2:18" x14ac:dyDescent="0.2">
      <c r="B26" s="32" t="s">
        <v>385</v>
      </c>
      <c r="F26" s="2" t="s">
        <v>109</v>
      </c>
      <c r="J26" s="27">
        <f>SUM(L26:P26)</f>
        <v>25398.292590446188</v>
      </c>
      <c r="L26" s="21">
        <f>L13-L25</f>
        <v>17060.984611582011</v>
      </c>
      <c r="M26" s="21">
        <f>M13-M25+M20</f>
        <v>8968.3078739292105</v>
      </c>
      <c r="N26" s="21">
        <f>N13-N25</f>
        <v>-20083.42864652595</v>
      </c>
      <c r="O26" s="21">
        <f>O13-O25+O20</f>
        <v>12119.139305235341</v>
      </c>
      <c r="P26" s="21">
        <f>P13-P25</f>
        <v>7333.2894462255763</v>
      </c>
      <c r="R26" s="2" t="s">
        <v>203</v>
      </c>
    </row>
    <row r="27" spans="2:18" x14ac:dyDescent="0.2">
      <c r="M27"/>
      <c r="N27"/>
      <c r="O27"/>
      <c r="P27"/>
    </row>
    <row r="30" spans="2:18" x14ac:dyDescent="0.2">
      <c r="B30" s="4" t="s">
        <v>63</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A2:R74"/>
  <sheetViews>
    <sheetView showGridLines="0" zoomScale="85" zoomScaleNormal="85" workbookViewId="0">
      <pane xSplit="6" ySplit="8" topLeftCell="G9" activePane="bottomRight" state="frozen"/>
      <selection activeCell="L52" sqref="L52"/>
      <selection pane="topRight" activeCell="L52" sqref="L52"/>
      <selection pane="bottomLeft" activeCell="L52" sqref="L52"/>
      <selection pane="bottomRight" activeCell="G9" sqref="G9"/>
    </sheetView>
  </sheetViews>
  <sheetFormatPr defaultColWidth="9.140625" defaultRowHeight="12.75" x14ac:dyDescent="0.2"/>
  <cols>
    <col min="1" max="1" width="4.5703125" style="2" customWidth="1"/>
    <col min="2" max="2" width="41.425781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204</v>
      </c>
    </row>
    <row r="4" spans="2:18" x14ac:dyDescent="0.2">
      <c r="B4" s="19" t="s">
        <v>189</v>
      </c>
      <c r="C4" s="1"/>
      <c r="D4" s="1"/>
    </row>
    <row r="5" spans="2:18" x14ac:dyDescent="0.2">
      <c r="B5" s="2" t="s">
        <v>205</v>
      </c>
      <c r="C5" s="3"/>
      <c r="D5" s="3"/>
      <c r="H5" s="13"/>
    </row>
    <row r="7" spans="2:18" s="8" customFormat="1" ht="12.75" customHeight="1" x14ac:dyDescent="0.2">
      <c r="B7" s="8" t="s">
        <v>82</v>
      </c>
      <c r="F7" s="8" t="s">
        <v>83</v>
      </c>
      <c r="H7" s="8" t="s">
        <v>37</v>
      </c>
      <c r="J7" s="8" t="s">
        <v>38</v>
      </c>
      <c r="L7" s="8" t="s">
        <v>171</v>
      </c>
      <c r="M7" s="8" t="s">
        <v>70</v>
      </c>
      <c r="N7" s="8" t="s">
        <v>71</v>
      </c>
      <c r="O7" s="8" t="s">
        <v>72</v>
      </c>
      <c r="P7" s="8" t="s">
        <v>73</v>
      </c>
      <c r="R7" s="8" t="s">
        <v>39</v>
      </c>
    </row>
    <row r="10" spans="2:18" s="8" customFormat="1" x14ac:dyDescent="0.2">
      <c r="B10" s="8" t="s">
        <v>194</v>
      </c>
    </row>
    <row r="11" spans="2:18" x14ac:dyDescent="0.2">
      <c r="B11" s="19"/>
    </row>
    <row r="12" spans="2:18" x14ac:dyDescent="0.2">
      <c r="B12" s="19" t="s">
        <v>64</v>
      </c>
    </row>
    <row r="13" spans="2:18" x14ac:dyDescent="0.2">
      <c r="B13" s="2" t="s">
        <v>701</v>
      </c>
      <c r="F13" s="2" t="s">
        <v>74</v>
      </c>
      <c r="L13" s="79">
        <f>Parameters!H29</f>
        <v>8.2299999999999998E-2</v>
      </c>
      <c r="M13" s="79">
        <f>Parameters!H30</f>
        <v>7.1800000000000003E-2</v>
      </c>
      <c r="N13" s="79">
        <f>Parameters!H31</f>
        <v>8.1100000000000005E-2</v>
      </c>
      <c r="O13" s="79">
        <f>Parameters!H31</f>
        <v>8.1100000000000005E-2</v>
      </c>
      <c r="P13" s="79">
        <f>Parameters!H31</f>
        <v>8.1100000000000005E-2</v>
      </c>
    </row>
    <row r="14" spans="2:18" x14ac:dyDescent="0.2">
      <c r="B14" s="2" t="s">
        <v>184</v>
      </c>
      <c r="F14" s="2" t="s">
        <v>74</v>
      </c>
      <c r="H14" s="72">
        <f>Parameters!H40</f>
        <v>0.5</v>
      </c>
    </row>
    <row r="16" spans="2:18" x14ac:dyDescent="0.2">
      <c r="B16" s="19" t="s">
        <v>718</v>
      </c>
    </row>
    <row r="17" spans="1:16" x14ac:dyDescent="0.2">
      <c r="B17" s="2" t="s">
        <v>413</v>
      </c>
      <c r="F17" s="2" t="s">
        <v>109</v>
      </c>
      <c r="J17" s="27">
        <f>SUM(L17:P17)</f>
        <v>3807636.2582193571</v>
      </c>
      <c r="L17" s="26">
        <f>'Data ACM'!L18</f>
        <v>1849946.1200570287</v>
      </c>
      <c r="M17" s="26">
        <f>'Data ACM'!M18</f>
        <v>642890.50295600458</v>
      </c>
      <c r="N17" s="26">
        <f>'Data ACM'!N18</f>
        <v>625054.13411037088</v>
      </c>
      <c r="O17" s="26">
        <f>'Data ACM'!O18</f>
        <v>677186.40136779915</v>
      </c>
      <c r="P17" s="26">
        <f>'Data ACM'!P18</f>
        <v>12559.099728153375</v>
      </c>
    </row>
    <row r="18" spans="1:16" x14ac:dyDescent="0.2">
      <c r="B18" s="2" t="s">
        <v>309</v>
      </c>
      <c r="F18" s="2" t="s">
        <v>109</v>
      </c>
      <c r="L18" s="83"/>
      <c r="M18" s="83"/>
      <c r="N18" s="83"/>
      <c r="O18" s="26">
        <f>'Data ACM'!O19</f>
        <v>201661.41474445545</v>
      </c>
      <c r="P18" s="83"/>
    </row>
    <row r="19" spans="1:16" x14ac:dyDescent="0.2">
      <c r="B19" s="2" t="s">
        <v>414</v>
      </c>
      <c r="F19" s="2" t="s">
        <v>311</v>
      </c>
      <c r="L19" s="75">
        <f>'Data ACM'!L28</f>
        <v>1.8215079898781135E-2</v>
      </c>
      <c r="M19" s="75">
        <f>'Data ACM'!M28</f>
        <v>23.011302852721723</v>
      </c>
      <c r="N19" s="75">
        <f>'Data ACM'!N28</f>
        <v>0.33152570820476024</v>
      </c>
      <c r="O19" s="144">
        <f>'Data ACM'!O20</f>
        <v>269.21298955077162</v>
      </c>
      <c r="P19" s="75">
        <f>'Data ACM'!P28</f>
        <v>4.306207207023462</v>
      </c>
    </row>
    <row r="20" spans="1:16" x14ac:dyDescent="0.2">
      <c r="B20" s="2" t="s">
        <v>312</v>
      </c>
      <c r="F20" s="2" t="s">
        <v>311</v>
      </c>
      <c r="L20" s="83"/>
      <c r="M20" s="83"/>
      <c r="N20" s="83"/>
      <c r="O20" s="75">
        <f>'Data ACM'!O21</f>
        <v>919.07661101705776</v>
      </c>
      <c r="P20" s="83"/>
    </row>
    <row r="22" spans="1:16" x14ac:dyDescent="0.2">
      <c r="B22" s="19" t="s">
        <v>195</v>
      </c>
    </row>
    <row r="23" spans="1:16" x14ac:dyDescent="0.2">
      <c r="B23" s="2" t="s">
        <v>339</v>
      </c>
      <c r="F23" s="2" t="s">
        <v>90</v>
      </c>
      <c r="J23" s="27">
        <f>SUM(L23:P23)</f>
        <v>9781763.0934432726</v>
      </c>
      <c r="L23" s="26">
        <f>'Financial data'!L23</f>
        <v>3133067.5893631591</v>
      </c>
      <c r="M23" s="26">
        <f>'Financial data'!M23</f>
        <v>2103900.4805621775</v>
      </c>
      <c r="N23" s="26">
        <f>'Financial data'!N23</f>
        <v>1316546.0730826384</v>
      </c>
      <c r="O23" s="26">
        <f>'Financial data'!O23</f>
        <v>3226221.553020949</v>
      </c>
      <c r="P23" s="26">
        <f>'Financial data'!P23</f>
        <v>2027.3974143497608</v>
      </c>
    </row>
    <row r="24" spans="1:16" x14ac:dyDescent="0.2">
      <c r="B24" s="2" t="s">
        <v>340</v>
      </c>
      <c r="F24" s="2" t="s">
        <v>90</v>
      </c>
      <c r="J24" s="27">
        <f t="shared" ref="J24:J26" si="0">SUM(L24:P24)</f>
        <v>962017.02892966114</v>
      </c>
      <c r="L24" s="26">
        <f>'Financial data'!L24</f>
        <v>388402.20761383319</v>
      </c>
      <c r="M24" s="26">
        <f>'Financial data'!M24</f>
        <v>225711.24242000727</v>
      </c>
      <c r="N24" s="26">
        <f>'Financial data'!N24</f>
        <v>127230.91732758385</v>
      </c>
      <c r="O24" s="26">
        <f>'Financial data'!O24</f>
        <v>220288.35036130657</v>
      </c>
      <c r="P24" s="26">
        <f>'Financial data'!P24</f>
        <v>384.31120693018482</v>
      </c>
    </row>
    <row r="25" spans="1:16" x14ac:dyDescent="0.2">
      <c r="B25" s="2" t="s">
        <v>415</v>
      </c>
      <c r="F25" s="2" t="s">
        <v>109</v>
      </c>
      <c r="J25" s="27">
        <f t="shared" si="0"/>
        <v>4569771</v>
      </c>
      <c r="L25" s="26">
        <f>'Financial data'!L19</f>
        <v>1809291.5249999999</v>
      </c>
      <c r="M25" s="26">
        <f>'Financial data'!M19</f>
        <v>1448608.9750000001</v>
      </c>
      <c r="N25" s="26">
        <f>'Financial data'!N19</f>
        <v>648424.25</v>
      </c>
      <c r="O25" s="26">
        <f>'Financial data'!O19</f>
        <v>663446.25</v>
      </c>
      <c r="P25" s="26">
        <f>'Financial data'!P19</f>
        <v>0</v>
      </c>
    </row>
    <row r="26" spans="1:16" x14ac:dyDescent="0.2">
      <c r="B26" s="2" t="s">
        <v>336</v>
      </c>
      <c r="F26" s="2" t="s">
        <v>109</v>
      </c>
      <c r="J26" s="27">
        <f t="shared" si="0"/>
        <v>185632</v>
      </c>
      <c r="L26" s="26">
        <f>'Financial data'!L20</f>
        <v>0</v>
      </c>
      <c r="M26" s="26">
        <f>'Financial data'!M20</f>
        <v>161766</v>
      </c>
      <c r="N26" s="26">
        <f>'Financial data'!N20</f>
        <v>0</v>
      </c>
      <c r="O26" s="26">
        <f>'Financial data'!O20</f>
        <v>23866</v>
      </c>
      <c r="P26" s="26">
        <f>'Financial data'!P20</f>
        <v>0</v>
      </c>
    </row>
    <row r="28" spans="1:16" x14ac:dyDescent="0.2">
      <c r="B28" s="1" t="s">
        <v>93</v>
      </c>
    </row>
    <row r="29" spans="1:16" s="20" customFormat="1" x14ac:dyDescent="0.2">
      <c r="A29" s="2"/>
      <c r="B29" s="20" t="s">
        <v>36</v>
      </c>
      <c r="F29" s="20" t="s">
        <v>94</v>
      </c>
      <c r="L29" s="20" t="s">
        <v>95</v>
      </c>
      <c r="M29" s="20" t="s">
        <v>96</v>
      </c>
      <c r="N29" s="20" t="s">
        <v>97</v>
      </c>
      <c r="O29" s="20" t="s">
        <v>98</v>
      </c>
      <c r="P29" s="20" t="s">
        <v>97</v>
      </c>
    </row>
    <row r="30" spans="1:16" s="20" customFormat="1" x14ac:dyDescent="0.2">
      <c r="A30" s="2"/>
      <c r="B30" s="2" t="s">
        <v>306</v>
      </c>
      <c r="F30" s="2" t="s">
        <v>94</v>
      </c>
      <c r="L30" s="86"/>
      <c r="M30" s="86"/>
      <c r="N30" s="86"/>
      <c r="O30" s="75">
        <f>'Data ACM'!O34</f>
        <v>896.33333333333337</v>
      </c>
      <c r="P30" s="86"/>
    </row>
    <row r="31" spans="1:16" x14ac:dyDescent="0.2">
      <c r="B31" s="2" t="s">
        <v>343</v>
      </c>
      <c r="F31" s="2" t="s">
        <v>94</v>
      </c>
      <c r="L31" s="69">
        <f>'Historical data'!L17</f>
        <v>15605964.800000001</v>
      </c>
      <c r="M31" s="69">
        <f>'Historical data'!M15</f>
        <v>18667.055804667601</v>
      </c>
      <c r="N31" s="69">
        <f>'Historical data'!N15</f>
        <v>193569</v>
      </c>
      <c r="O31" s="69">
        <f>'Historical data'!O15</f>
        <v>1113.5</v>
      </c>
      <c r="P31" s="69">
        <f>'Historical data'!P15</f>
        <v>1047.55</v>
      </c>
    </row>
    <row r="32" spans="1:16" x14ac:dyDescent="0.2">
      <c r="B32" s="2" t="s">
        <v>349</v>
      </c>
      <c r="F32" s="2" t="s">
        <v>74</v>
      </c>
      <c r="H32" s="68">
        <f>'Historical data'!P28</f>
        <v>5.5082430142906194E-3</v>
      </c>
    </row>
    <row r="34" spans="2:18" s="8" customFormat="1" x14ac:dyDescent="0.2">
      <c r="B34" s="8" t="s">
        <v>607</v>
      </c>
    </row>
    <row r="35" spans="2:18" s="145" customFormat="1" x14ac:dyDescent="0.2"/>
    <row r="36" spans="2:18" s="145" customFormat="1" x14ac:dyDescent="0.2">
      <c r="B36" s="147" t="s">
        <v>606</v>
      </c>
      <c r="R36" s="2" t="s">
        <v>605</v>
      </c>
    </row>
    <row r="37" spans="2:18" x14ac:dyDescent="0.2">
      <c r="B37" s="2" t="s">
        <v>339</v>
      </c>
      <c r="F37" s="2" t="s">
        <v>90</v>
      </c>
      <c r="J37" s="27">
        <f t="shared" ref="J37:J39" si="1">SUM(L37:P37)</f>
        <v>9781763.0934432745</v>
      </c>
      <c r="L37" s="26">
        <f t="shared" ref="L37:N40" si="2">L23</f>
        <v>3133067.5893631591</v>
      </c>
      <c r="M37" s="26">
        <f t="shared" si="2"/>
        <v>2103900.4805621775</v>
      </c>
      <c r="N37" s="26">
        <f t="shared" si="2"/>
        <v>1316546.0730826384</v>
      </c>
      <c r="O37" s="27">
        <f>O23*(1-$H$32)</f>
        <v>3208450.7406889675</v>
      </c>
      <c r="P37" s="27">
        <f>O23*$H$32+P23</f>
        <v>19798.209746331238</v>
      </c>
    </row>
    <row r="38" spans="2:18" x14ac:dyDescent="0.2">
      <c r="B38" s="2" t="s">
        <v>340</v>
      </c>
      <c r="F38" s="2" t="s">
        <v>90</v>
      </c>
      <c r="J38" s="27">
        <f t="shared" si="1"/>
        <v>962017.02892966114</v>
      </c>
      <c r="L38" s="26">
        <f t="shared" si="2"/>
        <v>388402.20761383319</v>
      </c>
      <c r="M38" s="26">
        <f t="shared" si="2"/>
        <v>225711.24242000727</v>
      </c>
      <c r="N38" s="26">
        <f t="shared" si="2"/>
        <v>127230.91732758385</v>
      </c>
      <c r="O38" s="27">
        <f>O24*(1-$H$32)</f>
        <v>219074.94859429929</v>
      </c>
      <c r="P38" s="27">
        <f>O24*$H$32+P24</f>
        <v>1597.7129739374561</v>
      </c>
    </row>
    <row r="39" spans="2:18" x14ac:dyDescent="0.2">
      <c r="B39" s="2" t="s">
        <v>415</v>
      </c>
      <c r="F39" s="2" t="s">
        <v>109</v>
      </c>
      <c r="J39" s="27">
        <f t="shared" si="1"/>
        <v>4569771</v>
      </c>
      <c r="L39" s="26">
        <f t="shared" si="2"/>
        <v>1809291.5249999999</v>
      </c>
      <c r="M39" s="26">
        <f t="shared" si="2"/>
        <v>1448608.9750000001</v>
      </c>
      <c r="N39" s="26">
        <f t="shared" si="2"/>
        <v>648424.25</v>
      </c>
      <c r="O39" s="27">
        <f>O25*(1-$H$32)</f>
        <v>659791.82682808023</v>
      </c>
      <c r="P39" s="27">
        <f>O25*$H$32+P25</f>
        <v>3654.4231719198078</v>
      </c>
    </row>
    <row r="40" spans="2:18" x14ac:dyDescent="0.2">
      <c r="B40" s="2" t="s">
        <v>336</v>
      </c>
      <c r="F40" s="2" t="s">
        <v>109</v>
      </c>
      <c r="J40" s="27"/>
      <c r="L40" s="26">
        <f t="shared" si="2"/>
        <v>0</v>
      </c>
      <c r="M40" s="26">
        <f t="shared" si="2"/>
        <v>161766</v>
      </c>
      <c r="N40" s="26">
        <f t="shared" si="2"/>
        <v>0</v>
      </c>
      <c r="O40" s="27">
        <f>O26*(1-$H$32)</f>
        <v>23734.54027222094</v>
      </c>
      <c r="P40" s="27">
        <f>O26*$H$32+P26</f>
        <v>131.45972777905993</v>
      </c>
    </row>
    <row r="42" spans="2:18" s="8" customFormat="1" x14ac:dyDescent="0.2">
      <c r="B42" s="8" t="s">
        <v>561</v>
      </c>
    </row>
    <row r="44" spans="2:18" x14ac:dyDescent="0.2">
      <c r="B44" s="1" t="s">
        <v>536</v>
      </c>
    </row>
    <row r="45" spans="2:18" x14ac:dyDescent="0.2">
      <c r="B45" s="2" t="s">
        <v>534</v>
      </c>
      <c r="F45" s="2" t="s">
        <v>109</v>
      </c>
      <c r="L45" s="27">
        <f>L37*L13+L38</f>
        <v>646253.67021842115</v>
      </c>
      <c r="M45" s="27">
        <f>M37*M13+M38</f>
        <v>376771.29692437162</v>
      </c>
      <c r="N45" s="27">
        <f>N37*N13+N38</f>
        <v>234002.80385458586</v>
      </c>
      <c r="O45" s="27">
        <f>O37*O13+O38</f>
        <v>479280.30366417457</v>
      </c>
      <c r="P45" s="27">
        <f>P37*P13+P38</f>
        <v>3203.3477843649198</v>
      </c>
    </row>
    <row r="46" spans="2:18" x14ac:dyDescent="0.2">
      <c r="B46" s="2" t="s">
        <v>535</v>
      </c>
      <c r="F46" s="2" t="s">
        <v>109</v>
      </c>
      <c r="L46" s="27">
        <f>L39-L40</f>
        <v>1809291.5249999999</v>
      </c>
      <c r="M46" s="27">
        <f>M39-M40</f>
        <v>1286842.9750000001</v>
      </c>
      <c r="N46" s="27">
        <f>N39-N40</f>
        <v>648424.25</v>
      </c>
      <c r="O46" s="27">
        <f>O39-O40</f>
        <v>636057.28655585926</v>
      </c>
      <c r="P46" s="27">
        <f>P39-P40</f>
        <v>3522.9634441407479</v>
      </c>
    </row>
    <row r="48" spans="2:18" x14ac:dyDescent="0.2">
      <c r="B48" s="1" t="s">
        <v>564</v>
      </c>
    </row>
    <row r="49" spans="2:18" x14ac:dyDescent="0.2">
      <c r="B49" s="2" t="s">
        <v>420</v>
      </c>
      <c r="F49" s="2" t="s">
        <v>109</v>
      </c>
      <c r="J49" s="27">
        <f t="shared" ref="J49" si="3">SUM(L49:P49)</f>
        <v>5291160.3782451013</v>
      </c>
      <c r="L49" s="37">
        <f>L31*L19+L17</f>
        <v>2134210.0157865947</v>
      </c>
      <c r="M49" s="37">
        <f>M31*M19+M17</f>
        <v>1072443.7774458677</v>
      </c>
      <c r="N49" s="37">
        <f>N31*N19+N17</f>
        <v>689227.23392185813</v>
      </c>
      <c r="O49" s="27">
        <f>O17+O18+O31*O19+O20*(O31-O30)</f>
        <v>1378209.2840029097</v>
      </c>
      <c r="P49" s="37">
        <f>P31*P19+P17</f>
        <v>17070.067087870804</v>
      </c>
    </row>
    <row r="50" spans="2:18" x14ac:dyDescent="0.2">
      <c r="B50" s="2" t="s">
        <v>421</v>
      </c>
      <c r="F50" s="2" t="s">
        <v>109</v>
      </c>
      <c r="J50" s="27">
        <f>SUM(L50:P50)</f>
        <v>6123650.4224459184</v>
      </c>
      <c r="L50" s="37">
        <f>L45+L46</f>
        <v>2455545.1952184211</v>
      </c>
      <c r="M50" s="37">
        <f t="shared" ref="M50:P50" si="4">M45+M46</f>
        <v>1663614.2719243718</v>
      </c>
      <c r="N50" s="37">
        <f t="shared" si="4"/>
        <v>882427.05385458586</v>
      </c>
      <c r="O50" s="37">
        <f t="shared" si="4"/>
        <v>1115337.5902200339</v>
      </c>
      <c r="P50" s="37">
        <f t="shared" si="4"/>
        <v>6726.3112285056677</v>
      </c>
    </row>
    <row r="52" spans="2:18" x14ac:dyDescent="0.2">
      <c r="B52" s="1" t="s">
        <v>562</v>
      </c>
    </row>
    <row r="53" spans="2:18" x14ac:dyDescent="0.2">
      <c r="B53" s="2" t="s">
        <v>422</v>
      </c>
      <c r="F53" s="2" t="s">
        <v>109</v>
      </c>
      <c r="J53" s="27">
        <f>SUM(L53:P53)</f>
        <v>-832490.04420081724</v>
      </c>
      <c r="L53" s="37">
        <f>L49-L50</f>
        <v>-321335.17943182634</v>
      </c>
      <c r="M53" s="37">
        <f>M49-M50</f>
        <v>-591170.49447850417</v>
      </c>
      <c r="N53" s="37">
        <f>N49-N50</f>
        <v>-193199.81993272773</v>
      </c>
      <c r="O53" s="37">
        <f>O49-O50</f>
        <v>262871.69378287578</v>
      </c>
      <c r="P53" s="37">
        <f>P49-P50</f>
        <v>10343.755859365137</v>
      </c>
      <c r="R53" s="2" t="s">
        <v>196</v>
      </c>
    </row>
    <row r="54" spans="2:18" x14ac:dyDescent="0.2">
      <c r="B54" s="2" t="s">
        <v>423</v>
      </c>
      <c r="F54" s="2" t="s">
        <v>109</v>
      </c>
      <c r="L54" s="21">
        <f>$H$14*L53*(-1)</f>
        <v>160667.58971591317</v>
      </c>
      <c r="M54" s="21">
        <f>$H$14*M53*(-1)</f>
        <v>295585.24723925209</v>
      </c>
      <c r="N54" s="21">
        <f>$H$14*N53*(-1)</f>
        <v>96599.909966363863</v>
      </c>
      <c r="O54" s="21">
        <f>$H$14*O53*(-1)</f>
        <v>-131435.84689143789</v>
      </c>
      <c r="P54" s="21">
        <f>$H$14*P53*(-1)</f>
        <v>-5171.8779296825687</v>
      </c>
    </row>
    <row r="56" spans="2:18" s="8" customFormat="1" x14ac:dyDescent="0.2">
      <c r="B56" s="8" t="s">
        <v>563</v>
      </c>
    </row>
    <row r="57" spans="2:18" x14ac:dyDescent="0.2">
      <c r="B57" s="1"/>
    </row>
    <row r="58" spans="2:18" x14ac:dyDescent="0.2">
      <c r="B58" s="87" t="s">
        <v>567</v>
      </c>
    </row>
    <row r="59" spans="2:18" x14ac:dyDescent="0.2">
      <c r="B59" s="2" t="s">
        <v>416</v>
      </c>
      <c r="F59" s="2" t="s">
        <v>201</v>
      </c>
      <c r="L59" s="77">
        <f>'Data ACM'!L39</f>
        <v>0.40979977104776788</v>
      </c>
      <c r="M59" s="41"/>
      <c r="N59" s="41"/>
      <c r="O59" s="41"/>
      <c r="P59" s="41"/>
    </row>
    <row r="60" spans="2:18" x14ac:dyDescent="0.2">
      <c r="B60" s="2" t="s">
        <v>417</v>
      </c>
      <c r="F60" s="2" t="s">
        <v>201</v>
      </c>
      <c r="L60" s="77">
        <f>'Data ACM'!L40</f>
        <v>0.37139101036130612</v>
      </c>
      <c r="M60" s="41"/>
      <c r="N60" s="41"/>
      <c r="O60" s="41"/>
      <c r="P60" s="41"/>
    </row>
    <row r="61" spans="2:18" x14ac:dyDescent="0.2">
      <c r="B61" s="2" t="s">
        <v>418</v>
      </c>
      <c r="F61" s="2" t="s">
        <v>201</v>
      </c>
      <c r="L61" s="62">
        <f>(L59+L60)/2</f>
        <v>0.39059539070453697</v>
      </c>
      <c r="M61" s="41"/>
      <c r="N61" s="77">
        <f>'Data ACM'!N41</f>
        <v>4.4301419086700315</v>
      </c>
      <c r="O61" s="41"/>
      <c r="P61" s="41"/>
      <c r="R61" s="2" t="s">
        <v>386</v>
      </c>
    </row>
    <row r="62" spans="2:18" x14ac:dyDescent="0.2">
      <c r="B62" s="2" t="s">
        <v>314</v>
      </c>
      <c r="F62" s="2" t="s">
        <v>74</v>
      </c>
      <c r="L62" s="41"/>
      <c r="M62" s="68">
        <f>'Data ACM'!M36</f>
        <v>0.11</v>
      </c>
      <c r="N62" s="41"/>
      <c r="O62" s="68">
        <f>'Data ACM'!O36</f>
        <v>0.17544452749599601</v>
      </c>
      <c r="P62" s="41"/>
    </row>
    <row r="63" spans="2:18" x14ac:dyDescent="0.2">
      <c r="B63" s="2" t="s">
        <v>419</v>
      </c>
      <c r="F63" s="2" t="s">
        <v>74</v>
      </c>
      <c r="L63" s="41"/>
      <c r="M63" s="68">
        <f>'Historical data'!M19</f>
        <v>8.4256612704114803E-2</v>
      </c>
      <c r="N63" s="41"/>
      <c r="O63" s="68">
        <f>'Historical data'!O19</f>
        <v>0.38807102376930203</v>
      </c>
      <c r="P63" s="41"/>
    </row>
    <row r="65" spans="2:18" x14ac:dyDescent="0.2">
      <c r="B65" s="1" t="s">
        <v>565</v>
      </c>
    </row>
    <row r="66" spans="2:18" x14ac:dyDescent="0.2">
      <c r="B66" s="2" t="s">
        <v>424</v>
      </c>
      <c r="F66" s="2" t="s">
        <v>109</v>
      </c>
      <c r="L66" s="41"/>
      <c r="M66" s="93">
        <f>L61*L31*M62</f>
        <v>670517.97102149762</v>
      </c>
      <c r="N66" s="41"/>
      <c r="O66" s="93">
        <f>N61*N31*O62</f>
        <v>150450.37362758993</v>
      </c>
      <c r="P66" s="41"/>
    </row>
    <row r="67" spans="2:18" x14ac:dyDescent="0.2">
      <c r="B67" s="2" t="s">
        <v>425</v>
      </c>
      <c r="F67" s="2" t="s">
        <v>109</v>
      </c>
      <c r="L67" s="41"/>
      <c r="M67" s="93">
        <f>L61*L31*M63</f>
        <v>513596.11814097455</v>
      </c>
      <c r="N67" s="41"/>
      <c r="O67" s="93">
        <f>N61*N31*O63</f>
        <v>332785.70356926805</v>
      </c>
      <c r="P67" s="41"/>
    </row>
    <row r="69" spans="2:18" x14ac:dyDescent="0.2">
      <c r="B69" s="1" t="s">
        <v>566</v>
      </c>
    </row>
    <row r="70" spans="2:18" x14ac:dyDescent="0.2">
      <c r="B70" s="2" t="s">
        <v>426</v>
      </c>
      <c r="F70" s="2" t="s">
        <v>109</v>
      </c>
      <c r="L70" s="41"/>
      <c r="M70" s="93">
        <f>M66-M67</f>
        <v>156921.85288052307</v>
      </c>
      <c r="N70" s="41"/>
      <c r="O70" s="93">
        <f>O66-O67</f>
        <v>-182335.32994167812</v>
      </c>
      <c r="P70" s="41"/>
      <c r="R70" s="2" t="s">
        <v>196</v>
      </c>
    </row>
    <row r="71" spans="2:18" x14ac:dyDescent="0.2">
      <c r="B71" s="2" t="s">
        <v>427</v>
      </c>
      <c r="F71" s="2" t="s">
        <v>109</v>
      </c>
      <c r="L71" s="41"/>
      <c r="M71" s="21">
        <f>$H$14*M70*(-1)</f>
        <v>-78460.926440261537</v>
      </c>
      <c r="N71" s="41"/>
      <c r="O71" s="21">
        <f>$H$14*O70*(-1)</f>
        <v>91167.664970839061</v>
      </c>
      <c r="P71" s="41"/>
      <c r="R71" s="2" t="s">
        <v>197</v>
      </c>
    </row>
    <row r="72" spans="2:18" x14ac:dyDescent="0.2">
      <c r="L72" s="88"/>
      <c r="M72" s="57"/>
      <c r="N72" s="88"/>
      <c r="O72" s="57"/>
    </row>
    <row r="74" spans="2:18" x14ac:dyDescent="0.2">
      <c r="B74" s="4" t="s">
        <v>63</v>
      </c>
    </row>
  </sheetData>
  <phoneticPr fontId="31" type="noConversion"/>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3DD41-07E3-4DF5-96C3-B03E91C1BA99}">
  <sheetPr>
    <tabColor rgb="FFFFFFCC"/>
  </sheetPr>
  <dimension ref="B2:R30"/>
  <sheetViews>
    <sheetView showGridLines="0" zoomScale="85" zoomScaleNormal="85" workbookViewId="0">
      <pane xSplit="6" ySplit="11" topLeftCell="G12" activePane="bottomRight" state="frozen"/>
      <selection activeCell="L52" sqref="L52"/>
      <selection pane="topRight" activeCell="L52" sqref="L52"/>
      <selection pane="bottomLeft" activeCell="L52" sqref="L52"/>
      <selection pane="bottomRight" activeCell="G12" sqref="G12"/>
    </sheetView>
  </sheetViews>
  <sheetFormatPr defaultColWidth="9.140625" defaultRowHeight="12.75" x14ac:dyDescent="0.2"/>
  <cols>
    <col min="1" max="1" width="4.5703125" style="2" customWidth="1"/>
    <col min="2" max="2" width="41.425781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198</v>
      </c>
    </row>
    <row r="4" spans="2:18" x14ac:dyDescent="0.2">
      <c r="B4" s="19" t="s">
        <v>81</v>
      </c>
      <c r="C4" s="1"/>
      <c r="D4" s="1"/>
    </row>
    <row r="5" spans="2:18" x14ac:dyDescent="0.2">
      <c r="B5" s="2" t="s">
        <v>231</v>
      </c>
      <c r="C5" s="3"/>
      <c r="D5" s="3"/>
      <c r="H5" s="13"/>
    </row>
    <row r="6" spans="2:18" x14ac:dyDescent="0.2">
      <c r="B6" s="2" t="s">
        <v>199</v>
      </c>
      <c r="C6" s="3"/>
      <c r="D6" s="3"/>
      <c r="H6" s="13"/>
    </row>
    <row r="7" spans="2:18" x14ac:dyDescent="0.2">
      <c r="B7" s="2" t="s">
        <v>200</v>
      </c>
      <c r="C7" s="3"/>
      <c r="D7" s="3"/>
      <c r="H7" s="13"/>
    </row>
    <row r="8" spans="2:18" x14ac:dyDescent="0.2">
      <c r="B8" s="2" t="s">
        <v>428</v>
      </c>
      <c r="C8" s="3"/>
      <c r="D8" s="3"/>
    </row>
    <row r="9" spans="2:18" x14ac:dyDescent="0.2">
      <c r="B9" s="4"/>
      <c r="C9" s="3"/>
      <c r="D9" s="3"/>
    </row>
    <row r="10" spans="2:18" s="8" customFormat="1" ht="12.75" customHeight="1" x14ac:dyDescent="0.2">
      <c r="B10" s="8" t="s">
        <v>82</v>
      </c>
      <c r="F10" s="8" t="s">
        <v>83</v>
      </c>
      <c r="H10" s="8" t="s">
        <v>37</v>
      </c>
      <c r="J10" s="8" t="s">
        <v>38</v>
      </c>
      <c r="L10" s="8" t="s">
        <v>171</v>
      </c>
      <c r="M10" s="8" t="s">
        <v>70</v>
      </c>
      <c r="N10" s="8" t="s">
        <v>71</v>
      </c>
      <c r="O10" s="8" t="s">
        <v>72</v>
      </c>
      <c r="P10" s="8" t="s">
        <v>73</v>
      </c>
      <c r="R10" s="8" t="s">
        <v>39</v>
      </c>
    </row>
    <row r="13" spans="2:18" s="8" customFormat="1" x14ac:dyDescent="0.2">
      <c r="B13" s="8" t="s">
        <v>187</v>
      </c>
    </row>
    <row r="15" spans="2:18" x14ac:dyDescent="0.2">
      <c r="B15" s="1" t="s">
        <v>188</v>
      </c>
    </row>
    <row r="16" spans="2:18" x14ac:dyDescent="0.2">
      <c r="B16" s="2" t="s">
        <v>320</v>
      </c>
      <c r="F16" s="2" t="s">
        <v>97</v>
      </c>
      <c r="L16" s="10"/>
      <c r="M16" s="10"/>
      <c r="N16" s="69">
        <f>'Data ACM'!N46</f>
        <v>197952.55799999996</v>
      </c>
      <c r="O16" s="10"/>
      <c r="P16" s="10"/>
    </row>
    <row r="17" spans="2:16" x14ac:dyDescent="0.2">
      <c r="B17" s="2" t="s">
        <v>321</v>
      </c>
      <c r="F17" s="2" t="s">
        <v>431</v>
      </c>
      <c r="L17" s="10"/>
      <c r="M17" s="10"/>
      <c r="N17" s="77">
        <f>'Data ACM'!N47</f>
        <v>0.39580820458766236</v>
      </c>
      <c r="O17" s="10"/>
      <c r="P17" s="10"/>
    </row>
    <row r="18" spans="2:16" x14ac:dyDescent="0.2">
      <c r="B18" s="2" t="s">
        <v>323</v>
      </c>
      <c r="F18" s="2" t="s">
        <v>431</v>
      </c>
      <c r="L18" s="10"/>
      <c r="M18" s="10"/>
      <c r="N18" s="77">
        <f>'Data ACM'!N48</f>
        <v>0.38767249365144446</v>
      </c>
      <c r="O18" s="10"/>
      <c r="P18" s="10"/>
    </row>
    <row r="19" spans="2:16" x14ac:dyDescent="0.2">
      <c r="B19" s="2" t="s">
        <v>429</v>
      </c>
      <c r="F19" s="2" t="s">
        <v>107</v>
      </c>
      <c r="L19" s="10"/>
      <c r="M19" s="10"/>
      <c r="N19" s="75">
        <f>'Data ACM'!N49</f>
        <v>4.511265293942107</v>
      </c>
      <c r="O19" s="10"/>
      <c r="P19" s="10"/>
    </row>
    <row r="20" spans="2:16" x14ac:dyDescent="0.2">
      <c r="B20" s="2" t="s">
        <v>645</v>
      </c>
      <c r="F20" s="2" t="s">
        <v>74</v>
      </c>
      <c r="L20" s="10"/>
      <c r="M20" s="10"/>
      <c r="N20" s="75">
        <f>'Data ACM'!N50</f>
        <v>0.5</v>
      </c>
      <c r="O20" s="10"/>
      <c r="P20" s="10"/>
    </row>
    <row r="21" spans="2:16" x14ac:dyDescent="0.2">
      <c r="N21" s="22"/>
    </row>
    <row r="22" spans="2:16" s="8" customFormat="1" x14ac:dyDescent="0.2">
      <c r="B22" s="8" t="s">
        <v>202</v>
      </c>
    </row>
    <row r="23" spans="2:16" x14ac:dyDescent="0.2">
      <c r="N23" s="22"/>
    </row>
    <row r="24" spans="2:16" x14ac:dyDescent="0.2">
      <c r="B24" s="2" t="s">
        <v>647</v>
      </c>
      <c r="F24" s="2" t="s">
        <v>431</v>
      </c>
      <c r="L24" s="10"/>
      <c r="M24" s="10"/>
      <c r="N24" s="89">
        <f>N18-N17</f>
        <v>-8.1357109362178992E-3</v>
      </c>
      <c r="O24" s="10"/>
      <c r="P24" s="10"/>
    </row>
    <row r="25" spans="2:16" x14ac:dyDescent="0.2">
      <c r="B25" s="2" t="s">
        <v>646</v>
      </c>
      <c r="F25" s="2" t="s">
        <v>95</v>
      </c>
      <c r="L25" s="10"/>
      <c r="M25" s="10"/>
      <c r="N25" s="90">
        <f>N16*N20*N19</f>
        <v>446508.2523762309</v>
      </c>
      <c r="O25" s="10"/>
      <c r="P25" s="10"/>
    </row>
    <row r="26" spans="2:16" x14ac:dyDescent="0.2">
      <c r="N26" s="22"/>
    </row>
    <row r="27" spans="2:16" x14ac:dyDescent="0.2">
      <c r="B27" s="2" t="s">
        <v>430</v>
      </c>
      <c r="F27" s="2" t="s">
        <v>137</v>
      </c>
      <c r="L27" s="10"/>
      <c r="M27" s="10"/>
      <c r="N27" s="21">
        <f>N25*N24</f>
        <v>-3632.6620719688435</v>
      </c>
      <c r="O27" s="10"/>
      <c r="P27" s="10"/>
    </row>
    <row r="30" spans="2:16" x14ac:dyDescent="0.2">
      <c r="B30" s="4" t="s">
        <v>63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9B2FB-5F0B-4E4C-AC54-3EE17F70B400}">
  <sheetPr>
    <tabColor rgb="FFFFFFCC"/>
  </sheetPr>
  <dimension ref="B2:R52"/>
  <sheetViews>
    <sheetView showGridLines="0" zoomScale="85" zoomScaleNormal="85" workbookViewId="0">
      <pane xSplit="6" ySplit="8" topLeftCell="G9" activePane="bottomRight" state="frozen"/>
      <selection activeCell="L52" sqref="L52"/>
      <selection pane="topRight" activeCell="L52" sqref="L52"/>
      <selection pane="bottomLeft" activeCell="L52" sqref="L52"/>
      <selection pane="bottomRight" activeCell="G9" sqref="G9"/>
    </sheetView>
  </sheetViews>
  <sheetFormatPr defaultColWidth="9.140625" defaultRowHeight="12.75" x14ac:dyDescent="0.2"/>
  <cols>
    <col min="1" max="1" width="4.5703125" style="2" customWidth="1"/>
    <col min="2" max="2" width="41.425781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454</v>
      </c>
    </row>
    <row r="4" spans="2:18" x14ac:dyDescent="0.2">
      <c r="B4" s="19" t="s">
        <v>12</v>
      </c>
      <c r="C4" s="1"/>
      <c r="D4" s="1"/>
    </row>
    <row r="5" spans="2:18" x14ac:dyDescent="0.2">
      <c r="B5" s="2" t="s">
        <v>456</v>
      </c>
      <c r="H5" s="13"/>
    </row>
    <row r="6" spans="2:18" x14ac:dyDescent="0.2">
      <c r="H6" s="13"/>
    </row>
    <row r="7" spans="2:18" s="8" customFormat="1" ht="12.75" customHeight="1" x14ac:dyDescent="0.2">
      <c r="B7" s="8" t="s">
        <v>82</v>
      </c>
      <c r="F7" s="8" t="s">
        <v>83</v>
      </c>
      <c r="H7" s="8" t="s">
        <v>37</v>
      </c>
      <c r="J7" s="8" t="s">
        <v>38</v>
      </c>
      <c r="L7" s="8" t="s">
        <v>171</v>
      </c>
      <c r="M7" s="8" t="s">
        <v>70</v>
      </c>
      <c r="N7" s="8" t="s">
        <v>71</v>
      </c>
      <c r="O7" s="8" t="s">
        <v>72</v>
      </c>
      <c r="P7" s="8" t="s">
        <v>73</v>
      </c>
      <c r="R7" s="8" t="s">
        <v>39</v>
      </c>
    </row>
    <row r="10" spans="2:18" s="8" customFormat="1" x14ac:dyDescent="0.2">
      <c r="B10" s="8" t="s">
        <v>178</v>
      </c>
    </row>
    <row r="12" spans="2:18" x14ac:dyDescent="0.2">
      <c r="B12" s="19" t="s">
        <v>64</v>
      </c>
    </row>
    <row r="13" spans="2:18" x14ac:dyDescent="0.2">
      <c r="B13" s="2" t="s">
        <v>435</v>
      </c>
      <c r="F13" s="2" t="s">
        <v>74</v>
      </c>
      <c r="H13" s="79">
        <f>Parameters!H23</f>
        <v>0.03</v>
      </c>
    </row>
    <row r="14" spans="2:18" x14ac:dyDescent="0.2">
      <c r="B14" s="2" t="s">
        <v>432</v>
      </c>
      <c r="F14" s="2" t="s">
        <v>74</v>
      </c>
      <c r="H14" s="79">
        <f>Parameters!H24</f>
        <v>6.0899999999999954E-2</v>
      </c>
    </row>
    <row r="16" spans="2:18" x14ac:dyDescent="0.2">
      <c r="B16" s="1" t="s">
        <v>460</v>
      </c>
    </row>
    <row r="17" spans="2:16" x14ac:dyDescent="0.2">
      <c r="B17" s="2" t="s">
        <v>341</v>
      </c>
      <c r="F17" s="2" t="s">
        <v>109</v>
      </c>
      <c r="L17" s="26">
        <f>'Historical data'!L42</f>
        <v>-288706.93158503156</v>
      </c>
      <c r="M17" s="41"/>
      <c r="N17" s="41"/>
      <c r="O17" s="41"/>
      <c r="P17" s="41"/>
    </row>
    <row r="18" spans="2:16" x14ac:dyDescent="0.2">
      <c r="B18" s="2" t="s">
        <v>334</v>
      </c>
      <c r="F18" s="2" t="s">
        <v>137</v>
      </c>
      <c r="L18" s="41"/>
      <c r="M18" s="26">
        <f>'Historical data'!M43</f>
        <v>-61219.726892085346</v>
      </c>
      <c r="N18" s="41"/>
      <c r="O18" s="41"/>
      <c r="P18" s="41"/>
    </row>
    <row r="20" spans="2:16" x14ac:dyDescent="0.2">
      <c r="B20" s="1" t="s">
        <v>457</v>
      </c>
    </row>
    <row r="21" spans="2:16" x14ac:dyDescent="0.2">
      <c r="B21" s="32" t="s">
        <v>385</v>
      </c>
      <c r="F21" s="2" t="s">
        <v>109</v>
      </c>
      <c r="L21" s="26">
        <f>'Volume-effect 2023'!L26</f>
        <v>17060.984611582011</v>
      </c>
      <c r="M21" s="26">
        <f>'Volume-effect 2023'!M26</f>
        <v>8968.3078739292105</v>
      </c>
      <c r="N21" s="26">
        <f>'Volume-effect 2023'!N26</f>
        <v>-20083.42864652595</v>
      </c>
      <c r="O21" s="26">
        <f>'Volume-effect 2023'!O26</f>
        <v>12119.139305235341</v>
      </c>
      <c r="P21" s="26">
        <f>'Volume-effect 2023'!P26</f>
        <v>7333.2894462255763</v>
      </c>
    </row>
    <row r="22" spans="2:16" x14ac:dyDescent="0.2">
      <c r="B22" s="2" t="s">
        <v>458</v>
      </c>
      <c r="F22" s="2" t="s">
        <v>109</v>
      </c>
      <c r="L22" s="26">
        <f>'Profit Sharing 2023'!L54</f>
        <v>160667.58971591317</v>
      </c>
      <c r="M22" s="26">
        <f>'Profit Sharing 2023'!M54</f>
        <v>295585.24723925209</v>
      </c>
      <c r="N22" s="26">
        <f>'Profit Sharing 2023'!N54</f>
        <v>96599.909966363863</v>
      </c>
      <c r="O22" s="26">
        <f>'Profit Sharing 2023'!O54</f>
        <v>-131435.84689143789</v>
      </c>
      <c r="P22" s="26">
        <f>'Profit Sharing 2023'!P54</f>
        <v>-5171.8779296825687</v>
      </c>
    </row>
    <row r="23" spans="2:16" x14ac:dyDescent="0.2">
      <c r="B23" s="2" t="s">
        <v>459</v>
      </c>
      <c r="F23" s="2" t="s">
        <v>109</v>
      </c>
      <c r="L23" s="41"/>
      <c r="M23" s="26">
        <f>'Profit Sharing 2023'!M71</f>
        <v>-78460.926440261537</v>
      </c>
      <c r="N23" s="41"/>
      <c r="O23" s="26">
        <f>'Profit Sharing 2023'!O71</f>
        <v>91167.664970839061</v>
      </c>
      <c r="P23" s="41"/>
    </row>
    <row r="24" spans="2:16" x14ac:dyDescent="0.2">
      <c r="B24" s="2" t="s">
        <v>706</v>
      </c>
      <c r="F24" s="2" t="s">
        <v>109</v>
      </c>
      <c r="L24" s="26">
        <f>'WACC correction 2023'!L40</f>
        <v>53702.371079246048</v>
      </c>
      <c r="M24" s="26">
        <f>'WACC correction 2023'!M40</f>
        <v>26871.085984489277</v>
      </c>
      <c r="N24" s="26">
        <f>'WACC correction 2023'!N40</f>
        <v>25018.054114468163</v>
      </c>
      <c r="O24" s="26">
        <f>'WACC correction 2023'!O40</f>
        <v>74918.573413619655</v>
      </c>
      <c r="P24" s="26">
        <f>'WACC correction 2023'!P40</f>
        <v>696.39683917915488</v>
      </c>
    </row>
    <row r="25" spans="2:16" x14ac:dyDescent="0.2">
      <c r="B25" s="2" t="s">
        <v>430</v>
      </c>
      <c r="F25" s="2" t="s">
        <v>137</v>
      </c>
      <c r="L25" s="41"/>
      <c r="M25" s="41"/>
      <c r="N25" s="26">
        <f>'Energy cost correction 2024'!N27</f>
        <v>-3632.6620719688435</v>
      </c>
      <c r="O25" s="41"/>
      <c r="P25" s="41"/>
    </row>
    <row r="26" spans="2:16" x14ac:dyDescent="0.2">
      <c r="B26" s="2" t="s">
        <v>434</v>
      </c>
      <c r="F26" s="2" t="s">
        <v>109</v>
      </c>
      <c r="L26" s="26">
        <f>'Financial data'!L35</f>
        <v>326432</v>
      </c>
      <c r="M26" s="95"/>
      <c r="N26" s="95"/>
      <c r="O26" s="95"/>
      <c r="P26" s="95"/>
    </row>
    <row r="28" spans="2:16" x14ac:dyDescent="0.2">
      <c r="B28" s="1" t="s">
        <v>183</v>
      </c>
    </row>
    <row r="29" spans="2:16" x14ac:dyDescent="0.2">
      <c r="B29" s="20" t="s">
        <v>36</v>
      </c>
      <c r="F29" s="20" t="s">
        <v>94</v>
      </c>
      <c r="L29" s="20" t="s">
        <v>95</v>
      </c>
      <c r="M29" s="20"/>
      <c r="N29" s="20" t="s">
        <v>97</v>
      </c>
      <c r="O29" s="20"/>
      <c r="P29" s="20" t="s">
        <v>97</v>
      </c>
    </row>
    <row r="30" spans="2:16" x14ac:dyDescent="0.2">
      <c r="B30" s="2" t="s">
        <v>380</v>
      </c>
      <c r="L30" s="26">
        <f>'Estimates for 2025'!L71</f>
        <v>17621400</v>
      </c>
      <c r="M30" s="95"/>
      <c r="N30" s="26">
        <f>'Estimates for 2025'!N71</f>
        <v>201600</v>
      </c>
      <c r="O30" s="95"/>
      <c r="P30" s="26">
        <f>'Estimates for 2025'!P71</f>
        <v>2016</v>
      </c>
    </row>
    <row r="31" spans="2:16" x14ac:dyDescent="0.2">
      <c r="B31" s="2" t="s">
        <v>461</v>
      </c>
      <c r="F31" s="2" t="s">
        <v>95</v>
      </c>
      <c r="L31" s="26">
        <f>'Estimates for 2025'!L23</f>
        <v>8282058</v>
      </c>
      <c r="M31" s="95"/>
      <c r="N31" s="95"/>
      <c r="O31" s="95"/>
      <c r="P31" s="95"/>
    </row>
    <row r="33" spans="2:18" s="8" customFormat="1" x14ac:dyDescent="0.2">
      <c r="B33" s="8" t="s">
        <v>433</v>
      </c>
    </row>
    <row r="35" spans="2:18" x14ac:dyDescent="0.2">
      <c r="B35" s="19" t="s">
        <v>215</v>
      </c>
    </row>
    <row r="36" spans="2:18" x14ac:dyDescent="0.2">
      <c r="B36" s="2" t="s">
        <v>341</v>
      </c>
      <c r="F36" s="2" t="s">
        <v>395</v>
      </c>
      <c r="J36" s="37">
        <f t="shared" ref="J36:J41" si="0">SUM(L36:P36)</f>
        <v>-306289.18371855997</v>
      </c>
      <c r="L36" s="27">
        <f>L17*(1+$H$14)</f>
        <v>-306289.18371855997</v>
      </c>
      <c r="M36" s="41"/>
      <c r="N36" s="41"/>
      <c r="O36" s="41"/>
      <c r="P36" s="41"/>
    </row>
    <row r="37" spans="2:18" x14ac:dyDescent="0.2">
      <c r="B37" s="32" t="s">
        <v>385</v>
      </c>
      <c r="F37" s="2" t="s">
        <v>395</v>
      </c>
      <c r="J37" s="37">
        <f t="shared" si="0"/>
        <v>26945.048609204365</v>
      </c>
      <c r="L37" s="27">
        <f t="shared" ref="L37:P38" si="1">L21*(1+$H$14)</f>
        <v>18099.998574427354</v>
      </c>
      <c r="M37" s="27">
        <f t="shared" si="1"/>
        <v>9514.4778234514997</v>
      </c>
      <c r="N37" s="27">
        <f t="shared" si="1"/>
        <v>-21306.50945109938</v>
      </c>
      <c r="O37" s="27">
        <f t="shared" si="1"/>
        <v>12857.194888924174</v>
      </c>
      <c r="P37" s="27">
        <f t="shared" si="1"/>
        <v>7779.8867735007134</v>
      </c>
    </row>
    <row r="38" spans="2:18" x14ac:dyDescent="0.2">
      <c r="B38" s="2" t="s">
        <v>458</v>
      </c>
      <c r="F38" s="2" t="s">
        <v>395</v>
      </c>
      <c r="J38" s="37">
        <f t="shared" si="0"/>
        <v>441594.34394632361</v>
      </c>
      <c r="L38" s="27">
        <f t="shared" si="1"/>
        <v>170452.24592961228</v>
      </c>
      <c r="M38" s="27">
        <f t="shared" si="1"/>
        <v>313586.38879612251</v>
      </c>
      <c r="N38" s="27">
        <f t="shared" si="1"/>
        <v>102482.84448331542</v>
      </c>
      <c r="O38" s="27">
        <f t="shared" si="1"/>
        <v>-139440.28996712645</v>
      </c>
      <c r="P38" s="27">
        <f t="shared" si="1"/>
        <v>-5486.8452956002366</v>
      </c>
    </row>
    <row r="39" spans="2:18" x14ac:dyDescent="0.2">
      <c r="B39" s="2" t="s">
        <v>706</v>
      </c>
      <c r="F39" s="2" t="s">
        <v>395</v>
      </c>
      <c r="J39" s="37">
        <f t="shared" si="0"/>
        <v>192241.95615015033</v>
      </c>
      <c r="L39" s="27">
        <f>L24*(1+$H$14)</f>
        <v>56972.845477972129</v>
      </c>
      <c r="M39" s="27">
        <f t="shared" ref="M39:P39" si="2">M24*(1+$H$14)</f>
        <v>28507.535120944671</v>
      </c>
      <c r="N39" s="27">
        <f t="shared" si="2"/>
        <v>26541.653610039273</v>
      </c>
      <c r="O39" s="27">
        <f t="shared" si="2"/>
        <v>79481.114534509092</v>
      </c>
      <c r="P39" s="27">
        <f t="shared" si="2"/>
        <v>738.80740668516535</v>
      </c>
    </row>
    <row r="40" spans="2:18" x14ac:dyDescent="0.2">
      <c r="B40" s="2" t="s">
        <v>430</v>
      </c>
      <c r="F40" s="2" t="s">
        <v>395</v>
      </c>
      <c r="J40" s="37">
        <f t="shared" si="0"/>
        <v>-3741.6419341279088</v>
      </c>
      <c r="L40" s="41"/>
      <c r="M40" s="41"/>
      <c r="N40" s="27">
        <f>N25*(1+$H$13)</f>
        <v>-3741.6419341279088</v>
      </c>
      <c r="O40" s="41"/>
      <c r="P40" s="41"/>
    </row>
    <row r="41" spans="2:18" x14ac:dyDescent="0.2">
      <c r="B41" s="2" t="s">
        <v>434</v>
      </c>
      <c r="F41" s="2" t="s">
        <v>395</v>
      </c>
      <c r="J41" s="37">
        <f t="shared" si="0"/>
        <v>346311.70879999996</v>
      </c>
      <c r="L41" s="35">
        <f>L26*(1+H14)</f>
        <v>346311.70879999996</v>
      </c>
      <c r="M41" s="41"/>
      <c r="N41" s="41"/>
      <c r="O41" s="41"/>
      <c r="P41" s="41"/>
    </row>
    <row r="43" spans="2:18" x14ac:dyDescent="0.2">
      <c r="B43" s="1" t="s">
        <v>455</v>
      </c>
    </row>
    <row r="44" spans="2:18" x14ac:dyDescent="0.2">
      <c r="B44" s="2" t="s">
        <v>334</v>
      </c>
      <c r="F44" s="2" t="s">
        <v>395</v>
      </c>
      <c r="J44" s="37">
        <f>SUM(L44:P44)</f>
        <v>-63056.318698847906</v>
      </c>
      <c r="L44" s="41"/>
      <c r="M44" s="27">
        <f>M18*(1+$H$13)</f>
        <v>-63056.318698847906</v>
      </c>
      <c r="N44" s="41"/>
      <c r="O44" s="41"/>
      <c r="P44" s="41"/>
    </row>
    <row r="45" spans="2:18" x14ac:dyDescent="0.2">
      <c r="B45" s="2" t="s">
        <v>459</v>
      </c>
      <c r="F45" s="2" t="s">
        <v>395</v>
      </c>
      <c r="J45" s="37">
        <f>SUM(L45:P45)</f>
        <v>13480.578907089701</v>
      </c>
      <c r="L45" s="41"/>
      <c r="M45" s="27">
        <f>M23*(1+$H$14)</f>
        <v>-83239.196860473457</v>
      </c>
      <c r="N45" s="41"/>
      <c r="O45" s="27">
        <f>O23*(1+$H$14)</f>
        <v>96719.775767563158</v>
      </c>
      <c r="P45" s="41"/>
    </row>
    <row r="47" spans="2:18" x14ac:dyDescent="0.2">
      <c r="B47" s="1" t="s">
        <v>537</v>
      </c>
    </row>
    <row r="48" spans="2:18" x14ac:dyDescent="0.2">
      <c r="B48" s="2" t="s">
        <v>465</v>
      </c>
      <c r="F48" s="2" t="s">
        <v>497</v>
      </c>
      <c r="L48" s="41"/>
      <c r="M48" s="96">
        <f>M44/L31</f>
        <v>-7.6136050603422371E-3</v>
      </c>
      <c r="N48" s="41"/>
      <c r="O48" s="41"/>
      <c r="P48" s="41"/>
      <c r="R48" s="2" t="s">
        <v>547</v>
      </c>
    </row>
    <row r="49" spans="2:16" x14ac:dyDescent="0.2">
      <c r="B49" s="2" t="s">
        <v>538</v>
      </c>
      <c r="F49" s="2" t="s">
        <v>396</v>
      </c>
      <c r="L49" s="41"/>
      <c r="M49" s="96">
        <f>M45/L30</f>
        <v>-4.7237561635553055E-3</v>
      </c>
      <c r="N49" s="41"/>
      <c r="O49" s="96">
        <f>O45/(N30-P30)</f>
        <v>0.48460686110892237</v>
      </c>
      <c r="P49" s="41"/>
    </row>
    <row r="52" spans="2:16" x14ac:dyDescent="0.2">
      <c r="B52" s="4" t="s">
        <v>63</v>
      </c>
    </row>
  </sheetData>
  <phoneticPr fontId="3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3C7A6-D0CD-4E9A-8AC4-964CA220C839}">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4"/>
  </cols>
  <sheetData>
    <row r="2" spans="2:2" x14ac:dyDescent="0.2">
      <c r="B2" s="33" t="s">
        <v>135</v>
      </c>
    </row>
    <row r="3" spans="2:2" x14ac:dyDescent="0.2">
      <c r="B3" s="33"/>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6FDE-B20B-464F-A124-A312451D0D3D}">
  <sheetPr>
    <tabColor rgb="FFFFFFCC"/>
  </sheetPr>
  <dimension ref="A2:R68"/>
  <sheetViews>
    <sheetView showGridLines="0" zoomScale="85" zoomScaleNormal="85" workbookViewId="0">
      <pane xSplit="6" ySplit="9" topLeftCell="G10" activePane="bottomRight" state="frozen"/>
      <selection pane="topRight" activeCell="G1" sqref="G1"/>
      <selection pane="bottomLeft" activeCell="A10" sqref="A10"/>
      <selection pane="bottomRight" activeCell="G10" sqref="G10"/>
    </sheetView>
  </sheetViews>
  <sheetFormatPr defaultColWidth="9.140625" defaultRowHeight="12.75" x14ac:dyDescent="0.2"/>
  <cols>
    <col min="1" max="1" width="4.5703125" style="2" customWidth="1"/>
    <col min="2" max="2" width="41.425781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467</v>
      </c>
    </row>
    <row r="4" spans="2:18" x14ac:dyDescent="0.2">
      <c r="B4" s="19" t="s">
        <v>189</v>
      </c>
      <c r="C4" s="1"/>
      <c r="D4" s="1"/>
    </row>
    <row r="5" spans="2:18" x14ac:dyDescent="0.2">
      <c r="B5" s="2" t="s">
        <v>595</v>
      </c>
      <c r="C5" s="3"/>
      <c r="D5" s="3"/>
      <c r="H5" s="13"/>
    </row>
    <row r="6" spans="2:18" x14ac:dyDescent="0.2">
      <c r="B6" s="2" t="s">
        <v>596</v>
      </c>
      <c r="C6" s="3"/>
      <c r="D6" s="3"/>
      <c r="H6" s="13"/>
    </row>
    <row r="7" spans="2:18" x14ac:dyDescent="0.2">
      <c r="C7" s="3"/>
      <c r="D7" s="3"/>
      <c r="H7" s="13"/>
    </row>
    <row r="8" spans="2:18" s="8" customFormat="1" ht="12.75" customHeight="1" x14ac:dyDescent="0.2">
      <c r="B8" s="8" t="s">
        <v>82</v>
      </c>
      <c r="F8" s="8" t="s">
        <v>83</v>
      </c>
      <c r="H8" s="8" t="s">
        <v>37</v>
      </c>
      <c r="J8" s="8" t="s">
        <v>38</v>
      </c>
      <c r="L8" s="8" t="s">
        <v>171</v>
      </c>
      <c r="M8" s="8" t="s">
        <v>70</v>
      </c>
      <c r="N8" s="8" t="s">
        <v>71</v>
      </c>
      <c r="O8" s="8" t="s">
        <v>72</v>
      </c>
      <c r="P8" s="8" t="s">
        <v>73</v>
      </c>
      <c r="R8" s="8" t="s">
        <v>39</v>
      </c>
    </row>
    <row r="11" spans="2:18" s="8" customFormat="1" ht="12.75" customHeight="1" x14ac:dyDescent="0.2">
      <c r="B11" s="8" t="s">
        <v>172</v>
      </c>
    </row>
    <row r="12" spans="2:18" ht="12.75" customHeight="1" x14ac:dyDescent="0.2"/>
    <row r="13" spans="2:18" ht="12.75" customHeight="1" x14ac:dyDescent="0.2">
      <c r="B13" s="19" t="s">
        <v>64</v>
      </c>
    </row>
    <row r="14" spans="2:18" ht="12.75" customHeight="1" x14ac:dyDescent="0.2">
      <c r="B14" s="2" t="s">
        <v>75</v>
      </c>
      <c r="F14" s="2" t="s">
        <v>74</v>
      </c>
      <c r="H14" s="67">
        <f>Parameters!H19</f>
        <v>0</v>
      </c>
    </row>
    <row r="15" spans="2:18" ht="12.75" customHeight="1" x14ac:dyDescent="0.2">
      <c r="B15" s="2" t="s">
        <v>294</v>
      </c>
      <c r="F15" s="2" t="s">
        <v>74</v>
      </c>
      <c r="H15" s="67">
        <f>Parameters!H20</f>
        <v>3.1E-2</v>
      </c>
    </row>
    <row r="16" spans="2:18" ht="12.75" customHeight="1" x14ac:dyDescent="0.2">
      <c r="B16" s="2" t="s">
        <v>295</v>
      </c>
      <c r="F16" s="2" t="s">
        <v>74</v>
      </c>
      <c r="L16" s="79">
        <f>Parameters!H34</f>
        <v>6.4500000000000002E-2</v>
      </c>
      <c r="M16" s="79">
        <f>Parameters!H35</f>
        <v>5.6899999999999999E-2</v>
      </c>
      <c r="N16" s="79">
        <f>Parameters!H36</f>
        <v>6.3600000000000004E-2</v>
      </c>
      <c r="O16" s="79">
        <f>Parameters!H36</f>
        <v>6.3600000000000004E-2</v>
      </c>
      <c r="P16" s="79">
        <f>Parameters!H36</f>
        <v>6.3600000000000004E-2</v>
      </c>
    </row>
    <row r="17" spans="1:16" ht="12.75" customHeight="1" x14ac:dyDescent="0.2">
      <c r="B17" s="2" t="s">
        <v>589</v>
      </c>
      <c r="F17" s="2" t="s">
        <v>74</v>
      </c>
      <c r="H17" s="68">
        <f>'Estimates for 2025'!P28</f>
        <v>0.01</v>
      </c>
    </row>
    <row r="18" spans="1:16" ht="12.75" customHeight="1" x14ac:dyDescent="0.2"/>
    <row r="19" spans="1:16" ht="12.75" customHeight="1" x14ac:dyDescent="0.2">
      <c r="B19" s="1" t="s">
        <v>174</v>
      </c>
    </row>
    <row r="20" spans="1:16" s="20" customFormat="1" ht="12.75" customHeight="1" x14ac:dyDescent="0.2">
      <c r="A20" s="2"/>
      <c r="B20" s="20" t="s">
        <v>36</v>
      </c>
      <c r="C20" s="2"/>
      <c r="D20" s="2"/>
      <c r="E20" s="2"/>
      <c r="F20" s="20" t="s">
        <v>94</v>
      </c>
      <c r="L20" s="20" t="s">
        <v>95</v>
      </c>
      <c r="M20" s="20" t="s">
        <v>96</v>
      </c>
      <c r="N20" s="20" t="s">
        <v>97</v>
      </c>
      <c r="O20" s="20" t="s">
        <v>98</v>
      </c>
      <c r="P20" s="20" t="s">
        <v>97</v>
      </c>
    </row>
    <row r="21" spans="1:16" ht="12.75" customHeight="1" x14ac:dyDescent="0.2">
      <c r="B21" s="2" t="s">
        <v>343</v>
      </c>
      <c r="F21" s="2" t="s">
        <v>94</v>
      </c>
      <c r="L21" s="69">
        <f>'Historical data'!L17</f>
        <v>15605964.800000001</v>
      </c>
      <c r="M21" s="69">
        <f>'Historical data'!M15</f>
        <v>18667.055804667601</v>
      </c>
      <c r="N21" s="69">
        <f>'Historical data'!N15</f>
        <v>193569</v>
      </c>
      <c r="O21" s="69">
        <f>'Historical data'!O15</f>
        <v>1113.5</v>
      </c>
      <c r="P21" s="69">
        <f>'Historical data'!P15</f>
        <v>1047.55</v>
      </c>
    </row>
    <row r="22" spans="1:16" ht="12.75" customHeight="1" x14ac:dyDescent="0.2"/>
    <row r="23" spans="1:16" ht="12.75" customHeight="1" x14ac:dyDescent="0.2">
      <c r="B23" s="1" t="s">
        <v>594</v>
      </c>
    </row>
    <row r="24" spans="1:16" ht="12.75" customHeight="1" x14ac:dyDescent="0.2">
      <c r="B24" s="2" t="s">
        <v>392</v>
      </c>
      <c r="F24" s="2" t="s">
        <v>109</v>
      </c>
      <c r="J24" s="37">
        <f>SUM(L24:P24)</f>
        <v>4569771</v>
      </c>
      <c r="L24" s="69">
        <f>'Financial data'!L16</f>
        <v>1809291.5249999999</v>
      </c>
      <c r="M24" s="69">
        <f>'Financial data'!M16</f>
        <v>1448608.9750000001</v>
      </c>
      <c r="N24" s="69">
        <f>'Financial data'!N16</f>
        <v>648424.25</v>
      </c>
      <c r="O24" s="69">
        <f>'Financial data'!O16</f>
        <v>663446.25</v>
      </c>
      <c r="P24" s="66"/>
    </row>
    <row r="25" spans="1:16" ht="12.75" customHeight="1" x14ac:dyDescent="0.2">
      <c r="B25" s="2" t="s">
        <v>393</v>
      </c>
      <c r="F25" s="2" t="s">
        <v>109</v>
      </c>
      <c r="J25" s="37">
        <f>SUM(L25:P25)</f>
        <v>185632</v>
      </c>
      <c r="L25" s="69">
        <f>'Financial data'!L17</f>
        <v>0</v>
      </c>
      <c r="M25" s="69">
        <f>'Financial data'!M17</f>
        <v>161766</v>
      </c>
      <c r="N25" s="69">
        <f>'Financial data'!N17</f>
        <v>0</v>
      </c>
      <c r="O25" s="69">
        <f>'Financial data'!O17</f>
        <v>23866</v>
      </c>
      <c r="P25" s="66"/>
    </row>
    <row r="26" spans="1:16" ht="12.75" customHeight="1" x14ac:dyDescent="0.2">
      <c r="B26" s="2" t="s">
        <v>339</v>
      </c>
      <c r="F26" s="2" t="s">
        <v>90</v>
      </c>
      <c r="J26" s="37">
        <f>SUM(L26:P26)</f>
        <v>9781763.0934432726</v>
      </c>
      <c r="L26" s="69">
        <f>'Financial data'!L23</f>
        <v>3133067.5893631591</v>
      </c>
      <c r="M26" s="69">
        <f>'Financial data'!M23</f>
        <v>2103900.4805621775</v>
      </c>
      <c r="N26" s="69">
        <f>'Financial data'!N23</f>
        <v>1316546.0730826384</v>
      </c>
      <c r="O26" s="69">
        <f>'Financial data'!O23</f>
        <v>3226221.553020949</v>
      </c>
      <c r="P26" s="69">
        <f>'Financial data'!P23</f>
        <v>2027.3974143497608</v>
      </c>
    </row>
    <row r="27" spans="1:16" ht="12.75" customHeight="1" x14ac:dyDescent="0.2">
      <c r="B27" s="2" t="s">
        <v>287</v>
      </c>
      <c r="F27" s="2" t="s">
        <v>90</v>
      </c>
      <c r="J27" s="37">
        <f>SUM(L27:P27)</f>
        <v>962017.02892966114</v>
      </c>
      <c r="L27" s="69">
        <f>'Financial data'!L24</f>
        <v>388402.20761383319</v>
      </c>
      <c r="M27" s="69">
        <f>'Financial data'!M24</f>
        <v>225711.24242000727</v>
      </c>
      <c r="N27" s="69">
        <f>'Financial data'!N24</f>
        <v>127230.91732758385</v>
      </c>
      <c r="O27" s="69">
        <f>'Financial data'!O24</f>
        <v>220288.35036130657</v>
      </c>
      <c r="P27" s="69">
        <f>'Financial data'!P24</f>
        <v>384.31120693018482</v>
      </c>
    </row>
    <row r="28" spans="1:16" ht="12.75" customHeight="1" x14ac:dyDescent="0.2">
      <c r="B28" s="2" t="s">
        <v>173</v>
      </c>
      <c r="F28" s="2" t="s">
        <v>109</v>
      </c>
      <c r="J28" s="37">
        <f>SUM(L28:P28)</f>
        <v>49123.72334949761</v>
      </c>
      <c r="L28" s="70"/>
      <c r="M28" s="70"/>
      <c r="N28" s="70"/>
      <c r="O28" s="69">
        <f>'Historical data'!O24</f>
        <v>49123.72334949761</v>
      </c>
      <c r="P28" s="66"/>
    </row>
    <row r="29" spans="1:16" ht="12.75" customHeight="1" x14ac:dyDescent="0.2">
      <c r="B29" s="2" t="s">
        <v>411</v>
      </c>
      <c r="F29" s="2" t="s">
        <v>74</v>
      </c>
      <c r="L29" s="72">
        <f>'Financial data'!L27</f>
        <v>0.19410125059831115</v>
      </c>
      <c r="M29" s="72">
        <f>'Financial data'!M27</f>
        <v>0.27580884597893079</v>
      </c>
      <c r="N29" s="72">
        <f>'Financial data'!N27</f>
        <v>0.12889013723645187</v>
      </c>
      <c r="O29" s="72">
        <f>'Financial data'!O27</f>
        <v>0.30232576550308171</v>
      </c>
      <c r="P29" s="72">
        <f>'Financial data'!P27</f>
        <v>0.30232576550308171</v>
      </c>
    </row>
    <row r="30" spans="1:16" ht="12.75" customHeight="1" x14ac:dyDescent="0.2">
      <c r="B30" s="2" t="s">
        <v>651</v>
      </c>
      <c r="F30" s="2" t="s">
        <v>74</v>
      </c>
      <c r="L30" s="72">
        <f>'Financial data'!L28</f>
        <v>0.80589874940168882</v>
      </c>
      <c r="M30" s="72">
        <f>'Financial data'!M28</f>
        <v>0.72419115402106926</v>
      </c>
      <c r="N30" s="72">
        <f>'Financial data'!N28</f>
        <v>0.87110986276354807</v>
      </c>
      <c r="O30" s="72">
        <f>'Financial data'!O28</f>
        <v>0.69767423449691823</v>
      </c>
      <c r="P30" s="72">
        <f>'Financial data'!P28</f>
        <v>0.69767423449691823</v>
      </c>
    </row>
    <row r="31" spans="1:16" ht="12.75" customHeight="1" x14ac:dyDescent="0.2">
      <c r="B31" s="2" t="s">
        <v>80</v>
      </c>
      <c r="F31" s="2" t="s">
        <v>74</v>
      </c>
      <c r="L31" s="72">
        <f>'Financial data'!L29</f>
        <v>0</v>
      </c>
      <c r="M31" s="72">
        <f>'Financial data'!M29</f>
        <v>0.5</v>
      </c>
      <c r="N31" s="72">
        <f>'Financial data'!N29</f>
        <v>0</v>
      </c>
      <c r="O31" s="72">
        <f>'Financial data'!O29</f>
        <v>0</v>
      </c>
      <c r="P31" s="72">
        <f>'Financial data'!P29</f>
        <v>0.5</v>
      </c>
    </row>
    <row r="32" spans="1:16" ht="12.75" customHeight="1" x14ac:dyDescent="0.2">
      <c r="B32" s="2" t="s">
        <v>652</v>
      </c>
      <c r="F32" s="2" t="s">
        <v>74</v>
      </c>
      <c r="L32" s="72">
        <f>'Financial data'!L30</f>
        <v>1</v>
      </c>
      <c r="M32" s="72">
        <f>'Financial data'!M30</f>
        <v>0.5</v>
      </c>
      <c r="N32" s="72">
        <f>'Financial data'!N30</f>
        <v>1</v>
      </c>
      <c r="O32" s="72">
        <f>'Financial data'!O30</f>
        <v>1</v>
      </c>
      <c r="P32" s="72">
        <f>'Financial data'!P30</f>
        <v>0.5</v>
      </c>
    </row>
    <row r="34" spans="1:18" ht="12.75" customHeight="1" x14ac:dyDescent="0.2">
      <c r="B34" s="1" t="s">
        <v>440</v>
      </c>
    </row>
    <row r="35" spans="1:18" ht="12.75" customHeight="1" x14ac:dyDescent="0.2">
      <c r="B35" s="2" t="s">
        <v>399</v>
      </c>
      <c r="F35" s="2" t="s">
        <v>398</v>
      </c>
      <c r="L35" s="10"/>
      <c r="M35" s="10"/>
      <c r="N35" s="10"/>
      <c r="O35" s="69">
        <f>'Financial data'!O44</f>
        <v>4900.7129353836253</v>
      </c>
      <c r="P35" s="10"/>
    </row>
    <row r="36" spans="1:18" ht="12.75" customHeight="1" x14ac:dyDescent="0.2">
      <c r="B36" s="2" t="s">
        <v>400</v>
      </c>
      <c r="F36" s="2" t="s">
        <v>398</v>
      </c>
      <c r="L36" s="10"/>
      <c r="M36" s="10"/>
      <c r="N36" s="10"/>
      <c r="O36" s="69">
        <f>'Financial data'!O45</f>
        <v>328.90738935567856</v>
      </c>
      <c r="P36" s="10"/>
    </row>
    <row r="37" spans="1:18" ht="12.75" customHeight="1" x14ac:dyDescent="0.2">
      <c r="B37" s="2" t="s">
        <v>696</v>
      </c>
      <c r="F37" s="2" t="s">
        <v>90</v>
      </c>
      <c r="L37" s="26">
        <f>'Financial data'!L61</f>
        <v>765802.51714071678</v>
      </c>
      <c r="M37" s="10"/>
      <c r="N37" s="10"/>
      <c r="O37" s="10"/>
      <c r="P37" s="10"/>
    </row>
    <row r="38" spans="1:18" ht="12.75" customHeight="1" x14ac:dyDescent="0.2">
      <c r="B38" s="2" t="s">
        <v>697</v>
      </c>
      <c r="F38" s="2" t="s">
        <v>90</v>
      </c>
      <c r="L38" s="26">
        <f>'Financial data'!L57</f>
        <v>55384.077100616021</v>
      </c>
      <c r="M38" s="10"/>
      <c r="N38" s="10"/>
      <c r="O38" s="10"/>
      <c r="P38" s="10"/>
    </row>
    <row r="39" spans="1:18" ht="12.75" customHeight="1" x14ac:dyDescent="0.2">
      <c r="B39" s="2" t="s">
        <v>698</v>
      </c>
      <c r="F39" s="2" t="s">
        <v>90</v>
      </c>
      <c r="L39" s="27">
        <f>L37*L16+L38</f>
        <v>104778.33945619225</v>
      </c>
      <c r="M39" s="59"/>
      <c r="N39" s="59"/>
      <c r="O39" s="59"/>
      <c r="P39" s="59"/>
    </row>
    <row r="40" spans="1:18" ht="12.75" customHeight="1" x14ac:dyDescent="0.2">
      <c r="A40" s="76"/>
    </row>
    <row r="41" spans="1:18" s="8" customFormat="1" ht="12.75" customHeight="1" x14ac:dyDescent="0.2">
      <c r="B41" s="8" t="s">
        <v>410</v>
      </c>
    </row>
    <row r="42" spans="1:18" ht="12.75" customHeight="1" x14ac:dyDescent="0.2">
      <c r="A42" s="76"/>
    </row>
    <row r="43" spans="1:18" ht="12.75" customHeight="1" x14ac:dyDescent="0.2">
      <c r="B43" s="1" t="s">
        <v>412</v>
      </c>
      <c r="R43" s="2" t="s">
        <v>604</v>
      </c>
    </row>
    <row r="44" spans="1:18" ht="12.75" customHeight="1" x14ac:dyDescent="0.2">
      <c r="B44" s="2" t="s">
        <v>394</v>
      </c>
      <c r="F44" s="2" t="s">
        <v>109</v>
      </c>
      <c r="J44" s="37">
        <f>SUM(L44:P44)</f>
        <v>4569771</v>
      </c>
      <c r="L44" s="69">
        <f t="shared" ref="L44:N47" si="0">L24</f>
        <v>1809291.5249999999</v>
      </c>
      <c r="M44" s="69">
        <f t="shared" si="0"/>
        <v>1448608.9750000001</v>
      </c>
      <c r="N44" s="69">
        <f t="shared" si="0"/>
        <v>648424.25</v>
      </c>
      <c r="O44" s="71">
        <f>O24*(1-$H$17)</f>
        <v>656811.78749999998</v>
      </c>
      <c r="P44" s="71">
        <f>O24*$H$17</f>
        <v>6634.4625000000005</v>
      </c>
    </row>
    <row r="45" spans="1:18" ht="12.75" customHeight="1" x14ac:dyDescent="0.2">
      <c r="B45" s="2" t="s">
        <v>393</v>
      </c>
      <c r="F45" s="2" t="s">
        <v>109</v>
      </c>
      <c r="J45" s="37">
        <f>SUM(L45:P45)</f>
        <v>185632</v>
      </c>
      <c r="L45" s="69">
        <f t="shared" si="0"/>
        <v>0</v>
      </c>
      <c r="M45" s="69">
        <f t="shared" si="0"/>
        <v>161766</v>
      </c>
      <c r="N45" s="69">
        <f t="shared" si="0"/>
        <v>0</v>
      </c>
      <c r="O45" s="71">
        <f>O25*(1-$H$17)</f>
        <v>23627.34</v>
      </c>
      <c r="P45" s="71">
        <f>O25*$H$17</f>
        <v>238.66</v>
      </c>
    </row>
    <row r="46" spans="1:18" ht="12.75" customHeight="1" x14ac:dyDescent="0.2">
      <c r="B46" s="2" t="s">
        <v>339</v>
      </c>
      <c r="F46" s="2" t="s">
        <v>90</v>
      </c>
      <c r="J46" s="37">
        <f>SUM(L46:P46)</f>
        <v>9781763.0934432745</v>
      </c>
      <c r="L46" s="69">
        <f t="shared" si="0"/>
        <v>3133067.5893631591</v>
      </c>
      <c r="M46" s="69">
        <f t="shared" si="0"/>
        <v>2103900.4805621775</v>
      </c>
      <c r="N46" s="69">
        <f t="shared" si="0"/>
        <v>1316546.0730826384</v>
      </c>
      <c r="O46" s="71">
        <f>O26*(1-$H$17)</f>
        <v>3193959.3374907393</v>
      </c>
      <c r="P46" s="71">
        <f>O26*$H$17+P26</f>
        <v>34289.612944559252</v>
      </c>
    </row>
    <row r="47" spans="1:18" ht="12.75" customHeight="1" x14ac:dyDescent="0.2">
      <c r="B47" s="2" t="s">
        <v>287</v>
      </c>
      <c r="F47" s="2" t="s">
        <v>90</v>
      </c>
      <c r="J47" s="37">
        <f>SUM(L47:P47)</f>
        <v>962017.02892966114</v>
      </c>
      <c r="L47" s="69">
        <f t="shared" si="0"/>
        <v>388402.20761383319</v>
      </c>
      <c r="M47" s="69">
        <f t="shared" si="0"/>
        <v>225711.24242000727</v>
      </c>
      <c r="N47" s="69">
        <f t="shared" si="0"/>
        <v>127230.91732758385</v>
      </c>
      <c r="O47" s="71">
        <f>O27*(1-$H$17)</f>
        <v>218085.46685769351</v>
      </c>
      <c r="P47" s="71">
        <f>O27*$H$17+P27</f>
        <v>2587.1947105432505</v>
      </c>
    </row>
    <row r="48" spans="1:18" ht="12.75" customHeight="1" x14ac:dyDescent="0.2"/>
    <row r="49" spans="2:18" s="8" customFormat="1" ht="12.75" customHeight="1" x14ac:dyDescent="0.2">
      <c r="B49" s="8" t="s">
        <v>409</v>
      </c>
    </row>
    <row r="50" spans="2:18" ht="12.75" customHeight="1" x14ac:dyDescent="0.25">
      <c r="M50" s="73"/>
      <c r="N50" s="73"/>
      <c r="O50" s="73"/>
      <c r="P50" s="73"/>
    </row>
    <row r="51" spans="2:18" ht="12.75" customHeight="1" x14ac:dyDescent="0.25">
      <c r="B51" s="1" t="s">
        <v>175</v>
      </c>
      <c r="M51" s="73"/>
      <c r="N51" s="73"/>
      <c r="O51" s="73"/>
      <c r="P51" s="73"/>
    </row>
    <row r="52" spans="2:18" ht="12.75" customHeight="1" x14ac:dyDescent="0.2">
      <c r="B52" s="2" t="s">
        <v>387</v>
      </c>
      <c r="F52" s="2" t="s">
        <v>109</v>
      </c>
      <c r="J52" s="37">
        <f>SUM(L52:P52)</f>
        <v>3300137.9733102624</v>
      </c>
      <c r="L52" s="37">
        <f>L44*L30-L45</f>
        <v>1458105.7773005744</v>
      </c>
      <c r="M52" s="37">
        <f>M44*M30-M45</f>
        <v>887303.80533052841</v>
      </c>
      <c r="N52" s="37">
        <f>N44*N30-N45</f>
        <v>564848.75943005655</v>
      </c>
      <c r="O52" s="23">
        <f>O44*O30-O45-O28</f>
        <v>385489.59770311741</v>
      </c>
      <c r="P52" s="37">
        <f>P44*P30-P45</f>
        <v>4390.0335459860107</v>
      </c>
      <c r="R52" s="2" t="s">
        <v>207</v>
      </c>
    </row>
    <row r="53" spans="2:18" ht="12.75" customHeight="1" x14ac:dyDescent="0.2">
      <c r="B53" s="2" t="s">
        <v>388</v>
      </c>
      <c r="F53" s="2" t="s">
        <v>109</v>
      </c>
      <c r="J53" s="37">
        <f>SUM(L53:P53)</f>
        <v>1034877.3033402397</v>
      </c>
      <c r="L53" s="37">
        <f>L44*L29</f>
        <v>351185.74769942556</v>
      </c>
      <c r="M53" s="37">
        <f>M44*M29</f>
        <v>399539.16966947186</v>
      </c>
      <c r="N53" s="37">
        <f>N44*N29</f>
        <v>83575.490569943373</v>
      </c>
      <c r="O53" s="37">
        <f>O44*O29</f>
        <v>198571.12644738492</v>
      </c>
      <c r="P53" s="37">
        <f>P44*P29</f>
        <v>2005.7689540139895</v>
      </c>
    </row>
    <row r="54" spans="2:18" ht="12.75" customHeight="1" x14ac:dyDescent="0.2">
      <c r="B54" s="2" t="s">
        <v>389</v>
      </c>
      <c r="F54" s="2" t="s">
        <v>311</v>
      </c>
      <c r="L54" s="62">
        <f>L53/L21</f>
        <v>2.2503302564121221E-2</v>
      </c>
      <c r="M54" s="35">
        <f>M53/M21</f>
        <v>21.403437898844718</v>
      </c>
      <c r="N54" s="35">
        <f>N53/N21</f>
        <v>0.43176071876149263</v>
      </c>
      <c r="O54" s="35">
        <f>O53/O21</f>
        <v>178.33060300618314</v>
      </c>
      <c r="P54" s="35">
        <f>P53/P21</f>
        <v>1.9147238356297929</v>
      </c>
    </row>
    <row r="55" spans="2:18" ht="12.75" customHeight="1" x14ac:dyDescent="0.25">
      <c r="M55" s="73"/>
      <c r="N55" s="73"/>
      <c r="O55" s="73"/>
      <c r="P55" s="73"/>
    </row>
    <row r="56" spans="2:18" ht="12.75" customHeight="1" x14ac:dyDescent="0.25">
      <c r="B56" s="1" t="s">
        <v>176</v>
      </c>
      <c r="M56" s="73"/>
      <c r="N56" s="74"/>
      <c r="O56" s="73"/>
      <c r="P56" s="73"/>
    </row>
    <row r="57" spans="2:18" ht="12.75" customHeight="1" x14ac:dyDescent="0.2">
      <c r="B57" s="2" t="s">
        <v>397</v>
      </c>
      <c r="F57" s="2" t="s">
        <v>90</v>
      </c>
      <c r="J57" s="37">
        <f>SUM(L57:P57)</f>
        <v>1572860.7892833136</v>
      </c>
      <c r="L57" s="23">
        <f>L16*L46+L47</f>
        <v>590485.06712775701</v>
      </c>
      <c r="M57" s="37">
        <f>M16*M46+M47</f>
        <v>345423.17976399517</v>
      </c>
      <c r="N57" s="37">
        <f>N16*N46+N47</f>
        <v>210963.24757563966</v>
      </c>
      <c r="O57" s="37">
        <f>O16*O46+O47</f>
        <v>421221.28072210454</v>
      </c>
      <c r="P57" s="37">
        <f>P16*P46+P47</f>
        <v>4768.014093817219</v>
      </c>
    </row>
    <row r="58" spans="2:18" ht="12.75" customHeight="1" x14ac:dyDescent="0.2">
      <c r="B58" s="2" t="s">
        <v>390</v>
      </c>
      <c r="F58" s="2" t="s">
        <v>90</v>
      </c>
      <c r="J58" s="37">
        <f>SUM(L58:P58)</f>
        <v>1502543.5318105996</v>
      </c>
      <c r="L58" s="37">
        <f>L57*L32+L39</f>
        <v>695263.40658394923</v>
      </c>
      <c r="M58" s="37">
        <f>M57*M32</f>
        <v>172711.58988199758</v>
      </c>
      <c r="N58" s="37">
        <f>N57*N32</f>
        <v>210963.24757563966</v>
      </c>
      <c r="O58" s="37">
        <f>O57*O32</f>
        <v>421221.28072210454</v>
      </c>
      <c r="P58" s="37">
        <f>P57*P32</f>
        <v>2384.0070469086095</v>
      </c>
      <c r="R58" s="18"/>
    </row>
    <row r="59" spans="2:18" ht="12.75" customHeight="1" x14ac:dyDescent="0.2">
      <c r="B59" s="2" t="s">
        <v>406</v>
      </c>
      <c r="F59" s="2" t="s">
        <v>90</v>
      </c>
      <c r="J59" s="37">
        <f>SUM(L59:P59)</f>
        <v>175095.59692890619</v>
      </c>
      <c r="L59" s="37">
        <f>L57*L31</f>
        <v>0</v>
      </c>
      <c r="M59" s="37">
        <f>M57*M31</f>
        <v>172711.58988199758</v>
      </c>
      <c r="N59" s="37">
        <f>N57*N31</f>
        <v>0</v>
      </c>
      <c r="O59" s="37">
        <f>O57*O31</f>
        <v>0</v>
      </c>
      <c r="P59" s="37">
        <f>P57*P31</f>
        <v>2384.0070469086095</v>
      </c>
    </row>
    <row r="60" spans="2:18" ht="12.75" customHeight="1" x14ac:dyDescent="0.2">
      <c r="B60" s="2" t="s">
        <v>407</v>
      </c>
      <c r="F60" s="2" t="s">
        <v>177</v>
      </c>
      <c r="L60" s="35">
        <f>L59/L21</f>
        <v>0</v>
      </c>
      <c r="M60" s="35">
        <f>M59/M21</f>
        <v>9.2522137228952808</v>
      </c>
      <c r="N60" s="35">
        <f>N59/N21</f>
        <v>0</v>
      </c>
      <c r="O60" s="35">
        <f>O59/O21</f>
        <v>0</v>
      </c>
      <c r="P60" s="35">
        <f>P59/P21</f>
        <v>2.2757930856843203</v>
      </c>
    </row>
    <row r="61" spans="2:18" ht="12.75" customHeight="1" x14ac:dyDescent="0.2"/>
    <row r="62" spans="2:18" ht="12.75" customHeight="1" x14ac:dyDescent="0.25">
      <c r="B62" s="1" t="s">
        <v>408</v>
      </c>
      <c r="M62" s="73"/>
      <c r="N62" s="73"/>
      <c r="O62" s="73"/>
      <c r="P62" s="73"/>
    </row>
    <row r="63" spans="2:18" ht="12.75" customHeight="1" x14ac:dyDescent="0.2">
      <c r="B63" s="2" t="s">
        <v>391</v>
      </c>
      <c r="F63" s="2" t="s">
        <v>395</v>
      </c>
      <c r="J63" s="37">
        <f>SUM(L63:P63)</f>
        <v>4904985.7822934799</v>
      </c>
      <c r="L63" s="21">
        <f>L52*(1+$H$14)*(1+$H$15)+L58</f>
        <v>2198570.4629808413</v>
      </c>
      <c r="M63" s="21">
        <f>M52*(1+$H$14)*(1+$H$15)+M58</f>
        <v>1087521.8131777723</v>
      </c>
      <c r="N63" s="21">
        <f>N52*(1+$H$14)*(1+$H$15)+N58</f>
        <v>793322.31854802789</v>
      </c>
      <c r="O63" s="21">
        <f>O52*(1+$H$14)*(1+$H$15)+O58</f>
        <v>818661.05595401861</v>
      </c>
      <c r="P63" s="21">
        <f>P52*(1+$H$14)*(1+$H$15)+P58</f>
        <v>6910.1316328201865</v>
      </c>
    </row>
    <row r="64" spans="2:18" ht="12.75" customHeight="1" x14ac:dyDescent="0.2">
      <c r="B64" s="2" t="s">
        <v>405</v>
      </c>
      <c r="F64" s="2" t="s">
        <v>396</v>
      </c>
      <c r="L64" s="81">
        <f>L54*(1+$H$14)*(1+$H$15)+L60</f>
        <v>2.3200904943608977E-2</v>
      </c>
      <c r="M64" s="81">
        <f>M54*(1+$H$14)*(1+$H$15)+M60</f>
        <v>31.319158196604182</v>
      </c>
      <c r="N64" s="81">
        <f>N54*(1+$H$14)*(1+$H$15)+N60</f>
        <v>0.44514530104309885</v>
      </c>
      <c r="O64" s="81">
        <f>O54*(1+$H$14)*(1+$H$15)+O60</f>
        <v>183.85885169937481</v>
      </c>
      <c r="P64" s="81">
        <f>P54*(1+$H$14)*(1+$H$15)+P60</f>
        <v>4.2498733602186363</v>
      </c>
    </row>
    <row r="65" spans="2:16" ht="12.75" customHeight="1" x14ac:dyDescent="0.2">
      <c r="B65" s="2" t="s">
        <v>441</v>
      </c>
      <c r="F65" s="2" t="s">
        <v>438</v>
      </c>
      <c r="L65" s="95"/>
      <c r="M65" s="41"/>
      <c r="N65" s="41"/>
      <c r="O65" s="144">
        <f>O36+O35*O16</f>
        <v>640.59273204607712</v>
      </c>
      <c r="P65" s="41"/>
    </row>
    <row r="66" spans="2:16" ht="12.75" customHeight="1" x14ac:dyDescent="0.2"/>
    <row r="68" spans="2:16" x14ac:dyDescent="0.2">
      <c r="B68" s="4" t="s">
        <v>63</v>
      </c>
    </row>
  </sheetData>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0C7C-27E7-4904-A897-12A386B7322B}">
  <sheetPr>
    <tabColor rgb="FFFFFFCC"/>
  </sheetPr>
  <dimension ref="B2:R38"/>
  <sheetViews>
    <sheetView showGridLines="0" zoomScale="85" zoomScaleNormal="85" workbookViewId="0">
      <pane xSplit="6" ySplit="9" topLeftCell="G10" activePane="bottomRight" state="frozen"/>
      <selection activeCell="H13" sqref="H13"/>
      <selection pane="topRight" activeCell="H13" sqref="H13"/>
      <selection pane="bottomLeft" activeCell="H13" sqref="H13"/>
      <selection pane="bottomRight" activeCell="G10" sqref="G10"/>
    </sheetView>
  </sheetViews>
  <sheetFormatPr defaultColWidth="9.140625" defaultRowHeight="12.75" x14ac:dyDescent="0.2"/>
  <cols>
    <col min="1" max="1" width="4.5703125" style="2" customWidth="1"/>
    <col min="2" max="2" width="41.425781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466</v>
      </c>
    </row>
    <row r="4" spans="2:18" x14ac:dyDescent="0.2">
      <c r="B4" s="1" t="s">
        <v>189</v>
      </c>
      <c r="C4" s="1"/>
      <c r="D4" s="1"/>
    </row>
    <row r="5" spans="2:18" x14ac:dyDescent="0.2">
      <c r="B5" s="2" t="s">
        <v>545</v>
      </c>
      <c r="C5" s="3"/>
      <c r="D5" s="3"/>
      <c r="H5" s="13"/>
    </row>
    <row r="6" spans="2:18" x14ac:dyDescent="0.2">
      <c r="B6" s="2" t="s">
        <v>622</v>
      </c>
      <c r="C6" s="3"/>
      <c r="D6" s="3"/>
      <c r="H6" s="13"/>
    </row>
    <row r="7" spans="2:18" x14ac:dyDescent="0.2">
      <c r="C7" s="3"/>
      <c r="D7" s="3"/>
      <c r="H7" s="13"/>
    </row>
    <row r="8" spans="2:18" s="8" customFormat="1" ht="12.75" customHeight="1" x14ac:dyDescent="0.2">
      <c r="B8" s="8" t="s">
        <v>82</v>
      </c>
      <c r="F8" s="8" t="s">
        <v>83</v>
      </c>
      <c r="H8" s="8" t="s">
        <v>37</v>
      </c>
      <c r="J8" s="8" t="s">
        <v>38</v>
      </c>
      <c r="L8" s="8" t="s">
        <v>171</v>
      </c>
      <c r="M8" s="8" t="s">
        <v>70</v>
      </c>
      <c r="N8" s="8" t="s">
        <v>71</v>
      </c>
      <c r="O8" s="8" t="s">
        <v>72</v>
      </c>
      <c r="P8" s="8" t="s">
        <v>73</v>
      </c>
      <c r="R8" s="8" t="s">
        <v>39</v>
      </c>
    </row>
    <row r="11" spans="2:18" s="8" customFormat="1" x14ac:dyDescent="0.2">
      <c r="B11" s="8" t="s">
        <v>178</v>
      </c>
    </row>
    <row r="13" spans="2:18" x14ac:dyDescent="0.2">
      <c r="B13" s="1" t="s">
        <v>183</v>
      </c>
    </row>
    <row r="14" spans="2:18" x14ac:dyDescent="0.2">
      <c r="B14" s="20" t="s">
        <v>36</v>
      </c>
      <c r="F14" s="20" t="s">
        <v>94</v>
      </c>
      <c r="G14" s="20"/>
      <c r="H14" s="20"/>
      <c r="I14" s="20"/>
      <c r="J14" s="20"/>
      <c r="K14" s="20"/>
      <c r="L14" s="20" t="s">
        <v>95</v>
      </c>
      <c r="M14" s="20" t="s">
        <v>96</v>
      </c>
      <c r="N14" s="20" t="s">
        <v>97</v>
      </c>
      <c r="O14" s="20" t="s">
        <v>98</v>
      </c>
      <c r="P14" s="20" t="s">
        <v>97</v>
      </c>
    </row>
    <row r="15" spans="2:18" x14ac:dyDescent="0.2">
      <c r="B15" s="2" t="s">
        <v>380</v>
      </c>
      <c r="L15" s="26">
        <f>'Estimates for 2025'!L71</f>
        <v>17621400</v>
      </c>
      <c r="M15" s="26">
        <f>'Estimates for 2025'!M71</f>
        <v>19287.792953122196</v>
      </c>
      <c r="N15" s="26">
        <f>'Estimates for 2025'!N71</f>
        <v>201600</v>
      </c>
      <c r="O15" s="26">
        <f>'Estimates for 2025'!O71</f>
        <v>1225.5630287548672</v>
      </c>
      <c r="P15" s="26">
        <f>'Estimates for 2025'!P71</f>
        <v>2016</v>
      </c>
    </row>
    <row r="16" spans="2:18" x14ac:dyDescent="0.2">
      <c r="B16" s="2" t="s">
        <v>343</v>
      </c>
      <c r="L16" s="95"/>
      <c r="M16" s="95"/>
      <c r="N16" s="95"/>
      <c r="O16" s="26">
        <f>'Fixed-variable costs'!O21</f>
        <v>1113.5</v>
      </c>
      <c r="P16" s="95"/>
    </row>
    <row r="18" spans="2:16" x14ac:dyDescent="0.2">
      <c r="B18" s="1" t="s">
        <v>450</v>
      </c>
    </row>
    <row r="19" spans="2:16" x14ac:dyDescent="0.2">
      <c r="B19" s="2" t="s">
        <v>391</v>
      </c>
      <c r="F19" s="2" t="s">
        <v>395</v>
      </c>
      <c r="L19" s="26">
        <f>'Fixed-variable costs'!L63</f>
        <v>2198570.4629808413</v>
      </c>
      <c r="M19" s="26">
        <f>'Fixed-variable costs'!M63</f>
        <v>1087521.8131777723</v>
      </c>
      <c r="N19" s="26">
        <f>'Fixed-variable costs'!N63</f>
        <v>793322.31854802789</v>
      </c>
      <c r="O19" s="26">
        <f>'Fixed-variable costs'!O63</f>
        <v>818661.05595401861</v>
      </c>
      <c r="P19" s="26">
        <f>'Fixed-variable costs'!P63</f>
        <v>6910.1316328201865</v>
      </c>
    </row>
    <row r="20" spans="2:16" x14ac:dyDescent="0.2">
      <c r="B20" s="2" t="s">
        <v>405</v>
      </c>
      <c r="F20" s="2" t="s">
        <v>396</v>
      </c>
      <c r="L20" s="80">
        <f>'Fixed-variable costs'!L64</f>
        <v>2.3200904943608977E-2</v>
      </c>
      <c r="M20" s="80">
        <f>'Fixed-variable costs'!M64</f>
        <v>31.319158196604182</v>
      </c>
      <c r="N20" s="80">
        <f>'Fixed-variable costs'!N64</f>
        <v>0.44514530104309885</v>
      </c>
      <c r="O20" s="80">
        <f>'Fixed-variable costs'!O64</f>
        <v>183.85885169937481</v>
      </c>
      <c r="P20" s="80">
        <f>'Fixed-variable costs'!P64</f>
        <v>4.2498733602186363</v>
      </c>
    </row>
    <row r="21" spans="2:16" x14ac:dyDescent="0.2">
      <c r="B21" s="2" t="s">
        <v>441</v>
      </c>
      <c r="F21" s="2" t="s">
        <v>438</v>
      </c>
      <c r="L21" s="41"/>
      <c r="M21" s="41"/>
      <c r="N21" s="41"/>
      <c r="O21" s="80">
        <f>'Fixed-variable costs'!O65</f>
        <v>640.59273204607712</v>
      </c>
      <c r="P21" s="41"/>
    </row>
    <row r="23" spans="2:16" x14ac:dyDescent="0.2">
      <c r="B23" s="19" t="s">
        <v>215</v>
      </c>
    </row>
    <row r="24" spans="2:16" x14ac:dyDescent="0.2">
      <c r="B24" s="2" t="s">
        <v>341</v>
      </c>
      <c r="F24" s="2" t="s">
        <v>395</v>
      </c>
      <c r="J24" s="27">
        <f>SUM(L24:P24)</f>
        <v>-306289.18371855997</v>
      </c>
      <c r="L24" s="26">
        <f>'Overview corrections'!L36</f>
        <v>-306289.18371855997</v>
      </c>
      <c r="M24" s="41"/>
      <c r="N24" s="41"/>
      <c r="O24" s="41"/>
      <c r="P24" s="41"/>
    </row>
    <row r="25" spans="2:16" x14ac:dyDescent="0.2">
      <c r="B25" s="32" t="s">
        <v>385</v>
      </c>
      <c r="F25" s="2" t="s">
        <v>395</v>
      </c>
      <c r="J25" s="27">
        <f t="shared" ref="J25:J29" si="0">SUM(L25:P25)</f>
        <v>26945.048609204365</v>
      </c>
      <c r="L25" s="26">
        <f>'Overview corrections'!L37</f>
        <v>18099.998574427354</v>
      </c>
      <c r="M25" s="26">
        <f>'Overview corrections'!M37</f>
        <v>9514.4778234514997</v>
      </c>
      <c r="N25" s="26">
        <f>'Overview corrections'!N37</f>
        <v>-21306.50945109938</v>
      </c>
      <c r="O25" s="26">
        <f>'Overview corrections'!O37</f>
        <v>12857.194888924174</v>
      </c>
      <c r="P25" s="26">
        <f>'Overview corrections'!P37</f>
        <v>7779.8867735007134</v>
      </c>
    </row>
    <row r="26" spans="2:16" x14ac:dyDescent="0.2">
      <c r="B26" s="2" t="s">
        <v>544</v>
      </c>
      <c r="F26" s="2" t="s">
        <v>395</v>
      </c>
      <c r="J26" s="27">
        <f t="shared" si="0"/>
        <v>441594.34394632361</v>
      </c>
      <c r="L26" s="26">
        <f>'Overview corrections'!L38</f>
        <v>170452.24592961228</v>
      </c>
      <c r="M26" s="26">
        <f>'Overview corrections'!M38</f>
        <v>313586.38879612251</v>
      </c>
      <c r="N26" s="26">
        <f>'Overview corrections'!N38</f>
        <v>102482.84448331542</v>
      </c>
      <c r="O26" s="26">
        <f>'Overview corrections'!O38</f>
        <v>-139440.28996712645</v>
      </c>
      <c r="P26" s="26">
        <f>'Overview corrections'!P38</f>
        <v>-5486.8452956002366</v>
      </c>
    </row>
    <row r="27" spans="2:16" x14ac:dyDescent="0.2">
      <c r="B27" s="2" t="s">
        <v>707</v>
      </c>
      <c r="F27" s="2" t="s">
        <v>395</v>
      </c>
      <c r="J27" s="27">
        <f t="shared" si="0"/>
        <v>192241.95615015033</v>
      </c>
      <c r="L27" s="26">
        <f>'Overview corrections'!L39</f>
        <v>56972.845477972129</v>
      </c>
      <c r="M27" s="26">
        <f>'Overview corrections'!M39</f>
        <v>28507.535120944671</v>
      </c>
      <c r="N27" s="26">
        <f>'Overview corrections'!N39</f>
        <v>26541.653610039273</v>
      </c>
      <c r="O27" s="26">
        <f>'Overview corrections'!O39</f>
        <v>79481.114534509092</v>
      </c>
      <c r="P27" s="26">
        <f>'Overview corrections'!P39</f>
        <v>738.80740668516535</v>
      </c>
    </row>
    <row r="28" spans="2:16" x14ac:dyDescent="0.2">
      <c r="B28" s="2" t="s">
        <v>430</v>
      </c>
      <c r="F28" s="2" t="s">
        <v>395</v>
      </c>
      <c r="J28" s="27">
        <f t="shared" si="0"/>
        <v>-3741.6419341279088</v>
      </c>
      <c r="L28" s="41"/>
      <c r="M28" s="41"/>
      <c r="N28" s="26">
        <f>'Overview corrections'!N40</f>
        <v>-3741.6419341279088</v>
      </c>
      <c r="O28" s="41"/>
      <c r="P28" s="41"/>
    </row>
    <row r="29" spans="2:16" x14ac:dyDescent="0.2">
      <c r="B29" s="2" t="s">
        <v>434</v>
      </c>
      <c r="F29" s="2" t="s">
        <v>395</v>
      </c>
      <c r="J29" s="27">
        <f t="shared" si="0"/>
        <v>346311.70879999996</v>
      </c>
      <c r="L29" s="26">
        <f>'Overview corrections'!L41</f>
        <v>346311.70879999996</v>
      </c>
      <c r="M29" s="41"/>
      <c r="N29" s="41"/>
      <c r="O29" s="41"/>
      <c r="P29" s="41"/>
    </row>
    <row r="31" spans="2:16" s="8" customFormat="1" x14ac:dyDescent="0.2">
      <c r="B31" s="8" t="s">
        <v>451</v>
      </c>
    </row>
    <row r="33" spans="2:18" x14ac:dyDescent="0.2">
      <c r="B33" s="1" t="s">
        <v>179</v>
      </c>
    </row>
    <row r="34" spans="2:18" x14ac:dyDescent="0.2">
      <c r="B34" s="94" t="s">
        <v>539</v>
      </c>
      <c r="F34" s="2" t="s">
        <v>395</v>
      </c>
      <c r="L34" s="27">
        <f>L19+L20*L15</f>
        <v>2607402.8893541526</v>
      </c>
      <c r="M34" s="27">
        <f>M19+M20*M15</f>
        <v>1691599.2519399538</v>
      </c>
      <c r="N34" s="27">
        <f>N19+N20*N15</f>
        <v>883063.61123831663</v>
      </c>
      <c r="O34" s="23">
        <f>O19+O20*O15+O21*(O15-O16)</f>
        <v>1115778.4288575349</v>
      </c>
      <c r="P34" s="27">
        <f>P19+P20*P15</f>
        <v>15477.876327020957</v>
      </c>
      <c r="R34" s="2" t="s">
        <v>548</v>
      </c>
    </row>
    <row r="35" spans="2:18" x14ac:dyDescent="0.2">
      <c r="B35" s="2" t="s">
        <v>540</v>
      </c>
      <c r="F35" s="2" t="s">
        <v>395</v>
      </c>
      <c r="L35" s="21">
        <f>L34+SUM(L24:L29)</f>
        <v>2892950.5044176043</v>
      </c>
      <c r="M35" s="21">
        <f t="shared" ref="M35:P35" si="1">M34+SUM(M24:M29)</f>
        <v>2043207.6536804724</v>
      </c>
      <c r="N35" s="21">
        <f t="shared" si="1"/>
        <v>987039.95794644405</v>
      </c>
      <c r="O35" s="21">
        <f t="shared" si="1"/>
        <v>1068676.4483138416</v>
      </c>
      <c r="P35" s="21">
        <f t="shared" si="1"/>
        <v>18509.725211606597</v>
      </c>
    </row>
    <row r="38" spans="2:18" x14ac:dyDescent="0.2">
      <c r="B38" s="4" t="s">
        <v>63</v>
      </c>
    </row>
  </sheetData>
  <phoneticPr fontId="31"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H43"/>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27.85546875" style="2" customWidth="1"/>
    <col min="3" max="3" width="7.14062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7" customFormat="1" ht="18" x14ac:dyDescent="0.2">
      <c r="B2" s="7" t="s">
        <v>46</v>
      </c>
    </row>
    <row r="3" spans="2:8" x14ac:dyDescent="0.2">
      <c r="B3" s="29"/>
    </row>
    <row r="4" spans="2:8" x14ac:dyDescent="0.2">
      <c r="B4" s="29"/>
    </row>
    <row r="5" spans="2:8" s="8" customFormat="1" x14ac:dyDescent="0.2">
      <c r="B5" s="8" t="s">
        <v>47</v>
      </c>
    </row>
    <row r="7" spans="2:8" x14ac:dyDescent="0.2">
      <c r="B7" s="2" t="s">
        <v>292</v>
      </c>
    </row>
    <row r="8" spans="2:8" x14ac:dyDescent="0.2">
      <c r="B8" s="2" t="s">
        <v>293</v>
      </c>
    </row>
    <row r="9" spans="2:8" x14ac:dyDescent="0.2">
      <c r="B9" s="2" t="s">
        <v>228</v>
      </c>
    </row>
    <row r="10" spans="2:8" x14ac:dyDescent="0.2">
      <c r="H10" s="22"/>
    </row>
    <row r="11" spans="2:8" s="8" customFormat="1" x14ac:dyDescent="0.2">
      <c r="B11" s="8" t="s">
        <v>48</v>
      </c>
    </row>
    <row r="13" spans="2:8" x14ac:dyDescent="0.2">
      <c r="B13" s="19" t="s">
        <v>11</v>
      </c>
      <c r="D13" s="19" t="s">
        <v>12</v>
      </c>
      <c r="F13" s="5"/>
    </row>
    <row r="15" spans="2:8" x14ac:dyDescent="0.2">
      <c r="B15" s="25">
        <v>123</v>
      </c>
      <c r="D15" s="2" t="s">
        <v>13</v>
      </c>
    </row>
    <row r="16" spans="2:8" x14ac:dyDescent="0.2">
      <c r="B16" s="26">
        <f>B15</f>
        <v>123</v>
      </c>
      <c r="D16" s="2" t="s">
        <v>49</v>
      </c>
    </row>
    <row r="17" spans="2:6" x14ac:dyDescent="0.2">
      <c r="B17" s="27">
        <f>B16+B15</f>
        <v>246</v>
      </c>
      <c r="D17" s="2" t="s">
        <v>14</v>
      </c>
    </row>
    <row r="18" spans="2:6" x14ac:dyDescent="0.2">
      <c r="B18" s="21">
        <f>B16+B17</f>
        <v>369</v>
      </c>
      <c r="D18" s="2" t="s">
        <v>50</v>
      </c>
      <c r="E18" s="5"/>
      <c r="F18" s="5"/>
    </row>
    <row r="19" spans="2:6" x14ac:dyDescent="0.2">
      <c r="B19" s="10"/>
      <c r="D19" s="2" t="s">
        <v>15</v>
      </c>
      <c r="E19" s="5"/>
    </row>
    <row r="21" spans="2:6" x14ac:dyDescent="0.2">
      <c r="B21" s="20" t="s">
        <v>26</v>
      </c>
    </row>
    <row r="22" spans="2:6" x14ac:dyDescent="0.2">
      <c r="B22" s="23">
        <f>B18+16</f>
        <v>385</v>
      </c>
      <c r="D22" s="2" t="s">
        <v>16</v>
      </c>
    </row>
    <row r="23" spans="2:6" x14ac:dyDescent="0.2">
      <c r="B23" s="24">
        <f>B16*PI()</f>
        <v>386.41589639154455</v>
      </c>
      <c r="C23" s="11"/>
      <c r="D23" s="2" t="s">
        <v>51</v>
      </c>
    </row>
    <row r="24" spans="2:6" x14ac:dyDescent="0.2">
      <c r="B24" s="11"/>
      <c r="C24" s="11"/>
    </row>
    <row r="25" spans="2:6" x14ac:dyDescent="0.2">
      <c r="B25" s="19" t="s">
        <v>17</v>
      </c>
    </row>
    <row r="26" spans="2:6" x14ac:dyDescent="0.2">
      <c r="B26" s="1"/>
    </row>
    <row r="27" spans="2:6" x14ac:dyDescent="0.2">
      <c r="B27" s="20" t="s">
        <v>21</v>
      </c>
    </row>
    <row r="28" spans="2:6" x14ac:dyDescent="0.2">
      <c r="B28" s="21" t="s">
        <v>22</v>
      </c>
      <c r="D28" s="2" t="s">
        <v>18</v>
      </c>
    </row>
    <row r="29" spans="2:6" x14ac:dyDescent="0.2">
      <c r="B29" s="25" t="s">
        <v>1</v>
      </c>
      <c r="D29" s="2" t="s">
        <v>19</v>
      </c>
    </row>
    <row r="30" spans="2:6" x14ac:dyDescent="0.2">
      <c r="B30" s="27" t="s">
        <v>23</v>
      </c>
      <c r="D30" s="2" t="s">
        <v>20</v>
      </c>
    </row>
    <row r="31" spans="2:6" x14ac:dyDescent="0.2">
      <c r="B31" s="24" t="s">
        <v>23</v>
      </c>
      <c r="D31" s="2" t="s">
        <v>52</v>
      </c>
    </row>
    <row r="32" spans="2:6" x14ac:dyDescent="0.2">
      <c r="D32" s="3"/>
    </row>
    <row r="33" spans="2:4" x14ac:dyDescent="0.2">
      <c r="B33" s="20" t="s">
        <v>24</v>
      </c>
      <c r="D33" s="3"/>
    </row>
    <row r="34" spans="2:4" x14ac:dyDescent="0.2">
      <c r="B34" s="14" t="s">
        <v>2</v>
      </c>
      <c r="D34" s="2" t="s">
        <v>53</v>
      </c>
    </row>
    <row r="35" spans="2:4" x14ac:dyDescent="0.2">
      <c r="B35" s="30" t="s">
        <v>25</v>
      </c>
      <c r="D35" s="2" t="s">
        <v>125</v>
      </c>
    </row>
    <row r="43" spans="2:4" x14ac:dyDescent="0.2">
      <c r="B43" s="4" t="s">
        <v>63</v>
      </c>
    </row>
  </sheetData>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AC79-5CF7-4E35-BCF7-D63E74A0003E}">
  <sheetPr>
    <tabColor rgb="FFFFFFCC"/>
  </sheetPr>
  <dimension ref="B2:J44"/>
  <sheetViews>
    <sheetView showGridLines="0" zoomScale="85" zoomScaleNormal="85" workbookViewId="0">
      <pane xSplit="6" ySplit="10" topLeftCell="G11" activePane="bottomRight" state="frozen"/>
      <selection activeCell="H13" sqref="H13"/>
      <selection pane="topRight" activeCell="H13" sqref="H13"/>
      <selection pane="bottomLeft" activeCell="H13" sqref="H13"/>
      <selection pane="bottomRight" activeCell="G11" sqref="G11"/>
    </sheetView>
  </sheetViews>
  <sheetFormatPr defaultColWidth="9.140625" defaultRowHeight="12.75" x14ac:dyDescent="0.2"/>
  <cols>
    <col min="1" max="1" width="4.5703125" style="2" customWidth="1"/>
    <col min="2" max="2" width="41.42578125" style="2" customWidth="1"/>
    <col min="3" max="5" width="4.5703125" style="2" customWidth="1"/>
    <col min="6" max="6" width="21.7109375" style="2" customWidth="1"/>
    <col min="7" max="7" width="2.7109375" style="2" customWidth="1"/>
    <col min="8" max="8" width="21.7109375" style="2" customWidth="1"/>
    <col min="9" max="9" width="2.7109375" style="2" customWidth="1"/>
    <col min="10" max="10" width="30.7109375" style="2" customWidth="1"/>
    <col min="11" max="11" width="2.7109375" style="2" customWidth="1"/>
    <col min="12" max="21" width="12.5703125" style="2" customWidth="1"/>
    <col min="22" max="24" width="2.7109375" style="2" customWidth="1"/>
    <col min="25" max="39" width="13.7109375" style="2" customWidth="1"/>
    <col min="40" max="16384" width="9.140625" style="2"/>
  </cols>
  <sheetData>
    <row r="2" spans="2:10" s="12" customFormat="1" ht="18" x14ac:dyDescent="0.2">
      <c r="B2" s="12" t="s">
        <v>780</v>
      </c>
    </row>
    <row r="4" spans="2:10" x14ac:dyDescent="0.2">
      <c r="B4" s="19" t="s">
        <v>12</v>
      </c>
      <c r="C4" s="1"/>
      <c r="D4" s="1"/>
    </row>
    <row r="5" spans="2:10" x14ac:dyDescent="0.2">
      <c r="B5" s="2" t="s">
        <v>617</v>
      </c>
      <c r="C5" s="3"/>
      <c r="D5" s="3"/>
      <c r="H5" s="13"/>
    </row>
    <row r="6" spans="2:10" x14ac:dyDescent="0.2">
      <c r="B6" s="2" t="s">
        <v>650</v>
      </c>
      <c r="C6" s="3"/>
      <c r="D6" s="3"/>
      <c r="H6" s="13"/>
    </row>
    <row r="7" spans="2:10" x14ac:dyDescent="0.2">
      <c r="B7" s="2" t="s">
        <v>590</v>
      </c>
      <c r="C7" s="3"/>
      <c r="D7" s="3"/>
      <c r="H7" s="13"/>
    </row>
    <row r="8" spans="2:10" x14ac:dyDescent="0.2">
      <c r="C8" s="3"/>
      <c r="D8" s="3"/>
      <c r="H8" s="13"/>
    </row>
    <row r="9" spans="2:10" s="8" customFormat="1" ht="12.75" customHeight="1" x14ac:dyDescent="0.2">
      <c r="B9" s="8" t="s">
        <v>82</v>
      </c>
      <c r="F9" s="8" t="s">
        <v>83</v>
      </c>
      <c r="H9" s="8" t="s">
        <v>37</v>
      </c>
      <c r="J9" s="8" t="s">
        <v>39</v>
      </c>
    </row>
    <row r="12" spans="2:10" s="8" customFormat="1" x14ac:dyDescent="0.2">
      <c r="B12" s="8" t="s">
        <v>570</v>
      </c>
    </row>
    <row r="14" spans="2:10" x14ac:dyDescent="0.2">
      <c r="B14" s="19" t="s">
        <v>614</v>
      </c>
    </row>
    <row r="15" spans="2:10" x14ac:dyDescent="0.2">
      <c r="B15" s="2" t="s">
        <v>615</v>
      </c>
      <c r="F15" s="2" t="s">
        <v>395</v>
      </c>
      <c r="H15" s="26">
        <f>'Income level'!L35</f>
        <v>2892950.5044176043</v>
      </c>
    </row>
    <row r="16" spans="2:10" x14ac:dyDescent="0.2">
      <c r="B16" s="2" t="s">
        <v>613</v>
      </c>
      <c r="F16" s="2" t="s">
        <v>95</v>
      </c>
      <c r="H16" s="26">
        <f>'Estimates for 2025'!L71</f>
        <v>17621400</v>
      </c>
    </row>
    <row r="17" spans="2:10" ht="12.75" customHeight="1" x14ac:dyDescent="0.2">
      <c r="B17" s="2" t="s">
        <v>626</v>
      </c>
      <c r="F17" s="2" t="s">
        <v>448</v>
      </c>
      <c r="H17" s="96">
        <f>H15/H16</f>
        <v>0.16417256883207942</v>
      </c>
      <c r="J17" s="2" t="s">
        <v>616</v>
      </c>
    </row>
    <row r="18" spans="2:10" ht="12.75" customHeight="1" x14ac:dyDescent="0.2">
      <c r="B18" s="2" t="s">
        <v>720</v>
      </c>
      <c r="F18" s="2" t="s">
        <v>448</v>
      </c>
      <c r="H18" s="61">
        <f>ROUND(H17,4)</f>
        <v>0.16420000000000001</v>
      </c>
      <c r="J18" s="2" t="s">
        <v>725</v>
      </c>
    </row>
    <row r="20" spans="2:10" x14ac:dyDescent="0.2">
      <c r="B20" s="19" t="s">
        <v>180</v>
      </c>
    </row>
    <row r="21" spans="2:10" ht="12.75" customHeight="1" x14ac:dyDescent="0.2">
      <c r="B21" s="2" t="s">
        <v>361</v>
      </c>
      <c r="F21" s="2" t="s">
        <v>102</v>
      </c>
      <c r="H21" s="77">
        <f>'Estimates for 2025'!L35</f>
        <v>0.27643631968153609</v>
      </c>
    </row>
    <row r="22" spans="2:10" ht="12.75" customHeight="1" x14ac:dyDescent="0.2">
      <c r="B22" s="2" t="s">
        <v>449</v>
      </c>
      <c r="F22" s="2" t="s">
        <v>74</v>
      </c>
      <c r="H22" s="72">
        <f>'Estimates for 2025'!L24</f>
        <v>0.52279614559569609</v>
      </c>
    </row>
    <row r="23" spans="2:10" ht="12.75" customHeight="1" x14ac:dyDescent="0.2">
      <c r="B23" s="2" t="s">
        <v>103</v>
      </c>
      <c r="F23" s="2" t="s">
        <v>104</v>
      </c>
      <c r="H23" s="77">
        <f>'Historical data'!H48</f>
        <v>0.77259758514303556</v>
      </c>
    </row>
    <row r="24" spans="2:10" ht="12.75" customHeight="1" x14ac:dyDescent="0.2">
      <c r="B24" s="2" t="s">
        <v>546</v>
      </c>
      <c r="F24" s="2" t="s">
        <v>448</v>
      </c>
      <c r="H24" s="98">
        <f>H21*H22*H23</f>
        <v>0.11165568126834402</v>
      </c>
      <c r="J24" s="2" t="s">
        <v>623</v>
      </c>
    </row>
    <row r="26" spans="2:10" ht="12.75" customHeight="1" x14ac:dyDescent="0.2">
      <c r="B26" s="1" t="s">
        <v>624</v>
      </c>
    </row>
    <row r="27" spans="2:10" ht="12.75" customHeight="1" x14ac:dyDescent="0.2">
      <c r="B27" s="2" t="s">
        <v>625</v>
      </c>
      <c r="F27" s="2" t="s">
        <v>448</v>
      </c>
      <c r="H27" s="96">
        <f>H17+H24</f>
        <v>0.27582825010042344</v>
      </c>
    </row>
    <row r="28" spans="2:10" ht="12.75" customHeight="1" x14ac:dyDescent="0.2">
      <c r="B28" s="2" t="s">
        <v>721</v>
      </c>
      <c r="F28" s="2" t="s">
        <v>448</v>
      </c>
      <c r="H28" s="61">
        <f>ROUND(H27,4)</f>
        <v>0.27579999999999999</v>
      </c>
      <c r="J28" s="2" t="s">
        <v>725</v>
      </c>
    </row>
    <row r="29" spans="2:10" ht="12.75" customHeight="1" x14ac:dyDescent="0.2"/>
    <row r="30" spans="2:10" s="8" customFormat="1" x14ac:dyDescent="0.2">
      <c r="B30" s="8" t="s">
        <v>240</v>
      </c>
    </row>
    <row r="32" spans="2:10" x14ac:dyDescent="0.2">
      <c r="B32" s="1" t="s">
        <v>543</v>
      </c>
    </row>
    <row r="33" spans="2:10" x14ac:dyDescent="0.2">
      <c r="B33" s="2" t="s">
        <v>465</v>
      </c>
      <c r="F33" s="2" t="s">
        <v>448</v>
      </c>
      <c r="H33" s="97">
        <f>'Overview corrections'!M48</f>
        <v>-7.6136050603422371E-3</v>
      </c>
    </row>
    <row r="34" spans="2:10" x14ac:dyDescent="0.2">
      <c r="B34" s="2" t="s">
        <v>541</v>
      </c>
      <c r="F34" s="2" t="s">
        <v>448</v>
      </c>
      <c r="H34" s="97">
        <f>'Overview corrections'!M49</f>
        <v>-4.7237561635553055E-3</v>
      </c>
    </row>
    <row r="36" spans="2:10" x14ac:dyDescent="0.2">
      <c r="B36" s="1" t="s">
        <v>542</v>
      </c>
    </row>
    <row r="37" spans="2:10" x14ac:dyDescent="0.2">
      <c r="B37" s="94" t="s">
        <v>452</v>
      </c>
      <c r="F37" s="2" t="s">
        <v>74</v>
      </c>
      <c r="H37" s="79">
        <f>'Estimates for 2025'!M17</f>
        <v>0.11</v>
      </c>
    </row>
    <row r="39" spans="2:10" x14ac:dyDescent="0.2">
      <c r="B39" s="1" t="s">
        <v>571</v>
      </c>
    </row>
    <row r="40" spans="2:10" x14ac:dyDescent="0.2">
      <c r="B40" s="2" t="s">
        <v>469</v>
      </c>
      <c r="F40" s="2" t="s">
        <v>448</v>
      </c>
      <c r="H40" s="96">
        <f>(H27+H33+H34)/(1-H37)</f>
        <v>0.29605717851295044</v>
      </c>
      <c r="J40" s="2" t="s">
        <v>592</v>
      </c>
    </row>
    <row r="41" spans="2:10" x14ac:dyDescent="0.2">
      <c r="B41" s="2" t="s">
        <v>469</v>
      </c>
      <c r="F41" s="2" t="s">
        <v>448</v>
      </c>
      <c r="H41" s="61">
        <f>ROUND(H40,4)</f>
        <v>0.29609999999999997</v>
      </c>
      <c r="J41" s="2" t="s">
        <v>725</v>
      </c>
    </row>
    <row r="44" spans="2:10" x14ac:dyDescent="0.2">
      <c r="B44" s="4" t="s">
        <v>63</v>
      </c>
    </row>
  </sheetData>
  <phoneticPr fontId="31"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A523-2628-47FE-AE24-E135BD4ABB65}">
  <sheetPr>
    <tabColor rgb="FFFFFFCC"/>
  </sheetPr>
  <dimension ref="B2:J59"/>
  <sheetViews>
    <sheetView showGridLines="0" zoomScale="85" zoomScaleNormal="85" workbookViewId="0">
      <pane xSplit="6" ySplit="10" topLeftCell="G11" activePane="bottomRight" state="frozen"/>
      <selection activeCell="H13" sqref="H13"/>
      <selection pane="topRight" activeCell="H13" sqref="H13"/>
      <selection pane="bottomLeft" activeCell="H13" sqref="H13"/>
      <selection pane="bottomRight" activeCell="G11" sqref="G11"/>
    </sheetView>
  </sheetViews>
  <sheetFormatPr defaultColWidth="9.140625" defaultRowHeight="12.75" x14ac:dyDescent="0.2"/>
  <cols>
    <col min="1" max="1" width="4.5703125" style="2" customWidth="1"/>
    <col min="2" max="2" width="41.42578125" style="2" customWidth="1"/>
    <col min="3" max="5" width="4.5703125" style="2" customWidth="1"/>
    <col min="6" max="6" width="21.7109375" style="2" customWidth="1"/>
    <col min="7" max="7" width="2.7109375" style="2" customWidth="1"/>
    <col min="8" max="8" width="21.7109375" style="2" customWidth="1"/>
    <col min="9" max="9" width="2.7109375" style="2" customWidth="1"/>
    <col min="10" max="10" width="30.7109375" style="2" customWidth="1"/>
    <col min="11" max="11" width="2.7109375" style="2" customWidth="1"/>
    <col min="12" max="21" width="12.5703125" style="2" customWidth="1"/>
    <col min="22" max="24" width="2.7109375" style="2" customWidth="1"/>
    <col min="25" max="39" width="13.7109375" style="2" customWidth="1"/>
    <col min="40" max="16384" width="9.140625" style="2"/>
  </cols>
  <sheetData>
    <row r="2" spans="2:10" s="12" customFormat="1" ht="18" x14ac:dyDescent="0.2">
      <c r="B2" s="12" t="s">
        <v>781</v>
      </c>
    </row>
    <row r="4" spans="2:10" x14ac:dyDescent="0.2">
      <c r="B4" s="19" t="s">
        <v>12</v>
      </c>
      <c r="C4" s="1"/>
      <c r="D4" s="1"/>
    </row>
    <row r="5" spans="2:10" x14ac:dyDescent="0.2">
      <c r="B5" s="2" t="s">
        <v>779</v>
      </c>
      <c r="C5" s="3"/>
      <c r="D5" s="3"/>
      <c r="H5" s="13"/>
    </row>
    <row r="6" spans="2:10" x14ac:dyDescent="0.2">
      <c r="B6" s="2" t="s">
        <v>649</v>
      </c>
      <c r="C6" s="3"/>
      <c r="D6" s="3"/>
      <c r="H6" s="13"/>
    </row>
    <row r="7" spans="2:10" x14ac:dyDescent="0.2">
      <c r="B7" s="2" t="s">
        <v>590</v>
      </c>
      <c r="C7" s="3"/>
      <c r="D7" s="3"/>
      <c r="H7" s="13"/>
    </row>
    <row r="8" spans="2:10" x14ac:dyDescent="0.2">
      <c r="C8" s="3"/>
      <c r="D8" s="3"/>
      <c r="H8" s="13"/>
    </row>
    <row r="9" spans="2:10" s="8" customFormat="1" ht="12.75" customHeight="1" x14ac:dyDescent="0.2">
      <c r="B9" s="8" t="s">
        <v>82</v>
      </c>
      <c r="F9" s="8" t="s">
        <v>83</v>
      </c>
      <c r="H9" s="8" t="s">
        <v>37</v>
      </c>
      <c r="J9" s="8" t="s">
        <v>39</v>
      </c>
    </row>
    <row r="12" spans="2:10" s="8" customFormat="1" x14ac:dyDescent="0.2">
      <c r="B12" s="8" t="s">
        <v>575</v>
      </c>
    </row>
    <row r="14" spans="2:10" x14ac:dyDescent="0.2">
      <c r="B14" s="1" t="s">
        <v>182</v>
      </c>
    </row>
    <row r="15" spans="2:10" x14ac:dyDescent="0.2">
      <c r="B15" s="2" t="s">
        <v>568</v>
      </c>
      <c r="F15" s="2" t="s">
        <v>395</v>
      </c>
      <c r="H15" s="26">
        <f>'Income level'!M35</f>
        <v>2043207.6536804724</v>
      </c>
    </row>
    <row r="16" spans="2:10" x14ac:dyDescent="0.2">
      <c r="B16" s="2" t="s">
        <v>618</v>
      </c>
      <c r="F16" s="2" t="s">
        <v>96</v>
      </c>
      <c r="H16" s="26">
        <f>'Estimates for 2025'!M71</f>
        <v>19287.792953122196</v>
      </c>
    </row>
    <row r="17" spans="2:10" x14ac:dyDescent="0.2">
      <c r="B17" s="2" t="s">
        <v>569</v>
      </c>
      <c r="F17" s="2" t="s">
        <v>462</v>
      </c>
      <c r="H17" s="81">
        <f>H15/H16/12</f>
        <v>8.8277235704052295</v>
      </c>
      <c r="J17" s="2" t="s">
        <v>583</v>
      </c>
    </row>
    <row r="19" spans="2:10" x14ac:dyDescent="0.2">
      <c r="B19" s="1" t="s">
        <v>463</v>
      </c>
      <c r="J19" s="2" t="s">
        <v>593</v>
      </c>
    </row>
    <row r="20" spans="2:10" x14ac:dyDescent="0.2">
      <c r="B20" s="78">
        <f>'Estimates for 2025'!B45</f>
        <v>3.2</v>
      </c>
      <c r="F20" s="2" t="s">
        <v>464</v>
      </c>
      <c r="H20" s="81">
        <f t="shared" ref="H20:H36" si="0">H$17*B20</f>
        <v>28.248715425296737</v>
      </c>
    </row>
    <row r="21" spans="2:10" x14ac:dyDescent="0.2">
      <c r="B21" s="78">
        <f>'Estimates for 2025'!B46</f>
        <v>7.7</v>
      </c>
      <c r="F21" s="2" t="s">
        <v>464</v>
      </c>
      <c r="H21" s="81">
        <f t="shared" si="0"/>
        <v>67.973471492120268</v>
      </c>
    </row>
    <row r="22" spans="2:10" x14ac:dyDescent="0.2">
      <c r="B22" s="78">
        <f>'Estimates for 2025'!B47</f>
        <v>11</v>
      </c>
      <c r="F22" s="2" t="s">
        <v>464</v>
      </c>
      <c r="H22" s="81">
        <f t="shared" si="0"/>
        <v>97.104959274457528</v>
      </c>
    </row>
    <row r="23" spans="2:10" x14ac:dyDescent="0.2">
      <c r="B23" s="78">
        <f>'Estimates for 2025'!B48</f>
        <v>13.86</v>
      </c>
      <c r="F23" s="2" t="s">
        <v>464</v>
      </c>
      <c r="H23" s="81">
        <f t="shared" si="0"/>
        <v>122.35224868581648</v>
      </c>
    </row>
    <row r="24" spans="2:10" x14ac:dyDescent="0.2">
      <c r="B24" s="78">
        <f>'Estimates for 2025'!B49</f>
        <v>13.3</v>
      </c>
      <c r="F24" s="2" t="s">
        <v>464</v>
      </c>
      <c r="H24" s="81">
        <f t="shared" si="0"/>
        <v>117.40872348638956</v>
      </c>
    </row>
    <row r="25" spans="2:10" x14ac:dyDescent="0.2">
      <c r="B25" s="78">
        <f>'Estimates for 2025'!B50</f>
        <v>19</v>
      </c>
      <c r="F25" s="2" t="s">
        <v>464</v>
      </c>
      <c r="H25" s="81">
        <f t="shared" si="0"/>
        <v>167.72674783769935</v>
      </c>
    </row>
    <row r="26" spans="2:10" x14ac:dyDescent="0.2">
      <c r="B26" s="78">
        <f>'Estimates for 2025'!B51</f>
        <v>23.94</v>
      </c>
      <c r="F26" s="2" t="s">
        <v>464</v>
      </c>
      <c r="H26" s="81">
        <f t="shared" si="0"/>
        <v>211.33570227550121</v>
      </c>
    </row>
    <row r="27" spans="2:10" x14ac:dyDescent="0.2">
      <c r="B27" s="78">
        <f>'Estimates for 2025'!B52</f>
        <v>30.4</v>
      </c>
      <c r="F27" s="2" t="s">
        <v>464</v>
      </c>
      <c r="H27" s="81">
        <f t="shared" si="0"/>
        <v>268.36279654031898</v>
      </c>
    </row>
    <row r="28" spans="2:10" x14ac:dyDescent="0.2">
      <c r="B28" s="78">
        <f>'Estimates for 2025'!B53</f>
        <v>38</v>
      </c>
      <c r="F28" s="2" t="s">
        <v>464</v>
      </c>
      <c r="H28" s="81">
        <f t="shared" si="0"/>
        <v>335.4534956753987</v>
      </c>
    </row>
    <row r="29" spans="2:10" x14ac:dyDescent="0.2">
      <c r="B29" s="78">
        <f>'Estimates for 2025'!B54</f>
        <v>47.5</v>
      </c>
      <c r="F29" s="2" t="s">
        <v>464</v>
      </c>
      <c r="H29" s="81">
        <f t="shared" si="0"/>
        <v>419.31686959424837</v>
      </c>
    </row>
    <row r="30" spans="2:10" x14ac:dyDescent="0.2">
      <c r="B30" s="78">
        <f>'Estimates for 2025'!B55</f>
        <v>60.8</v>
      </c>
      <c r="F30" s="2" t="s">
        <v>464</v>
      </c>
      <c r="H30" s="81">
        <f t="shared" si="0"/>
        <v>536.72559308063796</v>
      </c>
    </row>
    <row r="31" spans="2:10" x14ac:dyDescent="0.2">
      <c r="B31" s="78">
        <f>'Estimates for 2025'!B56</f>
        <v>76</v>
      </c>
      <c r="F31" s="2" t="s">
        <v>464</v>
      </c>
      <c r="H31" s="81">
        <f t="shared" si="0"/>
        <v>670.9069913507974</v>
      </c>
    </row>
    <row r="32" spans="2:10" x14ac:dyDescent="0.2">
      <c r="B32" s="78">
        <f>'Estimates for 2025'!B57</f>
        <v>85.5</v>
      </c>
      <c r="F32" s="2" t="s">
        <v>464</v>
      </c>
      <c r="H32" s="81">
        <f t="shared" si="0"/>
        <v>754.77036526964707</v>
      </c>
    </row>
    <row r="33" spans="2:8" x14ac:dyDescent="0.2">
      <c r="B33" s="78">
        <f>'Estimates for 2025'!B58</f>
        <v>95</v>
      </c>
      <c r="F33" s="2" t="s">
        <v>464</v>
      </c>
      <c r="H33" s="81">
        <f t="shared" si="0"/>
        <v>838.63373918849675</v>
      </c>
    </row>
    <row r="34" spans="2:8" x14ac:dyDescent="0.2">
      <c r="B34" s="78">
        <f>'Estimates for 2025'!B59</f>
        <v>119.7</v>
      </c>
      <c r="F34" s="2" t="s">
        <v>464</v>
      </c>
      <c r="H34" s="81">
        <f t="shared" si="0"/>
        <v>1056.6785113775061</v>
      </c>
    </row>
    <row r="35" spans="2:8" x14ac:dyDescent="0.2">
      <c r="B35" s="78">
        <f>'Estimates for 2025'!B60</f>
        <v>175</v>
      </c>
      <c r="F35" s="2" t="s">
        <v>464</v>
      </c>
      <c r="H35" s="81">
        <f t="shared" si="0"/>
        <v>1544.851624820915</v>
      </c>
    </row>
    <row r="36" spans="2:8" x14ac:dyDescent="0.2">
      <c r="B36" s="78">
        <f>'Estimates for 2025'!B61</f>
        <v>200</v>
      </c>
      <c r="F36" s="2" t="s">
        <v>464</v>
      </c>
      <c r="H36" s="81">
        <f t="shared" si="0"/>
        <v>1765.5447140810459</v>
      </c>
    </row>
    <row r="38" spans="2:8" s="8" customFormat="1" x14ac:dyDescent="0.2">
      <c r="B38" s="8" t="s">
        <v>619</v>
      </c>
    </row>
    <row r="40" spans="2:8" x14ac:dyDescent="0.2">
      <c r="B40" s="1" t="s">
        <v>64</v>
      </c>
    </row>
    <row r="41" spans="2:8" x14ac:dyDescent="0.2">
      <c r="B41" s="2" t="s">
        <v>294</v>
      </c>
      <c r="F41" s="2" t="s">
        <v>74</v>
      </c>
      <c r="H41" s="68">
        <f>Parameters!H20</f>
        <v>3.1E-2</v>
      </c>
    </row>
    <row r="43" spans="2:8" x14ac:dyDescent="0.2">
      <c r="B43" s="1" t="s">
        <v>620</v>
      </c>
    </row>
    <row r="44" spans="2:8" x14ac:dyDescent="0.2">
      <c r="B44" s="2" t="s">
        <v>641</v>
      </c>
      <c r="F44" s="2" t="s">
        <v>137</v>
      </c>
      <c r="H44" s="80">
        <f>'Data ACM'!M60</f>
        <v>40</v>
      </c>
    </row>
    <row r="45" spans="2:8" x14ac:dyDescent="0.2">
      <c r="B45" s="2" t="s">
        <v>111</v>
      </c>
      <c r="F45" s="2" t="s">
        <v>137</v>
      </c>
      <c r="H45" s="80">
        <f>'Data ACM'!M56</f>
        <v>305.43662127586322</v>
      </c>
    </row>
    <row r="47" spans="2:8" x14ac:dyDescent="0.2">
      <c r="B47" s="2" t="s">
        <v>112</v>
      </c>
      <c r="F47" s="2" t="s">
        <v>137</v>
      </c>
      <c r="H47" s="80">
        <f>'Data ACM'!M57</f>
        <v>189.55349078801981</v>
      </c>
    </row>
    <row r="48" spans="2:8" x14ac:dyDescent="0.2">
      <c r="B48" s="2" t="s">
        <v>113</v>
      </c>
      <c r="F48" s="2" t="s">
        <v>137</v>
      </c>
      <c r="H48" s="80">
        <f>'Data ACM'!M58</f>
        <v>205.78594305755018</v>
      </c>
    </row>
    <row r="50" spans="2:10" x14ac:dyDescent="0.2">
      <c r="B50" s="1" t="s">
        <v>621</v>
      </c>
    </row>
    <row r="51" spans="2:10" x14ac:dyDescent="0.2">
      <c r="B51" s="2" t="s">
        <v>642</v>
      </c>
      <c r="F51" s="2" t="s">
        <v>395</v>
      </c>
      <c r="H51" s="81">
        <f>H44</f>
        <v>40</v>
      </c>
      <c r="J51" s="2" t="s">
        <v>588</v>
      </c>
    </row>
    <row r="52" spans="2:10" x14ac:dyDescent="0.2">
      <c r="B52" s="2" t="s">
        <v>610</v>
      </c>
      <c r="F52" s="2" t="s">
        <v>395</v>
      </c>
      <c r="H52" s="81">
        <f>H45*(1+$H$41)</f>
        <v>314.90515653541496</v>
      </c>
    </row>
    <row r="54" spans="2:10" x14ac:dyDescent="0.2">
      <c r="B54" s="2" t="s">
        <v>611</v>
      </c>
      <c r="F54" s="2" t="s">
        <v>395</v>
      </c>
      <c r="H54" s="81">
        <f>H47*(1+$H$41)</f>
        <v>195.4296490024484</v>
      </c>
    </row>
    <row r="55" spans="2:10" x14ac:dyDescent="0.2">
      <c r="B55" s="2" t="s">
        <v>612</v>
      </c>
      <c r="F55" s="2" t="s">
        <v>395</v>
      </c>
      <c r="H55" s="81">
        <f>H48*(1+$H$41)</f>
        <v>212.16530729233423</v>
      </c>
    </row>
    <row r="59" spans="2:10" x14ac:dyDescent="0.2">
      <c r="B59" s="4" t="s">
        <v>63</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22EE-A6D3-47C7-9085-5594E8BBDA3A}">
  <sheetPr>
    <tabColor rgb="FFFFFFCC"/>
  </sheetPr>
  <dimension ref="B2:J51"/>
  <sheetViews>
    <sheetView showGridLines="0" zoomScale="85" zoomScaleNormal="85" workbookViewId="0">
      <pane xSplit="6" ySplit="9" topLeftCell="G10" activePane="bottomRight" state="frozen"/>
      <selection activeCell="H13" sqref="H13"/>
      <selection pane="topRight" activeCell="H13" sqref="H13"/>
      <selection pane="bottomLeft" activeCell="H13" sqref="H13"/>
      <selection pane="bottomRight" activeCell="G10" sqref="G10"/>
    </sheetView>
  </sheetViews>
  <sheetFormatPr defaultColWidth="9.140625" defaultRowHeight="12.75" x14ac:dyDescent="0.2"/>
  <cols>
    <col min="1" max="1" width="4.5703125" style="2" customWidth="1"/>
    <col min="2" max="2" width="44.42578125" style="2" customWidth="1"/>
    <col min="3" max="5" width="4.5703125" style="2" customWidth="1"/>
    <col min="6" max="6" width="21.7109375" style="2" customWidth="1"/>
    <col min="7" max="7" width="2.7109375" style="2" customWidth="1"/>
    <col min="8" max="8" width="14.28515625" style="2" customWidth="1"/>
    <col min="9" max="9" width="2.7109375" style="2" customWidth="1"/>
    <col min="10" max="10" width="30.7109375" style="2" customWidth="1"/>
    <col min="11" max="11" width="2.7109375" style="2" customWidth="1"/>
    <col min="12" max="21" width="12.5703125" style="2" customWidth="1"/>
    <col min="22" max="24" width="2.7109375" style="2" customWidth="1"/>
    <col min="25" max="39" width="13.7109375" style="2" customWidth="1"/>
    <col min="40" max="16384" width="9.140625" style="2"/>
  </cols>
  <sheetData>
    <row r="2" spans="2:10" s="12" customFormat="1" ht="18" x14ac:dyDescent="0.2">
      <c r="B2" s="12" t="s">
        <v>782</v>
      </c>
    </row>
    <row r="4" spans="2:10" x14ac:dyDescent="0.2">
      <c r="B4" s="19" t="s">
        <v>12</v>
      </c>
      <c r="C4" s="1"/>
      <c r="D4" s="1"/>
    </row>
    <row r="5" spans="2:10" x14ac:dyDescent="0.2">
      <c r="B5" s="2" t="s">
        <v>784</v>
      </c>
      <c r="C5" s="3"/>
      <c r="D5" s="3"/>
      <c r="H5" s="13"/>
    </row>
    <row r="6" spans="2:10" x14ac:dyDescent="0.2">
      <c r="B6" s="2" t="s">
        <v>590</v>
      </c>
      <c r="C6" s="3"/>
      <c r="D6" s="3"/>
      <c r="H6" s="13"/>
    </row>
    <row r="8" spans="2:10" s="8" customFormat="1" ht="12.75" customHeight="1" x14ac:dyDescent="0.2">
      <c r="B8" s="8" t="s">
        <v>82</v>
      </c>
      <c r="F8" s="8" t="s">
        <v>83</v>
      </c>
      <c r="H8" s="8" t="s">
        <v>37</v>
      </c>
      <c r="J8" s="8" t="s">
        <v>39</v>
      </c>
    </row>
    <row r="11" spans="2:10" s="8" customFormat="1" x14ac:dyDescent="0.2">
      <c r="B11" s="8" t="s">
        <v>272</v>
      </c>
    </row>
    <row r="12" spans="2:10" s="145" customFormat="1" x14ac:dyDescent="0.2"/>
    <row r="13" spans="2:10" x14ac:dyDescent="0.2">
      <c r="B13" s="1" t="s">
        <v>632</v>
      </c>
    </row>
    <row r="14" spans="2:10" x14ac:dyDescent="0.2">
      <c r="B14" s="94" t="s">
        <v>572</v>
      </c>
      <c r="F14" s="2" t="s">
        <v>395</v>
      </c>
      <c r="H14" s="26">
        <f>'Income level'!N35</f>
        <v>987039.95794644405</v>
      </c>
    </row>
    <row r="15" spans="2:10" x14ac:dyDescent="0.2">
      <c r="B15" s="94" t="s">
        <v>573</v>
      </c>
      <c r="F15" s="2" t="s">
        <v>97</v>
      </c>
      <c r="H15" s="26">
        <f>'Estimates for 2025'!N71</f>
        <v>201600</v>
      </c>
    </row>
    <row r="16" spans="2:10" x14ac:dyDescent="0.2">
      <c r="B16" s="2" t="s">
        <v>630</v>
      </c>
      <c r="F16" s="2" t="s">
        <v>468</v>
      </c>
      <c r="H16" s="151">
        <f>H14/H15</f>
        <v>4.8960315374327585</v>
      </c>
      <c r="J16" s="2" t="s">
        <v>644</v>
      </c>
    </row>
    <row r="17" spans="2:10" x14ac:dyDescent="0.2">
      <c r="B17" s="94"/>
    </row>
    <row r="18" spans="2:10" x14ac:dyDescent="0.2">
      <c r="B18" s="1" t="s">
        <v>627</v>
      </c>
    </row>
    <row r="19" spans="2:10" x14ac:dyDescent="0.2">
      <c r="B19" s="2" t="s">
        <v>469</v>
      </c>
      <c r="F19" s="2" t="s">
        <v>448</v>
      </c>
      <c r="H19" s="97">
        <f>'Variable tariffs electricity'!H40</f>
        <v>0.29605717851295044</v>
      </c>
    </row>
    <row r="20" spans="2:10" x14ac:dyDescent="0.2">
      <c r="B20" s="2" t="s">
        <v>512</v>
      </c>
      <c r="F20" s="2" t="s">
        <v>464</v>
      </c>
      <c r="H20" s="26">
        <f>'Fixed tariffs electricity'!H32</f>
        <v>754.77036526964707</v>
      </c>
    </row>
    <row r="21" spans="2:10" x14ac:dyDescent="0.2">
      <c r="B21" s="2" t="s">
        <v>106</v>
      </c>
      <c r="F21" s="2" t="s">
        <v>107</v>
      </c>
      <c r="H21" s="80">
        <f>'Estimates for 2025'!N40</f>
        <v>4.5758463390315596</v>
      </c>
    </row>
    <row r="22" spans="2:10" x14ac:dyDescent="0.2">
      <c r="B22" s="2" t="s">
        <v>785</v>
      </c>
      <c r="F22" s="2" t="s">
        <v>395</v>
      </c>
      <c r="H22" s="166">
        <f>H20*12</f>
        <v>9057.244383235764</v>
      </c>
      <c r="J22" s="2" t="s">
        <v>628</v>
      </c>
    </row>
    <row r="23" spans="2:10" x14ac:dyDescent="0.2">
      <c r="B23" s="2" t="s">
        <v>633</v>
      </c>
      <c r="F23" s="2" t="s">
        <v>468</v>
      </c>
      <c r="H23" s="166">
        <f>H19*H21</f>
        <v>1.3547121564424971</v>
      </c>
    </row>
    <row r="24" spans="2:10" x14ac:dyDescent="0.2">
      <c r="B24" s="2" t="s">
        <v>648</v>
      </c>
      <c r="F24" s="2" t="s">
        <v>468</v>
      </c>
      <c r="H24" s="166">
        <f>H23+H22/H15</f>
        <v>1.3996389638990236</v>
      </c>
    </row>
    <row r="26" spans="2:10" x14ac:dyDescent="0.2">
      <c r="B26" s="1" t="s">
        <v>629</v>
      </c>
    </row>
    <row r="27" spans="2:10" x14ac:dyDescent="0.2">
      <c r="B27" s="2" t="s">
        <v>631</v>
      </c>
      <c r="F27" s="2" t="s">
        <v>468</v>
      </c>
      <c r="H27" s="151">
        <f>H16+H24</f>
        <v>6.2956705013317826</v>
      </c>
    </row>
    <row r="28" spans="2:10" x14ac:dyDescent="0.2">
      <c r="B28" s="2" t="s">
        <v>722</v>
      </c>
      <c r="F28" s="2" t="s">
        <v>468</v>
      </c>
      <c r="H28" s="159">
        <f>ROUND(H27,3)</f>
        <v>6.2960000000000003</v>
      </c>
      <c r="J28" s="2" t="s">
        <v>726</v>
      </c>
    </row>
    <row r="30" spans="2:10" s="8" customFormat="1" x14ac:dyDescent="0.2">
      <c r="B30" s="8" t="s">
        <v>576</v>
      </c>
    </row>
    <row r="32" spans="2:10" x14ac:dyDescent="0.2">
      <c r="B32" s="1" t="s">
        <v>574</v>
      </c>
    </row>
    <row r="33" spans="2:10" x14ac:dyDescent="0.2">
      <c r="B33" s="2" t="s">
        <v>470</v>
      </c>
      <c r="F33" s="2" t="s">
        <v>468</v>
      </c>
      <c r="H33" s="150">
        <f>'Overview corrections'!O49</f>
        <v>0.48460686110892237</v>
      </c>
    </row>
    <row r="35" spans="2:10" x14ac:dyDescent="0.2">
      <c r="B35" s="1" t="s">
        <v>471</v>
      </c>
    </row>
    <row r="36" spans="2:10" x14ac:dyDescent="0.2">
      <c r="B36" s="2" t="s">
        <v>352</v>
      </c>
      <c r="F36" s="2" t="s">
        <v>74</v>
      </c>
      <c r="H36" s="79">
        <f>'Estimates for 2025'!O17</f>
        <v>0.4</v>
      </c>
    </row>
    <row r="38" spans="2:10" x14ac:dyDescent="0.2">
      <c r="B38" s="1" t="s">
        <v>577</v>
      </c>
    </row>
    <row r="39" spans="2:10" x14ac:dyDescent="0.2">
      <c r="B39" s="2" t="s">
        <v>578</v>
      </c>
      <c r="F39" s="2" t="s">
        <v>468</v>
      </c>
      <c r="H39" s="151">
        <f>(H27+H33)/(1-H36)</f>
        <v>11.300462270734508</v>
      </c>
      <c r="J39" s="2" t="s">
        <v>591</v>
      </c>
    </row>
    <row r="40" spans="2:10" x14ac:dyDescent="0.2">
      <c r="B40" s="2" t="s">
        <v>724</v>
      </c>
      <c r="F40" s="2" t="s">
        <v>468</v>
      </c>
      <c r="H40" s="159">
        <f>ROUND(H39,3)</f>
        <v>11.3</v>
      </c>
      <c r="J40" s="2" t="s">
        <v>726</v>
      </c>
    </row>
    <row r="42" spans="2:10" s="8" customFormat="1" x14ac:dyDescent="0.2">
      <c r="B42" s="8" t="s">
        <v>581</v>
      </c>
    </row>
    <row r="44" spans="2:10" x14ac:dyDescent="0.2">
      <c r="B44" s="1" t="s">
        <v>582</v>
      </c>
    </row>
    <row r="45" spans="2:10" x14ac:dyDescent="0.2">
      <c r="B45" s="2" t="s">
        <v>635</v>
      </c>
      <c r="F45" s="2" t="s">
        <v>395</v>
      </c>
      <c r="H45" s="26">
        <f>'Income level'!P35</f>
        <v>18509.725211606597</v>
      </c>
    </row>
    <row r="46" spans="2:10" x14ac:dyDescent="0.2">
      <c r="B46" s="2" t="s">
        <v>634</v>
      </c>
      <c r="F46" s="2" t="s">
        <v>97</v>
      </c>
      <c r="H46" s="26">
        <f>'Estimates for 2025'!P71</f>
        <v>2016</v>
      </c>
    </row>
    <row r="47" spans="2:10" x14ac:dyDescent="0.2">
      <c r="B47" s="2" t="s">
        <v>643</v>
      </c>
      <c r="F47" s="2" t="s">
        <v>468</v>
      </c>
      <c r="H47" s="151">
        <f>H27+H45/H46</f>
        <v>15.477081816612833</v>
      </c>
      <c r="J47" s="2" t="s">
        <v>587</v>
      </c>
    </row>
    <row r="48" spans="2:10" x14ac:dyDescent="0.2">
      <c r="B48" s="2" t="s">
        <v>723</v>
      </c>
      <c r="F48" s="2" t="s">
        <v>468</v>
      </c>
      <c r="H48" s="159">
        <f>ROUND(H47,3)</f>
        <v>15.477</v>
      </c>
      <c r="J48" s="2" t="s">
        <v>726</v>
      </c>
    </row>
    <row r="51" spans="2:2" x14ac:dyDescent="0.2">
      <c r="B51" s="4" t="s">
        <v>63</v>
      </c>
    </row>
  </sheetData>
  <phoneticPr fontId="31"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949D-46A2-4629-BE28-7F6D7D163838}">
  <sheetPr>
    <tabColor rgb="FFFFFFCC"/>
  </sheetPr>
  <dimension ref="B2:J34"/>
  <sheetViews>
    <sheetView showGridLines="0" zoomScale="85" zoomScaleNormal="85" workbookViewId="0">
      <pane xSplit="6" ySplit="9" topLeftCell="G10" activePane="bottomRight" state="frozen"/>
      <selection activeCell="H13" sqref="H13"/>
      <selection pane="topRight" activeCell="H13" sqref="H13"/>
      <selection pane="bottomLeft" activeCell="H13" sqref="H13"/>
      <selection pane="bottomRight" activeCell="G10" sqref="G10"/>
    </sheetView>
  </sheetViews>
  <sheetFormatPr defaultColWidth="9.140625" defaultRowHeight="12.75" x14ac:dyDescent="0.2"/>
  <cols>
    <col min="1" max="1" width="4.5703125" style="2" customWidth="1"/>
    <col min="2" max="2" width="44.42578125" style="2" customWidth="1"/>
    <col min="3" max="5" width="4.5703125" style="2" customWidth="1"/>
    <col min="6" max="6" width="21.7109375" style="2" customWidth="1"/>
    <col min="7" max="7" width="2.7109375" style="2" customWidth="1"/>
    <col min="8" max="8" width="21.7109375" style="2" customWidth="1"/>
    <col min="9" max="9" width="2.7109375" style="2" customWidth="1"/>
    <col min="10" max="10" width="30.7109375" style="2" customWidth="1"/>
    <col min="11" max="11" width="2.7109375" style="2" customWidth="1"/>
    <col min="12" max="21" width="12.5703125" style="2" customWidth="1"/>
    <col min="22" max="24" width="2.7109375" style="2" customWidth="1"/>
    <col min="25" max="39" width="13.7109375" style="2" customWidth="1"/>
    <col min="40" max="16384" width="9.140625" style="2"/>
  </cols>
  <sheetData>
    <row r="2" spans="2:10" s="12" customFormat="1" ht="18" x14ac:dyDescent="0.2">
      <c r="B2" s="12" t="s">
        <v>783</v>
      </c>
    </row>
    <row r="4" spans="2:10" x14ac:dyDescent="0.2">
      <c r="B4" s="19" t="s">
        <v>12</v>
      </c>
      <c r="C4" s="1"/>
      <c r="D4" s="1"/>
    </row>
    <row r="5" spans="2:10" x14ac:dyDescent="0.2">
      <c r="B5" s="2" t="s">
        <v>786</v>
      </c>
      <c r="C5" s="3"/>
      <c r="D5" s="3"/>
      <c r="H5" s="13"/>
    </row>
    <row r="6" spans="2:10" x14ac:dyDescent="0.2">
      <c r="B6" s="2" t="s">
        <v>590</v>
      </c>
      <c r="C6" s="3"/>
      <c r="D6" s="3"/>
      <c r="H6" s="13"/>
    </row>
    <row r="8" spans="2:10" s="8" customFormat="1" ht="12.75" customHeight="1" x14ac:dyDescent="0.2">
      <c r="B8" s="8" t="s">
        <v>82</v>
      </c>
      <c r="F8" s="8" t="s">
        <v>83</v>
      </c>
      <c r="H8" s="8" t="s">
        <v>37</v>
      </c>
      <c r="J8" s="8" t="s">
        <v>39</v>
      </c>
    </row>
    <row r="11" spans="2:10" s="8" customFormat="1" x14ac:dyDescent="0.2">
      <c r="B11" s="8" t="s">
        <v>579</v>
      </c>
    </row>
    <row r="13" spans="2:10" x14ac:dyDescent="0.2">
      <c r="B13" s="1" t="s">
        <v>580</v>
      </c>
    </row>
    <row r="14" spans="2:10" x14ac:dyDescent="0.2">
      <c r="B14" s="94" t="s">
        <v>788</v>
      </c>
      <c r="F14" s="2" t="s">
        <v>787</v>
      </c>
      <c r="H14" s="26">
        <f>'Income level'!O35</f>
        <v>1068676.4483138416</v>
      </c>
    </row>
    <row r="15" spans="2:10" x14ac:dyDescent="0.2">
      <c r="B15" s="94" t="s">
        <v>636</v>
      </c>
      <c r="F15" s="2" t="s">
        <v>97</v>
      </c>
      <c r="H15" s="26">
        <f>'Estimates for 2025'!O71</f>
        <v>1225.5630287548672</v>
      </c>
    </row>
    <row r="16" spans="2:10" x14ac:dyDescent="0.2">
      <c r="B16" s="2" t="s">
        <v>586</v>
      </c>
      <c r="F16" s="2" t="s">
        <v>464</v>
      </c>
      <c r="H16" s="81">
        <f>H14/H15/12</f>
        <v>72.665679857606804</v>
      </c>
      <c r="J16" s="2" t="s">
        <v>585</v>
      </c>
    </row>
    <row r="18" spans="2:10" s="8" customFormat="1" x14ac:dyDescent="0.2">
      <c r="B18" s="8" t="s">
        <v>619</v>
      </c>
    </row>
    <row r="20" spans="2:10" x14ac:dyDescent="0.2">
      <c r="B20" s="1" t="s">
        <v>64</v>
      </c>
    </row>
    <row r="21" spans="2:10" x14ac:dyDescent="0.2">
      <c r="B21" s="2" t="s">
        <v>294</v>
      </c>
      <c r="F21" s="2" t="s">
        <v>74</v>
      </c>
      <c r="H21" s="68">
        <f>Parameters!H20</f>
        <v>3.1E-2</v>
      </c>
    </row>
    <row r="22" spans="2:10" x14ac:dyDescent="0.2">
      <c r="B22" s="4"/>
    </row>
    <row r="23" spans="2:10" x14ac:dyDescent="0.2">
      <c r="B23" s="19" t="s">
        <v>638</v>
      </c>
    </row>
    <row r="24" spans="2:10" x14ac:dyDescent="0.2">
      <c r="B24" s="2" t="s">
        <v>114</v>
      </c>
      <c r="F24" s="2" t="s">
        <v>137</v>
      </c>
      <c r="H24" s="80">
        <f>'Data ACM'!O60</f>
        <v>40</v>
      </c>
    </row>
    <row r="25" spans="2:10" x14ac:dyDescent="0.2">
      <c r="B25" s="2" t="s">
        <v>326</v>
      </c>
      <c r="F25" s="2" t="s">
        <v>137</v>
      </c>
      <c r="H25" s="80">
        <f>'Data ACM'!O53</f>
        <v>272.94023816097268</v>
      </c>
    </row>
    <row r="26" spans="2:10" x14ac:dyDescent="0.2">
      <c r="B26" s="2" t="s">
        <v>637</v>
      </c>
      <c r="F26" s="2" t="s">
        <v>137</v>
      </c>
      <c r="H26" s="80">
        <f>'Data ACM'!O54</f>
        <v>189.55349078801981</v>
      </c>
    </row>
    <row r="28" spans="2:10" x14ac:dyDescent="0.2">
      <c r="B28" s="19" t="s">
        <v>639</v>
      </c>
    </row>
    <row r="29" spans="2:10" x14ac:dyDescent="0.2">
      <c r="B29" s="2" t="s">
        <v>114</v>
      </c>
      <c r="F29" s="2" t="s">
        <v>395</v>
      </c>
      <c r="H29" s="81">
        <f>H24</f>
        <v>40</v>
      </c>
      <c r="J29" s="2" t="s">
        <v>588</v>
      </c>
    </row>
    <row r="30" spans="2:10" x14ac:dyDescent="0.2">
      <c r="B30" s="2" t="s">
        <v>608</v>
      </c>
      <c r="F30" s="2" t="s">
        <v>395</v>
      </c>
      <c r="H30" s="81">
        <f>H25*(1+$H$21)</f>
        <v>281.40138554396282</v>
      </c>
    </row>
    <row r="31" spans="2:10" x14ac:dyDescent="0.2">
      <c r="B31" s="2" t="s">
        <v>609</v>
      </c>
      <c r="F31" s="2" t="s">
        <v>395</v>
      </c>
      <c r="H31" s="81">
        <f>H26*(1+$H$21)</f>
        <v>195.4296490024484</v>
      </c>
    </row>
    <row r="32" spans="2:10" x14ac:dyDescent="0.2">
      <c r="B32" s="1"/>
    </row>
    <row r="34" spans="2:2" x14ac:dyDescent="0.2">
      <c r="B34" s="4" t="s">
        <v>63</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33AD3-F2E6-405E-97AE-10DC7D5C3661}">
  <sheetPr>
    <tabColor rgb="FFCCFFFF"/>
  </sheetPr>
  <dimension ref="B2:AB95"/>
  <sheetViews>
    <sheetView showGridLines="0" zoomScale="85" zoomScaleNormal="85" workbookViewId="0"/>
  </sheetViews>
  <sheetFormatPr defaultColWidth="9.140625" defaultRowHeight="12.75" x14ac:dyDescent="0.2"/>
  <cols>
    <col min="1" max="1" width="9.140625" style="56"/>
    <col min="2" max="2" width="4.5703125" style="56" customWidth="1"/>
    <col min="3" max="3" width="52.5703125" style="56" customWidth="1"/>
    <col min="4" max="4" width="19.7109375" style="56" customWidth="1"/>
    <col min="5" max="6" width="14" style="56" customWidth="1"/>
    <col min="7" max="7" width="5.5703125" style="56" customWidth="1"/>
    <col min="8" max="8" width="20.140625" style="56" customWidth="1"/>
    <col min="9" max="9" width="4.5703125" style="56" customWidth="1"/>
    <col min="10" max="10" width="9.140625" style="56"/>
    <col min="11" max="11" width="10.28515625" style="56" bestFit="1" customWidth="1"/>
    <col min="12" max="16384" width="9.140625" style="56"/>
  </cols>
  <sheetData>
    <row r="2" spans="2:7" s="7" customFormat="1" ht="18" x14ac:dyDescent="0.2">
      <c r="C2" s="7" t="s">
        <v>237</v>
      </c>
    </row>
    <row r="3" spans="2:7" x14ac:dyDescent="0.2">
      <c r="B3" s="2"/>
      <c r="C3" s="2"/>
      <c r="D3" s="2"/>
      <c r="E3" s="2"/>
      <c r="F3" s="2"/>
      <c r="G3" s="2"/>
    </row>
    <row r="4" spans="2:7" x14ac:dyDescent="0.2">
      <c r="B4" s="2"/>
      <c r="C4" s="19" t="s">
        <v>82</v>
      </c>
      <c r="D4" s="2"/>
      <c r="E4" s="2"/>
      <c r="F4" s="2"/>
      <c r="G4" s="2"/>
    </row>
    <row r="5" spans="2:7" x14ac:dyDescent="0.2">
      <c r="B5" s="2"/>
      <c r="C5" s="2" t="s">
        <v>473</v>
      </c>
      <c r="D5" s="2"/>
      <c r="E5" s="13"/>
      <c r="F5" s="2"/>
      <c r="G5" s="2"/>
    </row>
    <row r="6" spans="2:7" x14ac:dyDescent="0.2">
      <c r="B6" s="2"/>
      <c r="C6" s="2"/>
      <c r="D6" s="2"/>
      <c r="E6" s="2"/>
      <c r="F6" s="2"/>
      <c r="G6" s="2"/>
    </row>
    <row r="7" spans="2:7" s="8" customFormat="1" x14ac:dyDescent="0.2">
      <c r="C7" s="8" t="s">
        <v>238</v>
      </c>
      <c r="D7" s="8" t="s">
        <v>36</v>
      </c>
    </row>
    <row r="9" spans="2:7" x14ac:dyDescent="0.2">
      <c r="C9" s="1" t="s">
        <v>239</v>
      </c>
      <c r="D9" s="56" t="s">
        <v>497</v>
      </c>
      <c r="E9" s="101">
        <f>Result!H14</f>
        <v>0.16420000000000001</v>
      </c>
    </row>
    <row r="10" spans="2:7" x14ac:dyDescent="0.2">
      <c r="C10" s="1"/>
    </row>
    <row r="11" spans="2:7" x14ac:dyDescent="0.2">
      <c r="B11" s="102"/>
      <c r="C11" s="103"/>
      <c r="D11" s="103"/>
      <c r="E11" s="103"/>
      <c r="F11" s="104"/>
    </row>
    <row r="12" spans="2:7" s="8" customFormat="1" x14ac:dyDescent="0.2">
      <c r="B12" s="105"/>
      <c r="C12" s="8" t="s">
        <v>475</v>
      </c>
      <c r="D12" s="8" t="s">
        <v>36</v>
      </c>
      <c r="F12" s="106"/>
    </row>
    <row r="13" spans="2:7" x14ac:dyDescent="0.2">
      <c r="B13" s="107"/>
      <c r="F13" s="108"/>
    </row>
    <row r="14" spans="2:7" x14ac:dyDescent="0.2">
      <c r="B14" s="107"/>
      <c r="C14" s="1" t="s">
        <v>240</v>
      </c>
      <c r="D14" s="56" t="s">
        <v>497</v>
      </c>
      <c r="E14" s="101">
        <f>Result!H19</f>
        <v>0.29609999999999997</v>
      </c>
      <c r="F14" s="108"/>
    </row>
    <row r="15" spans="2:7" x14ac:dyDescent="0.2">
      <c r="B15" s="107"/>
      <c r="F15" s="108"/>
    </row>
    <row r="16" spans="2:7" x14ac:dyDescent="0.2">
      <c r="B16" s="107"/>
      <c r="C16" s="1" t="s">
        <v>241</v>
      </c>
      <c r="F16" s="108"/>
    </row>
    <row r="17" spans="2:28" x14ac:dyDescent="0.2">
      <c r="B17" s="107"/>
      <c r="C17" s="2" t="s">
        <v>242</v>
      </c>
      <c r="D17" s="2" t="s">
        <v>498</v>
      </c>
      <c r="E17" s="109">
        <f>'Fixed tariffs electricity'!H17</f>
        <v>8.8277235704052295</v>
      </c>
      <c r="F17" s="108"/>
    </row>
    <row r="18" spans="2:28" x14ac:dyDescent="0.2">
      <c r="B18" s="107"/>
      <c r="C18" s="2" t="s">
        <v>243</v>
      </c>
      <c r="F18" s="108"/>
    </row>
    <row r="19" spans="2:28" x14ac:dyDescent="0.2">
      <c r="B19" s="107"/>
      <c r="C19" s="2" t="s">
        <v>244</v>
      </c>
      <c r="D19" s="2" t="s">
        <v>498</v>
      </c>
      <c r="E19" s="110">
        <f>Result!H24</f>
        <v>28.248715425296737</v>
      </c>
      <c r="F19" s="111"/>
      <c r="G19" s="2"/>
      <c r="I19" s="2"/>
      <c r="J19" s="2"/>
      <c r="K19" s="2"/>
      <c r="L19" s="2"/>
      <c r="M19" s="2"/>
      <c r="N19" s="2"/>
      <c r="O19" s="2"/>
      <c r="P19" s="2"/>
      <c r="Q19" s="2"/>
      <c r="R19" s="2"/>
      <c r="S19" s="2"/>
      <c r="T19" s="2"/>
      <c r="U19" s="2"/>
      <c r="V19" s="2"/>
      <c r="W19" s="2"/>
      <c r="X19" s="2"/>
      <c r="Y19" s="2"/>
      <c r="Z19" s="2"/>
      <c r="AA19" s="2"/>
      <c r="AB19" s="2"/>
    </row>
    <row r="20" spans="2:28" x14ac:dyDescent="0.2">
      <c r="B20" s="107"/>
      <c r="C20" s="2" t="s">
        <v>245</v>
      </c>
      <c r="D20" s="2" t="s">
        <v>498</v>
      </c>
      <c r="E20" s="110">
        <f>Result!H25</f>
        <v>67.973471492120268</v>
      </c>
      <c r="F20" s="111"/>
      <c r="G20" s="2"/>
      <c r="I20" s="2"/>
      <c r="J20" s="2"/>
      <c r="K20" s="2"/>
      <c r="L20" s="2"/>
      <c r="M20" s="2"/>
      <c r="N20" s="2"/>
      <c r="O20" s="2"/>
      <c r="P20" s="2"/>
      <c r="Q20" s="2"/>
      <c r="R20" s="2"/>
      <c r="S20" s="2"/>
      <c r="T20" s="2"/>
      <c r="U20" s="2"/>
      <c r="V20" s="2"/>
      <c r="W20" s="2"/>
      <c r="X20" s="2"/>
      <c r="Y20" s="2"/>
      <c r="Z20" s="2"/>
      <c r="AA20" s="2"/>
      <c r="AB20" s="2"/>
    </row>
    <row r="21" spans="2:28" x14ac:dyDescent="0.2">
      <c r="B21" s="107"/>
      <c r="C21" s="2" t="s">
        <v>246</v>
      </c>
      <c r="D21" s="2" t="s">
        <v>498</v>
      </c>
      <c r="E21" s="110">
        <f>Result!H26</f>
        <v>97.104959274457528</v>
      </c>
      <c r="F21" s="111"/>
      <c r="G21" s="2"/>
      <c r="I21" s="2"/>
      <c r="J21" s="2"/>
      <c r="K21" s="2"/>
      <c r="L21" s="2"/>
      <c r="M21" s="2"/>
      <c r="N21" s="2"/>
      <c r="O21" s="2"/>
      <c r="P21" s="2"/>
      <c r="Q21" s="2"/>
      <c r="R21" s="2"/>
      <c r="S21" s="2"/>
      <c r="T21" s="2"/>
      <c r="U21" s="2"/>
      <c r="V21" s="2"/>
      <c r="W21" s="2"/>
      <c r="X21" s="2"/>
      <c r="Y21" s="2"/>
      <c r="Z21" s="2"/>
      <c r="AA21" s="2"/>
      <c r="AB21" s="2"/>
    </row>
    <row r="22" spans="2:28" x14ac:dyDescent="0.2">
      <c r="B22" s="107"/>
      <c r="C22" s="2" t="s">
        <v>247</v>
      </c>
      <c r="D22" s="2" t="s">
        <v>498</v>
      </c>
      <c r="E22" s="110">
        <f>Result!H27</f>
        <v>122.35224868581648</v>
      </c>
      <c r="F22" s="111"/>
      <c r="G22" s="2"/>
      <c r="I22" s="2"/>
      <c r="J22" s="2"/>
      <c r="K22" s="2"/>
      <c r="L22" s="2"/>
      <c r="M22" s="2"/>
      <c r="N22" s="2"/>
      <c r="O22" s="2"/>
      <c r="P22" s="2"/>
      <c r="Q22" s="2"/>
      <c r="R22" s="2"/>
      <c r="S22" s="2"/>
      <c r="T22" s="2"/>
      <c r="U22" s="2"/>
      <c r="V22" s="2"/>
      <c r="W22" s="2"/>
      <c r="X22" s="2"/>
      <c r="Y22" s="2"/>
      <c r="Z22" s="2"/>
      <c r="AA22" s="2"/>
      <c r="AB22" s="2"/>
    </row>
    <row r="23" spans="2:28" x14ac:dyDescent="0.2">
      <c r="B23" s="107"/>
      <c r="C23" s="2" t="s">
        <v>248</v>
      </c>
      <c r="D23" s="2" t="s">
        <v>498</v>
      </c>
      <c r="E23" s="110">
        <f>Result!H28</f>
        <v>117.40872348638956</v>
      </c>
      <c r="F23" s="111"/>
      <c r="G23" s="2"/>
      <c r="I23" s="2"/>
      <c r="J23" s="2"/>
      <c r="K23" s="2"/>
      <c r="L23" s="2"/>
      <c r="M23" s="2"/>
      <c r="N23" s="2"/>
      <c r="O23" s="2"/>
      <c r="P23" s="2"/>
      <c r="Q23" s="2"/>
      <c r="R23" s="2"/>
      <c r="S23" s="2"/>
      <c r="T23" s="2"/>
      <c r="U23" s="2"/>
      <c r="V23" s="2"/>
      <c r="W23" s="2"/>
      <c r="X23" s="2"/>
      <c r="Y23" s="2"/>
      <c r="Z23" s="2"/>
      <c r="AA23" s="2"/>
      <c r="AB23" s="2"/>
    </row>
    <row r="24" spans="2:28" x14ac:dyDescent="0.2">
      <c r="B24" s="107"/>
      <c r="C24" s="2" t="s">
        <v>249</v>
      </c>
      <c r="D24" s="2" t="s">
        <v>498</v>
      </c>
      <c r="E24" s="110">
        <f>Result!H29</f>
        <v>167.72674783769935</v>
      </c>
      <c r="F24" s="111"/>
      <c r="G24" s="2"/>
      <c r="I24" s="2"/>
      <c r="J24" s="2"/>
      <c r="K24" s="2"/>
      <c r="L24" s="2"/>
      <c r="M24" s="2"/>
      <c r="N24" s="2"/>
      <c r="O24" s="2"/>
      <c r="P24" s="2"/>
      <c r="Q24" s="2"/>
      <c r="R24" s="2"/>
      <c r="S24" s="2"/>
      <c r="T24" s="2"/>
      <c r="U24" s="2"/>
      <c r="V24" s="2"/>
      <c r="W24" s="2"/>
      <c r="X24" s="2"/>
      <c r="Y24" s="2"/>
      <c r="Z24" s="2"/>
      <c r="AA24" s="2"/>
      <c r="AB24" s="2"/>
    </row>
    <row r="25" spans="2:28" x14ac:dyDescent="0.2">
      <c r="B25" s="107"/>
      <c r="C25" s="2" t="s">
        <v>250</v>
      </c>
      <c r="D25" s="2" t="s">
        <v>498</v>
      </c>
      <c r="E25" s="110">
        <f>Result!H30</f>
        <v>211.33570227550121</v>
      </c>
      <c r="F25" s="111"/>
      <c r="G25" s="2"/>
      <c r="I25" s="2"/>
      <c r="J25" s="2"/>
      <c r="K25" s="2"/>
      <c r="L25" s="2"/>
      <c r="M25" s="2"/>
      <c r="N25" s="2"/>
      <c r="O25" s="2"/>
      <c r="P25" s="2"/>
      <c r="Q25" s="2"/>
      <c r="R25" s="2"/>
      <c r="S25" s="2"/>
      <c r="T25" s="2"/>
      <c r="U25" s="2"/>
      <c r="V25" s="2"/>
      <c r="W25" s="2"/>
      <c r="X25" s="2"/>
      <c r="Y25" s="2"/>
      <c r="Z25" s="2"/>
      <c r="AA25" s="2"/>
      <c r="AB25" s="2"/>
    </row>
    <row r="26" spans="2:28" x14ac:dyDescent="0.2">
      <c r="B26" s="107"/>
      <c r="C26" s="2" t="s">
        <v>251</v>
      </c>
      <c r="D26" s="2" t="s">
        <v>498</v>
      </c>
      <c r="E26" s="110">
        <f>Result!H31</f>
        <v>268.36279654031898</v>
      </c>
      <c r="F26" s="111"/>
      <c r="G26" s="2"/>
      <c r="I26" s="2"/>
      <c r="J26" s="2"/>
      <c r="K26" s="2"/>
      <c r="L26" s="2"/>
      <c r="M26" s="2"/>
      <c r="N26" s="2"/>
      <c r="O26" s="2"/>
      <c r="P26" s="2"/>
      <c r="Q26" s="2"/>
      <c r="R26" s="2"/>
      <c r="S26" s="2"/>
      <c r="T26" s="2"/>
      <c r="U26" s="2"/>
      <c r="V26" s="2"/>
      <c r="W26" s="2"/>
      <c r="X26" s="2"/>
      <c r="Y26" s="2"/>
      <c r="Z26" s="2"/>
      <c r="AA26" s="2"/>
      <c r="AB26" s="2"/>
    </row>
    <row r="27" spans="2:28" x14ac:dyDescent="0.2">
      <c r="B27" s="107"/>
      <c r="C27" s="2" t="s">
        <v>252</v>
      </c>
      <c r="D27" s="2" t="s">
        <v>498</v>
      </c>
      <c r="E27" s="110">
        <f>Result!H32</f>
        <v>335.4534956753987</v>
      </c>
      <c r="F27" s="111"/>
      <c r="G27" s="2"/>
      <c r="I27" s="2"/>
      <c r="J27" s="2"/>
      <c r="K27" s="2"/>
      <c r="L27" s="2"/>
      <c r="M27" s="2"/>
      <c r="N27" s="2"/>
      <c r="O27" s="2"/>
      <c r="P27" s="2"/>
      <c r="Q27" s="2"/>
      <c r="R27" s="2"/>
      <c r="S27" s="2"/>
      <c r="T27" s="2"/>
      <c r="U27" s="2"/>
      <c r="V27" s="2"/>
      <c r="W27" s="2"/>
      <c r="X27" s="2"/>
      <c r="Y27" s="2"/>
      <c r="Z27" s="2"/>
      <c r="AA27" s="2"/>
      <c r="AB27" s="2"/>
    </row>
    <row r="28" spans="2:28" x14ac:dyDescent="0.2">
      <c r="B28" s="107"/>
      <c r="C28" s="2" t="s">
        <v>253</v>
      </c>
      <c r="D28" s="2" t="s">
        <v>498</v>
      </c>
      <c r="E28" s="110">
        <f>Result!H33</f>
        <v>419.31686959424837</v>
      </c>
      <c r="F28" s="111"/>
      <c r="G28" s="2"/>
      <c r="I28" s="2"/>
      <c r="J28" s="2"/>
      <c r="K28" s="2"/>
      <c r="L28" s="2"/>
      <c r="M28" s="2"/>
      <c r="N28" s="2"/>
      <c r="O28" s="2"/>
      <c r="P28" s="2"/>
      <c r="Q28" s="2"/>
      <c r="R28" s="2"/>
      <c r="S28" s="2"/>
      <c r="T28" s="2"/>
      <c r="U28" s="2"/>
      <c r="V28" s="2"/>
      <c r="W28" s="2"/>
      <c r="X28" s="2"/>
      <c r="Y28" s="2"/>
      <c r="Z28" s="2"/>
      <c r="AA28" s="2"/>
      <c r="AB28" s="2"/>
    </row>
    <row r="29" spans="2:28" x14ac:dyDescent="0.2">
      <c r="B29" s="107"/>
      <c r="C29" s="2" t="s">
        <v>254</v>
      </c>
      <c r="D29" s="2" t="s">
        <v>498</v>
      </c>
      <c r="E29" s="110">
        <f>Result!H34</f>
        <v>536.72559308063796</v>
      </c>
      <c r="F29" s="111"/>
      <c r="G29" s="2"/>
      <c r="I29" s="2"/>
      <c r="J29" s="2"/>
      <c r="K29" s="2"/>
      <c r="L29" s="2"/>
      <c r="M29" s="2"/>
      <c r="N29" s="2"/>
      <c r="O29" s="2"/>
      <c r="P29" s="2"/>
      <c r="Q29" s="2"/>
      <c r="R29" s="2"/>
      <c r="S29" s="2"/>
      <c r="T29" s="2"/>
      <c r="U29" s="2"/>
      <c r="V29" s="2"/>
      <c r="W29" s="2"/>
      <c r="X29" s="2"/>
      <c r="Y29" s="2"/>
      <c r="Z29" s="2"/>
      <c r="AA29" s="2"/>
      <c r="AB29" s="2"/>
    </row>
    <row r="30" spans="2:28" x14ac:dyDescent="0.2">
      <c r="B30" s="107"/>
      <c r="C30" s="2" t="s">
        <v>255</v>
      </c>
      <c r="D30" s="2" t="s">
        <v>498</v>
      </c>
      <c r="E30" s="110">
        <f>Result!H35</f>
        <v>670.9069913507974</v>
      </c>
      <c r="F30" s="111"/>
      <c r="G30" s="2"/>
      <c r="I30" s="2"/>
      <c r="J30" s="2"/>
      <c r="K30" s="2"/>
      <c r="L30" s="2"/>
      <c r="M30" s="2"/>
      <c r="N30" s="2"/>
      <c r="O30" s="2"/>
      <c r="P30" s="2"/>
      <c r="Q30" s="2"/>
      <c r="R30" s="2"/>
      <c r="S30" s="2"/>
      <c r="T30" s="2"/>
      <c r="U30" s="2"/>
      <c r="V30" s="2"/>
      <c r="W30" s="2"/>
      <c r="X30" s="2"/>
      <c r="Y30" s="2"/>
      <c r="Z30" s="2"/>
      <c r="AA30" s="2"/>
      <c r="AB30" s="2"/>
    </row>
    <row r="31" spans="2:28" x14ac:dyDescent="0.2">
      <c r="B31" s="107"/>
      <c r="C31" s="2" t="s">
        <v>256</v>
      </c>
      <c r="D31" s="2" t="s">
        <v>498</v>
      </c>
      <c r="E31" s="110">
        <f>Result!H36</f>
        <v>754.77036526964707</v>
      </c>
      <c r="F31" s="111"/>
      <c r="G31" s="2"/>
      <c r="I31" s="2"/>
      <c r="J31" s="2"/>
      <c r="K31" s="2"/>
      <c r="L31" s="2"/>
      <c r="M31" s="2"/>
      <c r="N31" s="2"/>
      <c r="O31" s="2"/>
      <c r="P31" s="2"/>
      <c r="Q31" s="2"/>
      <c r="R31" s="2"/>
      <c r="S31" s="2"/>
      <c r="T31" s="2"/>
      <c r="U31" s="2"/>
      <c r="V31" s="2"/>
      <c r="W31" s="2"/>
      <c r="X31" s="2"/>
      <c r="Y31" s="2"/>
      <c r="Z31" s="2"/>
      <c r="AA31" s="2"/>
      <c r="AB31" s="2"/>
    </row>
    <row r="32" spans="2:28" x14ac:dyDescent="0.2">
      <c r="B32" s="107"/>
      <c r="C32" s="2" t="s">
        <v>257</v>
      </c>
      <c r="D32" s="2" t="s">
        <v>498</v>
      </c>
      <c r="E32" s="110">
        <f>Result!H37</f>
        <v>838.63373918849675</v>
      </c>
      <c r="F32" s="111"/>
      <c r="G32" s="2"/>
      <c r="I32" s="2"/>
      <c r="J32" s="2"/>
      <c r="K32" s="2"/>
      <c r="L32" s="2"/>
      <c r="M32" s="2"/>
      <c r="N32" s="2"/>
      <c r="O32" s="2"/>
      <c r="P32" s="2"/>
      <c r="Q32" s="2"/>
      <c r="R32" s="2"/>
      <c r="S32" s="2"/>
      <c r="T32" s="2"/>
      <c r="U32" s="2"/>
      <c r="V32" s="2"/>
      <c r="W32" s="2"/>
      <c r="X32" s="2"/>
      <c r="Y32" s="2"/>
      <c r="Z32" s="2"/>
      <c r="AA32" s="2"/>
      <c r="AB32" s="2"/>
    </row>
    <row r="33" spans="2:28" x14ac:dyDescent="0.2">
      <c r="B33" s="107"/>
      <c r="C33" s="2" t="s">
        <v>258</v>
      </c>
      <c r="D33" s="2" t="s">
        <v>498</v>
      </c>
      <c r="E33" s="110">
        <f>Result!H38</f>
        <v>1056.6785113775061</v>
      </c>
      <c r="F33" s="111"/>
      <c r="G33" s="2"/>
      <c r="I33" s="2"/>
      <c r="J33" s="2"/>
      <c r="K33" s="2"/>
      <c r="L33" s="2"/>
      <c r="M33" s="2"/>
      <c r="N33" s="2"/>
      <c r="O33" s="2"/>
      <c r="P33" s="2"/>
      <c r="Q33" s="2"/>
      <c r="R33" s="2"/>
      <c r="S33" s="2"/>
      <c r="T33" s="2"/>
      <c r="U33" s="2"/>
      <c r="V33" s="2"/>
      <c r="W33" s="2"/>
      <c r="X33" s="2"/>
      <c r="Y33" s="2"/>
      <c r="Z33" s="2"/>
      <c r="AA33" s="2"/>
      <c r="AB33" s="2"/>
    </row>
    <row r="34" spans="2:28" x14ac:dyDescent="0.2">
      <c r="B34" s="107"/>
      <c r="C34" s="2" t="s">
        <v>259</v>
      </c>
      <c r="D34" s="2" t="s">
        <v>498</v>
      </c>
      <c r="E34" s="110">
        <f>Result!H39</f>
        <v>1544.851624820915</v>
      </c>
      <c r="F34" s="111"/>
      <c r="G34" s="2"/>
      <c r="I34" s="2"/>
      <c r="J34" s="2"/>
      <c r="K34" s="2"/>
      <c r="L34" s="2"/>
      <c r="M34" s="2"/>
      <c r="N34" s="2"/>
      <c r="O34" s="2"/>
      <c r="P34" s="2"/>
      <c r="Q34" s="2"/>
      <c r="R34" s="2"/>
      <c r="S34" s="2"/>
      <c r="T34" s="2"/>
      <c r="U34" s="2"/>
      <c r="V34" s="2"/>
      <c r="W34" s="2"/>
      <c r="X34" s="2"/>
      <c r="Y34" s="2"/>
      <c r="Z34" s="2"/>
      <c r="AA34" s="2"/>
      <c r="AB34" s="2"/>
    </row>
    <row r="35" spans="2:28" x14ac:dyDescent="0.2">
      <c r="B35" s="107"/>
      <c r="C35" s="2" t="s">
        <v>286</v>
      </c>
      <c r="D35" s="2" t="s">
        <v>498</v>
      </c>
      <c r="E35" s="110">
        <f>Result!H40</f>
        <v>1765.5447140810459</v>
      </c>
      <c r="F35" s="111"/>
      <c r="G35" s="2"/>
      <c r="I35" s="2"/>
      <c r="J35" s="2"/>
      <c r="K35" s="2"/>
      <c r="L35" s="2"/>
      <c r="M35" s="2"/>
      <c r="N35" s="2"/>
      <c r="O35" s="2"/>
      <c r="P35" s="2"/>
      <c r="Q35" s="2"/>
      <c r="R35" s="2"/>
      <c r="S35" s="2"/>
      <c r="T35" s="2"/>
      <c r="U35" s="2"/>
      <c r="V35" s="2"/>
      <c r="W35" s="2"/>
      <c r="X35" s="2"/>
      <c r="Y35" s="2"/>
      <c r="Z35" s="2"/>
      <c r="AA35" s="2"/>
      <c r="AB35" s="2"/>
    </row>
    <row r="36" spans="2:28" x14ac:dyDescent="0.2">
      <c r="B36" s="107"/>
      <c r="C36" s="2"/>
      <c r="D36" s="2"/>
      <c r="E36" s="2"/>
      <c r="F36" s="111"/>
      <c r="G36" s="2"/>
      <c r="I36" s="2"/>
      <c r="J36" s="2"/>
      <c r="K36" s="2"/>
      <c r="L36" s="2"/>
      <c r="M36" s="2"/>
      <c r="N36" s="2"/>
      <c r="O36" s="2"/>
      <c r="P36" s="2"/>
      <c r="Q36" s="2"/>
      <c r="R36" s="2"/>
      <c r="S36" s="2"/>
      <c r="T36" s="2"/>
      <c r="U36" s="2"/>
      <c r="V36" s="2"/>
      <c r="W36" s="2"/>
      <c r="X36" s="2"/>
      <c r="Y36" s="2"/>
      <c r="Z36" s="2"/>
      <c r="AA36" s="2"/>
      <c r="AB36" s="2"/>
    </row>
    <row r="37" spans="2:28" x14ac:dyDescent="0.2">
      <c r="B37" s="107"/>
      <c r="C37" s="1" t="s">
        <v>260</v>
      </c>
      <c r="D37" s="2"/>
      <c r="E37" s="2"/>
      <c r="F37" s="111"/>
      <c r="G37" s="2"/>
      <c r="I37" s="2"/>
      <c r="J37" s="2"/>
      <c r="K37" s="2"/>
      <c r="L37" s="2"/>
      <c r="M37" s="2"/>
      <c r="N37" s="2"/>
      <c r="O37" s="2"/>
      <c r="P37" s="2"/>
      <c r="Q37" s="2"/>
      <c r="R37" s="2"/>
      <c r="S37" s="2"/>
      <c r="T37" s="2"/>
      <c r="U37" s="2"/>
      <c r="V37" s="2"/>
      <c r="W37" s="2"/>
      <c r="X37" s="2"/>
      <c r="Y37" s="2"/>
      <c r="Z37" s="2"/>
      <c r="AA37" s="2"/>
      <c r="AB37" s="2"/>
    </row>
    <row r="38" spans="2:28" x14ac:dyDescent="0.2">
      <c r="B38" s="107"/>
      <c r="C38" s="2" t="s">
        <v>158</v>
      </c>
      <c r="D38" s="2" t="s">
        <v>395</v>
      </c>
      <c r="E38" s="110">
        <f>Result!H43</f>
        <v>40</v>
      </c>
      <c r="F38" s="111"/>
      <c r="G38" s="2"/>
      <c r="I38" s="2"/>
      <c r="J38" s="2"/>
      <c r="K38" s="2"/>
      <c r="L38" s="2"/>
      <c r="M38" s="2"/>
      <c r="N38" s="2"/>
      <c r="O38" s="2"/>
      <c r="P38" s="2"/>
      <c r="Q38" s="2"/>
      <c r="R38" s="2"/>
      <c r="S38" s="2"/>
      <c r="T38" s="2"/>
      <c r="U38" s="2"/>
      <c r="V38" s="2"/>
      <c r="W38" s="2"/>
      <c r="X38" s="2"/>
      <c r="Y38" s="2"/>
      <c r="Z38" s="2"/>
      <c r="AA38" s="2"/>
      <c r="AB38" s="2"/>
    </row>
    <row r="39" spans="2:28" x14ac:dyDescent="0.2">
      <c r="B39" s="107"/>
      <c r="C39" s="2" t="s">
        <v>160</v>
      </c>
      <c r="D39" s="2" t="s">
        <v>395</v>
      </c>
      <c r="E39" s="110">
        <f>Result!H46</f>
        <v>314.90515653541496</v>
      </c>
      <c r="F39" s="111"/>
      <c r="G39" s="2"/>
      <c r="I39" s="2"/>
      <c r="J39" s="2"/>
      <c r="K39" s="2"/>
      <c r="L39" s="2"/>
      <c r="M39" s="2"/>
      <c r="N39" s="2"/>
      <c r="O39" s="2"/>
      <c r="P39" s="2"/>
      <c r="Q39" s="2"/>
      <c r="R39" s="2"/>
      <c r="S39" s="2"/>
      <c r="T39" s="2"/>
      <c r="U39" s="2"/>
      <c r="V39" s="2"/>
      <c r="W39" s="2"/>
      <c r="X39" s="2"/>
      <c r="Y39" s="2"/>
      <c r="Z39" s="2"/>
      <c r="AA39" s="2"/>
      <c r="AB39" s="2"/>
    </row>
    <row r="40" spans="2:28" x14ac:dyDescent="0.2">
      <c r="B40" s="107"/>
      <c r="C40" s="2"/>
      <c r="D40" s="2"/>
      <c r="E40" s="2"/>
      <c r="F40" s="111"/>
      <c r="G40" s="2"/>
      <c r="I40" s="2"/>
      <c r="J40" s="2"/>
      <c r="K40" s="2"/>
      <c r="L40" s="2"/>
      <c r="M40" s="2"/>
      <c r="N40" s="2"/>
      <c r="O40" s="2"/>
      <c r="P40" s="2"/>
      <c r="Q40" s="2"/>
      <c r="R40" s="2"/>
      <c r="S40" s="2"/>
      <c r="T40" s="2"/>
      <c r="U40" s="2"/>
      <c r="V40" s="2"/>
      <c r="W40" s="2"/>
      <c r="X40" s="2"/>
      <c r="Y40" s="2"/>
      <c r="Z40" s="2"/>
      <c r="AA40" s="2"/>
      <c r="AB40" s="2"/>
    </row>
    <row r="41" spans="2:28" s="2" customFormat="1" x14ac:dyDescent="0.2">
      <c r="B41" s="112"/>
      <c r="C41" s="1" t="s">
        <v>261</v>
      </c>
      <c r="F41" s="111"/>
    </row>
    <row r="42" spans="2:28" x14ac:dyDescent="0.2">
      <c r="B42" s="107"/>
      <c r="C42" s="2" t="s">
        <v>112</v>
      </c>
      <c r="D42" s="2" t="s">
        <v>395</v>
      </c>
      <c r="E42" s="110">
        <f>Result!H47</f>
        <v>195.4296490024484</v>
      </c>
      <c r="F42" s="111"/>
      <c r="G42" s="2"/>
      <c r="I42" s="2"/>
      <c r="J42" s="2"/>
      <c r="K42" s="2"/>
      <c r="L42" s="2"/>
      <c r="M42" s="2"/>
      <c r="N42" s="2"/>
      <c r="O42" s="2"/>
      <c r="P42" s="2"/>
      <c r="Q42" s="2"/>
      <c r="R42" s="2"/>
      <c r="S42" s="2"/>
      <c r="T42" s="2"/>
      <c r="U42" s="2"/>
      <c r="V42" s="2"/>
      <c r="W42" s="2"/>
      <c r="X42" s="2"/>
      <c r="Y42" s="2"/>
      <c r="Z42" s="2"/>
      <c r="AA42" s="2"/>
      <c r="AB42" s="2"/>
    </row>
    <row r="43" spans="2:28" x14ac:dyDescent="0.2">
      <c r="B43" s="107"/>
      <c r="C43" s="2" t="s">
        <v>113</v>
      </c>
      <c r="D43" s="2" t="s">
        <v>395</v>
      </c>
      <c r="E43" s="110">
        <f>Result!H48</f>
        <v>212.16530729233423</v>
      </c>
      <c r="F43" s="111"/>
      <c r="G43" s="2"/>
      <c r="I43" s="2"/>
      <c r="J43" s="2"/>
      <c r="K43" s="2"/>
      <c r="L43" s="2"/>
      <c r="M43" s="2"/>
      <c r="N43" s="2"/>
      <c r="O43" s="2"/>
      <c r="P43" s="2"/>
      <c r="Q43" s="2"/>
      <c r="R43" s="2"/>
      <c r="S43" s="2"/>
      <c r="T43" s="2"/>
      <c r="U43" s="2"/>
      <c r="V43" s="2"/>
      <c r="W43" s="2"/>
      <c r="X43" s="2"/>
      <c r="Y43" s="2"/>
      <c r="Z43" s="2"/>
      <c r="AA43" s="2"/>
      <c r="AB43" s="2"/>
    </row>
    <row r="44" spans="2:28" x14ac:dyDescent="0.2">
      <c r="B44" s="113"/>
      <c r="C44" s="114"/>
      <c r="D44" s="114"/>
      <c r="E44" s="114"/>
      <c r="F44" s="115"/>
      <c r="G44" s="2"/>
      <c r="I44" s="2"/>
      <c r="J44" s="2"/>
      <c r="K44" s="2"/>
      <c r="L44" s="2"/>
      <c r="M44" s="2"/>
      <c r="N44" s="2"/>
      <c r="O44" s="2"/>
      <c r="P44" s="2"/>
      <c r="Q44" s="2"/>
      <c r="R44" s="2"/>
      <c r="S44" s="2"/>
      <c r="T44" s="2"/>
      <c r="U44" s="2"/>
      <c r="V44" s="2"/>
      <c r="W44" s="2"/>
      <c r="X44" s="2"/>
      <c r="Y44" s="2"/>
      <c r="Z44" s="2"/>
      <c r="AA44" s="2"/>
      <c r="AB44" s="2"/>
    </row>
    <row r="45" spans="2:28" x14ac:dyDescent="0.2">
      <c r="C45" s="2"/>
      <c r="D45" s="2"/>
      <c r="E45" s="2"/>
      <c r="F45" s="2"/>
      <c r="G45" s="2"/>
      <c r="I45" s="2"/>
      <c r="J45" s="2"/>
      <c r="K45" s="2"/>
      <c r="L45" s="2"/>
      <c r="M45" s="2"/>
      <c r="N45" s="2"/>
      <c r="O45" s="2"/>
      <c r="P45" s="2"/>
      <c r="Q45" s="2"/>
      <c r="R45" s="2"/>
      <c r="S45" s="2"/>
      <c r="T45" s="2"/>
      <c r="U45" s="2"/>
      <c r="V45" s="2"/>
      <c r="W45" s="2"/>
      <c r="X45" s="2"/>
      <c r="Y45" s="2"/>
      <c r="Z45" s="2"/>
      <c r="AA45" s="2"/>
      <c r="AB45" s="2"/>
    </row>
    <row r="46" spans="2:28" x14ac:dyDescent="0.2">
      <c r="B46" s="102"/>
      <c r="C46" s="116"/>
      <c r="D46" s="116"/>
      <c r="E46" s="116"/>
      <c r="F46" s="116"/>
      <c r="G46" s="117"/>
      <c r="I46" s="2"/>
      <c r="J46" s="2"/>
      <c r="K46" s="2"/>
      <c r="L46" s="2"/>
      <c r="M46" s="2"/>
      <c r="N46" s="2"/>
      <c r="O46" s="2"/>
      <c r="P46" s="2"/>
      <c r="Q46" s="2"/>
      <c r="R46" s="2"/>
      <c r="S46" s="2"/>
      <c r="T46" s="2"/>
      <c r="U46" s="2"/>
      <c r="V46" s="2"/>
      <c r="W46" s="2"/>
      <c r="X46" s="2"/>
      <c r="Y46" s="2"/>
      <c r="Z46" s="2"/>
      <c r="AA46" s="2"/>
      <c r="AB46" s="2"/>
    </row>
    <row r="47" spans="2:28" s="8" customFormat="1" x14ac:dyDescent="0.2">
      <c r="B47" s="105"/>
      <c r="C47" s="8" t="s">
        <v>499</v>
      </c>
      <c r="D47" s="8" t="s">
        <v>36</v>
      </c>
      <c r="G47" s="106"/>
    </row>
    <row r="48" spans="2:28" s="2" customFormat="1" x14ac:dyDescent="0.2">
      <c r="B48" s="112"/>
      <c r="G48" s="111"/>
    </row>
    <row r="49" spans="2:28" x14ac:dyDescent="0.2">
      <c r="B49" s="107"/>
      <c r="C49" s="1" t="s">
        <v>64</v>
      </c>
      <c r="D49" s="2"/>
      <c r="E49" s="2"/>
      <c r="F49" s="2"/>
      <c r="G49" s="111"/>
      <c r="I49" s="2"/>
      <c r="J49" s="2"/>
      <c r="K49" s="2"/>
      <c r="L49" s="2"/>
      <c r="M49" s="2"/>
      <c r="N49" s="2"/>
      <c r="O49" s="2"/>
      <c r="P49" s="2"/>
      <c r="Q49" s="2"/>
      <c r="R49" s="2"/>
      <c r="S49" s="2"/>
      <c r="T49" s="2"/>
      <c r="U49" s="2"/>
      <c r="V49" s="2"/>
      <c r="W49" s="2"/>
      <c r="X49" s="2"/>
      <c r="Y49" s="2"/>
      <c r="Z49" s="2"/>
      <c r="AA49" s="2"/>
      <c r="AB49" s="2"/>
    </row>
    <row r="50" spans="2:28" x14ac:dyDescent="0.2">
      <c r="B50" s="107"/>
      <c r="C50" s="94" t="s">
        <v>795</v>
      </c>
      <c r="D50" s="2" t="s">
        <v>74</v>
      </c>
      <c r="E50" s="118">
        <f>Parameters!H29</f>
        <v>8.2299999999999998E-2</v>
      </c>
      <c r="F50" s="2"/>
      <c r="G50" s="111"/>
      <c r="I50" s="2"/>
      <c r="J50" s="2"/>
      <c r="K50" s="2"/>
      <c r="L50" s="2"/>
      <c r="M50" s="2"/>
      <c r="N50" s="2"/>
      <c r="O50" s="2"/>
      <c r="P50" s="2"/>
      <c r="Q50" s="2"/>
      <c r="R50" s="2"/>
      <c r="S50" s="2"/>
      <c r="T50" s="2"/>
      <c r="U50" s="2"/>
      <c r="V50" s="2"/>
      <c r="W50" s="2"/>
      <c r="X50" s="2"/>
      <c r="Y50" s="2"/>
      <c r="Z50" s="2"/>
      <c r="AA50" s="2"/>
      <c r="AB50" s="2"/>
    </row>
    <row r="51" spans="2:28" x14ac:dyDescent="0.2">
      <c r="B51" s="107"/>
      <c r="C51" s="94" t="s">
        <v>796</v>
      </c>
      <c r="D51" s="2" t="s">
        <v>74</v>
      </c>
      <c r="E51" s="118">
        <f>Parameters!H30</f>
        <v>7.1800000000000003E-2</v>
      </c>
      <c r="F51" s="2"/>
      <c r="G51" s="111"/>
      <c r="I51" s="2"/>
      <c r="J51" s="2"/>
      <c r="K51" s="2"/>
      <c r="L51" s="2"/>
      <c r="M51" s="2"/>
      <c r="N51" s="2"/>
      <c r="O51" s="2"/>
      <c r="P51" s="2"/>
      <c r="Q51" s="2"/>
      <c r="R51" s="2"/>
      <c r="S51" s="2"/>
      <c r="T51" s="2"/>
      <c r="U51" s="2"/>
      <c r="V51" s="2"/>
      <c r="W51" s="2"/>
      <c r="X51" s="2"/>
      <c r="Y51" s="2"/>
      <c r="Z51" s="2"/>
      <c r="AA51" s="2"/>
      <c r="AB51" s="2"/>
    </row>
    <row r="52" spans="2:28" x14ac:dyDescent="0.2">
      <c r="B52" s="107"/>
      <c r="C52" s="2" t="s">
        <v>478</v>
      </c>
      <c r="D52" s="2" t="s">
        <v>74</v>
      </c>
      <c r="E52" s="118">
        <f>Parameters!H34</f>
        <v>6.4500000000000002E-2</v>
      </c>
      <c r="F52" s="2"/>
      <c r="G52" s="111"/>
      <c r="I52" s="2"/>
      <c r="J52" s="2"/>
      <c r="K52" s="2"/>
      <c r="L52" s="2"/>
      <c r="M52" s="2"/>
      <c r="N52" s="2"/>
      <c r="O52" s="2"/>
      <c r="P52" s="2"/>
      <c r="Q52" s="2"/>
      <c r="R52" s="2"/>
      <c r="S52" s="2"/>
      <c r="T52" s="2"/>
      <c r="U52" s="2"/>
      <c r="V52" s="2"/>
      <c r="W52" s="2"/>
      <c r="X52" s="2"/>
      <c r="Y52" s="2"/>
      <c r="Z52" s="2"/>
      <c r="AA52" s="2"/>
      <c r="AB52" s="2"/>
    </row>
    <row r="53" spans="2:28" x14ac:dyDescent="0.2">
      <c r="B53" s="107"/>
      <c r="C53" s="2" t="s">
        <v>479</v>
      </c>
      <c r="D53" s="2" t="s">
        <v>74</v>
      </c>
      <c r="E53" s="118">
        <f>Parameters!H35</f>
        <v>5.6899999999999999E-2</v>
      </c>
      <c r="F53" s="2"/>
      <c r="G53" s="111"/>
      <c r="I53" s="2"/>
      <c r="J53" s="2"/>
      <c r="K53" s="2"/>
      <c r="L53" s="2"/>
      <c r="M53" s="2"/>
      <c r="N53" s="2"/>
      <c r="O53" s="2"/>
      <c r="P53" s="2"/>
      <c r="Q53" s="2"/>
      <c r="R53" s="2"/>
      <c r="S53" s="2"/>
      <c r="T53" s="2"/>
      <c r="U53" s="2"/>
      <c r="V53" s="2"/>
      <c r="W53" s="2"/>
      <c r="X53" s="2"/>
      <c r="Y53" s="2"/>
      <c r="Z53" s="2"/>
      <c r="AA53" s="2"/>
      <c r="AB53" s="2"/>
    </row>
    <row r="54" spans="2:28" x14ac:dyDescent="0.2">
      <c r="B54" s="107"/>
      <c r="C54" s="2" t="s">
        <v>75</v>
      </c>
      <c r="D54" s="2" t="s">
        <v>74</v>
      </c>
      <c r="E54" s="118">
        <f>Parameters!H19</f>
        <v>0</v>
      </c>
      <c r="F54" s="2"/>
      <c r="G54" s="111"/>
      <c r="I54" s="2"/>
      <c r="J54" s="2"/>
      <c r="K54" s="2"/>
      <c r="L54" s="2"/>
      <c r="M54" s="2"/>
      <c r="N54" s="2"/>
      <c r="O54" s="2"/>
      <c r="P54" s="2"/>
      <c r="Q54" s="2"/>
      <c r="R54" s="2"/>
      <c r="S54" s="2"/>
      <c r="T54" s="2"/>
      <c r="U54" s="2"/>
      <c r="V54" s="2"/>
      <c r="W54" s="2"/>
      <c r="X54" s="2"/>
      <c r="Y54" s="2"/>
      <c r="Z54" s="2"/>
      <c r="AA54" s="2"/>
      <c r="AB54" s="2"/>
    </row>
    <row r="55" spans="2:28" x14ac:dyDescent="0.2">
      <c r="B55" s="107"/>
      <c r="C55" s="2" t="s">
        <v>294</v>
      </c>
      <c r="D55" s="2" t="s">
        <v>74</v>
      </c>
      <c r="E55" s="118">
        <f>Parameters!H20</f>
        <v>3.1E-2</v>
      </c>
      <c r="F55" s="2"/>
      <c r="G55" s="111"/>
      <c r="I55" s="2"/>
      <c r="J55" s="2"/>
      <c r="K55" s="2"/>
      <c r="L55" s="2"/>
      <c r="M55" s="2"/>
      <c r="N55" s="2"/>
      <c r="O55" s="2"/>
      <c r="P55" s="2"/>
      <c r="Q55" s="2"/>
      <c r="R55" s="2"/>
      <c r="S55" s="2"/>
      <c r="T55" s="2"/>
      <c r="U55" s="2"/>
      <c r="V55" s="2"/>
      <c r="W55" s="2"/>
      <c r="X55" s="2"/>
      <c r="Y55" s="2"/>
      <c r="Z55" s="2"/>
      <c r="AA55" s="2"/>
      <c r="AB55" s="2"/>
    </row>
    <row r="56" spans="2:28" x14ac:dyDescent="0.2">
      <c r="B56" s="107"/>
      <c r="C56" s="2" t="s">
        <v>262</v>
      </c>
      <c r="D56" s="2" t="s">
        <v>74</v>
      </c>
      <c r="E56" s="118">
        <f>Parameters!H40</f>
        <v>0.5</v>
      </c>
      <c r="F56" s="2"/>
      <c r="G56" s="111"/>
      <c r="I56" s="2"/>
      <c r="J56" s="2"/>
      <c r="K56" s="2"/>
      <c r="L56" s="2"/>
      <c r="M56" s="2"/>
      <c r="N56" s="2"/>
      <c r="O56" s="2"/>
      <c r="P56" s="2"/>
      <c r="Q56" s="2"/>
      <c r="R56" s="2"/>
      <c r="S56" s="2"/>
      <c r="T56" s="2"/>
      <c r="U56" s="2"/>
      <c r="V56" s="2"/>
      <c r="W56" s="2"/>
      <c r="X56" s="2"/>
      <c r="Y56" s="2"/>
      <c r="Z56" s="2"/>
      <c r="AA56" s="2"/>
      <c r="AB56" s="2"/>
    </row>
    <row r="57" spans="2:28" x14ac:dyDescent="0.2">
      <c r="B57" s="107"/>
      <c r="C57" s="2" t="s">
        <v>78</v>
      </c>
      <c r="D57" s="2" t="s">
        <v>74</v>
      </c>
      <c r="E57" s="118">
        <f>Parameters!H23</f>
        <v>0.03</v>
      </c>
      <c r="F57" s="2"/>
      <c r="G57" s="111"/>
      <c r="I57" s="2"/>
      <c r="J57" s="2"/>
      <c r="K57" s="2"/>
      <c r="L57" s="2"/>
      <c r="M57" s="2"/>
      <c r="N57" s="2"/>
      <c r="O57" s="2"/>
      <c r="P57" s="2"/>
      <c r="Q57" s="2"/>
      <c r="R57" s="2"/>
      <c r="S57" s="2"/>
      <c r="T57" s="2"/>
      <c r="U57" s="2"/>
      <c r="V57" s="2"/>
      <c r="W57" s="2"/>
      <c r="X57" s="2"/>
      <c r="Y57" s="2"/>
      <c r="Z57" s="2"/>
      <c r="AA57" s="2"/>
      <c r="AB57" s="2"/>
    </row>
    <row r="58" spans="2:28" ht="12" customHeight="1" x14ac:dyDescent="0.2">
      <c r="B58" s="107"/>
      <c r="D58" s="2"/>
      <c r="G58" s="111"/>
      <c r="I58" s="2"/>
      <c r="J58" s="2"/>
      <c r="K58" s="2"/>
      <c r="L58" s="2"/>
      <c r="M58" s="2"/>
      <c r="N58" s="2"/>
      <c r="O58" s="2"/>
      <c r="P58" s="2"/>
      <c r="Q58" s="2"/>
      <c r="R58" s="2"/>
      <c r="S58" s="2"/>
      <c r="T58" s="2"/>
      <c r="U58" s="2"/>
      <c r="V58" s="2"/>
      <c r="W58" s="2"/>
      <c r="X58" s="2"/>
      <c r="Y58" s="2"/>
      <c r="Z58" s="2"/>
      <c r="AA58" s="2"/>
      <c r="AB58" s="2"/>
    </row>
    <row r="59" spans="2:28" ht="25.5" x14ac:dyDescent="0.2">
      <c r="B59" s="107"/>
      <c r="C59" s="1" t="s">
        <v>490</v>
      </c>
      <c r="D59" s="119"/>
      <c r="E59" s="120" t="s">
        <v>171</v>
      </c>
      <c r="F59" s="120" t="s">
        <v>70</v>
      </c>
      <c r="G59" s="111"/>
      <c r="I59" s="2"/>
      <c r="J59" s="2"/>
      <c r="K59" s="2"/>
      <c r="L59" s="2"/>
      <c r="M59" s="2"/>
      <c r="N59" s="2"/>
      <c r="O59" s="2"/>
      <c r="P59" s="2"/>
      <c r="Q59" s="2"/>
      <c r="R59" s="2"/>
      <c r="S59" s="2"/>
      <c r="T59" s="2"/>
      <c r="U59" s="2"/>
      <c r="V59" s="2"/>
      <c r="W59" s="2"/>
      <c r="X59" s="2"/>
      <c r="Y59" s="2"/>
      <c r="Z59" s="2"/>
      <c r="AA59" s="2"/>
      <c r="AB59" s="2"/>
    </row>
    <row r="60" spans="2:28" x14ac:dyDescent="0.2">
      <c r="B60" s="107"/>
      <c r="C60" s="2" t="s">
        <v>415</v>
      </c>
      <c r="D60" s="2" t="s">
        <v>109</v>
      </c>
      <c r="E60" s="121">
        <f>'Financial data'!L16</f>
        <v>1809291.5249999999</v>
      </c>
      <c r="F60" s="121">
        <f>'Financial data'!M16</f>
        <v>1448608.9750000001</v>
      </c>
      <c r="G60" s="111"/>
      <c r="I60" s="2"/>
      <c r="J60" s="2"/>
      <c r="K60" s="2"/>
      <c r="L60" s="2"/>
      <c r="M60" s="2"/>
      <c r="N60" s="2"/>
      <c r="O60" s="2"/>
      <c r="P60" s="2"/>
      <c r="Q60" s="2"/>
      <c r="R60" s="2"/>
      <c r="S60" s="2"/>
      <c r="T60" s="2"/>
      <c r="U60" s="2"/>
      <c r="V60" s="2"/>
      <c r="W60" s="2"/>
      <c r="X60" s="2"/>
      <c r="Y60" s="2"/>
      <c r="Z60" s="2"/>
      <c r="AA60" s="2"/>
      <c r="AB60" s="2"/>
    </row>
    <row r="61" spans="2:28" x14ac:dyDescent="0.2">
      <c r="B61" s="107"/>
      <c r="C61" s="2" t="s">
        <v>336</v>
      </c>
      <c r="D61" s="2" t="s">
        <v>109</v>
      </c>
      <c r="E61" s="121">
        <f>'Financial data'!L17</f>
        <v>0</v>
      </c>
      <c r="F61" s="121">
        <f>'Financial data'!M17</f>
        <v>161766</v>
      </c>
      <c r="G61" s="111"/>
      <c r="I61" s="2"/>
      <c r="J61" s="2"/>
      <c r="K61" s="2"/>
      <c r="L61" s="2"/>
      <c r="M61" s="2"/>
      <c r="N61" s="2"/>
      <c r="O61" s="2"/>
      <c r="P61" s="2"/>
      <c r="Q61" s="2"/>
      <c r="R61" s="2"/>
      <c r="S61" s="2"/>
      <c r="T61" s="2"/>
      <c r="U61" s="2"/>
      <c r="V61" s="2"/>
      <c r="W61" s="2"/>
      <c r="X61" s="2"/>
      <c r="Y61" s="2"/>
      <c r="Z61" s="2"/>
      <c r="AA61" s="2"/>
      <c r="AB61" s="2"/>
    </row>
    <row r="62" spans="2:28" x14ac:dyDescent="0.2">
      <c r="B62" s="107"/>
      <c r="C62" s="2" t="s">
        <v>491</v>
      </c>
      <c r="D62" s="2" t="s">
        <v>90</v>
      </c>
      <c r="E62" s="121">
        <f>'Financial data'!L23</f>
        <v>3133067.5893631591</v>
      </c>
      <c r="F62" s="121">
        <f>'Financial data'!M23</f>
        <v>2103900.4805621775</v>
      </c>
      <c r="G62" s="111"/>
      <c r="I62" s="2"/>
      <c r="J62" s="2"/>
      <c r="K62" s="2"/>
      <c r="L62" s="2"/>
      <c r="M62" s="2"/>
      <c r="N62" s="2"/>
      <c r="O62" s="2"/>
      <c r="P62" s="2"/>
      <c r="Q62" s="2"/>
      <c r="R62" s="2"/>
      <c r="S62" s="2"/>
      <c r="T62" s="2"/>
      <c r="U62" s="2"/>
      <c r="V62" s="2"/>
      <c r="W62" s="2"/>
      <c r="X62" s="2"/>
      <c r="Y62" s="2"/>
      <c r="Z62" s="2"/>
      <c r="AA62" s="2"/>
      <c r="AB62" s="2"/>
    </row>
    <row r="63" spans="2:28" x14ac:dyDescent="0.2">
      <c r="B63" s="107"/>
      <c r="C63" s="2" t="s">
        <v>492</v>
      </c>
      <c r="D63" s="2" t="s">
        <v>90</v>
      </c>
      <c r="E63" s="121">
        <f>'Financial data'!L24</f>
        <v>388402.20761383319</v>
      </c>
      <c r="F63" s="121">
        <f>'Financial data'!M24</f>
        <v>225711.24242000727</v>
      </c>
      <c r="G63" s="111"/>
      <c r="I63" s="2"/>
      <c r="J63" s="2"/>
      <c r="K63" s="2"/>
      <c r="L63" s="2"/>
      <c r="M63" s="2"/>
      <c r="N63" s="2"/>
      <c r="O63" s="2"/>
      <c r="P63" s="2"/>
      <c r="Q63" s="2"/>
      <c r="R63" s="2"/>
      <c r="S63" s="2"/>
      <c r="T63" s="2"/>
      <c r="U63" s="2"/>
      <c r="V63" s="2"/>
      <c r="W63" s="2"/>
      <c r="X63" s="2"/>
      <c r="Y63" s="2"/>
      <c r="Z63" s="2"/>
      <c r="AA63" s="2"/>
      <c r="AB63" s="2"/>
    </row>
    <row r="64" spans="2:28" x14ac:dyDescent="0.2">
      <c r="B64" s="107"/>
      <c r="C64" s="2"/>
      <c r="D64" s="2"/>
      <c r="E64" s="2"/>
      <c r="F64" s="2"/>
      <c r="G64" s="111"/>
      <c r="I64" s="2"/>
      <c r="J64" s="2"/>
      <c r="K64" s="2"/>
      <c r="L64" s="2"/>
      <c r="M64" s="2"/>
      <c r="N64" s="2"/>
      <c r="O64" s="2"/>
      <c r="P64" s="2"/>
      <c r="Q64" s="2"/>
      <c r="R64" s="2"/>
      <c r="S64" s="2"/>
      <c r="T64" s="2"/>
      <c r="U64" s="2"/>
      <c r="V64" s="2"/>
      <c r="W64" s="2"/>
      <c r="X64" s="2"/>
      <c r="Y64" s="2"/>
      <c r="Z64" s="2"/>
      <c r="AA64" s="2"/>
      <c r="AB64" s="2"/>
    </row>
    <row r="65" spans="2:28" x14ac:dyDescent="0.2">
      <c r="B65" s="107"/>
      <c r="C65" s="1" t="s">
        <v>280</v>
      </c>
      <c r="D65" s="2"/>
      <c r="E65" s="2"/>
      <c r="F65" s="2"/>
      <c r="G65" s="111"/>
      <c r="I65" s="2"/>
      <c r="J65" s="2"/>
      <c r="K65" s="2"/>
      <c r="L65" s="2"/>
      <c r="M65" s="2"/>
      <c r="N65" s="2"/>
      <c r="O65" s="2"/>
      <c r="P65" s="2"/>
      <c r="Q65" s="2"/>
      <c r="R65" s="2"/>
      <c r="S65" s="2"/>
      <c r="T65" s="2"/>
      <c r="U65" s="2"/>
      <c r="V65" s="2"/>
      <c r="W65" s="2"/>
      <c r="X65" s="2"/>
      <c r="Y65" s="2"/>
      <c r="Z65" s="2"/>
      <c r="AA65" s="2"/>
      <c r="AB65" s="2"/>
    </row>
    <row r="66" spans="2:28" x14ac:dyDescent="0.2">
      <c r="B66" s="107"/>
      <c r="C66" s="56" t="s">
        <v>500</v>
      </c>
      <c r="D66" s="2" t="s">
        <v>90</v>
      </c>
      <c r="E66" s="121">
        <f>'Fixed-variable costs'!L39</f>
        <v>104778.33945619225</v>
      </c>
      <c r="F66" s="2"/>
      <c r="G66" s="111"/>
      <c r="I66" s="2"/>
      <c r="J66" s="2"/>
      <c r="K66" s="2"/>
      <c r="L66" s="2"/>
      <c r="M66" s="2"/>
      <c r="N66" s="2"/>
      <c r="O66" s="2"/>
      <c r="P66" s="2"/>
      <c r="Q66" s="2"/>
      <c r="R66" s="2"/>
      <c r="S66" s="2"/>
      <c r="T66" s="2"/>
      <c r="U66" s="2"/>
      <c r="V66" s="2"/>
      <c r="W66" s="2"/>
      <c r="X66" s="2"/>
      <c r="Y66" s="2"/>
      <c r="Z66" s="2"/>
      <c r="AA66" s="2"/>
      <c r="AB66" s="2"/>
    </row>
    <row r="67" spans="2:28" x14ac:dyDescent="0.2">
      <c r="B67" s="107"/>
      <c r="C67" s="2"/>
      <c r="D67" s="2"/>
      <c r="E67" s="2"/>
      <c r="F67" s="2"/>
      <c r="G67" s="111"/>
      <c r="I67" s="2"/>
      <c r="J67" s="2"/>
      <c r="K67" s="2"/>
      <c r="L67" s="2"/>
      <c r="M67" s="2"/>
      <c r="N67" s="2"/>
      <c r="O67" s="2"/>
      <c r="P67" s="2"/>
      <c r="Q67" s="2"/>
      <c r="R67" s="2"/>
      <c r="S67" s="2"/>
      <c r="T67" s="2"/>
      <c r="U67" s="2"/>
      <c r="V67" s="2"/>
      <c r="W67" s="2"/>
      <c r="X67" s="2"/>
      <c r="Y67" s="2"/>
      <c r="Z67" s="2"/>
      <c r="AA67" s="2"/>
      <c r="AB67" s="2"/>
    </row>
    <row r="68" spans="2:28" x14ac:dyDescent="0.2">
      <c r="B68" s="107"/>
      <c r="C68" s="1" t="s">
        <v>136</v>
      </c>
      <c r="D68" s="2"/>
      <c r="G68" s="108"/>
      <c r="K68" s="122"/>
    </row>
    <row r="69" spans="2:28" x14ac:dyDescent="0.2">
      <c r="B69" s="107"/>
      <c r="C69" s="94" t="s">
        <v>706</v>
      </c>
      <c r="D69" s="2" t="s">
        <v>395</v>
      </c>
      <c r="E69" s="121">
        <f>'Overview corrections'!L39</f>
        <v>56972.845477972129</v>
      </c>
      <c r="F69" s="121">
        <f>'Overview corrections'!M39</f>
        <v>28507.535120944671</v>
      </c>
      <c r="G69" s="108"/>
      <c r="K69" s="122"/>
    </row>
    <row r="70" spans="2:28" x14ac:dyDescent="0.2">
      <c r="B70" s="107"/>
      <c r="C70" s="2" t="s">
        <v>493</v>
      </c>
      <c r="D70" s="2" t="s">
        <v>395</v>
      </c>
      <c r="E70" s="121">
        <f>'Overview corrections'!L37</f>
        <v>18099.998574427354</v>
      </c>
      <c r="F70" s="121">
        <f>'Overview corrections'!M37</f>
        <v>9514.4778234514997</v>
      </c>
      <c r="G70" s="108"/>
    </row>
    <row r="71" spans="2:28" x14ac:dyDescent="0.2">
      <c r="B71" s="107"/>
      <c r="C71" s="2" t="s">
        <v>494</v>
      </c>
      <c r="D71" s="2" t="s">
        <v>395</v>
      </c>
      <c r="E71" s="121">
        <f>'Overview corrections'!L38</f>
        <v>170452.24592961228</v>
      </c>
      <c r="F71" s="121">
        <f>'Overview corrections'!M38</f>
        <v>313586.38879612251</v>
      </c>
      <c r="G71" s="108"/>
    </row>
    <row r="72" spans="2:28" x14ac:dyDescent="0.2">
      <c r="B72" s="107"/>
      <c r="C72" s="2" t="s">
        <v>495</v>
      </c>
      <c r="D72" s="2" t="s">
        <v>395</v>
      </c>
      <c r="F72" s="121">
        <f>'Overview corrections'!M45</f>
        <v>-83239.196860473457</v>
      </c>
      <c r="G72" s="108"/>
    </row>
    <row r="73" spans="2:28" x14ac:dyDescent="0.2">
      <c r="B73" s="107"/>
      <c r="C73" s="2" t="s">
        <v>341</v>
      </c>
      <c r="D73" s="2" t="s">
        <v>395</v>
      </c>
      <c r="E73" s="121">
        <f>'Overview corrections'!L36</f>
        <v>-306289.18371855997</v>
      </c>
      <c r="G73" s="108"/>
    </row>
    <row r="74" spans="2:28" x14ac:dyDescent="0.2">
      <c r="B74" s="107"/>
      <c r="C74" s="2" t="s">
        <v>504</v>
      </c>
      <c r="D74" s="2" t="s">
        <v>395</v>
      </c>
      <c r="F74" s="121">
        <f>'Overview corrections'!M44</f>
        <v>-63056.318698847906</v>
      </c>
      <c r="G74" s="108"/>
    </row>
    <row r="75" spans="2:28" x14ac:dyDescent="0.2">
      <c r="B75" s="107"/>
      <c r="C75" s="94" t="s">
        <v>505</v>
      </c>
      <c r="D75" s="2" t="s">
        <v>395</v>
      </c>
      <c r="E75" s="121">
        <f>'Overview corrections'!L41</f>
        <v>346311.70879999996</v>
      </c>
      <c r="G75" s="108"/>
    </row>
    <row r="76" spans="2:28" x14ac:dyDescent="0.2">
      <c r="B76" s="107"/>
      <c r="C76" s="1"/>
      <c r="D76" s="2"/>
      <c r="E76" s="2"/>
      <c r="F76" s="2"/>
      <c r="G76" s="111"/>
    </row>
    <row r="77" spans="2:28" x14ac:dyDescent="0.2">
      <c r="B77" s="107"/>
      <c r="C77" s="1" t="s">
        <v>484</v>
      </c>
      <c r="D77" s="2"/>
      <c r="E77" s="2"/>
      <c r="F77" s="2"/>
      <c r="G77" s="111"/>
      <c r="I77" s="2"/>
      <c r="J77" s="2"/>
    </row>
    <row r="78" spans="2:28" x14ac:dyDescent="0.2">
      <c r="B78" s="107"/>
      <c r="C78" s="56" t="s">
        <v>485</v>
      </c>
      <c r="D78" s="2" t="s">
        <v>395</v>
      </c>
      <c r="E78" s="121">
        <f>'Income level'!L34</f>
        <v>2607402.8893541526</v>
      </c>
      <c r="F78" s="121">
        <f>'Income level'!M34</f>
        <v>1691599.2519399538</v>
      </c>
      <c r="G78" s="108"/>
    </row>
    <row r="79" spans="2:28" x14ac:dyDescent="0.2">
      <c r="B79" s="107"/>
      <c r="C79" s="56" t="s">
        <v>263</v>
      </c>
      <c r="D79" s="2" t="s">
        <v>396</v>
      </c>
      <c r="E79" s="123">
        <f>'Fixed-variable costs'!L64</f>
        <v>2.3200904943608977E-2</v>
      </c>
      <c r="F79" s="123">
        <f>'Fixed-variable costs'!M64</f>
        <v>31.319158196604182</v>
      </c>
      <c r="G79" s="108"/>
      <c r="J79" s="2"/>
    </row>
    <row r="80" spans="2:28" x14ac:dyDescent="0.2">
      <c r="B80" s="107"/>
      <c r="C80" s="56" t="s">
        <v>486</v>
      </c>
      <c r="D80" s="2" t="s">
        <v>395</v>
      </c>
      <c r="E80" s="121">
        <f>'Income level'!L35</f>
        <v>2892950.5044176043</v>
      </c>
      <c r="F80" s="121">
        <f>'Income level'!M35</f>
        <v>2043207.6536804724</v>
      </c>
      <c r="G80" s="108"/>
    </row>
    <row r="81" spans="2:7" x14ac:dyDescent="0.2">
      <c r="B81" s="107"/>
      <c r="G81" s="108"/>
    </row>
    <row r="82" spans="2:7" x14ac:dyDescent="0.2">
      <c r="B82" s="107"/>
      <c r="C82" s="124" t="s">
        <v>501</v>
      </c>
      <c r="G82" s="108"/>
    </row>
    <row r="83" spans="2:7" x14ac:dyDescent="0.2">
      <c r="B83" s="107"/>
      <c r="C83" s="2" t="s">
        <v>264</v>
      </c>
      <c r="D83" s="2" t="s">
        <v>95</v>
      </c>
      <c r="E83" s="121">
        <f>'Estimates for 2025'!L22</f>
        <v>17621400</v>
      </c>
      <c r="G83" s="108"/>
    </row>
    <row r="84" spans="2:7" x14ac:dyDescent="0.2">
      <c r="B84" s="107"/>
      <c r="C84" s="2" t="s">
        <v>265</v>
      </c>
      <c r="D84" s="2" t="s">
        <v>95</v>
      </c>
      <c r="E84" s="121">
        <f>'Estimates for 2025'!L20</f>
        <v>8409000</v>
      </c>
      <c r="G84" s="108"/>
    </row>
    <row r="85" spans="2:7" x14ac:dyDescent="0.2">
      <c r="B85" s="107"/>
      <c r="C85" s="2" t="s">
        <v>266</v>
      </c>
      <c r="D85" s="2" t="s">
        <v>95</v>
      </c>
      <c r="E85" s="121">
        <f>'Estimates for 2025'!L21</f>
        <v>9212400</v>
      </c>
      <c r="G85" s="108"/>
    </row>
    <row r="86" spans="2:7" x14ac:dyDescent="0.2">
      <c r="B86" s="107"/>
      <c r="C86" s="2" t="s">
        <v>267</v>
      </c>
      <c r="D86" s="2" t="s">
        <v>268</v>
      </c>
      <c r="E86" s="123">
        <f>'Estimates for 2025'!L35</f>
        <v>0.27643631968153609</v>
      </c>
      <c r="G86" s="108"/>
    </row>
    <row r="87" spans="2:7" x14ac:dyDescent="0.2">
      <c r="B87" s="107"/>
      <c r="C87" s="2" t="s">
        <v>269</v>
      </c>
      <c r="D87" s="2" t="s">
        <v>104</v>
      </c>
      <c r="E87" s="125">
        <f>'Historical data'!H48</f>
        <v>0.77259758514303556</v>
      </c>
      <c r="G87" s="108"/>
    </row>
    <row r="88" spans="2:7" x14ac:dyDescent="0.2">
      <c r="B88" s="107"/>
      <c r="C88" s="2"/>
      <c r="D88" s="2"/>
      <c r="E88" s="126"/>
      <c r="G88" s="108"/>
    </row>
    <row r="89" spans="2:7" x14ac:dyDescent="0.2">
      <c r="B89" s="107"/>
      <c r="C89" s="2" t="s">
        <v>502</v>
      </c>
      <c r="D89" s="2" t="s">
        <v>74</v>
      </c>
      <c r="F89" s="127">
        <f>'Estimates for 2025'!M17</f>
        <v>0.11</v>
      </c>
      <c r="G89" s="108"/>
    </row>
    <row r="90" spans="2:7" x14ac:dyDescent="0.2">
      <c r="B90" s="107"/>
      <c r="C90" s="2" t="s">
        <v>503</v>
      </c>
      <c r="D90" s="2" t="s">
        <v>96</v>
      </c>
      <c r="F90" s="121">
        <f>'Estimates for 2025'!M63</f>
        <v>19287.792953122196</v>
      </c>
      <c r="G90" s="108"/>
    </row>
    <row r="91" spans="2:7" x14ac:dyDescent="0.2">
      <c r="B91" s="107"/>
      <c r="G91" s="108"/>
    </row>
    <row r="92" spans="2:7" x14ac:dyDescent="0.2">
      <c r="B92" s="107"/>
      <c r="G92" s="108"/>
    </row>
    <row r="93" spans="2:7" x14ac:dyDescent="0.2">
      <c r="B93" s="107"/>
      <c r="C93" s="56" t="s">
        <v>270</v>
      </c>
      <c r="G93" s="108"/>
    </row>
    <row r="94" spans="2:7" x14ac:dyDescent="0.2">
      <c r="B94" s="107"/>
      <c r="G94" s="108"/>
    </row>
    <row r="95" spans="2:7" x14ac:dyDescent="0.2">
      <c r="B95" s="113"/>
      <c r="C95" s="128"/>
      <c r="D95" s="128"/>
      <c r="E95" s="128"/>
      <c r="F95" s="128"/>
      <c r="G95" s="129"/>
    </row>
  </sheetData>
  <phoneticPr fontId="31"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468C9-1105-4652-A659-6B0449E3C922}">
  <sheetPr>
    <tabColor rgb="FFCCFFFF"/>
  </sheetPr>
  <dimension ref="B2:AB75"/>
  <sheetViews>
    <sheetView showGridLines="0" zoomScale="85" zoomScaleNormal="85" workbookViewId="0"/>
  </sheetViews>
  <sheetFormatPr defaultColWidth="9.140625" defaultRowHeight="12.75" x14ac:dyDescent="0.2"/>
  <cols>
    <col min="1" max="1" width="9.140625" style="56"/>
    <col min="2" max="2" width="4.85546875" style="56" customWidth="1"/>
    <col min="3" max="3" width="59.140625" style="56" customWidth="1"/>
    <col min="4" max="4" width="20.140625" style="56" customWidth="1"/>
    <col min="5" max="7" width="14.42578125" style="56" customWidth="1"/>
    <col min="8" max="8" width="5" style="56" customWidth="1"/>
    <col min="9" max="16384" width="9.140625" style="56"/>
  </cols>
  <sheetData>
    <row r="2" spans="2:8" s="7" customFormat="1" ht="18" x14ac:dyDescent="0.2">
      <c r="C2" s="7" t="s">
        <v>271</v>
      </c>
    </row>
    <row r="3" spans="2:8" x14ac:dyDescent="0.2">
      <c r="B3" s="2"/>
      <c r="C3" s="2"/>
      <c r="D3" s="2"/>
      <c r="E3" s="2"/>
      <c r="F3" s="2"/>
      <c r="G3" s="2"/>
    </row>
    <row r="4" spans="2:8" x14ac:dyDescent="0.2">
      <c r="C4" s="19" t="s">
        <v>82</v>
      </c>
      <c r="D4" s="2"/>
      <c r="E4" s="2"/>
      <c r="F4" s="2"/>
      <c r="G4" s="2"/>
      <c r="H4" s="2"/>
    </row>
    <row r="5" spans="2:8" x14ac:dyDescent="0.2">
      <c r="C5" s="2" t="s">
        <v>473</v>
      </c>
      <c r="D5" s="2"/>
      <c r="E5" s="13"/>
      <c r="F5" s="2"/>
      <c r="G5" s="2"/>
      <c r="H5" s="2"/>
    </row>
    <row r="6" spans="2:8" x14ac:dyDescent="0.2">
      <c r="B6" s="2"/>
      <c r="C6" s="2"/>
      <c r="D6" s="2"/>
      <c r="E6" s="2"/>
      <c r="F6" s="2"/>
      <c r="G6" s="2"/>
      <c r="H6" s="2"/>
    </row>
    <row r="7" spans="2:8" s="8" customFormat="1" x14ac:dyDescent="0.2">
      <c r="C7" s="8" t="s">
        <v>238</v>
      </c>
      <c r="D7" s="8" t="s">
        <v>36</v>
      </c>
    </row>
    <row r="9" spans="2:8" x14ac:dyDescent="0.2">
      <c r="C9" s="1" t="s">
        <v>272</v>
      </c>
      <c r="D9" s="56" t="s">
        <v>474</v>
      </c>
      <c r="E9" s="160">
        <f>Result!H53</f>
        <v>6.2960000000000003</v>
      </c>
    </row>
    <row r="10" spans="2:8" x14ac:dyDescent="0.2">
      <c r="C10" s="1"/>
    </row>
    <row r="11" spans="2:8" x14ac:dyDescent="0.2">
      <c r="B11" s="102"/>
      <c r="C11" s="103"/>
      <c r="D11" s="103"/>
      <c r="E11" s="103"/>
      <c r="F11" s="104"/>
    </row>
    <row r="12" spans="2:8" s="8" customFormat="1" x14ac:dyDescent="0.2">
      <c r="B12" s="105"/>
      <c r="C12" s="8" t="s">
        <v>475</v>
      </c>
      <c r="D12" s="8" t="s">
        <v>36</v>
      </c>
      <c r="F12" s="106"/>
    </row>
    <row r="13" spans="2:8" x14ac:dyDescent="0.2">
      <c r="B13" s="107"/>
      <c r="F13" s="108"/>
    </row>
    <row r="14" spans="2:8" x14ac:dyDescent="0.2">
      <c r="B14" s="107"/>
      <c r="C14" s="1" t="s">
        <v>273</v>
      </c>
      <c r="D14" s="56" t="s">
        <v>474</v>
      </c>
      <c r="E14" s="160">
        <f>Result!H56</f>
        <v>11.3</v>
      </c>
      <c r="F14" s="108"/>
    </row>
    <row r="15" spans="2:8" x14ac:dyDescent="0.2">
      <c r="B15" s="107"/>
      <c r="F15" s="108"/>
    </row>
    <row r="16" spans="2:8" x14ac:dyDescent="0.2">
      <c r="B16" s="107"/>
      <c r="C16" s="1" t="s">
        <v>274</v>
      </c>
      <c r="D16" s="56" t="s">
        <v>476</v>
      </c>
      <c r="E16" s="109">
        <f>Result!H59</f>
        <v>72.665679857606804</v>
      </c>
      <c r="F16" s="108"/>
    </row>
    <row r="17" spans="2:10" x14ac:dyDescent="0.2">
      <c r="B17" s="107"/>
      <c r="C17" s="2"/>
      <c r="D17" s="2"/>
      <c r="E17" s="2"/>
      <c r="F17" s="111"/>
      <c r="G17" s="2"/>
      <c r="H17" s="2"/>
      <c r="I17" s="2"/>
      <c r="J17" s="2"/>
    </row>
    <row r="18" spans="2:10" x14ac:dyDescent="0.2">
      <c r="B18" s="107"/>
      <c r="C18" s="1" t="s">
        <v>275</v>
      </c>
      <c r="D18" s="2"/>
      <c r="E18" s="2"/>
      <c r="F18" s="111"/>
      <c r="G18" s="2"/>
      <c r="H18" s="2"/>
      <c r="I18" s="2"/>
      <c r="J18" s="2"/>
    </row>
    <row r="19" spans="2:10" x14ac:dyDescent="0.2">
      <c r="B19" s="107"/>
      <c r="C19" s="2" t="s">
        <v>158</v>
      </c>
      <c r="D19" s="2" t="s">
        <v>395</v>
      </c>
      <c r="E19" s="110">
        <f>Result!H62</f>
        <v>40</v>
      </c>
      <c r="F19" s="111"/>
      <c r="G19" s="2"/>
      <c r="H19" s="2"/>
      <c r="I19" s="2"/>
      <c r="J19" s="2"/>
    </row>
    <row r="20" spans="2:10" x14ac:dyDescent="0.2">
      <c r="B20" s="107"/>
      <c r="C20" s="2" t="s">
        <v>167</v>
      </c>
      <c r="D20" s="2" t="s">
        <v>395</v>
      </c>
      <c r="E20" s="110">
        <f>Result!H65</f>
        <v>281.40138554396282</v>
      </c>
      <c r="F20" s="111"/>
      <c r="G20" s="2"/>
      <c r="H20" s="2"/>
      <c r="I20" s="2"/>
      <c r="J20" s="2"/>
    </row>
    <row r="21" spans="2:10" x14ac:dyDescent="0.2">
      <c r="B21" s="107"/>
      <c r="C21" s="2" t="s">
        <v>168</v>
      </c>
      <c r="D21" s="2" t="s">
        <v>395</v>
      </c>
      <c r="E21" s="110">
        <f>Result!H66</f>
        <v>195.4296490024484</v>
      </c>
      <c r="F21" s="111"/>
      <c r="G21" s="2"/>
      <c r="H21" s="2"/>
      <c r="I21" s="2"/>
      <c r="J21" s="2"/>
    </row>
    <row r="22" spans="2:10" x14ac:dyDescent="0.2">
      <c r="B22" s="112"/>
      <c r="C22" s="2"/>
      <c r="D22" s="2"/>
      <c r="E22" s="2"/>
      <c r="F22" s="111"/>
      <c r="G22" s="2"/>
      <c r="H22" s="2"/>
      <c r="I22" s="2"/>
      <c r="J22" s="2"/>
    </row>
    <row r="23" spans="2:10" x14ac:dyDescent="0.2">
      <c r="B23" s="107"/>
      <c r="C23" s="1" t="s">
        <v>169</v>
      </c>
      <c r="D23" s="2"/>
      <c r="E23" s="2"/>
      <c r="F23" s="111"/>
      <c r="G23" s="2"/>
      <c r="H23" s="2"/>
      <c r="I23" s="2"/>
      <c r="J23" s="2"/>
    </row>
    <row r="24" spans="2:10" x14ac:dyDescent="0.2">
      <c r="B24" s="107"/>
      <c r="C24" s="2" t="s">
        <v>276</v>
      </c>
      <c r="D24" s="56" t="s">
        <v>474</v>
      </c>
      <c r="E24" s="161">
        <f>Result!H69</f>
        <v>15.477</v>
      </c>
      <c r="F24" s="111"/>
      <c r="G24" s="2"/>
      <c r="H24" s="2"/>
      <c r="I24" s="2"/>
      <c r="J24" s="2"/>
    </row>
    <row r="25" spans="2:10" x14ac:dyDescent="0.2">
      <c r="B25" s="113"/>
      <c r="C25" s="114"/>
      <c r="D25" s="114"/>
      <c r="E25" s="114"/>
      <c r="F25" s="115"/>
      <c r="G25" s="2"/>
      <c r="H25" s="2"/>
      <c r="I25" s="2"/>
      <c r="J25" s="2"/>
    </row>
    <row r="26" spans="2:10" x14ac:dyDescent="0.2">
      <c r="C26" s="2"/>
      <c r="D26" s="2"/>
      <c r="E26" s="2"/>
      <c r="F26" s="2"/>
      <c r="G26" s="2"/>
      <c r="H26" s="2"/>
      <c r="I26" s="2"/>
      <c r="J26" s="2"/>
    </row>
    <row r="27" spans="2:10" x14ac:dyDescent="0.2">
      <c r="B27" s="102"/>
      <c r="C27" s="116"/>
      <c r="D27" s="116"/>
      <c r="E27" s="116"/>
      <c r="F27" s="116"/>
      <c r="G27" s="116"/>
      <c r="H27" s="117"/>
      <c r="I27" s="2"/>
      <c r="J27" s="2"/>
    </row>
    <row r="28" spans="2:10" s="8" customFormat="1" x14ac:dyDescent="0.2">
      <c r="B28" s="105"/>
      <c r="C28" s="8" t="s">
        <v>477</v>
      </c>
      <c r="D28" s="8" t="s">
        <v>36</v>
      </c>
      <c r="H28" s="106"/>
    </row>
    <row r="29" spans="2:10" x14ac:dyDescent="0.2">
      <c r="B29" s="112"/>
      <c r="C29" s="2"/>
      <c r="D29" s="2"/>
      <c r="E29" s="2"/>
      <c r="F29" s="2"/>
      <c r="G29" s="2"/>
      <c r="H29" s="111"/>
      <c r="I29" s="2"/>
      <c r="J29" s="2"/>
    </row>
    <row r="30" spans="2:10" x14ac:dyDescent="0.2">
      <c r="B30" s="107"/>
      <c r="C30" s="1" t="s">
        <v>64</v>
      </c>
      <c r="D30" s="2"/>
      <c r="E30" s="2"/>
      <c r="F30" s="2"/>
      <c r="G30" s="2"/>
      <c r="H30" s="111"/>
      <c r="I30" s="2"/>
      <c r="J30" s="2"/>
    </row>
    <row r="31" spans="2:10" x14ac:dyDescent="0.2">
      <c r="B31" s="107"/>
      <c r="C31" s="2" t="s">
        <v>797</v>
      </c>
      <c r="D31" s="2" t="s">
        <v>74</v>
      </c>
      <c r="E31" s="118">
        <f>Parameters!H31</f>
        <v>8.1100000000000005E-2</v>
      </c>
      <c r="F31" s="2"/>
      <c r="G31" s="2"/>
      <c r="H31" s="111"/>
      <c r="I31" s="2"/>
      <c r="J31" s="2"/>
    </row>
    <row r="32" spans="2:10" x14ac:dyDescent="0.2">
      <c r="B32" s="107"/>
      <c r="C32" s="2" t="s">
        <v>480</v>
      </c>
      <c r="D32" s="2" t="s">
        <v>74</v>
      </c>
      <c r="E32" s="118">
        <f>Parameters!H36</f>
        <v>6.3600000000000004E-2</v>
      </c>
      <c r="F32" s="2"/>
      <c r="G32" s="2"/>
      <c r="H32" s="111"/>
      <c r="I32" s="2"/>
      <c r="J32" s="2"/>
    </row>
    <row r="33" spans="2:28" x14ac:dyDescent="0.2">
      <c r="B33" s="107"/>
      <c r="C33" s="2" t="s">
        <v>75</v>
      </c>
      <c r="D33" s="2" t="s">
        <v>74</v>
      </c>
      <c r="E33" s="118">
        <f>Parameters!H19</f>
        <v>0</v>
      </c>
      <c r="F33" s="2"/>
      <c r="G33" s="2"/>
      <c r="H33" s="111"/>
      <c r="I33" s="2"/>
      <c r="J33" s="2"/>
    </row>
    <row r="34" spans="2:28" x14ac:dyDescent="0.2">
      <c r="B34" s="107"/>
      <c r="C34" s="2" t="s">
        <v>294</v>
      </c>
      <c r="D34" s="2" t="s">
        <v>74</v>
      </c>
      <c r="E34" s="118">
        <f>Parameters!H20</f>
        <v>3.1E-2</v>
      </c>
      <c r="F34" s="2"/>
      <c r="G34" s="2"/>
      <c r="H34" s="111"/>
      <c r="I34" s="2"/>
      <c r="J34" s="2"/>
    </row>
    <row r="35" spans="2:28" x14ac:dyDescent="0.2">
      <c r="B35" s="107"/>
      <c r="C35" s="2" t="s">
        <v>78</v>
      </c>
      <c r="D35" s="2" t="s">
        <v>74</v>
      </c>
      <c r="E35" s="118">
        <f>Parameters!H23</f>
        <v>0.03</v>
      </c>
      <c r="F35" s="2"/>
      <c r="G35" s="2"/>
      <c r="H35" s="111"/>
      <c r="I35" s="2"/>
      <c r="J35" s="2"/>
    </row>
    <row r="36" spans="2:28" x14ac:dyDescent="0.2">
      <c r="B36" s="107"/>
      <c r="C36" s="2" t="s">
        <v>481</v>
      </c>
      <c r="D36" s="2" t="s">
        <v>74</v>
      </c>
      <c r="E36" s="118">
        <f>'Estimates for 2025'!P28</f>
        <v>0.01</v>
      </c>
      <c r="F36" s="2"/>
      <c r="G36" s="2"/>
      <c r="H36" s="111"/>
      <c r="I36" s="2"/>
      <c r="J36" s="2"/>
    </row>
    <row r="37" spans="2:28" x14ac:dyDescent="0.2">
      <c r="B37" s="107"/>
      <c r="C37" s="2" t="s">
        <v>277</v>
      </c>
      <c r="D37" s="2" t="s">
        <v>74</v>
      </c>
      <c r="E37" s="118">
        <f>Parameters!H40</f>
        <v>0.5</v>
      </c>
      <c r="F37" s="2"/>
      <c r="H37" s="111"/>
      <c r="I37" s="2"/>
      <c r="J37" s="2"/>
      <c r="K37" s="2"/>
      <c r="L37" s="2"/>
      <c r="M37" s="2"/>
      <c r="N37" s="2"/>
      <c r="O37" s="2"/>
      <c r="P37" s="2"/>
      <c r="Q37" s="2"/>
      <c r="R37" s="2"/>
      <c r="S37" s="2"/>
      <c r="T37" s="2"/>
      <c r="U37" s="2"/>
      <c r="V37" s="2"/>
      <c r="W37" s="2"/>
      <c r="X37" s="2"/>
      <c r="Y37" s="2"/>
      <c r="Z37" s="2"/>
      <c r="AA37" s="2"/>
      <c r="AB37" s="2"/>
    </row>
    <row r="38" spans="2:28" x14ac:dyDescent="0.2">
      <c r="B38" s="107"/>
      <c r="D38" s="2"/>
      <c r="H38" s="111"/>
      <c r="I38" s="2"/>
      <c r="J38" s="2"/>
    </row>
    <row r="39" spans="2:28" ht="25.5" customHeight="1" x14ac:dyDescent="0.2">
      <c r="B39" s="107"/>
      <c r="C39" s="1" t="s">
        <v>490</v>
      </c>
      <c r="D39" s="119"/>
      <c r="E39" s="120" t="s">
        <v>278</v>
      </c>
      <c r="F39" s="120" t="s">
        <v>279</v>
      </c>
      <c r="G39" s="120" t="s">
        <v>73</v>
      </c>
      <c r="H39" s="111"/>
      <c r="I39" s="2"/>
      <c r="J39" s="2"/>
    </row>
    <row r="40" spans="2:28" x14ac:dyDescent="0.2">
      <c r="B40" s="107"/>
      <c r="C40" s="2" t="s">
        <v>415</v>
      </c>
      <c r="D40" s="2" t="s">
        <v>109</v>
      </c>
      <c r="E40" s="121">
        <f>'Fixed-variable costs'!N44</f>
        <v>648424.25</v>
      </c>
      <c r="F40" s="121">
        <f>'Fixed-variable costs'!O44</f>
        <v>656811.78749999998</v>
      </c>
      <c r="G40" s="121">
        <f>'Fixed-variable costs'!P44</f>
        <v>6634.4625000000005</v>
      </c>
      <c r="H40" s="111"/>
      <c r="I40" s="2"/>
      <c r="J40" s="2"/>
    </row>
    <row r="41" spans="2:28" x14ac:dyDescent="0.2">
      <c r="B41" s="107"/>
      <c r="C41" s="2" t="s">
        <v>336</v>
      </c>
      <c r="D41" s="2" t="s">
        <v>109</v>
      </c>
      <c r="E41" s="121">
        <f>'Fixed-variable costs'!N45</f>
        <v>0</v>
      </c>
      <c r="F41" s="121">
        <f>'Fixed-variable costs'!O45</f>
        <v>23627.34</v>
      </c>
      <c r="G41" s="121">
        <f>'Fixed-variable costs'!P45</f>
        <v>238.66</v>
      </c>
      <c r="H41" s="111"/>
      <c r="I41" s="2"/>
      <c r="J41" s="2"/>
    </row>
    <row r="42" spans="2:28" x14ac:dyDescent="0.2">
      <c r="B42" s="107"/>
      <c r="C42" s="2" t="s">
        <v>491</v>
      </c>
      <c r="D42" s="2" t="s">
        <v>90</v>
      </c>
      <c r="E42" s="121">
        <f>'Fixed-variable costs'!N46</f>
        <v>1316546.0730826384</v>
      </c>
      <c r="F42" s="121">
        <f>'Fixed-variable costs'!O46</f>
        <v>3193959.3374907393</v>
      </c>
      <c r="G42" s="121">
        <f>'Fixed-variable costs'!P46</f>
        <v>34289.612944559252</v>
      </c>
      <c r="H42" s="111"/>
      <c r="I42" s="2"/>
      <c r="J42" s="2"/>
    </row>
    <row r="43" spans="2:28" x14ac:dyDescent="0.2">
      <c r="B43" s="107"/>
      <c r="C43" s="2" t="s">
        <v>492</v>
      </c>
      <c r="D43" s="2" t="s">
        <v>90</v>
      </c>
      <c r="E43" s="121">
        <f>'Fixed-variable costs'!N47</f>
        <v>127230.91732758385</v>
      </c>
      <c r="F43" s="121">
        <f>'Fixed-variable costs'!O47</f>
        <v>218085.46685769351</v>
      </c>
      <c r="G43" s="121">
        <f>'Fixed-variable costs'!P47</f>
        <v>2587.1947105432505</v>
      </c>
      <c r="H43" s="111"/>
      <c r="I43" s="2"/>
      <c r="J43" s="2"/>
    </row>
    <row r="44" spans="2:28" x14ac:dyDescent="0.2">
      <c r="B44" s="107"/>
      <c r="C44" s="2"/>
      <c r="D44" s="2"/>
      <c r="E44" s="2"/>
      <c r="F44" s="2"/>
      <c r="G44" s="2"/>
      <c r="H44" s="111"/>
      <c r="I44" s="2"/>
      <c r="J44" s="2"/>
    </row>
    <row r="45" spans="2:28" x14ac:dyDescent="0.2">
      <c r="B45" s="107"/>
      <c r="C45" s="1" t="s">
        <v>280</v>
      </c>
      <c r="D45" s="2"/>
      <c r="E45" s="2"/>
      <c r="F45" s="2"/>
      <c r="H45" s="111"/>
      <c r="I45" s="2"/>
      <c r="J45" s="2"/>
    </row>
    <row r="46" spans="2:28" x14ac:dyDescent="0.2">
      <c r="B46" s="107"/>
      <c r="C46" s="56" t="s">
        <v>482</v>
      </c>
      <c r="D46" s="56" t="s">
        <v>453</v>
      </c>
      <c r="E46" s="2"/>
      <c r="F46" s="121">
        <f>'Financial data'!O44</f>
        <v>4900.7129353836253</v>
      </c>
      <c r="H46" s="111"/>
      <c r="I46" s="2"/>
      <c r="J46" s="2"/>
    </row>
    <row r="47" spans="2:28" x14ac:dyDescent="0.2">
      <c r="B47" s="107"/>
      <c r="C47" s="56" t="s">
        <v>483</v>
      </c>
      <c r="D47" s="56" t="s">
        <v>453</v>
      </c>
      <c r="E47" s="2"/>
      <c r="F47" s="121">
        <f>'Financial data'!O45</f>
        <v>328.90738935567856</v>
      </c>
      <c r="H47" s="111"/>
      <c r="I47" s="2"/>
      <c r="J47" s="2"/>
    </row>
    <row r="48" spans="2:28" x14ac:dyDescent="0.2">
      <c r="B48" s="107"/>
      <c r="H48" s="111"/>
      <c r="I48" s="2"/>
      <c r="J48" s="2"/>
    </row>
    <row r="49" spans="2:10" x14ac:dyDescent="0.2">
      <c r="B49" s="107"/>
      <c r="C49" s="1" t="s">
        <v>136</v>
      </c>
      <c r="D49" s="2"/>
      <c r="H49" s="108"/>
    </row>
    <row r="50" spans="2:10" x14ac:dyDescent="0.2">
      <c r="B50" s="107"/>
      <c r="C50" s="94" t="s">
        <v>706</v>
      </c>
      <c r="D50" s="56" t="s">
        <v>395</v>
      </c>
      <c r="E50" s="121">
        <f>'Overview corrections'!N39</f>
        <v>26541.653610039273</v>
      </c>
      <c r="F50" s="121">
        <f>'Overview corrections'!O39</f>
        <v>79481.114534509092</v>
      </c>
      <c r="G50" s="121">
        <f>'Overview corrections'!P39</f>
        <v>738.80740668516535</v>
      </c>
      <c r="H50" s="108"/>
    </row>
    <row r="51" spans="2:10" x14ac:dyDescent="0.2">
      <c r="B51" s="107"/>
      <c r="C51" s="2" t="s">
        <v>493</v>
      </c>
      <c r="D51" s="56" t="s">
        <v>395</v>
      </c>
      <c r="E51" s="121">
        <f>'Overview corrections'!N37</f>
        <v>-21306.50945109938</v>
      </c>
      <c r="F51" s="121">
        <f>'Overview corrections'!O37</f>
        <v>12857.194888924174</v>
      </c>
      <c r="G51" s="121">
        <f>'Overview corrections'!P37</f>
        <v>7779.8867735007134</v>
      </c>
      <c r="H51" s="108"/>
    </row>
    <row r="52" spans="2:10" x14ac:dyDescent="0.2">
      <c r="B52" s="107"/>
      <c r="C52" s="2" t="s">
        <v>494</v>
      </c>
      <c r="D52" s="56" t="s">
        <v>395</v>
      </c>
      <c r="E52" s="121">
        <f>'Overview corrections'!N38</f>
        <v>102482.84448331542</v>
      </c>
      <c r="F52" s="121">
        <f>'Overview corrections'!O38</f>
        <v>-139440.28996712645</v>
      </c>
      <c r="G52" s="121">
        <f>'Overview corrections'!P38</f>
        <v>-5486.8452956002366</v>
      </c>
      <c r="H52" s="108"/>
    </row>
    <row r="53" spans="2:10" x14ac:dyDescent="0.2">
      <c r="B53" s="107"/>
      <c r="C53" s="2" t="s">
        <v>495</v>
      </c>
      <c r="D53" s="56" t="s">
        <v>395</v>
      </c>
      <c r="F53" s="121">
        <f>'Overview corrections'!O45</f>
        <v>96719.775767563158</v>
      </c>
      <c r="H53" s="108"/>
    </row>
    <row r="54" spans="2:10" x14ac:dyDescent="0.2">
      <c r="B54" s="107"/>
      <c r="C54" s="2" t="s">
        <v>489</v>
      </c>
      <c r="D54" s="56" t="s">
        <v>395</v>
      </c>
      <c r="E54" s="121">
        <f>'Overview corrections'!N40</f>
        <v>-3741.6419341279088</v>
      </c>
      <c r="H54" s="108"/>
    </row>
    <row r="55" spans="2:10" x14ac:dyDescent="0.2">
      <c r="B55" s="107"/>
      <c r="H55" s="108"/>
    </row>
    <row r="56" spans="2:10" x14ac:dyDescent="0.2">
      <c r="B56" s="107"/>
      <c r="C56" s="1" t="s">
        <v>484</v>
      </c>
      <c r="D56" s="2"/>
      <c r="E56" s="2"/>
      <c r="F56" s="2"/>
      <c r="H56" s="111"/>
      <c r="J56" s="2"/>
    </row>
    <row r="57" spans="2:10" x14ac:dyDescent="0.2">
      <c r="B57" s="107"/>
      <c r="C57" s="56" t="s">
        <v>485</v>
      </c>
      <c r="D57" s="2" t="s">
        <v>395</v>
      </c>
      <c r="E57" s="121">
        <f>'Income level'!N34</f>
        <v>883063.61123831663</v>
      </c>
      <c r="F57" s="121">
        <f>'Income level'!O34</f>
        <v>1115778.4288575349</v>
      </c>
      <c r="G57" s="121">
        <f>'Income level'!P34</f>
        <v>15477.876327020957</v>
      </c>
      <c r="H57" s="108"/>
    </row>
    <row r="58" spans="2:10" x14ac:dyDescent="0.2">
      <c r="B58" s="107"/>
      <c r="C58" s="56" t="s">
        <v>263</v>
      </c>
      <c r="D58" s="2" t="s">
        <v>396</v>
      </c>
      <c r="E58" s="136">
        <f>'Fixed-variable costs'!N64</f>
        <v>0.44514530104309885</v>
      </c>
      <c r="F58" s="136">
        <f>'Fixed-variable costs'!O64</f>
        <v>183.85885169937481</v>
      </c>
      <c r="G58" s="136">
        <f>'Fixed-variable costs'!P64</f>
        <v>4.2498733602186363</v>
      </c>
      <c r="H58" s="108"/>
      <c r="J58" s="2"/>
    </row>
    <row r="59" spans="2:10" x14ac:dyDescent="0.2">
      <c r="B59" s="107"/>
      <c r="C59" s="56" t="s">
        <v>281</v>
      </c>
      <c r="D59" s="2" t="s">
        <v>396</v>
      </c>
      <c r="F59" s="136">
        <f>'Fixed-variable costs'!O65</f>
        <v>640.59273204607712</v>
      </c>
      <c r="H59" s="108"/>
    </row>
    <row r="60" spans="2:10" x14ac:dyDescent="0.2">
      <c r="B60" s="107"/>
      <c r="C60" s="56" t="s">
        <v>486</v>
      </c>
      <c r="D60" s="2" t="s">
        <v>395</v>
      </c>
      <c r="E60" s="121">
        <f>'Income level'!N35</f>
        <v>987039.95794644405</v>
      </c>
      <c r="F60" s="121">
        <f>'Income level'!O35</f>
        <v>1068676.4483138416</v>
      </c>
      <c r="G60" s="121">
        <f>'Income level'!P35</f>
        <v>18509.725211606597</v>
      </c>
      <c r="H60" s="108"/>
    </row>
    <row r="61" spans="2:10" x14ac:dyDescent="0.2">
      <c r="B61" s="107"/>
      <c r="C61" s="2" t="s">
        <v>282</v>
      </c>
      <c r="D61" s="2" t="s">
        <v>395</v>
      </c>
      <c r="E61" s="123">
        <f>'Variable tariffs water'!H24</f>
        <v>1.3996389638990236</v>
      </c>
      <c r="F61" s="2"/>
      <c r="G61" s="2"/>
      <c r="H61" s="111"/>
    </row>
    <row r="62" spans="2:10" x14ac:dyDescent="0.2">
      <c r="B62" s="107"/>
      <c r="H62" s="108"/>
    </row>
    <row r="63" spans="2:10" x14ac:dyDescent="0.2">
      <c r="B63" s="107"/>
      <c r="C63" s="124" t="s">
        <v>487</v>
      </c>
      <c r="H63" s="108"/>
    </row>
    <row r="64" spans="2:10" x14ac:dyDescent="0.2">
      <c r="B64" s="107"/>
      <c r="C64" s="2" t="s">
        <v>264</v>
      </c>
      <c r="D64" s="2" t="s">
        <v>97</v>
      </c>
      <c r="E64" s="121">
        <f>'Estimates for 2025'!N14</f>
        <v>201600</v>
      </c>
      <c r="H64" s="108"/>
    </row>
    <row r="65" spans="2:8" x14ac:dyDescent="0.2">
      <c r="B65" s="107"/>
      <c r="C65" s="2" t="s">
        <v>283</v>
      </c>
      <c r="D65" s="2" t="s">
        <v>97</v>
      </c>
      <c r="E65" s="130"/>
      <c r="G65" s="121">
        <f>'Estimates for 2025'!P27</f>
        <v>2016</v>
      </c>
      <c r="H65" s="108"/>
    </row>
    <row r="66" spans="2:8" x14ac:dyDescent="0.2">
      <c r="B66" s="107"/>
      <c r="C66" s="2" t="s">
        <v>284</v>
      </c>
      <c r="D66" s="2" t="s">
        <v>107</v>
      </c>
      <c r="E66" s="123">
        <f>'Estimates for 2025'!N40</f>
        <v>4.5758463390315596</v>
      </c>
      <c r="G66" s="130"/>
      <c r="H66" s="108"/>
    </row>
    <row r="67" spans="2:8" x14ac:dyDescent="0.2">
      <c r="B67" s="107"/>
      <c r="C67" s="2" t="s">
        <v>285</v>
      </c>
      <c r="D67" s="2" t="s">
        <v>96</v>
      </c>
      <c r="E67" s="131">
        <f>'Estimates for 2025'!B57</f>
        <v>85.5</v>
      </c>
      <c r="G67" s="130"/>
      <c r="H67" s="108"/>
    </row>
    <row r="68" spans="2:8" s="134" customFormat="1" x14ac:dyDescent="0.2">
      <c r="B68" s="132"/>
      <c r="C68" s="76"/>
      <c r="D68" s="76"/>
      <c r="E68" s="133"/>
      <c r="G68" s="130"/>
      <c r="H68" s="135"/>
    </row>
    <row r="69" spans="2:8" x14ac:dyDescent="0.2">
      <c r="B69" s="107"/>
      <c r="C69" s="2" t="s">
        <v>488</v>
      </c>
      <c r="D69" s="2" t="s">
        <v>74</v>
      </c>
      <c r="F69" s="127">
        <f>'Estimates for 2025'!O17</f>
        <v>0.4</v>
      </c>
      <c r="H69" s="108"/>
    </row>
    <row r="70" spans="2:8" x14ac:dyDescent="0.2">
      <c r="B70" s="107"/>
      <c r="C70" s="2" t="s">
        <v>496</v>
      </c>
      <c r="D70" s="2" t="s">
        <v>116</v>
      </c>
      <c r="F70" s="121">
        <f>'Estimates for 2025'!O66</f>
        <v>1225.5630287548672</v>
      </c>
      <c r="H70" s="108"/>
    </row>
    <row r="71" spans="2:8" x14ac:dyDescent="0.2">
      <c r="B71" s="107"/>
      <c r="C71" s="2"/>
      <c r="D71" s="2"/>
      <c r="H71" s="108"/>
    </row>
    <row r="72" spans="2:8" x14ac:dyDescent="0.2">
      <c r="B72" s="107"/>
      <c r="H72" s="108"/>
    </row>
    <row r="73" spans="2:8" x14ac:dyDescent="0.2">
      <c r="B73" s="107"/>
      <c r="C73" s="56" t="s">
        <v>270</v>
      </c>
      <c r="H73" s="108"/>
    </row>
    <row r="74" spans="2:8" x14ac:dyDescent="0.2">
      <c r="B74" s="107"/>
      <c r="H74" s="108"/>
    </row>
    <row r="75" spans="2:8" x14ac:dyDescent="0.2">
      <c r="B75" s="113"/>
      <c r="C75" s="128"/>
      <c r="D75" s="128"/>
      <c r="E75" s="128"/>
      <c r="F75" s="128"/>
      <c r="G75" s="128"/>
      <c r="H75" s="12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H58"/>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7.5703125" style="2" customWidth="1"/>
    <col min="3" max="3" width="35.140625" style="2" customWidth="1"/>
    <col min="4" max="4" width="110.42578125" style="2" customWidth="1"/>
    <col min="5" max="5" width="39" style="2" customWidth="1"/>
    <col min="6" max="6" width="34.140625" style="2" customWidth="1"/>
    <col min="7" max="7" width="11.85546875" style="2" customWidth="1"/>
    <col min="8" max="8" width="28.7109375" style="2" customWidth="1"/>
    <col min="9" max="9" width="18.42578125" style="2" customWidth="1"/>
    <col min="10" max="11" width="58.42578125" style="2" customWidth="1"/>
    <col min="12" max="16384" width="9.140625" style="2"/>
  </cols>
  <sheetData>
    <row r="2" spans="2:8" s="7" customFormat="1" ht="18" x14ac:dyDescent="0.2">
      <c r="B2" s="7" t="s">
        <v>27</v>
      </c>
    </row>
    <row r="5" spans="2:8" s="8" customFormat="1" x14ac:dyDescent="0.2">
      <c r="B5" s="8" t="s">
        <v>28</v>
      </c>
    </row>
    <row r="7" spans="2:8" x14ac:dyDescent="0.2">
      <c r="B7" s="4" t="s">
        <v>57</v>
      </c>
    </row>
    <row r="8" spans="2:8" x14ac:dyDescent="0.2">
      <c r="B8" s="4" t="s">
        <v>29</v>
      </c>
    </row>
    <row r="9" spans="2:8" x14ac:dyDescent="0.2">
      <c r="B9" s="4"/>
    </row>
    <row r="10" spans="2:8" x14ac:dyDescent="0.2">
      <c r="B10" s="31" t="s">
        <v>30</v>
      </c>
      <c r="C10" s="31" t="s">
        <v>31</v>
      </c>
      <c r="D10" s="31" t="s">
        <v>32</v>
      </c>
      <c r="E10" s="31" t="s">
        <v>54</v>
      </c>
      <c r="F10" s="31" t="s">
        <v>7</v>
      </c>
      <c r="H10" s="18"/>
    </row>
    <row r="11" spans="2:8" x14ac:dyDescent="0.2">
      <c r="B11" s="15"/>
      <c r="C11" s="15" t="s">
        <v>33</v>
      </c>
      <c r="D11" s="15" t="s">
        <v>34</v>
      </c>
      <c r="E11" s="15" t="s">
        <v>35</v>
      </c>
      <c r="F11" s="15"/>
    </row>
    <row r="12" spans="2:8" x14ac:dyDescent="0.2">
      <c r="B12" s="6">
        <v>1</v>
      </c>
      <c r="C12" s="6" t="s">
        <v>126</v>
      </c>
      <c r="D12" s="6"/>
      <c r="E12" s="58" t="s">
        <v>127</v>
      </c>
      <c r="F12" s="6"/>
    </row>
    <row r="13" spans="2:8" x14ac:dyDescent="0.2">
      <c r="B13" s="6">
        <v>2</v>
      </c>
      <c r="C13" s="6" t="s">
        <v>79</v>
      </c>
      <c r="D13" s="6"/>
      <c r="E13" s="58" t="s">
        <v>128</v>
      </c>
      <c r="F13" s="6"/>
    </row>
    <row r="14" spans="2:8" x14ac:dyDescent="0.2">
      <c r="B14" s="6">
        <v>3</v>
      </c>
      <c r="C14" s="6" t="s">
        <v>77</v>
      </c>
      <c r="D14" s="6" t="s">
        <v>129</v>
      </c>
      <c r="E14" s="58" t="s">
        <v>130</v>
      </c>
      <c r="F14" s="6"/>
    </row>
    <row r="15" spans="2:8" x14ac:dyDescent="0.2">
      <c r="B15" s="6">
        <v>4</v>
      </c>
      <c r="C15" s="6" t="s">
        <v>232</v>
      </c>
      <c r="D15" s="6" t="s">
        <v>234</v>
      </c>
      <c r="E15" s="99" t="s">
        <v>233</v>
      </c>
      <c r="F15" s="6"/>
    </row>
    <row r="16" spans="2:8" x14ac:dyDescent="0.2">
      <c r="B16" s="6">
        <v>5</v>
      </c>
      <c r="C16" s="6" t="s">
        <v>551</v>
      </c>
      <c r="D16" s="6" t="s">
        <v>508</v>
      </c>
      <c r="E16" s="99" t="s">
        <v>509</v>
      </c>
      <c r="F16" s="6"/>
    </row>
    <row r="17" spans="2:6" x14ac:dyDescent="0.2">
      <c r="B17" s="6">
        <v>6</v>
      </c>
      <c r="C17" s="6" t="s">
        <v>552</v>
      </c>
      <c r="D17" s="6" t="s">
        <v>223</v>
      </c>
      <c r="E17" s="58" t="s">
        <v>134</v>
      </c>
      <c r="F17" s="6"/>
    </row>
    <row r="18" spans="2:6" x14ac:dyDescent="0.2">
      <c r="B18" s="6">
        <v>7</v>
      </c>
      <c r="C18" s="6" t="s">
        <v>553</v>
      </c>
      <c r="D18" s="6" t="s">
        <v>330</v>
      </c>
      <c r="E18" s="99" t="s">
        <v>235</v>
      </c>
      <c r="F18" s="6"/>
    </row>
    <row r="19" spans="2:6" x14ac:dyDescent="0.2">
      <c r="B19" s="6">
        <v>8</v>
      </c>
      <c r="C19" s="6" t="s">
        <v>554</v>
      </c>
      <c r="D19" s="6" t="s">
        <v>556</v>
      </c>
      <c r="E19" s="99" t="s">
        <v>557</v>
      </c>
      <c r="F19" s="6"/>
    </row>
    <row r="20" spans="2:6" x14ac:dyDescent="0.2">
      <c r="B20" s="6">
        <v>9</v>
      </c>
      <c r="C20" s="6" t="s">
        <v>555</v>
      </c>
      <c r="D20" s="6" t="s">
        <v>329</v>
      </c>
      <c r="E20" s="99" t="s">
        <v>558</v>
      </c>
      <c r="F20" s="6"/>
    </row>
    <row r="21" spans="2:6" x14ac:dyDescent="0.2">
      <c r="B21" s="6">
        <v>10</v>
      </c>
      <c r="C21" s="6" t="s">
        <v>758</v>
      </c>
      <c r="D21" s="6" t="s">
        <v>223</v>
      </c>
      <c r="E21" s="6"/>
      <c r="F21" s="6"/>
    </row>
    <row r="22" spans="2:6" x14ac:dyDescent="0.2">
      <c r="B22" s="6">
        <v>11</v>
      </c>
      <c r="C22" s="6" t="s">
        <v>764</v>
      </c>
      <c r="D22" s="6" t="s">
        <v>129</v>
      </c>
      <c r="E22" s="6"/>
      <c r="F22" s="6"/>
    </row>
    <row r="23" spans="2:6" x14ac:dyDescent="0.2">
      <c r="B23" s="6">
        <v>12</v>
      </c>
      <c r="C23" s="6" t="s">
        <v>775</v>
      </c>
      <c r="D23" s="9" t="s">
        <v>776</v>
      </c>
      <c r="E23" s="6"/>
      <c r="F23" s="6"/>
    </row>
    <row r="24" spans="2:6" x14ac:dyDescent="0.2">
      <c r="B24" s="6">
        <v>13</v>
      </c>
      <c r="C24" s="6" t="s">
        <v>131</v>
      </c>
      <c r="D24" s="6" t="s">
        <v>220</v>
      </c>
      <c r="E24" s="6"/>
      <c r="F24" s="6"/>
    </row>
    <row r="25" spans="2:6" x14ac:dyDescent="0.2">
      <c r="B25" s="6">
        <v>14</v>
      </c>
      <c r="C25" s="6" t="s">
        <v>132</v>
      </c>
      <c r="D25" s="6" t="s">
        <v>221</v>
      </c>
      <c r="E25" s="6"/>
      <c r="F25" s="6"/>
    </row>
    <row r="26" spans="2:6" x14ac:dyDescent="0.2">
      <c r="B26" s="6">
        <v>15</v>
      </c>
      <c r="C26" s="6" t="s">
        <v>133</v>
      </c>
      <c r="D26" s="6" t="s">
        <v>219</v>
      </c>
      <c r="E26" s="6"/>
      <c r="F26" s="6"/>
    </row>
    <row r="27" spans="2:6" x14ac:dyDescent="0.2">
      <c r="B27" s="6">
        <v>16</v>
      </c>
      <c r="C27" s="6" t="s">
        <v>506</v>
      </c>
      <c r="D27" s="9" t="s">
        <v>510</v>
      </c>
      <c r="E27" s="6" t="s">
        <v>511</v>
      </c>
      <c r="F27" s="6"/>
    </row>
    <row r="28" spans="2:6" x14ac:dyDescent="0.2">
      <c r="B28" s="6">
        <v>17</v>
      </c>
      <c r="C28" s="6" t="s">
        <v>753</v>
      </c>
      <c r="D28" s="9" t="s">
        <v>754</v>
      </c>
      <c r="E28" s="6" t="s">
        <v>699</v>
      </c>
      <c r="F28" s="6"/>
    </row>
    <row r="29" spans="2:6" x14ac:dyDescent="0.2">
      <c r="B29" s="6">
        <v>18</v>
      </c>
      <c r="C29" s="6" t="s">
        <v>756</v>
      </c>
      <c r="D29" s="9" t="s">
        <v>757</v>
      </c>
      <c r="E29" s="2" t="s">
        <v>699</v>
      </c>
      <c r="F29" s="6"/>
    </row>
    <row r="30" spans="2:6" x14ac:dyDescent="0.2">
      <c r="B30" s="6">
        <v>19</v>
      </c>
      <c r="C30" s="6" t="s">
        <v>655</v>
      </c>
      <c r="D30" s="162" t="s">
        <v>222</v>
      </c>
      <c r="E30" s="6" t="s">
        <v>665</v>
      </c>
      <c r="F30" s="6"/>
    </row>
    <row r="31" spans="2:6" x14ac:dyDescent="0.2">
      <c r="B31" s="6">
        <v>20</v>
      </c>
      <c r="C31" s="6" t="s">
        <v>657</v>
      </c>
      <c r="D31" s="162" t="s">
        <v>731</v>
      </c>
      <c r="E31" s="6" t="s">
        <v>665</v>
      </c>
      <c r="F31" s="6"/>
    </row>
    <row r="32" spans="2:6" x14ac:dyDescent="0.2">
      <c r="B32" s="6">
        <v>21</v>
      </c>
      <c r="C32" s="6" t="s">
        <v>658</v>
      </c>
      <c r="D32" s="162" t="s">
        <v>730</v>
      </c>
      <c r="E32" s="6" t="s">
        <v>665</v>
      </c>
      <c r="F32" s="6"/>
    </row>
    <row r="33" spans="2:6" x14ac:dyDescent="0.2">
      <c r="B33" s="6">
        <v>22</v>
      </c>
      <c r="C33" s="6" t="s">
        <v>661</v>
      </c>
      <c r="D33" s="163" t="s">
        <v>743</v>
      </c>
      <c r="E33" s="6" t="s">
        <v>744</v>
      </c>
      <c r="F33" s="6"/>
    </row>
    <row r="34" spans="2:6" x14ac:dyDescent="0.2">
      <c r="B34" s="6">
        <v>23</v>
      </c>
      <c r="C34" s="6" t="s">
        <v>656</v>
      </c>
      <c r="D34" s="162" t="s">
        <v>732</v>
      </c>
      <c r="E34" s="6" t="s">
        <v>665</v>
      </c>
      <c r="F34" s="6"/>
    </row>
    <row r="35" spans="2:6" x14ac:dyDescent="0.2">
      <c r="B35" s="6">
        <v>24</v>
      </c>
      <c r="C35" s="6" t="s">
        <v>342</v>
      </c>
      <c r="D35" s="162" t="s">
        <v>733</v>
      </c>
      <c r="E35" s="6" t="s">
        <v>665</v>
      </c>
      <c r="F35" s="6"/>
    </row>
    <row r="36" spans="2:6" x14ac:dyDescent="0.2">
      <c r="B36" s="6">
        <v>25</v>
      </c>
      <c r="C36" s="6" t="s">
        <v>659</v>
      </c>
      <c r="D36" s="162" t="s">
        <v>734</v>
      </c>
      <c r="E36" s="6" t="s">
        <v>665</v>
      </c>
      <c r="F36" s="6"/>
    </row>
    <row r="37" spans="2:6" x14ac:dyDescent="0.2">
      <c r="B37" s="6">
        <v>26</v>
      </c>
      <c r="C37" s="6" t="s">
        <v>660</v>
      </c>
      <c r="D37" s="162" t="s">
        <v>735</v>
      </c>
      <c r="E37" s="6" t="s">
        <v>665</v>
      </c>
      <c r="F37" s="6"/>
    </row>
    <row r="38" spans="2:6" x14ac:dyDescent="0.2">
      <c r="B38" s="6">
        <v>27</v>
      </c>
      <c r="C38" s="6" t="s">
        <v>664</v>
      </c>
      <c r="D38" s="163" t="s">
        <v>738</v>
      </c>
      <c r="E38" s="6" t="s">
        <v>741</v>
      </c>
      <c r="F38" s="6"/>
    </row>
    <row r="39" spans="2:6" x14ac:dyDescent="0.2">
      <c r="B39" s="6">
        <v>28</v>
      </c>
      <c r="C39" s="6" t="s">
        <v>662</v>
      </c>
      <c r="D39" s="163" t="s">
        <v>742</v>
      </c>
      <c r="E39" s="6" t="s">
        <v>741</v>
      </c>
      <c r="F39" s="6"/>
    </row>
    <row r="40" spans="2:6" x14ac:dyDescent="0.2">
      <c r="B40" s="6">
        <v>29</v>
      </c>
      <c r="C40" s="6" t="s">
        <v>371</v>
      </c>
      <c r="D40" s="163" t="s">
        <v>746</v>
      </c>
      <c r="E40" s="6" t="s">
        <v>741</v>
      </c>
      <c r="F40" s="6"/>
    </row>
    <row r="41" spans="2:6" x14ac:dyDescent="0.2">
      <c r="B41" s="6">
        <v>30</v>
      </c>
      <c r="C41" s="6" t="s">
        <v>367</v>
      </c>
      <c r="D41" s="163" t="s">
        <v>740</v>
      </c>
      <c r="E41" s="6" t="s">
        <v>741</v>
      </c>
      <c r="F41" s="6"/>
    </row>
    <row r="42" spans="2:6" x14ac:dyDescent="0.2">
      <c r="B42" s="6">
        <v>31</v>
      </c>
      <c r="C42" s="6" t="s">
        <v>369</v>
      </c>
      <c r="D42" s="163" t="s">
        <v>745</v>
      </c>
      <c r="E42" s="6" t="s">
        <v>741</v>
      </c>
      <c r="F42" s="6"/>
    </row>
    <row r="43" spans="2:6" x14ac:dyDescent="0.2">
      <c r="B43" s="6">
        <v>32</v>
      </c>
      <c r="C43" s="6" t="s">
        <v>654</v>
      </c>
      <c r="D43" s="162" t="s">
        <v>749</v>
      </c>
      <c r="E43" s="6" t="s">
        <v>750</v>
      </c>
      <c r="F43" s="6"/>
    </row>
    <row r="44" spans="2:6" x14ac:dyDescent="0.2">
      <c r="B44" s="6">
        <v>33</v>
      </c>
      <c r="C44" s="6" t="s">
        <v>663</v>
      </c>
      <c r="D44" s="163" t="s">
        <v>747</v>
      </c>
      <c r="E44" s="6" t="s">
        <v>750</v>
      </c>
      <c r="F44" s="6"/>
    </row>
    <row r="45" spans="2:6" x14ac:dyDescent="0.2">
      <c r="B45" s="6">
        <v>34</v>
      </c>
      <c r="C45" s="2" t="s">
        <v>653</v>
      </c>
      <c r="D45" s="163" t="s">
        <v>737</v>
      </c>
      <c r="E45" s="6" t="s">
        <v>736</v>
      </c>
      <c r="F45" s="6"/>
    </row>
    <row r="46" spans="2:6" x14ac:dyDescent="0.2">
      <c r="B46" s="6">
        <v>35</v>
      </c>
      <c r="C46" s="6" t="s">
        <v>368</v>
      </c>
      <c r="D46" s="163" t="s">
        <v>739</v>
      </c>
      <c r="E46" s="6" t="s">
        <v>736</v>
      </c>
      <c r="F46" s="6"/>
    </row>
    <row r="49" spans="2:2" s="8" customFormat="1" x14ac:dyDescent="0.2">
      <c r="B49" s="8" t="s">
        <v>58</v>
      </c>
    </row>
    <row r="51" spans="2:2" x14ac:dyDescent="0.2">
      <c r="B51" s="20" t="s">
        <v>59</v>
      </c>
    </row>
    <row r="52" spans="2:2" x14ac:dyDescent="0.2">
      <c r="B52" s="20" t="s">
        <v>55</v>
      </c>
    </row>
    <row r="53" spans="2:2" x14ac:dyDescent="0.2">
      <c r="B53" s="20"/>
    </row>
    <row r="58" spans="2:2" x14ac:dyDescent="0.2">
      <c r="B58" s="4" t="s">
        <v>63</v>
      </c>
    </row>
  </sheetData>
  <hyperlinks>
    <hyperlink ref="E12" r:id="rId1" location="/CBS/nl/dataset/84046NED/table" xr:uid="{B6E013E3-D49D-4230-9F8E-B05E3BE70F5A}"/>
    <hyperlink ref="E13" r:id="rId2" xr:uid="{AC37700C-DD87-479B-BA84-D36F077F5901}"/>
    <hyperlink ref="E14" r:id="rId3" xr:uid="{86A29317-2A05-42E0-8CB5-07FC063BC221}"/>
    <hyperlink ref="E15" r:id="rId4" display="https://www.acm.nl/nl/publicaties/methodebesluit-elektriciteit-en-drinkwater-caribisch-nederland-2020-2025" xr:uid="{DA3071CA-E4D4-41E0-BA34-903F74FDC40D}"/>
    <hyperlink ref="E18" r:id="rId5" display="https://www.acm.nl/nl/publicaties/beschikking-variabel-tarief-elektriciteit-1-juli-2023-st-eustatius" xr:uid="{5C4319A0-6B70-46B2-BB31-0F4D8489F16F}"/>
    <hyperlink ref="E16" r:id="rId6" display="https://www.acm.nl/nl/publicaties/rekenmodel-bij-beschikking-productieprijs-en-distributietarieven-elektriciteit-en-drinkwater-2018-stuco-caribisch-nederland" xr:uid="{AD6FC6F0-F469-4153-B98A-54F110FE9FC0}"/>
    <hyperlink ref="E19" r:id="rId7" display="https://www.acm.nl/nl/publicaties/beschikking-productieprijs-elektriciteit-2024-sint-eustatius-stuco" xr:uid="{734BD64B-4FB2-4260-8E63-7F87A111641F}"/>
    <hyperlink ref="E20" r:id="rId8" display="https://www.acm.nl/nl/publicaties/beschikking-variabel-tarief-elektriciteit-1-juli-2024-st-eustatius-caribisch-nederland" xr:uid="{A50B0302-5C2D-481B-8B98-79F8D33942A1}"/>
  </hyperlinks>
  <pageMargins left="0.75" right="0.75" top="1" bottom="1" header="0.5" footer="0.5"/>
  <pageSetup paperSize="9" orientation="portrait"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L69"/>
  <sheetViews>
    <sheetView showGridLines="0" zoomScale="85" zoomScaleNormal="85" workbookViewId="0">
      <pane xSplit="6" ySplit="9" topLeftCell="G10" activePane="bottomRight" state="frozen"/>
      <selection activeCell="O39" sqref="O39"/>
      <selection pane="topRight" activeCell="O39" sqref="O39"/>
      <selection pane="bottomLeft" activeCell="O39" sqref="O39"/>
      <selection pane="bottomRight" activeCell="G10" sqref="G10"/>
    </sheetView>
  </sheetViews>
  <sheetFormatPr defaultColWidth="9.140625" defaultRowHeight="12.75" x14ac:dyDescent="0.2"/>
  <cols>
    <col min="1" max="1" width="5.7109375" style="2" customWidth="1"/>
    <col min="2" max="2" width="22.140625" style="2" customWidth="1"/>
    <col min="3" max="3" width="5.7109375" style="2" hidden="1" customWidth="1"/>
    <col min="4" max="5" width="5.7109375" style="2" customWidth="1"/>
    <col min="6" max="6" width="24.28515625" style="2" customWidth="1"/>
    <col min="7" max="7" width="2.7109375" style="2" customWidth="1"/>
    <col min="8" max="8" width="15.5703125" style="2" customWidth="1"/>
    <col min="9" max="9" width="2.7109375" style="2" customWidth="1"/>
    <col min="10" max="10" width="28.7109375" style="2" customWidth="1"/>
    <col min="11" max="11" width="2.7109375" style="2" customWidth="1"/>
    <col min="12" max="12" width="51.28515625" style="2" customWidth="1"/>
    <col min="13" max="21" width="12.5703125" style="2" customWidth="1"/>
    <col min="22" max="24" width="2.7109375" style="2" customWidth="1"/>
    <col min="25" max="25" width="30.85546875" style="2" customWidth="1"/>
    <col min="26" max="39" width="13.7109375" style="2" customWidth="1"/>
    <col min="40" max="16384" width="9.140625" style="2"/>
  </cols>
  <sheetData>
    <row r="1" spans="1:12" x14ac:dyDescent="0.2">
      <c r="A1" s="167"/>
      <c r="B1" s="167"/>
    </row>
    <row r="2" spans="1:12" s="12" customFormat="1" ht="18" x14ac:dyDescent="0.2">
      <c r="A2" s="168"/>
      <c r="B2" s="168" t="s">
        <v>22</v>
      </c>
    </row>
    <row r="3" spans="1:12" x14ac:dyDescent="0.2">
      <c r="A3" s="167"/>
      <c r="B3" s="167"/>
    </row>
    <row r="4" spans="1:12" x14ac:dyDescent="0.2">
      <c r="A4" s="167"/>
      <c r="B4" s="169" t="s">
        <v>12</v>
      </c>
      <c r="C4" s="1"/>
      <c r="D4" s="1"/>
    </row>
    <row r="5" spans="1:12" x14ac:dyDescent="0.2">
      <c r="B5" s="2" t="s">
        <v>236</v>
      </c>
      <c r="C5" s="3"/>
      <c r="D5" s="3"/>
      <c r="H5" s="13"/>
    </row>
    <row r="6" spans="1:12" x14ac:dyDescent="0.2">
      <c r="C6" s="3"/>
      <c r="D6" s="3"/>
      <c r="H6" s="13"/>
    </row>
    <row r="8" spans="1:12" s="8" customFormat="1" x14ac:dyDescent="0.2">
      <c r="B8" s="8" t="s">
        <v>12</v>
      </c>
      <c r="F8" s="8" t="s">
        <v>36</v>
      </c>
      <c r="H8" s="8" t="s">
        <v>37</v>
      </c>
      <c r="J8" s="8" t="s">
        <v>139</v>
      </c>
      <c r="L8" s="8" t="s">
        <v>39</v>
      </c>
    </row>
    <row r="11" spans="1:12" s="8" customFormat="1" x14ac:dyDescent="0.2">
      <c r="B11" s="8" t="s">
        <v>599</v>
      </c>
    </row>
    <row r="13" spans="1:12" ht="12.75" customHeight="1" x14ac:dyDescent="0.2">
      <c r="B13" s="1" t="s">
        <v>140</v>
      </c>
    </row>
    <row r="14" spans="1:12" ht="12.75" customHeight="1" x14ac:dyDescent="0.2">
      <c r="B14" s="2" t="s">
        <v>141</v>
      </c>
      <c r="F14" s="2" t="s">
        <v>448</v>
      </c>
      <c r="H14" s="61">
        <f>'Variable tariffs electricity'!H18</f>
        <v>0.16420000000000001</v>
      </c>
      <c r="J14" s="2" t="s">
        <v>597</v>
      </c>
    </row>
    <row r="15" spans="1:12" ht="12.75" customHeight="1" x14ac:dyDescent="0.2">
      <c r="B15" s="2" t="s">
        <v>546</v>
      </c>
      <c r="F15" s="2" t="s">
        <v>448</v>
      </c>
      <c r="H15" s="61">
        <f>'Variable tariffs electricity'!H24</f>
        <v>0.11165568126834402</v>
      </c>
      <c r="J15" s="2" t="s">
        <v>640</v>
      </c>
    </row>
    <row r="16" spans="1:12" ht="12.75" customHeight="1" x14ac:dyDescent="0.2">
      <c r="B16" s="2" t="s">
        <v>142</v>
      </c>
      <c r="F16" s="2" t="s">
        <v>448</v>
      </c>
      <c r="H16" s="61">
        <f>'Variable tariffs electricity'!H28</f>
        <v>0.27579999999999999</v>
      </c>
      <c r="J16" s="2" t="s">
        <v>597</v>
      </c>
    </row>
    <row r="18" spans="2:10" x14ac:dyDescent="0.2">
      <c r="B18" s="1" t="s">
        <v>143</v>
      </c>
    </row>
    <row r="19" spans="2:10" ht="12.75" customHeight="1" x14ac:dyDescent="0.2">
      <c r="B19" s="2" t="s">
        <v>143</v>
      </c>
      <c r="F19" s="2" t="s">
        <v>448</v>
      </c>
      <c r="H19" s="61">
        <f>'Variable tariffs electricity'!H41</f>
        <v>0.29609999999999997</v>
      </c>
      <c r="J19" s="2" t="s">
        <v>598</v>
      </c>
    </row>
    <row r="20" spans="2:10" x14ac:dyDescent="0.2">
      <c r="B20" s="5"/>
    </row>
    <row r="21" spans="2:10" x14ac:dyDescent="0.2">
      <c r="B21" s="19" t="s">
        <v>144</v>
      </c>
    </row>
    <row r="22" spans="2:10" x14ac:dyDescent="0.2">
      <c r="B22" s="32" t="s">
        <v>719</v>
      </c>
      <c r="H22" s="81">
        <f>'Fixed tariffs electricity'!H17</f>
        <v>8.8277235704052295</v>
      </c>
    </row>
    <row r="23" spans="2:10" x14ac:dyDescent="0.2">
      <c r="B23" s="19"/>
    </row>
    <row r="24" spans="2:10" x14ac:dyDescent="0.2">
      <c r="B24" s="16" t="s">
        <v>145</v>
      </c>
      <c r="F24" s="2" t="s">
        <v>464</v>
      </c>
      <c r="H24" s="63">
        <f>'Fixed tariffs electricity'!H20</f>
        <v>28.248715425296737</v>
      </c>
      <c r="J24" s="2" t="s">
        <v>597</v>
      </c>
    </row>
    <row r="25" spans="2:10" x14ac:dyDescent="0.2">
      <c r="B25" s="16" t="s">
        <v>146</v>
      </c>
      <c r="F25" s="2" t="s">
        <v>464</v>
      </c>
      <c r="H25" s="63">
        <f>'Fixed tariffs electricity'!H21</f>
        <v>67.973471492120268</v>
      </c>
      <c r="J25" s="2" t="s">
        <v>597</v>
      </c>
    </row>
    <row r="26" spans="2:10" x14ac:dyDescent="0.2">
      <c r="B26" s="16" t="s">
        <v>150</v>
      </c>
      <c r="F26" s="2" t="s">
        <v>464</v>
      </c>
      <c r="H26" s="63">
        <f>'Fixed tariffs electricity'!H22</f>
        <v>97.104959274457528</v>
      </c>
      <c r="J26" s="2" t="s">
        <v>597</v>
      </c>
    </row>
    <row r="27" spans="2:10" x14ac:dyDescent="0.2">
      <c r="B27" s="16" t="s">
        <v>153</v>
      </c>
      <c r="F27" s="2" t="s">
        <v>464</v>
      </c>
      <c r="H27" s="63">
        <f>'Fixed tariffs electricity'!H23</f>
        <v>122.35224868581648</v>
      </c>
      <c r="J27" s="2" t="s">
        <v>597</v>
      </c>
    </row>
    <row r="28" spans="2:10" x14ac:dyDescent="0.2">
      <c r="B28" s="16" t="s">
        <v>147</v>
      </c>
      <c r="F28" s="2" t="s">
        <v>464</v>
      </c>
      <c r="H28" s="63">
        <f>'Fixed tariffs electricity'!H24</f>
        <v>117.40872348638956</v>
      </c>
      <c r="J28" s="2" t="s">
        <v>597</v>
      </c>
    </row>
    <row r="29" spans="2:10" x14ac:dyDescent="0.2">
      <c r="B29" s="16" t="s">
        <v>151</v>
      </c>
      <c r="F29" s="2" t="s">
        <v>464</v>
      </c>
      <c r="H29" s="63">
        <f>'Fixed tariffs electricity'!H25</f>
        <v>167.72674783769935</v>
      </c>
      <c r="J29" s="2" t="s">
        <v>597</v>
      </c>
    </row>
    <row r="30" spans="2:10" x14ac:dyDescent="0.2">
      <c r="B30" s="16" t="s">
        <v>154</v>
      </c>
      <c r="F30" s="2" t="s">
        <v>464</v>
      </c>
      <c r="H30" s="63">
        <f>'Fixed tariffs electricity'!H26</f>
        <v>211.33570227550121</v>
      </c>
      <c r="J30" s="2" t="s">
        <v>597</v>
      </c>
    </row>
    <row r="31" spans="2:10" x14ac:dyDescent="0.2">
      <c r="B31" s="16" t="s">
        <v>148</v>
      </c>
      <c r="F31" s="2" t="s">
        <v>464</v>
      </c>
      <c r="H31" s="63">
        <f>'Fixed tariffs electricity'!H27</f>
        <v>268.36279654031898</v>
      </c>
      <c r="J31" s="2" t="s">
        <v>597</v>
      </c>
    </row>
    <row r="32" spans="2:10" x14ac:dyDescent="0.2">
      <c r="B32" s="16" t="s">
        <v>149</v>
      </c>
      <c r="F32" s="2" t="s">
        <v>464</v>
      </c>
      <c r="H32" s="63">
        <f>'Fixed tariffs electricity'!H28</f>
        <v>335.4534956753987</v>
      </c>
      <c r="J32" s="2" t="s">
        <v>597</v>
      </c>
    </row>
    <row r="33" spans="2:12" x14ac:dyDescent="0.2">
      <c r="B33" s="16" t="s">
        <v>152</v>
      </c>
      <c r="F33" s="2" t="s">
        <v>464</v>
      </c>
      <c r="H33" s="63">
        <f>'Fixed tariffs electricity'!H29</f>
        <v>419.31686959424837</v>
      </c>
      <c r="J33" s="2" t="s">
        <v>597</v>
      </c>
    </row>
    <row r="34" spans="2:12" x14ac:dyDescent="0.2">
      <c r="B34" s="64" t="s">
        <v>155</v>
      </c>
      <c r="F34" s="2" t="s">
        <v>464</v>
      </c>
      <c r="H34" s="63">
        <f>'Fixed tariffs electricity'!H30</f>
        <v>536.72559308063796</v>
      </c>
      <c r="J34" s="2" t="s">
        <v>597</v>
      </c>
    </row>
    <row r="35" spans="2:12" x14ac:dyDescent="0.2">
      <c r="B35" s="64" t="s">
        <v>164</v>
      </c>
      <c r="F35" s="2" t="s">
        <v>464</v>
      </c>
      <c r="H35" s="63">
        <f>'Fixed tariffs electricity'!H31</f>
        <v>670.9069913507974</v>
      </c>
      <c r="J35" s="2" t="s">
        <v>597</v>
      </c>
    </row>
    <row r="36" spans="2:12" x14ac:dyDescent="0.2">
      <c r="B36" s="64" t="s">
        <v>156</v>
      </c>
      <c r="F36" s="2" t="s">
        <v>464</v>
      </c>
      <c r="H36" s="63">
        <f>'Fixed tariffs electricity'!H32</f>
        <v>754.77036526964707</v>
      </c>
      <c r="J36" s="2" t="s">
        <v>597</v>
      </c>
    </row>
    <row r="37" spans="2:12" x14ac:dyDescent="0.2">
      <c r="B37" s="64" t="s">
        <v>163</v>
      </c>
      <c r="F37" s="2" t="s">
        <v>464</v>
      </c>
      <c r="H37" s="63">
        <f>'Fixed tariffs electricity'!H33</f>
        <v>838.63373918849675</v>
      </c>
      <c r="J37" s="2" t="s">
        <v>597</v>
      </c>
    </row>
    <row r="38" spans="2:12" x14ac:dyDescent="0.2">
      <c r="B38" s="64" t="s">
        <v>157</v>
      </c>
      <c r="F38" s="2" t="s">
        <v>464</v>
      </c>
      <c r="H38" s="63">
        <f>'Fixed tariffs electricity'!H34</f>
        <v>1056.6785113775061</v>
      </c>
      <c r="J38" s="2" t="s">
        <v>597</v>
      </c>
    </row>
    <row r="39" spans="2:12" x14ac:dyDescent="0.2">
      <c r="B39" s="64" t="s">
        <v>162</v>
      </c>
      <c r="F39" s="2" t="s">
        <v>464</v>
      </c>
      <c r="H39" s="63">
        <f>'Fixed tariffs electricity'!H35</f>
        <v>1544.851624820915</v>
      </c>
      <c r="J39" s="2" t="s">
        <v>597</v>
      </c>
    </row>
    <row r="40" spans="2:12" x14ac:dyDescent="0.2">
      <c r="B40" s="64" t="s">
        <v>792</v>
      </c>
      <c r="F40" s="2" t="s">
        <v>464</v>
      </c>
      <c r="H40" s="63">
        <f>'Fixed tariffs electricity'!H36</f>
        <v>1765.5447140810459</v>
      </c>
      <c r="J40" s="2" t="s">
        <v>597</v>
      </c>
    </row>
    <row r="42" spans="2:12" x14ac:dyDescent="0.2">
      <c r="B42" s="19" t="s">
        <v>158</v>
      </c>
    </row>
    <row r="43" spans="2:12" x14ac:dyDescent="0.2">
      <c r="B43" s="2" t="s">
        <v>158</v>
      </c>
      <c r="F43" s="2" t="s">
        <v>395</v>
      </c>
      <c r="H43" s="63">
        <f>'Fixed tariffs electricity'!H51</f>
        <v>40</v>
      </c>
      <c r="J43" s="2" t="s">
        <v>597</v>
      </c>
      <c r="L43" s="2" t="s">
        <v>161</v>
      </c>
    </row>
    <row r="45" spans="2:12" x14ac:dyDescent="0.2">
      <c r="B45" s="1" t="s">
        <v>159</v>
      </c>
    </row>
    <row r="46" spans="2:12" x14ac:dyDescent="0.2">
      <c r="B46" s="2" t="s">
        <v>160</v>
      </c>
      <c r="F46" s="2" t="s">
        <v>395</v>
      </c>
      <c r="H46" s="63">
        <f>'Fixed tariffs electricity'!H52</f>
        <v>314.90515653541496</v>
      </c>
      <c r="J46" s="2" t="s">
        <v>597</v>
      </c>
    </row>
    <row r="47" spans="2:12" x14ac:dyDescent="0.2">
      <c r="B47" s="2" t="s">
        <v>112</v>
      </c>
      <c r="F47" s="2" t="s">
        <v>395</v>
      </c>
      <c r="H47" s="63">
        <f>'Fixed tariffs electricity'!H54</f>
        <v>195.4296490024484</v>
      </c>
      <c r="J47" s="2" t="s">
        <v>597</v>
      </c>
    </row>
    <row r="48" spans="2:12" x14ac:dyDescent="0.2">
      <c r="B48" s="2" t="s">
        <v>113</v>
      </c>
      <c r="F48" s="2" t="s">
        <v>395</v>
      </c>
      <c r="H48" s="63">
        <f>'Fixed tariffs electricity'!H55</f>
        <v>212.16530729233423</v>
      </c>
      <c r="J48" s="2" t="s">
        <v>597</v>
      </c>
    </row>
    <row r="50" spans="2:12" s="8" customFormat="1" x14ac:dyDescent="0.2">
      <c r="B50" s="8" t="s">
        <v>600</v>
      </c>
    </row>
    <row r="52" spans="2:12" x14ac:dyDescent="0.2">
      <c r="B52" s="1" t="s">
        <v>140</v>
      </c>
    </row>
    <row r="53" spans="2:12" x14ac:dyDescent="0.2">
      <c r="B53" s="2" t="s">
        <v>165</v>
      </c>
      <c r="F53" s="2" t="s">
        <v>468</v>
      </c>
      <c r="H53" s="164">
        <f>'Variable tariffs water'!H28</f>
        <v>6.2960000000000003</v>
      </c>
      <c r="J53" s="2" t="s">
        <v>597</v>
      </c>
    </row>
    <row r="55" spans="2:12" x14ac:dyDescent="0.2">
      <c r="B55" s="1" t="s">
        <v>143</v>
      </c>
    </row>
    <row r="56" spans="2:12" x14ac:dyDescent="0.2">
      <c r="B56" s="2" t="s">
        <v>601</v>
      </c>
      <c r="F56" s="2" t="s">
        <v>468</v>
      </c>
      <c r="H56" s="158">
        <f>'Variable tariffs water'!H40</f>
        <v>11.3</v>
      </c>
      <c r="J56" s="2" t="s">
        <v>597</v>
      </c>
    </row>
    <row r="58" spans="2:12" x14ac:dyDescent="0.2">
      <c r="B58" s="1" t="s">
        <v>166</v>
      </c>
    </row>
    <row r="59" spans="2:12" x14ac:dyDescent="0.2">
      <c r="B59" s="2" t="s">
        <v>166</v>
      </c>
      <c r="F59" s="2" t="s">
        <v>464</v>
      </c>
      <c r="H59" s="157">
        <f>'Fixed tariffs water'!H16</f>
        <v>72.665679857606804</v>
      </c>
      <c r="J59" s="2" t="s">
        <v>597</v>
      </c>
    </row>
    <row r="61" spans="2:12" x14ac:dyDescent="0.2">
      <c r="B61" s="1" t="s">
        <v>602</v>
      </c>
    </row>
    <row r="62" spans="2:12" x14ac:dyDescent="0.2">
      <c r="B62" s="2" t="s">
        <v>158</v>
      </c>
      <c r="F62" s="2" t="s">
        <v>395</v>
      </c>
      <c r="H62" s="65">
        <f>'Fixed tariffs water'!H29</f>
        <v>40</v>
      </c>
      <c r="J62" s="2" t="s">
        <v>597</v>
      </c>
      <c r="L62" s="2" t="s">
        <v>161</v>
      </c>
    </row>
    <row r="64" spans="2:12" x14ac:dyDescent="0.2">
      <c r="B64" s="1" t="s">
        <v>603</v>
      </c>
    </row>
    <row r="65" spans="2:10" x14ac:dyDescent="0.2">
      <c r="B65" s="2" t="s">
        <v>167</v>
      </c>
      <c r="F65" s="2" t="s">
        <v>395</v>
      </c>
      <c r="H65" s="65">
        <f>'Fixed tariffs water'!H30</f>
        <v>281.40138554396282</v>
      </c>
      <c r="J65" s="2" t="s">
        <v>597</v>
      </c>
    </row>
    <row r="66" spans="2:10" x14ac:dyDescent="0.2">
      <c r="B66" s="2" t="s">
        <v>168</v>
      </c>
      <c r="F66" s="2" t="s">
        <v>395</v>
      </c>
      <c r="H66" s="65">
        <f>'Fixed tariffs water'!H31</f>
        <v>195.4296490024484</v>
      </c>
      <c r="J66" s="2" t="s">
        <v>597</v>
      </c>
    </row>
    <row r="68" spans="2:10" x14ac:dyDescent="0.2">
      <c r="B68" s="1" t="s">
        <v>169</v>
      </c>
    </row>
    <row r="69" spans="2:10" x14ac:dyDescent="0.2">
      <c r="B69" s="2" t="s">
        <v>170</v>
      </c>
      <c r="F69" s="2" t="s">
        <v>468</v>
      </c>
      <c r="H69" s="100">
        <f>'Variable tariffs water'!H48</f>
        <v>15.477</v>
      </c>
      <c r="J69" s="2" t="s">
        <v>597</v>
      </c>
    </row>
  </sheetData>
  <phoneticPr fontId="31" type="noConversion"/>
  <pageMargins left="0.7" right="0.7" top="0.75" bottom="0.75" header="0.3" footer="0.3"/>
  <pageSetup paperSize="9" orientation="portrait" r:id="rId1"/>
  <ignoredErrors>
    <ignoredError sqref="B24:B33 B36 B38 B34 B35 B39 B3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B2:B8"/>
  <sheetViews>
    <sheetView showGridLines="0" zoomScale="85" zoomScaleNormal="85" workbookViewId="0"/>
  </sheetViews>
  <sheetFormatPr defaultColWidth="9.140625" defaultRowHeight="12.75" x14ac:dyDescent="0.2"/>
  <cols>
    <col min="1" max="16384" width="9.140625" style="14"/>
  </cols>
  <sheetData>
    <row r="2" spans="2:2" x14ac:dyDescent="0.2">
      <c r="B2" s="33" t="s">
        <v>135</v>
      </c>
    </row>
    <row r="3" spans="2:2" x14ac:dyDescent="0.2">
      <c r="B3" s="33"/>
    </row>
    <row r="7" spans="2:2" x14ac:dyDescent="0.2">
      <c r="B7" s="33"/>
    </row>
    <row r="8" spans="2:2" x14ac:dyDescent="0.2">
      <c r="B8" s="3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N43"/>
  <sheetViews>
    <sheetView showGridLines="0" zoomScale="85" zoomScaleNormal="85" workbookViewId="0">
      <pane xSplit="6" ySplit="14" topLeftCell="G15" activePane="bottomRight" state="frozen"/>
      <selection activeCell="R6" sqref="R6"/>
      <selection pane="topRight" activeCell="R6" sqref="R6"/>
      <selection pane="bottomLeft" activeCell="R6" sqref="R6"/>
      <selection pane="bottomRight" activeCell="G15" sqref="G15"/>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59.42578125" style="2" customWidth="1"/>
    <col min="13" max="13" width="2.7109375" style="2" customWidth="1"/>
    <col min="14" max="14" width="47" style="2" customWidth="1"/>
    <col min="15" max="15" width="2.7109375" style="2" customWidth="1"/>
    <col min="16" max="30" width="13.7109375" style="2" customWidth="1"/>
    <col min="31" max="16384" width="9.140625" style="2"/>
  </cols>
  <sheetData>
    <row r="2" spans="2:14" s="12" customFormat="1" ht="18" x14ac:dyDescent="0.2">
      <c r="B2" s="12" t="s">
        <v>64</v>
      </c>
    </row>
    <row r="4" spans="2:14" x14ac:dyDescent="0.2">
      <c r="B4" s="19" t="s">
        <v>65</v>
      </c>
      <c r="C4" s="1"/>
      <c r="D4" s="1"/>
    </row>
    <row r="5" spans="2:14" x14ac:dyDescent="0.2">
      <c r="B5" s="2" t="s">
        <v>303</v>
      </c>
      <c r="H5" s="13"/>
    </row>
    <row r="6" spans="2:14" x14ac:dyDescent="0.2">
      <c r="H6" s="13"/>
    </row>
    <row r="7" spans="2:14" x14ac:dyDescent="0.2">
      <c r="B7" s="20" t="s">
        <v>66</v>
      </c>
      <c r="H7" s="13"/>
    </row>
    <row r="8" spans="2:14" x14ac:dyDescent="0.2">
      <c r="B8" s="2" t="s">
        <v>67</v>
      </c>
    </row>
    <row r="9" spans="2:14" x14ac:dyDescent="0.2">
      <c r="B9" s="2" t="s">
        <v>68</v>
      </c>
    </row>
    <row r="11" spans="2:14" x14ac:dyDescent="0.2">
      <c r="B11" s="4" t="s">
        <v>708</v>
      </c>
    </row>
    <row r="13" spans="2:14" s="8" customFormat="1" x14ac:dyDescent="0.2">
      <c r="B13" s="8" t="s">
        <v>12</v>
      </c>
      <c r="F13" s="8" t="s">
        <v>36</v>
      </c>
      <c r="H13" s="8" t="s">
        <v>37</v>
      </c>
      <c r="J13" s="8" t="s">
        <v>38</v>
      </c>
      <c r="L13" s="8" t="s">
        <v>40</v>
      </c>
      <c r="N13" s="8" t="s">
        <v>39</v>
      </c>
    </row>
    <row r="16" spans="2:14" s="8" customFormat="1" x14ac:dyDescent="0.2">
      <c r="B16" s="8" t="s">
        <v>559</v>
      </c>
    </row>
    <row r="18" spans="2:14" x14ac:dyDescent="0.2">
      <c r="B18" s="1" t="s">
        <v>299</v>
      </c>
      <c r="N18" s="2" t="s">
        <v>584</v>
      </c>
    </row>
    <row r="19" spans="2:14" x14ac:dyDescent="0.2">
      <c r="B19" s="2" t="s">
        <v>75</v>
      </c>
      <c r="F19" s="2" t="s">
        <v>74</v>
      </c>
      <c r="H19" s="137">
        <v>0</v>
      </c>
      <c r="L19" s="2" t="s">
        <v>126</v>
      </c>
      <c r="N19" s="145" t="s">
        <v>560</v>
      </c>
    </row>
    <row r="20" spans="2:14" x14ac:dyDescent="0.2">
      <c r="B20" s="2" t="s">
        <v>294</v>
      </c>
      <c r="F20" s="2" t="s">
        <v>74</v>
      </c>
      <c r="H20" s="137">
        <v>3.1E-2</v>
      </c>
      <c r="L20" s="2" t="s">
        <v>126</v>
      </c>
    </row>
    <row r="22" spans="2:14" x14ac:dyDescent="0.2">
      <c r="B22" s="1" t="s">
        <v>300</v>
      </c>
      <c r="N22" s="2" t="s">
        <v>301</v>
      </c>
    </row>
    <row r="23" spans="2:14" x14ac:dyDescent="0.2">
      <c r="B23" s="2" t="s">
        <v>78</v>
      </c>
      <c r="F23" s="2" t="s">
        <v>74</v>
      </c>
      <c r="H23" s="137">
        <v>0.03</v>
      </c>
      <c r="L23" s="2" t="s">
        <v>79</v>
      </c>
    </row>
    <row r="24" spans="2:14" x14ac:dyDescent="0.2">
      <c r="B24" s="2" t="s">
        <v>432</v>
      </c>
      <c r="F24" s="2" t="s">
        <v>74</v>
      </c>
      <c r="H24" s="36">
        <f>((1+$H$23)^2)-1</f>
        <v>6.0899999999999954E-2</v>
      </c>
    </row>
    <row r="26" spans="2:14" s="8" customFormat="1" x14ac:dyDescent="0.2">
      <c r="B26" s="8" t="s">
        <v>76</v>
      </c>
    </row>
    <row r="28" spans="2:14" x14ac:dyDescent="0.2">
      <c r="B28" s="1" t="s">
        <v>701</v>
      </c>
      <c r="N28" s="2" t="s">
        <v>705</v>
      </c>
    </row>
    <row r="29" spans="2:14" x14ac:dyDescent="0.2">
      <c r="B29" s="2" t="s">
        <v>702</v>
      </c>
      <c r="H29" s="137">
        <v>8.2299999999999998E-2</v>
      </c>
      <c r="L29" s="2" t="s">
        <v>764</v>
      </c>
    </row>
    <row r="30" spans="2:14" x14ac:dyDescent="0.2">
      <c r="B30" s="2" t="s">
        <v>703</v>
      </c>
      <c r="H30" s="137">
        <v>7.1800000000000003E-2</v>
      </c>
      <c r="L30" s="2" t="s">
        <v>764</v>
      </c>
    </row>
    <row r="31" spans="2:14" x14ac:dyDescent="0.2">
      <c r="B31" s="2" t="s">
        <v>704</v>
      </c>
      <c r="H31" s="137">
        <v>8.1100000000000005E-2</v>
      </c>
      <c r="L31" s="2" t="s">
        <v>764</v>
      </c>
    </row>
    <row r="33" spans="2:14" x14ac:dyDescent="0.2">
      <c r="B33" s="1" t="s">
        <v>295</v>
      </c>
      <c r="N33" s="2" t="s">
        <v>514</v>
      </c>
    </row>
    <row r="34" spans="2:14" x14ac:dyDescent="0.2">
      <c r="B34" s="2" t="s">
        <v>296</v>
      </c>
      <c r="F34" s="2" t="s">
        <v>74</v>
      </c>
      <c r="H34" s="137">
        <v>6.4500000000000002E-2</v>
      </c>
      <c r="J34" s="82"/>
      <c r="L34" s="2" t="s">
        <v>77</v>
      </c>
    </row>
    <row r="35" spans="2:14" x14ac:dyDescent="0.2">
      <c r="B35" s="2" t="s">
        <v>297</v>
      </c>
      <c r="F35" s="2" t="s">
        <v>74</v>
      </c>
      <c r="H35" s="137">
        <v>5.6899999999999999E-2</v>
      </c>
      <c r="J35" s="82"/>
      <c r="L35" s="2" t="s">
        <v>77</v>
      </c>
    </row>
    <row r="36" spans="2:14" x14ac:dyDescent="0.2">
      <c r="B36" s="2" t="s">
        <v>298</v>
      </c>
      <c r="F36" s="2" t="s">
        <v>74</v>
      </c>
      <c r="H36" s="137">
        <v>6.3600000000000004E-2</v>
      </c>
      <c r="J36" s="82"/>
      <c r="L36" s="2" t="s">
        <v>77</v>
      </c>
    </row>
    <row r="38" spans="2:14" s="8" customFormat="1" x14ac:dyDescent="0.2">
      <c r="B38" s="8" t="s">
        <v>218</v>
      </c>
    </row>
    <row r="40" spans="2:14" x14ac:dyDescent="0.2">
      <c r="B40" s="2" t="s">
        <v>218</v>
      </c>
      <c r="F40" s="2" t="s">
        <v>74</v>
      </c>
      <c r="H40" s="138">
        <v>0.5</v>
      </c>
      <c r="L40" s="2" t="s">
        <v>214</v>
      </c>
      <c r="N40" s="18"/>
    </row>
    <row r="43" spans="2:14" x14ac:dyDescent="0.2">
      <c r="B43" s="4" t="s">
        <v>63</v>
      </c>
    </row>
  </sheetData>
  <phoneticPr fontId="3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E7D0-41A9-48CA-B566-7241761DC35D}">
  <sheetPr>
    <tabColor rgb="FFE1FFE1"/>
  </sheetPr>
  <dimension ref="A2:T51"/>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40.140625" style="2" customWidth="1"/>
    <col min="19" max="19" width="5.5703125" style="2" customWidth="1"/>
    <col min="20" max="20" width="13.7109375" style="2" customWidth="1"/>
    <col min="21" max="21" width="2.7109375" style="2" customWidth="1"/>
    <col min="22" max="36" width="13.7109375" style="2" customWidth="1"/>
    <col min="37" max="16384" width="9.140625" style="2"/>
  </cols>
  <sheetData>
    <row r="2" spans="1:20" s="12" customFormat="1" ht="18" x14ac:dyDescent="0.2">
      <c r="B2" s="12" t="s">
        <v>209</v>
      </c>
    </row>
    <row r="4" spans="1:20" x14ac:dyDescent="0.2">
      <c r="B4" s="1" t="s">
        <v>81</v>
      </c>
      <c r="C4" s="1"/>
      <c r="D4" s="1"/>
    </row>
    <row r="5" spans="1:20" x14ac:dyDescent="0.2">
      <c r="B5" s="2" t="s">
        <v>445</v>
      </c>
      <c r="D5" s="3"/>
      <c r="H5" s="13"/>
    </row>
    <row r="6" spans="1:20" x14ac:dyDescent="0.2">
      <c r="D6" s="3"/>
      <c r="H6" s="13"/>
    </row>
    <row r="8" spans="1:20" s="8" customFormat="1" x14ac:dyDescent="0.2">
      <c r="B8" s="8" t="s">
        <v>82</v>
      </c>
      <c r="F8" s="8" t="s">
        <v>83</v>
      </c>
      <c r="H8" s="8" t="s">
        <v>84</v>
      </c>
      <c r="J8" s="8" t="s">
        <v>85</v>
      </c>
      <c r="L8" s="8" t="s">
        <v>69</v>
      </c>
      <c r="M8" s="8" t="s">
        <v>70</v>
      </c>
      <c r="N8" s="8" t="s">
        <v>71</v>
      </c>
      <c r="O8" s="8" t="s">
        <v>72</v>
      </c>
      <c r="P8" s="8" t="s">
        <v>73</v>
      </c>
      <c r="R8" s="8" t="s">
        <v>40</v>
      </c>
      <c r="T8" s="8" t="s">
        <v>39</v>
      </c>
    </row>
    <row r="11" spans="1:20" s="8" customFormat="1" ht="12.75" customHeight="1" x14ac:dyDescent="0.2">
      <c r="B11" s="8" t="s">
        <v>373</v>
      </c>
    </row>
    <row r="12" spans="1:20" ht="12.75" customHeight="1" x14ac:dyDescent="0.2"/>
    <row r="13" spans="1:20" ht="12.75" customHeight="1" x14ac:dyDescent="0.2">
      <c r="B13" s="19" t="s">
        <v>93</v>
      </c>
    </row>
    <row r="14" spans="1:20" s="20" customFormat="1" ht="12.75" customHeight="1" x14ac:dyDescent="0.2">
      <c r="A14" s="2"/>
      <c r="B14" s="20" t="s">
        <v>36</v>
      </c>
      <c r="F14" s="20" t="s">
        <v>94</v>
      </c>
      <c r="L14" s="20" t="s">
        <v>95</v>
      </c>
      <c r="M14" s="20" t="s">
        <v>96</v>
      </c>
      <c r="N14" s="20" t="s">
        <v>97</v>
      </c>
      <c r="O14" s="20" t="s">
        <v>98</v>
      </c>
      <c r="P14" s="20" t="s">
        <v>97</v>
      </c>
      <c r="R14" s="142"/>
    </row>
    <row r="15" spans="1:20" ht="12.75" customHeight="1" x14ac:dyDescent="0.2">
      <c r="B15" s="2" t="s">
        <v>343</v>
      </c>
      <c r="F15" s="2" t="s">
        <v>94</v>
      </c>
      <c r="L15" s="25">
        <v>17092100</v>
      </c>
      <c r="M15" s="25">
        <v>18667.055804667601</v>
      </c>
      <c r="N15" s="25">
        <v>193569</v>
      </c>
      <c r="O15" s="25">
        <v>1113.5</v>
      </c>
      <c r="P15" s="25">
        <v>1047.55</v>
      </c>
      <c r="R15" s="94" t="s">
        <v>748</v>
      </c>
    </row>
    <row r="16" spans="1:20" ht="12.75" customHeight="1" x14ac:dyDescent="0.2">
      <c r="B16" s="2" t="s">
        <v>679</v>
      </c>
      <c r="F16" s="2" t="s">
        <v>95</v>
      </c>
      <c r="L16" s="25">
        <v>1486135.2</v>
      </c>
      <c r="M16" s="41"/>
      <c r="N16" s="41"/>
      <c r="O16" s="41"/>
      <c r="P16" s="41"/>
      <c r="R16" s="94" t="s">
        <v>763</v>
      </c>
    </row>
    <row r="17" spans="2:20" ht="12.75" customHeight="1" x14ac:dyDescent="0.2">
      <c r="B17" s="2" t="s">
        <v>680</v>
      </c>
      <c r="F17" s="2" t="s">
        <v>95</v>
      </c>
      <c r="L17" s="35">
        <f>L15-L16</f>
        <v>15605964.800000001</v>
      </c>
      <c r="M17" s="41"/>
      <c r="N17" s="41"/>
      <c r="O17" s="41"/>
      <c r="P17" s="41"/>
      <c r="R17" s="13"/>
      <c r="T17" s="2" t="s">
        <v>472</v>
      </c>
    </row>
    <row r="18" spans="2:20" ht="12.75" customHeight="1" x14ac:dyDescent="0.2">
      <c r="R18" s="13"/>
    </row>
    <row r="19" spans="2:20" ht="12.75" customHeight="1" x14ac:dyDescent="0.2">
      <c r="B19" s="2" t="s">
        <v>344</v>
      </c>
      <c r="F19" s="2" t="s">
        <v>74</v>
      </c>
      <c r="L19" s="49"/>
      <c r="M19" s="137">
        <v>8.4256612704114803E-2</v>
      </c>
      <c r="N19" s="49"/>
      <c r="O19" s="137">
        <v>0.38807102376930203</v>
      </c>
      <c r="P19" s="49"/>
      <c r="R19" s="94" t="s">
        <v>673</v>
      </c>
    </row>
    <row r="20" spans="2:20" ht="12.75" customHeight="1" x14ac:dyDescent="0.2">
      <c r="L20" s="13"/>
      <c r="M20" s="13"/>
      <c r="N20" s="13"/>
      <c r="O20" s="13"/>
      <c r="R20" s="13"/>
      <c r="T20" s="13"/>
    </row>
    <row r="21" spans="2:20" ht="12.75" customHeight="1" x14ac:dyDescent="0.2">
      <c r="B21" s="1" t="s">
        <v>115</v>
      </c>
      <c r="L21" s="13"/>
      <c r="M21" s="13"/>
      <c r="N21" s="13"/>
      <c r="O21" s="52"/>
      <c r="R21" s="13"/>
      <c r="T21" s="13"/>
    </row>
    <row r="22" spans="2:20" ht="12.75" customHeight="1" x14ac:dyDescent="0.2">
      <c r="B22" s="2" t="s">
        <v>345</v>
      </c>
      <c r="F22" s="2" t="s">
        <v>116</v>
      </c>
      <c r="H22" s="13"/>
      <c r="L22" s="49"/>
      <c r="M22" s="49"/>
      <c r="N22" s="51"/>
      <c r="O22" s="25">
        <v>178</v>
      </c>
      <c r="P22" s="51"/>
      <c r="R22" s="94" t="s">
        <v>674</v>
      </c>
      <c r="T22" s="13"/>
    </row>
    <row r="23" spans="2:20" ht="12.75" customHeight="1" x14ac:dyDescent="0.2">
      <c r="B23" s="2" t="s">
        <v>346</v>
      </c>
      <c r="F23" s="2" t="s">
        <v>109</v>
      </c>
      <c r="H23" s="13"/>
      <c r="L23" s="49"/>
      <c r="M23" s="49"/>
      <c r="N23" s="50"/>
      <c r="O23" s="139">
        <v>275.97597387358206</v>
      </c>
      <c r="P23" s="51"/>
      <c r="R23" s="143" t="s">
        <v>671</v>
      </c>
      <c r="T23" s="2" t="s">
        <v>117</v>
      </c>
    </row>
    <row r="24" spans="2:20" ht="12.75" customHeight="1" x14ac:dyDescent="0.2">
      <c r="B24" s="2" t="s">
        <v>118</v>
      </c>
      <c r="F24" s="2" t="s">
        <v>109</v>
      </c>
      <c r="H24" s="13"/>
      <c r="L24" s="41"/>
      <c r="M24" s="41"/>
      <c r="N24" s="51"/>
      <c r="O24" s="53">
        <f>O23*O22</f>
        <v>49123.72334949761</v>
      </c>
      <c r="P24" s="51"/>
      <c r="R24" s="13"/>
      <c r="T24" s="2" t="s">
        <v>119</v>
      </c>
    </row>
    <row r="25" spans="2:20" x14ac:dyDescent="0.2">
      <c r="R25" s="13"/>
    </row>
    <row r="26" spans="2:20" x14ac:dyDescent="0.2">
      <c r="B26" s="1" t="s">
        <v>347</v>
      </c>
      <c r="R26" s="13"/>
      <c r="T26" s="18"/>
    </row>
    <row r="27" spans="2:20" x14ac:dyDescent="0.2">
      <c r="B27" s="2" t="s">
        <v>348</v>
      </c>
      <c r="F27" s="2" t="s">
        <v>97</v>
      </c>
      <c r="O27" s="139">
        <v>189131.05999999997</v>
      </c>
      <c r="P27" s="49"/>
      <c r="R27" s="94" t="s">
        <v>672</v>
      </c>
      <c r="T27" s="13"/>
    </row>
    <row r="28" spans="2:20" x14ac:dyDescent="0.2">
      <c r="B28" s="2" t="s">
        <v>349</v>
      </c>
      <c r="F28" s="2" t="s">
        <v>74</v>
      </c>
      <c r="O28" s="49"/>
      <c r="P28" s="84">
        <f>P15/(O27+P15)</f>
        <v>5.5082430142906194E-3</v>
      </c>
      <c r="R28" s="13"/>
    </row>
    <row r="29" spans="2:20" x14ac:dyDescent="0.2">
      <c r="R29" s="13"/>
    </row>
    <row r="30" spans="2:20" s="8" customFormat="1" x14ac:dyDescent="0.2">
      <c r="B30" s="8" t="s">
        <v>374</v>
      </c>
    </row>
    <row r="31" spans="2:20" x14ac:dyDescent="0.2">
      <c r="R31" s="13"/>
    </row>
    <row r="32" spans="2:20" x14ac:dyDescent="0.2">
      <c r="B32" s="1" t="s">
        <v>375</v>
      </c>
    </row>
    <row r="33" spans="2:20" ht="12.75" customHeight="1" x14ac:dyDescent="0.2">
      <c r="B33" s="2" t="s">
        <v>364</v>
      </c>
      <c r="F33" s="2" t="s">
        <v>101</v>
      </c>
      <c r="L33" s="25">
        <v>3050328</v>
      </c>
      <c r="M33" s="41"/>
      <c r="N33" s="41"/>
      <c r="O33" s="41"/>
      <c r="P33" s="41"/>
      <c r="R33" s="2" t="s">
        <v>765</v>
      </c>
    </row>
    <row r="34" spans="2:20" ht="12.75" customHeight="1" x14ac:dyDescent="0.2">
      <c r="B34" s="2" t="s">
        <v>365</v>
      </c>
      <c r="F34" s="2" t="s">
        <v>100</v>
      </c>
      <c r="L34" s="25">
        <v>11034469</v>
      </c>
      <c r="M34" s="41"/>
      <c r="N34" s="41"/>
      <c r="O34" s="41"/>
      <c r="P34" s="41"/>
      <c r="R34" s="2" t="s">
        <v>766</v>
      </c>
    </row>
    <row r="36" spans="2:20" x14ac:dyDescent="0.2">
      <c r="B36" s="1" t="s">
        <v>378</v>
      </c>
    </row>
    <row r="37" spans="2:20" x14ac:dyDescent="0.2">
      <c r="B37" s="2" t="s">
        <v>217</v>
      </c>
      <c r="F37" s="2" t="s">
        <v>95</v>
      </c>
      <c r="L37" s="10"/>
      <c r="M37" s="45"/>
      <c r="N37" s="25">
        <v>885742</v>
      </c>
      <c r="O37" s="40"/>
      <c r="P37" s="10"/>
      <c r="R37" s="2" t="s">
        <v>372</v>
      </c>
      <c r="T37" s="2" t="s">
        <v>229</v>
      </c>
    </row>
    <row r="39" spans="2:20" s="8" customFormat="1" x14ac:dyDescent="0.2">
      <c r="B39" s="8" t="s">
        <v>181</v>
      </c>
    </row>
    <row r="40" spans="2:20" x14ac:dyDescent="0.2">
      <c r="L40" s="13"/>
      <c r="M40" s="13"/>
      <c r="N40" s="13"/>
      <c r="O40" s="13"/>
      <c r="P40" s="13"/>
      <c r="Q40" s="13"/>
    </row>
    <row r="41" spans="2:20" x14ac:dyDescent="0.2">
      <c r="B41" s="1" t="s">
        <v>138</v>
      </c>
      <c r="L41" s="13"/>
      <c r="M41" s="13"/>
      <c r="N41" s="13"/>
      <c r="O41" s="13"/>
      <c r="P41" s="13"/>
      <c r="Q41" s="13"/>
      <c r="R41" s="13"/>
    </row>
    <row r="42" spans="2:20" x14ac:dyDescent="0.2">
      <c r="B42" s="2" t="s">
        <v>341</v>
      </c>
      <c r="F42" s="2" t="s">
        <v>109</v>
      </c>
      <c r="J42" s="37">
        <f>SUM(L42:P42)</f>
        <v>-288706.93158503156</v>
      </c>
      <c r="L42" s="25">
        <v>-288706.93158503156</v>
      </c>
      <c r="M42" s="59"/>
      <c r="N42" s="60"/>
      <c r="O42" s="60"/>
      <c r="P42" s="60"/>
      <c r="Q42" s="13"/>
      <c r="R42" s="143" t="s">
        <v>677</v>
      </c>
    </row>
    <row r="43" spans="2:20" x14ac:dyDescent="0.2">
      <c r="B43" s="2" t="s">
        <v>334</v>
      </c>
      <c r="F43" s="2" t="s">
        <v>137</v>
      </c>
      <c r="J43" s="37">
        <f>SUM(L43:P43)</f>
        <v>-61219.726892085346</v>
      </c>
      <c r="L43" s="59"/>
      <c r="M43" s="25">
        <v>-61219.726892085346</v>
      </c>
      <c r="N43" s="60"/>
      <c r="O43" s="60"/>
      <c r="P43" s="60"/>
      <c r="Q43" s="13"/>
      <c r="R43" s="143" t="s">
        <v>678</v>
      </c>
    </row>
    <row r="45" spans="2:20" x14ac:dyDescent="0.2">
      <c r="B45" s="1" t="s">
        <v>103</v>
      </c>
    </row>
    <row r="46" spans="2:20" x14ac:dyDescent="0.2">
      <c r="B46" s="94" t="s">
        <v>103</v>
      </c>
      <c r="F46" s="2" t="s">
        <v>226</v>
      </c>
      <c r="H46" s="140">
        <v>2.9245999999999999</v>
      </c>
      <c r="R46" s="94" t="s">
        <v>653</v>
      </c>
    </row>
    <row r="47" spans="2:20" x14ac:dyDescent="0.2">
      <c r="B47" s="94" t="s">
        <v>227</v>
      </c>
      <c r="H47" s="140">
        <v>3.78541178</v>
      </c>
    </row>
    <row r="48" spans="2:20" x14ac:dyDescent="0.2">
      <c r="B48" s="2" t="s">
        <v>103</v>
      </c>
      <c r="F48" s="2" t="s">
        <v>104</v>
      </c>
      <c r="H48" s="62">
        <f>H46/H47</f>
        <v>0.77259758514303556</v>
      </c>
      <c r="N48" s="18"/>
    </row>
    <row r="51" spans="2:2" x14ac:dyDescent="0.2">
      <c r="B51" s="4" t="s">
        <v>63</v>
      </c>
    </row>
  </sheetData>
  <phoneticPr fontId="31"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EB561-8F95-4A6A-B3A7-F07857E0C764}">
  <sheetPr>
    <tabColor rgb="FFE1FFE1"/>
  </sheetPr>
  <dimension ref="A2:T77"/>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58.5703125" style="2" customWidth="1"/>
    <col min="19" max="19" width="2.7109375" style="2" customWidth="1"/>
    <col min="20" max="20" width="13.7109375" style="2" customWidth="1"/>
    <col min="21" max="21" width="2.7109375" style="2" customWidth="1"/>
    <col min="22" max="36" width="13.7109375" style="2" customWidth="1"/>
    <col min="37" max="16384" width="9.140625" style="2"/>
  </cols>
  <sheetData>
    <row r="2" spans="2:20" s="12" customFormat="1" ht="18" x14ac:dyDescent="0.2">
      <c r="B2" s="12" t="s">
        <v>350</v>
      </c>
    </row>
    <row r="4" spans="2:20" x14ac:dyDescent="0.2">
      <c r="B4" s="1" t="s">
        <v>81</v>
      </c>
      <c r="C4" s="1"/>
      <c r="D4" s="1"/>
    </row>
    <row r="5" spans="2:20" x14ac:dyDescent="0.2">
      <c r="B5" s="2" t="s">
        <v>444</v>
      </c>
      <c r="C5" s="3"/>
      <c r="D5" s="3"/>
      <c r="H5" s="13"/>
    </row>
    <row r="6" spans="2:20" x14ac:dyDescent="0.2">
      <c r="C6" s="3"/>
      <c r="D6" s="3"/>
      <c r="H6" s="13"/>
    </row>
    <row r="8" spans="2:20" s="8" customFormat="1" x14ac:dyDescent="0.2">
      <c r="B8" s="8" t="s">
        <v>82</v>
      </c>
      <c r="F8" s="8" t="s">
        <v>83</v>
      </c>
      <c r="H8" s="8" t="s">
        <v>84</v>
      </c>
      <c r="J8" s="8" t="s">
        <v>85</v>
      </c>
      <c r="L8" s="8" t="s">
        <v>69</v>
      </c>
      <c r="M8" s="8" t="s">
        <v>70</v>
      </c>
      <c r="N8" s="8" t="s">
        <v>71</v>
      </c>
      <c r="O8" s="8" t="s">
        <v>72</v>
      </c>
      <c r="P8" s="8" t="s">
        <v>73</v>
      </c>
      <c r="R8" s="8" t="s">
        <v>40</v>
      </c>
      <c r="T8" s="8" t="s">
        <v>39</v>
      </c>
    </row>
    <row r="11" spans="2:20" s="8" customFormat="1" x14ac:dyDescent="0.2">
      <c r="B11" s="8" t="s">
        <v>185</v>
      </c>
    </row>
    <row r="13" spans="2:20" ht="12.75" customHeight="1" x14ac:dyDescent="0.2">
      <c r="B13" s="44" t="s">
        <v>105</v>
      </c>
      <c r="C13" s="34"/>
      <c r="D13" s="34"/>
      <c r="E13" s="34"/>
      <c r="R13" s="13"/>
      <c r="T13" s="13"/>
    </row>
    <row r="14" spans="2:20" ht="12.75" customHeight="1" x14ac:dyDescent="0.2">
      <c r="B14" s="2" t="s">
        <v>351</v>
      </c>
      <c r="F14" s="2" t="s">
        <v>97</v>
      </c>
      <c r="L14" s="10"/>
      <c r="M14" s="45"/>
      <c r="N14" s="25">
        <v>201600</v>
      </c>
      <c r="O14" s="40"/>
      <c r="P14" s="10"/>
      <c r="R14" s="2" t="s">
        <v>667</v>
      </c>
      <c r="T14" s="13"/>
    </row>
    <row r="15" spans="2:20" ht="12.75" customHeight="1" x14ac:dyDescent="0.2">
      <c r="B15" s="34"/>
      <c r="C15" s="34"/>
      <c r="D15" s="34"/>
      <c r="E15" s="34"/>
      <c r="F15" s="34"/>
      <c r="G15" s="34"/>
      <c r="M15" s="13"/>
      <c r="N15" s="13"/>
      <c r="O15" s="13"/>
      <c r="R15" s="13"/>
      <c r="T15" s="13"/>
    </row>
    <row r="16" spans="2:20" ht="12.75" customHeight="1" x14ac:dyDescent="0.2">
      <c r="B16" s="1" t="s">
        <v>108</v>
      </c>
      <c r="M16" s="13"/>
      <c r="N16" s="13"/>
      <c r="O16" s="13"/>
      <c r="R16" s="13"/>
      <c r="T16" s="13"/>
    </row>
    <row r="17" spans="1:20" ht="12.75" customHeight="1" x14ac:dyDescent="0.2">
      <c r="B17" s="2" t="s">
        <v>352</v>
      </c>
      <c r="F17" s="2" t="s">
        <v>74</v>
      </c>
      <c r="L17" s="41"/>
      <c r="M17" s="137">
        <v>0.11</v>
      </c>
      <c r="N17" s="46"/>
      <c r="O17" s="137">
        <v>0.4</v>
      </c>
      <c r="P17" s="47"/>
      <c r="R17" s="143" t="s">
        <v>767</v>
      </c>
      <c r="T17" s="13"/>
    </row>
    <row r="18" spans="1:20" x14ac:dyDescent="0.2">
      <c r="B18" s="1"/>
    </row>
    <row r="19" spans="1:20" ht="12.75" customHeight="1" x14ac:dyDescent="0.2">
      <c r="B19" s="1" t="s">
        <v>99</v>
      </c>
      <c r="R19" s="13"/>
    </row>
    <row r="20" spans="1:20" ht="12.75" customHeight="1" x14ac:dyDescent="0.2">
      <c r="B20" s="2" t="s">
        <v>353</v>
      </c>
      <c r="F20" s="2" t="s">
        <v>100</v>
      </c>
      <c r="L20" s="25">
        <v>8409000</v>
      </c>
      <c r="M20" s="41"/>
      <c r="N20" s="41"/>
      <c r="O20" s="41"/>
      <c r="P20" s="41"/>
      <c r="R20" s="2" t="s">
        <v>668</v>
      </c>
    </row>
    <row r="21" spans="1:20" ht="12.75" customHeight="1" x14ac:dyDescent="0.2">
      <c r="B21" s="2" t="s">
        <v>354</v>
      </c>
      <c r="F21" s="2" t="s">
        <v>100</v>
      </c>
      <c r="L21" s="25">
        <v>9212400</v>
      </c>
      <c r="M21" s="41"/>
      <c r="N21" s="41"/>
      <c r="O21" s="41"/>
      <c r="P21" s="41"/>
      <c r="R21" s="2" t="s">
        <v>669</v>
      </c>
    </row>
    <row r="22" spans="1:20" ht="12.75" customHeight="1" x14ac:dyDescent="0.2">
      <c r="B22" s="2" t="s">
        <v>355</v>
      </c>
      <c r="F22" s="2" t="s">
        <v>100</v>
      </c>
      <c r="L22" s="37">
        <f>L20+L21</f>
        <v>17621400</v>
      </c>
      <c r="M22" s="41"/>
      <c r="N22" s="41"/>
      <c r="O22" s="41"/>
      <c r="P22" s="41"/>
      <c r="R22" s="13"/>
    </row>
    <row r="23" spans="1:20" ht="12.75" customHeight="1" x14ac:dyDescent="0.2">
      <c r="B23" s="2" t="s">
        <v>356</v>
      </c>
      <c r="F23" s="2" t="s">
        <v>100</v>
      </c>
      <c r="L23" s="25">
        <v>8282058</v>
      </c>
      <c r="M23" s="41"/>
      <c r="N23" s="41"/>
      <c r="O23" s="41"/>
      <c r="P23" s="41"/>
      <c r="R23" s="2" t="s">
        <v>700</v>
      </c>
    </row>
    <row r="24" spans="1:20" ht="12.75" customHeight="1" x14ac:dyDescent="0.2">
      <c r="B24" s="2" t="s">
        <v>357</v>
      </c>
      <c r="F24" s="2" t="s">
        <v>74</v>
      </c>
      <c r="L24" s="42">
        <f>L21/L22</f>
        <v>0.52279614559569609</v>
      </c>
      <c r="M24" s="41"/>
      <c r="N24" s="41"/>
      <c r="O24" s="41"/>
      <c r="P24" s="41"/>
      <c r="R24" s="13"/>
    </row>
    <row r="25" spans="1:20" ht="12.75" customHeight="1" x14ac:dyDescent="0.2"/>
    <row r="26" spans="1:20" ht="12.75" customHeight="1" x14ac:dyDescent="0.2">
      <c r="B26" s="1" t="s">
        <v>358</v>
      </c>
      <c r="R26" s="13"/>
      <c r="T26" s="13"/>
    </row>
    <row r="27" spans="1:20" ht="12.75" customHeight="1" x14ac:dyDescent="0.2">
      <c r="B27" s="2" t="s">
        <v>359</v>
      </c>
      <c r="F27" s="2" t="s">
        <v>97</v>
      </c>
      <c r="L27" s="10"/>
      <c r="M27" s="10"/>
      <c r="N27" s="10"/>
      <c r="O27" s="10"/>
      <c r="P27" s="25">
        <v>2016</v>
      </c>
      <c r="R27" s="2" t="s">
        <v>666</v>
      </c>
      <c r="T27" s="13"/>
    </row>
    <row r="28" spans="1:20" s="20" customFormat="1" ht="12.75" customHeight="1" x14ac:dyDescent="0.2">
      <c r="A28" s="2"/>
      <c r="B28" s="2" t="s">
        <v>360</v>
      </c>
      <c r="C28" s="2"/>
      <c r="D28" s="2"/>
      <c r="E28" s="2"/>
      <c r="F28" s="2" t="s">
        <v>74</v>
      </c>
      <c r="L28" s="54"/>
      <c r="M28" s="54"/>
      <c r="N28" s="54"/>
      <c r="O28" s="54"/>
      <c r="P28" s="92">
        <f>P27/N14</f>
        <v>0.01</v>
      </c>
      <c r="T28" s="55"/>
    </row>
    <row r="29" spans="1:20" ht="12.75" customHeight="1" x14ac:dyDescent="0.2">
      <c r="R29" s="13"/>
      <c r="T29" s="13"/>
    </row>
    <row r="30" spans="1:20" s="8" customFormat="1" ht="12.75" customHeight="1" x14ac:dyDescent="0.2">
      <c r="B30" s="8" t="s">
        <v>377</v>
      </c>
      <c r="R30" s="48"/>
      <c r="T30" s="48"/>
    </row>
    <row r="31" spans="1:20" ht="12.75" customHeight="1" x14ac:dyDescent="0.2">
      <c r="R31" s="13"/>
      <c r="T31" s="13"/>
    </row>
    <row r="32" spans="1:20" ht="12.75" customHeight="1" x14ac:dyDescent="0.2">
      <c r="B32" s="1" t="s">
        <v>376</v>
      </c>
    </row>
    <row r="33" spans="2:20" ht="12.75" customHeight="1" x14ac:dyDescent="0.2">
      <c r="B33" s="2" t="s">
        <v>364</v>
      </c>
      <c r="F33" s="2" t="s">
        <v>101</v>
      </c>
      <c r="L33" s="26">
        <f>'Historical data'!L33</f>
        <v>3050328</v>
      </c>
      <c r="M33" s="41"/>
      <c r="N33" s="41"/>
      <c r="O33" s="41"/>
      <c r="P33" s="41"/>
    </row>
    <row r="34" spans="2:20" ht="12.75" customHeight="1" x14ac:dyDescent="0.2">
      <c r="B34" s="2" t="s">
        <v>365</v>
      </c>
      <c r="F34" s="2" t="s">
        <v>100</v>
      </c>
      <c r="L34" s="26">
        <f>'Historical data'!L34</f>
        <v>11034469</v>
      </c>
      <c r="M34" s="41"/>
      <c r="N34" s="41"/>
      <c r="O34" s="41"/>
      <c r="P34" s="41"/>
    </row>
    <row r="35" spans="2:20" ht="12.75" customHeight="1" x14ac:dyDescent="0.2">
      <c r="B35" s="2" t="s">
        <v>361</v>
      </c>
      <c r="F35" s="2" t="s">
        <v>102</v>
      </c>
      <c r="L35" s="43">
        <f>L33/L34</f>
        <v>0.27643631968153609</v>
      </c>
      <c r="M35" s="41"/>
      <c r="N35" s="41"/>
      <c r="O35" s="41"/>
      <c r="P35" s="41"/>
      <c r="R35" s="13"/>
    </row>
    <row r="36" spans="2:20" ht="12.75" customHeight="1" x14ac:dyDescent="0.2">
      <c r="R36" s="13"/>
    </row>
    <row r="37" spans="2:20" ht="12.75" customHeight="1" x14ac:dyDescent="0.2">
      <c r="B37" s="1" t="s">
        <v>216</v>
      </c>
      <c r="R37" s="13"/>
    </row>
    <row r="38" spans="2:20" ht="12.75" customHeight="1" x14ac:dyDescent="0.2">
      <c r="B38" s="2" t="s">
        <v>366</v>
      </c>
      <c r="F38" s="2" t="s">
        <v>97</v>
      </c>
      <c r="L38" s="10"/>
      <c r="M38" s="45"/>
      <c r="N38" s="26">
        <f>'Historical data'!N15</f>
        <v>193569</v>
      </c>
      <c r="O38" s="40"/>
      <c r="P38" s="10"/>
      <c r="R38" s="13"/>
    </row>
    <row r="39" spans="2:20" ht="12.75" customHeight="1" x14ac:dyDescent="0.2">
      <c r="B39" s="2" t="s">
        <v>217</v>
      </c>
      <c r="F39" s="2" t="s">
        <v>95</v>
      </c>
      <c r="L39" s="10"/>
      <c r="M39" s="45"/>
      <c r="N39" s="26">
        <f>'Historical data'!N37</f>
        <v>885742</v>
      </c>
      <c r="O39" s="40"/>
      <c r="P39" s="10"/>
    </row>
    <row r="40" spans="2:20" ht="12.75" customHeight="1" x14ac:dyDescent="0.2">
      <c r="B40" s="2" t="s">
        <v>106</v>
      </c>
      <c r="F40" s="2" t="s">
        <v>107</v>
      </c>
      <c r="L40" s="10"/>
      <c r="M40" s="45"/>
      <c r="N40" s="35">
        <f>N39/N38</f>
        <v>4.5758463390315596</v>
      </c>
      <c r="O40" s="40"/>
      <c r="P40" s="10"/>
      <c r="T40" s="13"/>
    </row>
    <row r="41" spans="2:20" ht="12.75" customHeight="1" x14ac:dyDescent="0.2">
      <c r="B41" s="1"/>
      <c r="R41" s="13"/>
    </row>
    <row r="42" spans="2:20" s="8" customFormat="1" ht="12.75" customHeight="1" x14ac:dyDescent="0.2">
      <c r="B42" s="8" t="s">
        <v>362</v>
      </c>
      <c r="R42" s="48"/>
      <c r="T42" s="48"/>
    </row>
    <row r="43" spans="2:20" ht="12.75" customHeight="1" x14ac:dyDescent="0.2">
      <c r="R43" s="13"/>
      <c r="T43" s="13"/>
    </row>
    <row r="44" spans="2:20" ht="12.75" customHeight="1" x14ac:dyDescent="0.2">
      <c r="B44" s="1" t="s">
        <v>121</v>
      </c>
      <c r="M44" s="1" t="s">
        <v>122</v>
      </c>
      <c r="R44" s="13"/>
      <c r="T44" s="94" t="s">
        <v>120</v>
      </c>
    </row>
    <row r="45" spans="2:20" ht="12.75" customHeight="1" x14ac:dyDescent="0.2">
      <c r="B45" s="139">
        <v>3.2</v>
      </c>
      <c r="F45" s="2" t="s">
        <v>116</v>
      </c>
      <c r="L45" s="54"/>
      <c r="M45" s="25">
        <v>207.41666666666666</v>
      </c>
      <c r="N45" s="54"/>
      <c r="O45" s="54"/>
      <c r="P45" s="54"/>
      <c r="R45" s="2" t="s">
        <v>370</v>
      </c>
      <c r="T45" s="94" t="s">
        <v>230</v>
      </c>
    </row>
    <row r="46" spans="2:20" ht="12.75" customHeight="1" x14ac:dyDescent="0.2">
      <c r="B46" s="139">
        <v>7.7</v>
      </c>
      <c r="F46" s="2" t="s">
        <v>116</v>
      </c>
      <c r="L46" s="54"/>
      <c r="M46" s="25">
        <v>1487.5384787604578</v>
      </c>
      <c r="N46" s="54"/>
      <c r="O46" s="54"/>
      <c r="P46" s="54"/>
      <c r="R46" s="13"/>
    </row>
    <row r="47" spans="2:20" ht="12.75" customHeight="1" x14ac:dyDescent="0.2">
      <c r="B47" s="139">
        <v>11</v>
      </c>
      <c r="F47" s="2" t="s">
        <v>116</v>
      </c>
      <c r="L47" s="54"/>
      <c r="M47" s="25">
        <v>124</v>
      </c>
      <c r="N47" s="54"/>
      <c r="O47" s="54"/>
      <c r="P47" s="54"/>
      <c r="R47" s="13"/>
    </row>
    <row r="48" spans="2:20" ht="12.75" customHeight="1" x14ac:dyDescent="0.2">
      <c r="B48" s="139">
        <v>13.86</v>
      </c>
      <c r="F48" s="2" t="s">
        <v>116</v>
      </c>
      <c r="L48" s="54"/>
      <c r="M48" s="25">
        <v>43</v>
      </c>
      <c r="N48" s="54"/>
      <c r="O48" s="54"/>
      <c r="P48" s="54"/>
      <c r="R48" s="13"/>
    </row>
    <row r="49" spans="2:18" ht="12.75" customHeight="1" x14ac:dyDescent="0.2">
      <c r="B49" s="139">
        <v>13.3</v>
      </c>
      <c r="F49" s="2" t="s">
        <v>116</v>
      </c>
      <c r="L49" s="54"/>
      <c r="M49" s="25">
        <v>27</v>
      </c>
      <c r="N49" s="54"/>
      <c r="O49" s="54"/>
      <c r="P49" s="54"/>
      <c r="R49" s="13"/>
    </row>
    <row r="50" spans="2:18" ht="12.75" customHeight="1" x14ac:dyDescent="0.2">
      <c r="B50" s="139">
        <v>19</v>
      </c>
      <c r="F50" s="2" t="s">
        <v>116</v>
      </c>
      <c r="L50" s="54"/>
      <c r="M50" s="25">
        <v>26.833333333333332</v>
      </c>
      <c r="N50" s="54"/>
      <c r="O50" s="54"/>
      <c r="P50" s="54"/>
      <c r="R50" s="13"/>
    </row>
    <row r="51" spans="2:18" ht="12.75" customHeight="1" x14ac:dyDescent="0.2">
      <c r="B51" s="139">
        <v>23.94</v>
      </c>
      <c r="F51" s="2" t="s">
        <v>116</v>
      </c>
      <c r="L51" s="54"/>
      <c r="M51" s="25">
        <v>40</v>
      </c>
      <c r="N51" s="54"/>
      <c r="O51" s="54"/>
      <c r="P51" s="54"/>
      <c r="R51" s="13"/>
    </row>
    <row r="52" spans="2:18" ht="12.75" customHeight="1" x14ac:dyDescent="0.2">
      <c r="B52" s="139">
        <v>30.4</v>
      </c>
      <c r="F52" s="2" t="s">
        <v>116</v>
      </c>
      <c r="L52" s="54"/>
      <c r="M52" s="25">
        <v>14</v>
      </c>
      <c r="N52" s="54"/>
      <c r="O52" s="54"/>
      <c r="P52" s="54"/>
      <c r="R52" s="13"/>
    </row>
    <row r="53" spans="2:18" ht="12.75" customHeight="1" x14ac:dyDescent="0.2">
      <c r="B53" s="139">
        <v>38</v>
      </c>
      <c r="F53" s="2" t="s">
        <v>116</v>
      </c>
      <c r="L53" s="54"/>
      <c r="M53" s="25">
        <v>11</v>
      </c>
      <c r="N53" s="54"/>
      <c r="O53" s="54"/>
      <c r="P53" s="54"/>
      <c r="R53" s="13"/>
    </row>
    <row r="54" spans="2:18" ht="12.75" customHeight="1" x14ac:dyDescent="0.2">
      <c r="B54" s="139">
        <v>47.5</v>
      </c>
      <c r="F54" s="2" t="s">
        <v>116</v>
      </c>
      <c r="L54" s="54"/>
      <c r="M54" s="25">
        <v>14</v>
      </c>
      <c r="N54" s="54"/>
      <c r="O54" s="54"/>
      <c r="P54" s="54"/>
      <c r="R54" s="13"/>
    </row>
    <row r="55" spans="2:18" ht="12.75" customHeight="1" x14ac:dyDescent="0.2">
      <c r="B55" s="139">
        <v>60.8</v>
      </c>
      <c r="F55" s="2" t="s">
        <v>116</v>
      </c>
      <c r="L55" s="54"/>
      <c r="M55" s="25">
        <v>4</v>
      </c>
      <c r="N55" s="54"/>
      <c r="O55" s="54"/>
      <c r="P55" s="54"/>
      <c r="R55" s="13"/>
    </row>
    <row r="56" spans="2:18" ht="12.75" customHeight="1" x14ac:dyDescent="0.2">
      <c r="B56" s="139">
        <v>76</v>
      </c>
      <c r="F56" s="2" t="s">
        <v>116</v>
      </c>
      <c r="L56" s="54"/>
      <c r="M56" s="25">
        <v>5</v>
      </c>
      <c r="N56" s="54"/>
      <c r="O56" s="54"/>
      <c r="P56" s="54"/>
      <c r="R56" s="13"/>
    </row>
    <row r="57" spans="2:18" ht="12.75" customHeight="1" x14ac:dyDescent="0.2">
      <c r="B57" s="139">
        <v>85.5</v>
      </c>
      <c r="F57" s="2" t="s">
        <v>116</v>
      </c>
      <c r="L57" s="54"/>
      <c r="M57" s="25">
        <v>4</v>
      </c>
      <c r="N57" s="54"/>
      <c r="O57" s="54"/>
      <c r="P57" s="54"/>
      <c r="R57" s="13"/>
    </row>
    <row r="58" spans="2:18" ht="12.75" customHeight="1" x14ac:dyDescent="0.2">
      <c r="B58" s="139">
        <v>95</v>
      </c>
      <c r="F58" s="2" t="s">
        <v>116</v>
      </c>
      <c r="L58" s="54"/>
      <c r="M58" s="25">
        <v>2</v>
      </c>
      <c r="N58" s="54"/>
      <c r="O58" s="54"/>
      <c r="P58" s="54"/>
      <c r="R58" s="13"/>
    </row>
    <row r="59" spans="2:18" ht="12.75" customHeight="1" x14ac:dyDescent="0.2">
      <c r="B59" s="139">
        <v>119.7</v>
      </c>
      <c r="F59" s="2" t="s">
        <v>116</v>
      </c>
      <c r="L59" s="54"/>
      <c r="M59" s="25">
        <v>1</v>
      </c>
      <c r="N59" s="54"/>
      <c r="O59" s="54"/>
      <c r="P59" s="54"/>
      <c r="R59" s="13"/>
    </row>
    <row r="60" spans="2:18" ht="12.75" customHeight="1" x14ac:dyDescent="0.2">
      <c r="B60" s="139">
        <v>175</v>
      </c>
      <c r="F60" s="2" t="s">
        <v>116</v>
      </c>
      <c r="L60" s="54"/>
      <c r="M60" s="25">
        <v>0</v>
      </c>
      <c r="N60" s="54"/>
      <c r="O60" s="54"/>
      <c r="P60" s="54"/>
      <c r="R60" s="13"/>
    </row>
    <row r="61" spans="2:18" ht="12.75" customHeight="1" x14ac:dyDescent="0.2">
      <c r="B61" s="139">
        <v>200</v>
      </c>
      <c r="F61" s="2" t="s">
        <v>116</v>
      </c>
      <c r="L61" s="54"/>
      <c r="M61" s="25">
        <v>3</v>
      </c>
      <c r="N61" s="54"/>
      <c r="O61" s="54"/>
      <c r="P61" s="54"/>
      <c r="R61" s="13"/>
    </row>
    <row r="62" spans="2:18" ht="12.75" customHeight="1" x14ac:dyDescent="0.2">
      <c r="R62" s="13"/>
    </row>
    <row r="63" spans="2:18" ht="12.75" customHeight="1" x14ac:dyDescent="0.2">
      <c r="B63" s="2" t="s">
        <v>123</v>
      </c>
      <c r="F63" s="2" t="s">
        <v>96</v>
      </c>
      <c r="L63" s="54"/>
      <c r="M63" s="37">
        <f>SUMPRODUCT(B45:B61,M45:M61)</f>
        <v>19287.792953122196</v>
      </c>
      <c r="N63" s="54"/>
      <c r="O63" s="54"/>
      <c r="P63" s="54"/>
      <c r="R63" s="13"/>
    </row>
    <row r="64" spans="2:18" ht="12.75" customHeight="1" x14ac:dyDescent="0.2">
      <c r="R64" s="13"/>
    </row>
    <row r="65" spans="2:20" ht="12.75" customHeight="1" x14ac:dyDescent="0.2">
      <c r="B65" s="1" t="s">
        <v>124</v>
      </c>
      <c r="R65" s="13"/>
    </row>
    <row r="66" spans="2:20" ht="12.75" customHeight="1" x14ac:dyDescent="0.2">
      <c r="B66" s="2" t="s">
        <v>363</v>
      </c>
      <c r="F66" s="2" t="s">
        <v>116</v>
      </c>
      <c r="L66" s="54"/>
      <c r="M66" s="54"/>
      <c r="N66" s="54"/>
      <c r="O66" s="25">
        <v>1225.5630287548672</v>
      </c>
      <c r="P66" s="54"/>
      <c r="R66" s="2" t="s">
        <v>670</v>
      </c>
    </row>
    <row r="67" spans="2:20" ht="11.25" customHeight="1" x14ac:dyDescent="0.2"/>
    <row r="68" spans="2:20" s="8" customFormat="1" x14ac:dyDescent="0.2">
      <c r="B68" s="8" t="s">
        <v>379</v>
      </c>
    </row>
    <row r="70" spans="2:20" x14ac:dyDescent="0.2">
      <c r="B70" s="20" t="s">
        <v>36</v>
      </c>
      <c r="F70" s="20" t="s">
        <v>94</v>
      </c>
      <c r="L70" s="20" t="s">
        <v>95</v>
      </c>
      <c r="M70" s="20" t="s">
        <v>96</v>
      </c>
      <c r="N70" s="20" t="s">
        <v>97</v>
      </c>
      <c r="O70" s="20" t="s">
        <v>98</v>
      </c>
      <c r="P70" s="20" t="s">
        <v>97</v>
      </c>
      <c r="Q70" s="20"/>
      <c r="R70" s="20"/>
    </row>
    <row r="71" spans="2:20" x14ac:dyDescent="0.2">
      <c r="B71" s="2" t="s">
        <v>380</v>
      </c>
      <c r="F71" s="20" t="s">
        <v>94</v>
      </c>
      <c r="L71" s="21">
        <f>L22</f>
        <v>17621400</v>
      </c>
      <c r="M71" s="21">
        <f>M63</f>
        <v>19287.792953122196</v>
      </c>
      <c r="N71" s="21">
        <f>N14</f>
        <v>201600</v>
      </c>
      <c r="O71" s="21">
        <f>O66</f>
        <v>1225.5630287548672</v>
      </c>
      <c r="P71" s="21">
        <f>P27</f>
        <v>2016</v>
      </c>
    </row>
    <row r="72" spans="2:20" ht="12.75" customHeight="1" x14ac:dyDescent="0.2">
      <c r="R72" s="13"/>
      <c r="T72" s="13"/>
    </row>
    <row r="73" spans="2:20" ht="12.75" customHeight="1" x14ac:dyDescent="0.2">
      <c r="R73" s="13"/>
      <c r="T73" s="13"/>
    </row>
    <row r="74" spans="2:20" ht="12.75" customHeight="1" x14ac:dyDescent="0.2">
      <c r="B74" s="56"/>
      <c r="F74" s="56"/>
      <c r="H74" s="57"/>
      <c r="R74" s="13"/>
      <c r="T74" s="13"/>
    </row>
    <row r="75" spans="2:20" x14ac:dyDescent="0.2">
      <c r="B75" s="4" t="s">
        <v>63</v>
      </c>
    </row>
    <row r="77" spans="2:20" x14ac:dyDescent="0.2">
      <c r="B77" s="1"/>
    </row>
  </sheetData>
  <phoneticPr fontId="3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B260A-5F4E-4A5E-B633-80380D18E5CD}">
  <sheetPr>
    <tabColor rgb="FFE1FFE1"/>
  </sheetPr>
  <dimension ref="B2:T74"/>
  <sheetViews>
    <sheetView showGridLines="0" zoomScale="85" zoomScaleNormal="85" workbookViewId="0">
      <pane xSplit="6" ySplit="13" topLeftCell="G14" activePane="bottomRight" state="frozen"/>
      <selection activeCell="R6" sqref="R6"/>
      <selection pane="topRight" activeCell="R6" sqref="R6"/>
      <selection pane="bottomLeft" activeCell="R6" sqref="R6"/>
      <selection pane="bottomRight" activeCell="G14" sqref="G14"/>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58.5703125" style="2" customWidth="1"/>
    <col min="19" max="19" width="2.7109375" style="2" customWidth="1"/>
    <col min="20" max="20" width="13.7109375" style="2" customWidth="1"/>
    <col min="21" max="21" width="2.7109375" style="2" customWidth="1"/>
    <col min="22" max="36" width="13.7109375" style="2" customWidth="1"/>
    <col min="37" max="16384" width="9.140625" style="2"/>
  </cols>
  <sheetData>
    <row r="2" spans="2:20" s="12" customFormat="1" ht="18" x14ac:dyDescent="0.2">
      <c r="B2" s="12" t="s">
        <v>302</v>
      </c>
    </row>
    <row r="4" spans="2:20" x14ac:dyDescent="0.2">
      <c r="B4" s="1" t="s">
        <v>81</v>
      </c>
      <c r="C4" s="1"/>
      <c r="D4" s="1"/>
    </row>
    <row r="5" spans="2:20" x14ac:dyDescent="0.2">
      <c r="B5" s="2" t="s">
        <v>304</v>
      </c>
      <c r="C5" s="3"/>
      <c r="D5" s="3"/>
      <c r="H5" s="13"/>
    </row>
    <row r="6" spans="2:20" x14ac:dyDescent="0.2">
      <c r="C6" s="3"/>
      <c r="D6" s="3"/>
      <c r="H6" s="13"/>
    </row>
    <row r="7" spans="2:20" x14ac:dyDescent="0.2">
      <c r="B7" s="20" t="s">
        <v>66</v>
      </c>
      <c r="C7" s="3"/>
      <c r="D7" s="3"/>
      <c r="H7" s="13"/>
    </row>
    <row r="8" spans="2:20" x14ac:dyDescent="0.2">
      <c r="B8" s="2" t="s">
        <v>305</v>
      </c>
      <c r="C8" s="3"/>
      <c r="D8" s="3"/>
      <c r="H8" s="13"/>
    </row>
    <row r="9" spans="2:20" x14ac:dyDescent="0.2">
      <c r="B9" s="2" t="s">
        <v>332</v>
      </c>
      <c r="C9" s="3"/>
      <c r="D9" s="3"/>
      <c r="H9" s="13"/>
    </row>
    <row r="10" spans="2:20" x14ac:dyDescent="0.2">
      <c r="B10" s="2" t="s">
        <v>436</v>
      </c>
      <c r="C10" s="3"/>
      <c r="D10" s="3"/>
      <c r="H10" s="13"/>
    </row>
    <row r="12" spans="2:20" s="8" customFormat="1" x14ac:dyDescent="0.2">
      <c r="B12" s="8" t="s">
        <v>82</v>
      </c>
      <c r="F12" s="8" t="s">
        <v>83</v>
      </c>
      <c r="H12" s="8" t="s">
        <v>84</v>
      </c>
      <c r="J12" s="8" t="s">
        <v>85</v>
      </c>
      <c r="L12" s="8" t="s">
        <v>69</v>
      </c>
      <c r="M12" s="8" t="s">
        <v>70</v>
      </c>
      <c r="N12" s="8" t="s">
        <v>71</v>
      </c>
      <c r="O12" s="8" t="s">
        <v>72</v>
      </c>
      <c r="P12" s="8" t="s">
        <v>73</v>
      </c>
      <c r="R12" s="8" t="s">
        <v>40</v>
      </c>
      <c r="T12" s="8" t="s">
        <v>39</v>
      </c>
    </row>
    <row r="15" spans="2:20" s="8" customFormat="1" x14ac:dyDescent="0.2">
      <c r="B15" s="8" t="s">
        <v>709</v>
      </c>
    </row>
    <row r="17" spans="2:18" x14ac:dyDescent="0.2">
      <c r="B17" s="1" t="s">
        <v>710</v>
      </c>
    </row>
    <row r="18" spans="2:18" x14ac:dyDescent="0.2">
      <c r="B18" s="2" t="s">
        <v>308</v>
      </c>
      <c r="F18" s="2" t="s">
        <v>109</v>
      </c>
      <c r="L18" s="25">
        <v>1849946.1200570287</v>
      </c>
      <c r="M18" s="25">
        <v>642890.50295600458</v>
      </c>
      <c r="N18" s="25">
        <v>625054.13411037088</v>
      </c>
      <c r="O18" s="25">
        <v>677186.40136779915</v>
      </c>
      <c r="P18" s="25">
        <v>12559.099728153375</v>
      </c>
      <c r="R18" s="2" t="s">
        <v>759</v>
      </c>
    </row>
    <row r="19" spans="2:18" x14ac:dyDescent="0.2">
      <c r="B19" s="2" t="s">
        <v>309</v>
      </c>
      <c r="F19" s="2" t="s">
        <v>109</v>
      </c>
      <c r="L19" s="155"/>
      <c r="M19" s="95"/>
      <c r="N19" s="155"/>
      <c r="O19" s="25">
        <v>201661.41474445545</v>
      </c>
      <c r="P19" s="95"/>
      <c r="R19" s="2" t="s">
        <v>760</v>
      </c>
    </row>
    <row r="20" spans="2:18" x14ac:dyDescent="0.2">
      <c r="B20" s="2" t="s">
        <v>310</v>
      </c>
      <c r="F20" s="2" t="s">
        <v>311</v>
      </c>
      <c r="L20" s="139">
        <v>1.8215079898781135E-2</v>
      </c>
      <c r="M20" s="25">
        <v>23.746121151643816</v>
      </c>
      <c r="N20" s="139">
        <v>0.33152570820476024</v>
      </c>
      <c r="O20" s="25">
        <v>269.21298955077162</v>
      </c>
      <c r="P20" s="25">
        <v>4.5522447060710176</v>
      </c>
      <c r="R20" s="2" t="s">
        <v>761</v>
      </c>
    </row>
    <row r="21" spans="2:18" x14ac:dyDescent="0.2">
      <c r="B21" s="2" t="s">
        <v>312</v>
      </c>
      <c r="F21" s="2" t="s">
        <v>311</v>
      </c>
      <c r="L21" s="155"/>
      <c r="M21" s="95"/>
      <c r="N21" s="155"/>
      <c r="O21" s="25">
        <v>919.07661101705776</v>
      </c>
      <c r="P21" s="95"/>
      <c r="R21" s="2" t="s">
        <v>762</v>
      </c>
    </row>
    <row r="23" spans="2:18" s="8" customFormat="1" x14ac:dyDescent="0.2">
      <c r="B23" s="8" t="s">
        <v>331</v>
      </c>
    </row>
    <row r="25" spans="2:18" x14ac:dyDescent="0.2">
      <c r="B25" s="1" t="s">
        <v>307</v>
      </c>
    </row>
    <row r="26" spans="2:18" x14ac:dyDescent="0.2">
      <c r="B26" s="2" t="s">
        <v>308</v>
      </c>
      <c r="F26" s="2" t="s">
        <v>109</v>
      </c>
      <c r="L26" s="139">
        <v>1796243.7489777827</v>
      </c>
      <c r="M26" s="139">
        <v>629736.31116378494</v>
      </c>
      <c r="N26" s="139">
        <v>600036.07999590272</v>
      </c>
      <c r="O26" s="139">
        <v>652287.77947984054</v>
      </c>
      <c r="P26" s="139">
        <v>12120.439471101487</v>
      </c>
      <c r="R26" s="2" t="s">
        <v>515</v>
      </c>
    </row>
    <row r="27" spans="2:18" x14ac:dyDescent="0.2">
      <c r="B27" s="2" t="s">
        <v>309</v>
      </c>
      <c r="F27" s="2" t="s">
        <v>109</v>
      </c>
      <c r="L27" s="83"/>
      <c r="M27" s="83"/>
      <c r="N27" s="83"/>
      <c r="O27" s="139">
        <v>176762.79285649688</v>
      </c>
      <c r="P27" s="83"/>
      <c r="R27" s="2" t="s">
        <v>516</v>
      </c>
    </row>
    <row r="28" spans="2:18" x14ac:dyDescent="0.2">
      <c r="B28" s="2" t="s">
        <v>310</v>
      </c>
      <c r="F28" s="2" t="s">
        <v>311</v>
      </c>
      <c r="L28" s="139">
        <v>1.8215079898781135E-2</v>
      </c>
      <c r="M28" s="139">
        <v>23.011302852721723</v>
      </c>
      <c r="N28" s="139">
        <v>0.33152570820476024</v>
      </c>
      <c r="O28" s="139">
        <v>269.21298955077162</v>
      </c>
      <c r="P28" s="139">
        <v>4.306207207023462</v>
      </c>
      <c r="R28" s="2" t="s">
        <v>517</v>
      </c>
    </row>
    <row r="29" spans="2:18" x14ac:dyDescent="0.2">
      <c r="B29" s="2" t="s">
        <v>312</v>
      </c>
      <c r="F29" s="2" t="s">
        <v>311</v>
      </c>
      <c r="L29" s="83"/>
      <c r="M29" s="83"/>
      <c r="N29" s="83"/>
      <c r="O29" s="139">
        <v>803.39896111205792</v>
      </c>
      <c r="P29" s="83"/>
      <c r="R29" s="2" t="s">
        <v>518</v>
      </c>
    </row>
    <row r="31" spans="2:18" x14ac:dyDescent="0.2">
      <c r="B31" s="1" t="s">
        <v>313</v>
      </c>
    </row>
    <row r="32" spans="2:18" x14ac:dyDescent="0.2">
      <c r="B32" s="20" t="s">
        <v>36</v>
      </c>
      <c r="F32" s="20" t="s">
        <v>94</v>
      </c>
      <c r="L32" s="20" t="s">
        <v>95</v>
      </c>
      <c r="M32" s="20" t="s">
        <v>96</v>
      </c>
      <c r="N32" s="20" t="s">
        <v>97</v>
      </c>
      <c r="O32" s="20" t="s">
        <v>98</v>
      </c>
      <c r="P32" s="20" t="s">
        <v>97</v>
      </c>
      <c r="Q32" s="20"/>
      <c r="R32" s="20"/>
    </row>
    <row r="33" spans="2:18" x14ac:dyDescent="0.2">
      <c r="B33" s="2" t="s">
        <v>313</v>
      </c>
      <c r="F33" s="20" t="s">
        <v>94</v>
      </c>
      <c r="L33" s="139">
        <v>17256000</v>
      </c>
      <c r="M33" s="139">
        <v>18381.43631666667</v>
      </c>
      <c r="N33" s="139">
        <v>187300</v>
      </c>
      <c r="O33" s="139">
        <v>1092.9085904999338</v>
      </c>
      <c r="P33" s="139">
        <v>2652.2599671986422</v>
      </c>
      <c r="R33" s="2" t="s">
        <v>519</v>
      </c>
    </row>
    <row r="34" spans="2:18" x14ac:dyDescent="0.2">
      <c r="B34" s="2" t="s">
        <v>306</v>
      </c>
      <c r="F34" s="20" t="s">
        <v>94</v>
      </c>
      <c r="L34" s="41"/>
      <c r="M34" s="41"/>
      <c r="N34" s="41"/>
      <c r="O34" s="139">
        <v>896.33333333333337</v>
      </c>
      <c r="P34" s="41"/>
      <c r="R34" s="85" t="s">
        <v>520</v>
      </c>
    </row>
    <row r="36" spans="2:18" x14ac:dyDescent="0.2">
      <c r="B36" s="2" t="s">
        <v>314</v>
      </c>
      <c r="F36" s="2" t="s">
        <v>74</v>
      </c>
      <c r="L36" s="41"/>
      <c r="M36" s="137">
        <v>0.11</v>
      </c>
      <c r="N36" s="41"/>
      <c r="O36" s="137">
        <v>0.17544452749599601</v>
      </c>
      <c r="P36" s="41"/>
      <c r="R36" s="2" t="s">
        <v>521</v>
      </c>
    </row>
    <row r="38" spans="2:18" x14ac:dyDescent="0.2">
      <c r="B38" s="1" t="s">
        <v>315</v>
      </c>
    </row>
    <row r="39" spans="2:18" x14ac:dyDescent="0.2">
      <c r="B39" s="2" t="s">
        <v>316</v>
      </c>
      <c r="F39" s="2" t="s">
        <v>317</v>
      </c>
      <c r="L39" s="140">
        <v>0.40979977104776788</v>
      </c>
      <c r="M39" s="41"/>
      <c r="N39" s="41"/>
      <c r="O39" s="41"/>
      <c r="P39" s="41"/>
      <c r="R39" s="2" t="s">
        <v>522</v>
      </c>
    </row>
    <row r="40" spans="2:18" x14ac:dyDescent="0.2">
      <c r="B40" s="2" t="s">
        <v>318</v>
      </c>
      <c r="F40" s="2" t="s">
        <v>317</v>
      </c>
      <c r="L40" s="140">
        <v>0.37139101036130612</v>
      </c>
      <c r="M40" s="41"/>
      <c r="N40" s="41"/>
      <c r="O40" s="41"/>
      <c r="P40" s="41"/>
      <c r="R40" s="2" t="s">
        <v>523</v>
      </c>
    </row>
    <row r="41" spans="2:18" x14ac:dyDescent="0.2">
      <c r="B41" s="2" t="s">
        <v>315</v>
      </c>
      <c r="F41" s="2" t="s">
        <v>319</v>
      </c>
      <c r="L41" s="41"/>
      <c r="M41" s="41"/>
      <c r="N41" s="140">
        <v>4.4301419086700315</v>
      </c>
      <c r="O41" s="41"/>
      <c r="P41" s="41"/>
      <c r="R41" s="2" t="s">
        <v>524</v>
      </c>
    </row>
    <row r="43" spans="2:18" s="8" customFormat="1" x14ac:dyDescent="0.2">
      <c r="B43" s="8" t="s">
        <v>327</v>
      </c>
    </row>
    <row r="45" spans="2:18" x14ac:dyDescent="0.2">
      <c r="B45" s="1" t="s">
        <v>210</v>
      </c>
    </row>
    <row r="46" spans="2:18" x14ac:dyDescent="0.2">
      <c r="B46" s="2" t="s">
        <v>328</v>
      </c>
      <c r="F46" s="2" t="s">
        <v>97</v>
      </c>
      <c r="L46" s="10"/>
      <c r="M46" s="10"/>
      <c r="N46" s="139">
        <v>197952.55799999996</v>
      </c>
      <c r="O46" s="10"/>
      <c r="P46" s="10"/>
      <c r="R46" s="2" t="s">
        <v>525</v>
      </c>
    </row>
    <row r="47" spans="2:18" x14ac:dyDescent="0.2">
      <c r="B47" s="2" t="s">
        <v>321</v>
      </c>
      <c r="F47" s="2" t="s">
        <v>322</v>
      </c>
      <c r="L47" s="10"/>
      <c r="M47" s="10"/>
      <c r="N47" s="140">
        <v>0.39580820458766236</v>
      </c>
      <c r="O47" s="10"/>
      <c r="P47" s="10"/>
      <c r="R47" s="2" t="s">
        <v>526</v>
      </c>
    </row>
    <row r="48" spans="2:18" x14ac:dyDescent="0.2">
      <c r="B48" s="2" t="s">
        <v>323</v>
      </c>
      <c r="F48" s="2" t="s">
        <v>322</v>
      </c>
      <c r="L48" s="10"/>
      <c r="M48" s="10"/>
      <c r="N48" s="140">
        <v>0.38767249365144446</v>
      </c>
      <c r="O48" s="10"/>
      <c r="P48" s="10"/>
      <c r="R48" s="2" t="s">
        <v>527</v>
      </c>
    </row>
    <row r="49" spans="2:18" x14ac:dyDescent="0.2">
      <c r="B49" s="2" t="s">
        <v>106</v>
      </c>
      <c r="F49" s="2" t="s">
        <v>107</v>
      </c>
      <c r="L49" s="10"/>
      <c r="M49" s="10"/>
      <c r="N49" s="139">
        <v>4.511265293942107</v>
      </c>
      <c r="O49" s="10"/>
      <c r="P49" s="10"/>
      <c r="R49" s="2" t="s">
        <v>528</v>
      </c>
    </row>
    <row r="50" spans="2:18" x14ac:dyDescent="0.2">
      <c r="B50" s="2" t="s">
        <v>324</v>
      </c>
      <c r="F50" s="2" t="s">
        <v>74</v>
      </c>
      <c r="L50" s="10"/>
      <c r="M50" s="10"/>
      <c r="N50" s="138">
        <v>0.5</v>
      </c>
      <c r="O50" s="10"/>
      <c r="P50" s="10"/>
      <c r="R50" s="94" t="s">
        <v>333</v>
      </c>
    </row>
    <row r="51" spans="2:18" x14ac:dyDescent="0.2">
      <c r="N51" s="22"/>
      <c r="R51" s="13"/>
    </row>
    <row r="52" spans="2:18" ht="12.75" customHeight="1" x14ac:dyDescent="0.2">
      <c r="B52" s="1" t="s">
        <v>325</v>
      </c>
      <c r="H52" s="13"/>
      <c r="L52" s="13"/>
      <c r="N52" s="13"/>
    </row>
    <row r="53" spans="2:18" ht="12.75" customHeight="1" x14ac:dyDescent="0.2">
      <c r="B53" s="2" t="s">
        <v>326</v>
      </c>
      <c r="F53" s="2" t="s">
        <v>137</v>
      </c>
      <c r="L53" s="41"/>
      <c r="M53" s="41"/>
      <c r="N53" s="41"/>
      <c r="O53" s="139">
        <v>272.94023816097268</v>
      </c>
      <c r="P53" s="41"/>
      <c r="R53" s="2" t="s">
        <v>529</v>
      </c>
    </row>
    <row r="54" spans="2:18" ht="12.75" customHeight="1" x14ac:dyDescent="0.2">
      <c r="B54" s="2" t="s">
        <v>110</v>
      </c>
      <c r="F54" s="2" t="s">
        <v>137</v>
      </c>
      <c r="L54" s="41"/>
      <c r="M54" s="41"/>
      <c r="N54" s="41"/>
      <c r="O54" s="139">
        <v>189.55349078801981</v>
      </c>
      <c r="P54" s="41"/>
      <c r="R54" s="2" t="s">
        <v>530</v>
      </c>
    </row>
    <row r="55" spans="2:18" x14ac:dyDescent="0.2">
      <c r="H55" s="13"/>
      <c r="N55" s="13"/>
      <c r="R55" s="13"/>
    </row>
    <row r="56" spans="2:18" ht="12.75" customHeight="1" x14ac:dyDescent="0.2">
      <c r="B56" s="2" t="s">
        <v>111</v>
      </c>
      <c r="F56" s="2" t="s">
        <v>137</v>
      </c>
      <c r="L56" s="41"/>
      <c r="M56" s="139">
        <v>305.43662127586322</v>
      </c>
      <c r="N56" s="41"/>
      <c r="O56" s="41"/>
      <c r="P56" s="41"/>
      <c r="R56" s="2" t="s">
        <v>772</v>
      </c>
    </row>
    <row r="57" spans="2:18" ht="12.75" customHeight="1" x14ac:dyDescent="0.2">
      <c r="B57" s="2" t="s">
        <v>112</v>
      </c>
      <c r="F57" s="2" t="s">
        <v>137</v>
      </c>
      <c r="L57" s="41"/>
      <c r="M57" s="139">
        <v>189.55349078801981</v>
      </c>
      <c r="N57" s="41"/>
      <c r="O57" s="41"/>
      <c r="P57" s="41"/>
      <c r="R57" s="2" t="s">
        <v>773</v>
      </c>
    </row>
    <row r="58" spans="2:18" ht="12.75" customHeight="1" x14ac:dyDescent="0.2">
      <c r="B58" s="2" t="s">
        <v>113</v>
      </c>
      <c r="F58" s="2" t="s">
        <v>137</v>
      </c>
      <c r="L58" s="41"/>
      <c r="M58" s="139">
        <v>205.78594305755018</v>
      </c>
      <c r="N58" s="41"/>
      <c r="O58" s="41"/>
      <c r="P58" s="41"/>
      <c r="R58" s="2" t="s">
        <v>774</v>
      </c>
    </row>
    <row r="59" spans="2:18" ht="12.75" customHeight="1" x14ac:dyDescent="0.2">
      <c r="N59" s="13"/>
      <c r="R59" s="13"/>
    </row>
    <row r="60" spans="2:18" ht="12.75" customHeight="1" x14ac:dyDescent="0.2">
      <c r="B60" s="2" t="s">
        <v>114</v>
      </c>
      <c r="F60" s="2" t="s">
        <v>137</v>
      </c>
      <c r="L60" s="41"/>
      <c r="M60" s="139">
        <v>40</v>
      </c>
      <c r="N60" s="41"/>
      <c r="O60" s="139">
        <v>40</v>
      </c>
      <c r="P60" s="41"/>
      <c r="R60" s="2" t="s">
        <v>531</v>
      </c>
    </row>
    <row r="62" spans="2:18" s="8" customFormat="1" x14ac:dyDescent="0.2">
      <c r="B62" s="8" t="s">
        <v>404</v>
      </c>
    </row>
    <row r="64" spans="2:18" x14ac:dyDescent="0.2">
      <c r="B64" s="1" t="s">
        <v>768</v>
      </c>
    </row>
    <row r="65" spans="2:20" x14ac:dyDescent="0.2">
      <c r="B65" s="2" t="s">
        <v>211</v>
      </c>
      <c r="F65" s="2" t="s">
        <v>116</v>
      </c>
      <c r="L65" s="10"/>
      <c r="M65" s="10"/>
      <c r="N65" s="10"/>
      <c r="O65" s="25">
        <v>518</v>
      </c>
      <c r="P65" s="10"/>
      <c r="R65" s="94" t="s">
        <v>506</v>
      </c>
      <c r="T65" s="2" t="s">
        <v>507</v>
      </c>
    </row>
    <row r="66" spans="2:20" x14ac:dyDescent="0.2">
      <c r="B66" s="2" t="s">
        <v>212</v>
      </c>
      <c r="F66" s="2" t="s">
        <v>90</v>
      </c>
      <c r="L66" s="10"/>
      <c r="M66" s="10"/>
      <c r="N66" s="10"/>
      <c r="O66" s="141">
        <v>307847</v>
      </c>
      <c r="P66" s="10"/>
      <c r="R66" s="94" t="s">
        <v>532</v>
      </c>
    </row>
    <row r="67" spans="2:20" x14ac:dyDescent="0.2">
      <c r="B67" s="2" t="s">
        <v>213</v>
      </c>
      <c r="F67" s="2" t="s">
        <v>90</v>
      </c>
      <c r="L67" s="10"/>
      <c r="M67" s="10"/>
      <c r="N67" s="10"/>
      <c r="O67" s="141">
        <v>24424</v>
      </c>
      <c r="P67" s="10"/>
      <c r="R67" s="94" t="s">
        <v>533</v>
      </c>
    </row>
    <row r="69" spans="2:20" s="8" customFormat="1" x14ac:dyDescent="0.2">
      <c r="B69" s="8" t="s">
        <v>186</v>
      </c>
    </row>
    <row r="71" spans="2:20" x14ac:dyDescent="0.2">
      <c r="B71" s="2" t="s">
        <v>186</v>
      </c>
      <c r="F71" s="2" t="s">
        <v>109</v>
      </c>
      <c r="L71" s="41"/>
      <c r="M71" s="25">
        <v>18753.449778596929</v>
      </c>
      <c r="N71" s="41"/>
      <c r="O71" s="25">
        <v>24408.844863331749</v>
      </c>
      <c r="P71" s="41"/>
      <c r="R71" s="143" t="s">
        <v>793</v>
      </c>
    </row>
    <row r="74" spans="2:20" x14ac:dyDescent="0.2">
      <c r="B74" s="4" t="s">
        <v>63</v>
      </c>
    </row>
  </sheetData>
  <phoneticPr fontId="3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_dlc_DocId>
    <_dlc_DocIdUrl xmlns="5e7bef76-b888-41a2-a261-5f525b37d47e">
      <Url>https://intranet.acm.local/project/excellent-in-excel/_layouts/15/DocIdRedir.aspx?ID=ECT67VDXDTCW-640230012-2</Url>
      <Description>ECT67VDXDTCW-640230012-2</Description>
    </_dlc_DocIdUrl>
    <Status xmlns="94b38974-1436-4631-a0be-797faa579778">Actueel</Statu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2.xml><?xml version="1.0" encoding="utf-8"?>
<ds:datastoreItem xmlns:ds="http://schemas.openxmlformats.org/officeDocument/2006/customXml" ds:itemID="{29821432-9D6D-4FB8-B669-75517133F53E}">
  <ds:schemaRefs>
    <ds:schemaRef ds:uri="http://schemas.microsoft.com/sharepoint/events"/>
  </ds:schemaRefs>
</ds:datastoreItem>
</file>

<file path=customXml/itemProps3.xml><?xml version="1.0" encoding="utf-8"?>
<ds:datastoreItem xmlns:ds="http://schemas.openxmlformats.org/officeDocument/2006/customXml" ds:itemID="{82835401-F49D-4D00-8F07-BF5788AC8903}">
  <ds:schemaRefs>
    <ds:schemaRef ds:uri="http://schemas.microsoft.com/sharepoint/v3/contenttype/forms"/>
  </ds:schemaRefs>
</ds:datastoreItem>
</file>

<file path=customXml/itemProps4.xml><?xml version="1.0" encoding="utf-8"?>
<ds:datastoreItem xmlns:ds="http://schemas.openxmlformats.org/officeDocument/2006/customXml" ds:itemID="{BDF34196-3C60-4FBD-A6D7-F3FCE358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25</vt:i4>
      </vt:variant>
    </vt:vector>
  </HeadingPairs>
  <TitlesOfParts>
    <vt:vector size="25" baseType="lpstr">
      <vt:lpstr>Cover sheet</vt:lpstr>
      <vt:lpstr>Explanation</vt:lpstr>
      <vt:lpstr>Sources and specifics</vt:lpstr>
      <vt:lpstr>Result</vt:lpstr>
      <vt:lpstr>Input --&gt;</vt:lpstr>
      <vt:lpstr>Parameters</vt:lpstr>
      <vt:lpstr>Historical data</vt:lpstr>
      <vt:lpstr>Estimates for 2025</vt:lpstr>
      <vt:lpstr>Data ACM</vt:lpstr>
      <vt:lpstr>Financial data</vt:lpstr>
      <vt:lpstr>Calculations corrections --&gt;</vt:lpstr>
      <vt:lpstr>WACC correction 2023</vt:lpstr>
      <vt:lpstr>Volume-effect 2023</vt:lpstr>
      <vt:lpstr>Profit Sharing 2023</vt:lpstr>
      <vt:lpstr>Energy cost correction 2024</vt:lpstr>
      <vt:lpstr>Overview corrections</vt:lpstr>
      <vt:lpstr>Calculations tariffs --&gt;</vt:lpstr>
      <vt:lpstr>Fixed-variable costs</vt:lpstr>
      <vt:lpstr>Income level</vt:lpstr>
      <vt:lpstr>Variable tariffs electricity</vt:lpstr>
      <vt:lpstr>Fixed tariffs electricity</vt:lpstr>
      <vt:lpstr>Variable tariffs water</vt:lpstr>
      <vt:lpstr>Fixed tariffs water</vt:lpstr>
      <vt:lpstr>Dictum&amp;Bijlage 1 Electricity EN</vt:lpstr>
      <vt:lpstr>Dictum&amp;Bijlage 1 Water 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2024-12-16T09:22:38Z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e0efd16f-45ee-4b9d-aa02-521177c04c12</vt:lpwstr>
  </property>
</Properties>
</file>