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A5BE8E51-5385-4A26-9AA2-929A701AA1BD}" xr6:coauthVersionLast="47" xr6:coauthVersionMax="47" xr10:uidLastSave="{00000000-0000-0000-0000-000000000000}"/>
  <bookViews>
    <workbookView xWindow="-28920" yWindow="-120" windowWidth="29040" windowHeight="15840" tabRatio="809" xr2:uid="{00000000-000D-0000-FFFF-FFFF00000000}"/>
  </bookViews>
  <sheets>
    <sheet name="Cover sheet" sheetId="9" r:id="rId1"/>
    <sheet name="Explanation" sheetId="10" r:id="rId2"/>
    <sheet name="Sources and specifics" sheetId="11" r:id="rId3"/>
    <sheet name="Result" sheetId="21" r:id="rId4"/>
    <sheet name="Input --&gt;" sheetId="13" r:id="rId5"/>
    <sheet name="Parameters" sheetId="18" r:id="rId6"/>
    <sheet name="Historical data" sheetId="24" r:id="rId7"/>
    <sheet name="Estimates for 2024" sheetId="27" r:id="rId8"/>
    <sheet name="Major occurrences" sheetId="45" r:id="rId9"/>
    <sheet name="Data on corrections" sheetId="41" r:id="rId10"/>
    <sheet name="Calculations corrections --&gt;" sheetId="15" r:id="rId11"/>
    <sheet name="Volume-effect 2022" sheetId="33" r:id="rId12"/>
    <sheet name="Profit Sharing 2022" sheetId="22" r:id="rId13"/>
    <sheet name="Energy cost correction 2023" sheetId="35" r:id="rId14"/>
    <sheet name="Capital cost correction" sheetId="42" r:id="rId15"/>
    <sheet name="Overview corrections" sheetId="34" r:id="rId16"/>
    <sheet name="Calculations tariffs --&gt;" sheetId="29" r:id="rId17"/>
    <sheet name="Calculation cost base 2024" sheetId="36" r:id="rId18"/>
    <sheet name="Electricity Production" sheetId="37" r:id="rId19"/>
    <sheet name="Electricity Distribution" sheetId="31" r:id="rId20"/>
    <sheet name="Water Production" sheetId="40" r:id="rId21"/>
    <sheet name="Water Distribution" sheetId="38" r:id="rId22"/>
    <sheet name="Dictum&amp;Bijlage 1 Electricity EN" sheetId="43" r:id="rId23"/>
    <sheet name="Dictum&amp;Bijlage 1 Water EN" sheetId="4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3" i="43" l="1"/>
  <c r="F70" i="44" l="1"/>
  <c r="F69" i="44"/>
  <c r="E67" i="44"/>
  <c r="G65" i="44"/>
  <c r="E64" i="44"/>
  <c r="G60" i="44"/>
  <c r="F60" i="44"/>
  <c r="F59" i="44"/>
  <c r="F58" i="44"/>
  <c r="G58" i="44"/>
  <c r="F57" i="44"/>
  <c r="G57" i="44"/>
  <c r="E57" i="44"/>
  <c r="E54" i="44"/>
  <c r="L19" i="45" l="1"/>
  <c r="L40" i="45"/>
  <c r="L31" i="45"/>
  <c r="L45" i="45" s="1"/>
  <c r="L46" i="45" s="1"/>
  <c r="L24" i="45"/>
  <c r="L36" i="45" s="1"/>
  <c r="L37" i="45" s="1"/>
  <c r="F52" i="44"/>
  <c r="G52" i="44"/>
  <c r="F51" i="44"/>
  <c r="G51" i="44"/>
  <c r="E44" i="44"/>
  <c r="E43" i="44"/>
  <c r="E42" i="44"/>
  <c r="E41" i="44"/>
  <c r="E38" i="44"/>
  <c r="E36" i="44"/>
  <c r="E35" i="44"/>
  <c r="E34" i="44"/>
  <c r="E32" i="44"/>
  <c r="E33" i="44"/>
  <c r="E31" i="44"/>
  <c r="E21" i="44"/>
  <c r="E20" i="44"/>
  <c r="E19" i="44"/>
  <c r="F87" i="43"/>
  <c r="E85" i="43"/>
  <c r="E83" i="43"/>
  <c r="E82" i="43"/>
  <c r="F77" i="43"/>
  <c r="E77" i="43"/>
  <c r="F72" i="43"/>
  <c r="F70" i="43"/>
  <c r="E71" i="43"/>
  <c r="F68" i="43"/>
  <c r="F69" i="43"/>
  <c r="E69" i="43"/>
  <c r="E68" i="43"/>
  <c r="F61" i="43"/>
  <c r="F62" i="43"/>
  <c r="E62" i="43"/>
  <c r="E61" i="43"/>
  <c r="F59" i="43"/>
  <c r="F60" i="43"/>
  <c r="E60" i="43"/>
  <c r="E59" i="43"/>
  <c r="E56" i="43"/>
  <c r="E55" i="43"/>
  <c r="E54" i="43"/>
  <c r="E53" i="43"/>
  <c r="L47" i="45" l="1"/>
  <c r="L38" i="45"/>
  <c r="L39" i="45"/>
  <c r="L41" i="45" s="1"/>
  <c r="L42" i="45" s="1"/>
  <c r="E51" i="43"/>
  <c r="E52" i="43"/>
  <c r="E50" i="43"/>
  <c r="E43" i="43"/>
  <c r="E42" i="43"/>
  <c r="E39" i="43"/>
  <c r="E38" i="43"/>
  <c r="L48" i="45" l="1"/>
  <c r="M45" i="31"/>
  <c r="L49" i="45" l="1"/>
  <c r="L50" i="45" s="1"/>
  <c r="L52" i="45" s="1"/>
  <c r="L49" i="36" l="1"/>
  <c r="L69" i="36" s="1"/>
  <c r="E65" i="43"/>
  <c r="J49" i="36"/>
  <c r="L39" i="24"/>
  <c r="L23" i="36" s="1"/>
  <c r="L38" i="22" l="1"/>
  <c r="J18" i="22" l="1"/>
  <c r="L50" i="22" l="1"/>
  <c r="L20" i="34" l="1"/>
  <c r="H31" i="24" l="1"/>
  <c r="P27" i="22" l="1"/>
  <c r="O27" i="22"/>
  <c r="N27" i="22"/>
  <c r="M27" i="22"/>
  <c r="L27" i="22"/>
  <c r="M26" i="22"/>
  <c r="N26" i="22"/>
  <c r="O26" i="22"/>
  <c r="P26" i="22"/>
  <c r="L26" i="22"/>
  <c r="J18" i="24"/>
  <c r="J17" i="24"/>
  <c r="J26" i="22" l="1"/>
  <c r="J27" i="22"/>
  <c r="N38" i="27" l="1"/>
  <c r="N40" i="27" s="1"/>
  <c r="E66" i="44" s="1"/>
  <c r="P28" i="27"/>
  <c r="E37" i="44" s="1"/>
  <c r="B32" i="31" l="1"/>
  <c r="B93" i="31" s="1"/>
  <c r="M32" i="31"/>
  <c r="M65" i="27"/>
  <c r="F88" i="43" s="1"/>
  <c r="P50" i="24" l="1"/>
  <c r="O18" i="42" l="1"/>
  <c r="O23" i="42" l="1"/>
  <c r="O20" i="42"/>
  <c r="O19" i="42"/>
  <c r="O14" i="42"/>
  <c r="O15" i="42"/>
  <c r="O13" i="42"/>
  <c r="O28" i="42" l="1"/>
  <c r="O32" i="42" s="1"/>
  <c r="O29" i="42"/>
  <c r="O33" i="42" s="1"/>
  <c r="F48" i="44" l="1"/>
  <c r="O30" i="34"/>
  <c r="O48" i="34" s="1"/>
  <c r="O46" i="36" s="1"/>
  <c r="F47" i="44"/>
  <c r="O29" i="34"/>
  <c r="O47" i="34" s="1"/>
  <c r="O45" i="36" s="1"/>
  <c r="J48" i="34"/>
  <c r="J47" i="34"/>
  <c r="O35" i="38"/>
  <c r="O46" i="24"/>
  <c r="L35" i="27"/>
  <c r="L13" i="37" l="1"/>
  <c r="E84" i="43"/>
  <c r="M52" i="31"/>
  <c r="M98" i="31" s="1"/>
  <c r="H41" i="21" s="1"/>
  <c r="H13" i="38" l="1"/>
  <c r="O53" i="38" l="1"/>
  <c r="H60" i="21" s="1"/>
  <c r="P25" i="36"/>
  <c r="O30" i="38"/>
  <c r="N30" i="38"/>
  <c r="N14" i="40"/>
  <c r="N13" i="40"/>
  <c r="M46" i="31"/>
  <c r="L42" i="31"/>
  <c r="L15" i="37"/>
  <c r="N24" i="36"/>
  <c r="L28" i="36" l="1"/>
  <c r="P19" i="36"/>
  <c r="O19" i="36"/>
  <c r="L19" i="36"/>
  <c r="M19" i="34"/>
  <c r="N19" i="34"/>
  <c r="O19" i="34"/>
  <c r="P19" i="34"/>
  <c r="L19" i="34"/>
  <c r="M18" i="34"/>
  <c r="L17" i="34"/>
  <c r="N18" i="35"/>
  <c r="N17" i="35"/>
  <c r="N19" i="35"/>
  <c r="N20" i="35"/>
  <c r="N16" i="35"/>
  <c r="O45" i="22"/>
  <c r="M45" i="22"/>
  <c r="O44" i="22"/>
  <c r="M44" i="22"/>
  <c r="N43" i="22"/>
  <c r="L42" i="22"/>
  <c r="L41" i="22"/>
  <c r="M38" i="22"/>
  <c r="N38" i="22"/>
  <c r="O38" i="22"/>
  <c r="P38" i="22"/>
  <c r="O37" i="22"/>
  <c r="N28" i="22"/>
  <c r="O28" i="22"/>
  <c r="P28" i="22"/>
  <c r="L28" i="22"/>
  <c r="L25" i="22"/>
  <c r="M28" i="22" l="1"/>
  <c r="M33" i="22" s="1"/>
  <c r="L33" i="22"/>
  <c r="N33" i="22"/>
  <c r="O63" i="22"/>
  <c r="O64" i="22"/>
  <c r="P25" i="22" l="1"/>
  <c r="M25" i="22"/>
  <c r="N25" i="22"/>
  <c r="O25" i="22"/>
  <c r="M24" i="22"/>
  <c r="M31" i="22" s="1"/>
  <c r="N24" i="22"/>
  <c r="O24" i="22"/>
  <c r="P24" i="22"/>
  <c r="L24" i="22"/>
  <c r="J24" i="22" l="1"/>
  <c r="J25" i="22"/>
  <c r="L20" i="22"/>
  <c r="M20" i="22"/>
  <c r="N20" i="22"/>
  <c r="P20" i="22"/>
  <c r="O19" i="22"/>
  <c r="O20" i="22"/>
  <c r="O21" i="22"/>
  <c r="M18" i="22"/>
  <c r="N18" i="22"/>
  <c r="O18" i="22"/>
  <c r="P18" i="22"/>
  <c r="L18" i="22"/>
  <c r="H14" i="22"/>
  <c r="H13" i="22"/>
  <c r="O20" i="33"/>
  <c r="M20" i="33"/>
  <c r="M18" i="33"/>
  <c r="N18" i="33"/>
  <c r="O18" i="33"/>
  <c r="P18" i="33"/>
  <c r="L18" i="33"/>
  <c r="M17" i="33"/>
  <c r="N17" i="33"/>
  <c r="O17" i="33"/>
  <c r="P17" i="33"/>
  <c r="L17" i="33"/>
  <c r="M13" i="33" l="1"/>
  <c r="N13" i="33"/>
  <c r="O13" i="33"/>
  <c r="P13" i="33"/>
  <c r="L13" i="33"/>
  <c r="N25" i="35" l="1"/>
  <c r="N24" i="35"/>
  <c r="N27" i="35" l="1"/>
  <c r="N26" i="34" s="1"/>
  <c r="L43" i="22"/>
  <c r="O50" i="22"/>
  <c r="N31" i="22"/>
  <c r="M32" i="22"/>
  <c r="M53" i="22" s="1"/>
  <c r="N32" i="22"/>
  <c r="M54" i="22"/>
  <c r="P50" i="22"/>
  <c r="N54" i="22"/>
  <c r="L31" i="22"/>
  <c r="L54" i="22"/>
  <c r="L32" i="22"/>
  <c r="J18" i="33"/>
  <c r="J17" i="33"/>
  <c r="J13" i="33"/>
  <c r="N53" i="22" l="1"/>
  <c r="L53" i="22"/>
  <c r="M63" i="22"/>
  <c r="M64" i="22"/>
  <c r="O65" i="22"/>
  <c r="O67" i="22" s="1"/>
  <c r="N50" i="22"/>
  <c r="M50" i="22"/>
  <c r="M55" i="22"/>
  <c r="N55" i="22"/>
  <c r="J50" i="22" l="1"/>
  <c r="O25" i="34"/>
  <c r="F53" i="44"/>
  <c r="L55" i="22"/>
  <c r="L58" i="22"/>
  <c r="L59" i="22" s="1"/>
  <c r="L24" i="34" s="1"/>
  <c r="M65" i="22"/>
  <c r="M67" i="22" s="1"/>
  <c r="M25" i="34" s="1"/>
  <c r="N58" i="22"/>
  <c r="N59" i="22" s="1"/>
  <c r="N24" i="34" s="1"/>
  <c r="M58" i="22"/>
  <c r="M59" i="22" s="1"/>
  <c r="M24" i="34" s="1"/>
  <c r="N25" i="33" l="1"/>
  <c r="O25" i="33" l="1"/>
  <c r="O26" i="33" s="1"/>
  <c r="O23" i="34" s="1"/>
  <c r="N26" i="33"/>
  <c r="N23" i="34" s="1"/>
  <c r="L25" i="33"/>
  <c r="P25" i="33"/>
  <c r="P26" i="33" s="1"/>
  <c r="P23" i="34" s="1"/>
  <c r="M25" i="33"/>
  <c r="M26" i="33" s="1"/>
  <c r="M23" i="34" s="1"/>
  <c r="L26" i="33" l="1"/>
  <c r="L23" i="34" s="1"/>
  <c r="J25" i="33"/>
  <c r="J26" i="33" l="1"/>
  <c r="J32" i="41" l="1"/>
  <c r="J31" i="41"/>
  <c r="J30" i="41"/>
  <c r="J29" i="41"/>
  <c r="M24" i="36"/>
  <c r="H15" i="22"/>
  <c r="P33" i="22" s="1"/>
  <c r="O32" i="36"/>
  <c r="L22" i="27"/>
  <c r="J18" i="41"/>
  <c r="J15" i="41"/>
  <c r="J14" i="41"/>
  <c r="M57" i="31" l="1"/>
  <c r="E81" i="43"/>
  <c r="P54" i="22"/>
  <c r="O33" i="22"/>
  <c r="O31" i="22"/>
  <c r="P32" i="22"/>
  <c r="O32" i="22"/>
  <c r="P31" i="22"/>
  <c r="P30" i="38"/>
  <c r="P24" i="36"/>
  <c r="L24" i="27"/>
  <c r="L14" i="37" s="1"/>
  <c r="L24" i="36"/>
  <c r="L16" i="37"/>
  <c r="O24" i="36"/>
  <c r="J31" i="22" l="1"/>
  <c r="J32" i="22"/>
  <c r="O54" i="22"/>
  <c r="J54" i="22" s="1"/>
  <c r="J33" i="22"/>
  <c r="P53" i="22"/>
  <c r="P55" i="22" s="1"/>
  <c r="P58" i="22" s="1"/>
  <c r="P59" i="22" s="1"/>
  <c r="P24" i="34" s="1"/>
  <c r="O53" i="22"/>
  <c r="M23" i="36"/>
  <c r="N23" i="36"/>
  <c r="O23" i="36"/>
  <c r="P23" i="36"/>
  <c r="O62" i="36"/>
  <c r="M41" i="36"/>
  <c r="N41" i="36"/>
  <c r="O41" i="36"/>
  <c r="P41" i="36"/>
  <c r="M42" i="36"/>
  <c r="N42" i="36"/>
  <c r="O42" i="36"/>
  <c r="P42" i="36"/>
  <c r="L42" i="36"/>
  <c r="L41" i="36"/>
  <c r="M30" i="36"/>
  <c r="N30" i="36"/>
  <c r="O30" i="36"/>
  <c r="M31" i="36"/>
  <c r="N31" i="36"/>
  <c r="O31" i="36"/>
  <c r="L31" i="36"/>
  <c r="L30" i="36"/>
  <c r="M28" i="36"/>
  <c r="N28" i="36"/>
  <c r="O28" i="36"/>
  <c r="O35" i="36" s="1"/>
  <c r="F43" i="44" s="1"/>
  <c r="P28" i="36"/>
  <c r="M29" i="36"/>
  <c r="N29" i="36"/>
  <c r="O29" i="36"/>
  <c r="P29" i="36"/>
  <c r="L29" i="36"/>
  <c r="H18" i="36"/>
  <c r="O34" i="38"/>
  <c r="O57" i="38" s="1"/>
  <c r="H64" i="21" s="1"/>
  <c r="O33" i="38"/>
  <c r="O56" i="38" s="1"/>
  <c r="H63" i="21" s="1"/>
  <c r="O55" i="22" l="1"/>
  <c r="J53" i="22"/>
  <c r="O58" i="22"/>
  <c r="O59" i="22" s="1"/>
  <c r="O24" i="34" s="1"/>
  <c r="J55" i="22"/>
  <c r="O38" i="36"/>
  <c r="F42" i="44" s="1"/>
  <c r="P38" i="36"/>
  <c r="G42" i="44" s="1"/>
  <c r="O36" i="36"/>
  <c r="P36" i="36"/>
  <c r="G44" i="44" s="1"/>
  <c r="P35" i="36"/>
  <c r="G43" i="44" s="1"/>
  <c r="O37" i="36"/>
  <c r="F41" i="44" s="1"/>
  <c r="P37" i="36"/>
  <c r="G41" i="44" s="1"/>
  <c r="O59" i="36" l="1"/>
  <c r="O60" i="36" s="1"/>
  <c r="F44" i="44"/>
  <c r="P59" i="36"/>
  <c r="O19" i="38"/>
  <c r="L33" i="37" l="1"/>
  <c r="H15" i="21" s="1"/>
  <c r="M54" i="31" l="1"/>
  <c r="M55" i="31"/>
  <c r="M53" i="31"/>
  <c r="H13" i="31"/>
  <c r="M63" i="31"/>
  <c r="M101" i="31" l="1"/>
  <c r="H44" i="21" s="1"/>
  <c r="M103" i="31"/>
  <c r="H46" i="21" s="1"/>
  <c r="M102" i="31"/>
  <c r="H45" i="21" s="1"/>
  <c r="M17" i="31" l="1"/>
  <c r="M18" i="31"/>
  <c r="M19" i="31"/>
  <c r="M20" i="31"/>
  <c r="M21" i="31"/>
  <c r="M22" i="31"/>
  <c r="M23" i="31"/>
  <c r="M24" i="31"/>
  <c r="M25" i="31"/>
  <c r="M26" i="31"/>
  <c r="M27" i="31"/>
  <c r="M28" i="31"/>
  <c r="M29" i="31"/>
  <c r="M30" i="31"/>
  <c r="M31" i="31"/>
  <c r="M16" i="31"/>
  <c r="B30" i="31"/>
  <c r="B91" i="31" s="1"/>
  <c r="B31" i="31"/>
  <c r="B92" i="31" s="1"/>
  <c r="B28" i="31"/>
  <c r="B89" i="31" s="1"/>
  <c r="B29" i="31"/>
  <c r="B90" i="31" s="1"/>
  <c r="B17" i="31"/>
  <c r="B78" i="31" s="1"/>
  <c r="B18" i="31"/>
  <c r="B79" i="31" s="1"/>
  <c r="B19" i="31"/>
  <c r="B80" i="31" s="1"/>
  <c r="B20" i="31"/>
  <c r="B81" i="31" s="1"/>
  <c r="B21" i="31"/>
  <c r="B82" i="31" s="1"/>
  <c r="B22" i="31"/>
  <c r="B83" i="31" s="1"/>
  <c r="B23" i="31"/>
  <c r="B84" i="31" s="1"/>
  <c r="B24" i="31"/>
  <c r="B85" i="31" s="1"/>
  <c r="B25" i="31"/>
  <c r="B86" i="31" s="1"/>
  <c r="B26" i="31"/>
  <c r="B87" i="31" s="1"/>
  <c r="B27" i="31"/>
  <c r="B88" i="31" s="1"/>
  <c r="B16" i="31"/>
  <c r="B77" i="31" l="1"/>
  <c r="M73" i="31"/>
  <c r="M19" i="36"/>
  <c r="N19" i="36"/>
  <c r="J46" i="36"/>
  <c r="J45" i="36"/>
  <c r="N38" i="36"/>
  <c r="M38" i="36"/>
  <c r="N37" i="36"/>
  <c r="L37" i="36"/>
  <c r="L55" i="36" s="1"/>
  <c r="L56" i="36" s="1"/>
  <c r="N36" i="36"/>
  <c r="M36" i="36"/>
  <c r="L36" i="36"/>
  <c r="N35" i="36"/>
  <c r="L35" i="36"/>
  <c r="L59" i="36" l="1"/>
  <c r="N59" i="36"/>
  <c r="P55" i="36"/>
  <c r="P56" i="36" s="1"/>
  <c r="J28" i="36"/>
  <c r="J29" i="36"/>
  <c r="J31" i="36"/>
  <c r="J30" i="36"/>
  <c r="J62" i="36"/>
  <c r="N54" i="36"/>
  <c r="N55" i="36"/>
  <c r="N56" i="36" s="1"/>
  <c r="M35" i="36"/>
  <c r="M59" i="36" s="1"/>
  <c r="M37" i="36"/>
  <c r="L38" i="36"/>
  <c r="L54" i="36" s="1"/>
  <c r="P60" i="36" l="1"/>
  <c r="P54" i="36"/>
  <c r="J36" i="36"/>
  <c r="J38" i="36"/>
  <c r="J37" i="36"/>
  <c r="O64" i="36"/>
  <c r="O73" i="36" s="1"/>
  <c r="J35" i="36"/>
  <c r="M61" i="36"/>
  <c r="M63" i="36" s="1"/>
  <c r="N61" i="36"/>
  <c r="N63" i="36" s="1"/>
  <c r="N60" i="36"/>
  <c r="O55" i="36"/>
  <c r="O56" i="36" s="1"/>
  <c r="M54" i="36"/>
  <c r="M55" i="36"/>
  <c r="M56" i="36" s="1"/>
  <c r="P61" i="36" l="1"/>
  <c r="P63" i="36" s="1"/>
  <c r="M60" i="36"/>
  <c r="J55" i="36"/>
  <c r="O61" i="36"/>
  <c r="O70" i="36" s="1"/>
  <c r="J70" i="36" s="1"/>
  <c r="J22" i="24" l="1"/>
  <c r="J21" i="24"/>
  <c r="J15" i="24"/>
  <c r="J14" i="24"/>
  <c r="O39" i="36" l="1"/>
  <c r="J32" i="36"/>
  <c r="H35" i="18"/>
  <c r="H14" i="34" s="1"/>
  <c r="M43" i="34" s="1"/>
  <c r="J43" i="34" s="1"/>
  <c r="H34" i="18"/>
  <c r="H13" i="34" s="1"/>
  <c r="L40" i="34" s="1"/>
  <c r="H24" i="18"/>
  <c r="H27" i="18" s="1"/>
  <c r="H17" i="36" s="1"/>
  <c r="J40" i="34" l="1"/>
  <c r="L21" i="37"/>
  <c r="M37" i="34"/>
  <c r="M37" i="31" s="1"/>
  <c r="L37" i="34"/>
  <c r="N37" i="34"/>
  <c r="O37" i="34"/>
  <c r="O25" i="38" s="1"/>
  <c r="P37" i="34"/>
  <c r="P25" i="38" s="1"/>
  <c r="L35" i="34"/>
  <c r="L38" i="34"/>
  <c r="O44" i="34"/>
  <c r="O20" i="38" s="1"/>
  <c r="O41" i="38" s="1"/>
  <c r="P38" i="34"/>
  <c r="P26" i="38" s="1"/>
  <c r="M44" i="34"/>
  <c r="O38" i="34"/>
  <c r="O26" i="38" s="1"/>
  <c r="M38" i="34"/>
  <c r="M38" i="31" s="1"/>
  <c r="N38" i="34"/>
  <c r="N39" i="34"/>
  <c r="P36" i="34"/>
  <c r="P24" i="38" s="1"/>
  <c r="M36" i="34"/>
  <c r="M36" i="31" s="1"/>
  <c r="L36" i="34"/>
  <c r="N36" i="34"/>
  <c r="N18" i="40" s="1"/>
  <c r="M41" i="31"/>
  <c r="M64" i="31" s="1"/>
  <c r="O36" i="34"/>
  <c r="O24" i="38" s="1"/>
  <c r="N69" i="36"/>
  <c r="N71" i="36"/>
  <c r="E58" i="44" s="1"/>
  <c r="P71" i="36"/>
  <c r="O72" i="36"/>
  <c r="M69" i="36"/>
  <c r="M71" i="36"/>
  <c r="P69" i="36"/>
  <c r="P76" i="36" s="1"/>
  <c r="J39" i="36"/>
  <c r="O54" i="36"/>
  <c r="O69" i="36" s="1"/>
  <c r="N20" i="40" l="1"/>
  <c r="E52" i="44"/>
  <c r="N19" i="40"/>
  <c r="E51" i="44"/>
  <c r="J44" i="34"/>
  <c r="P23" i="38"/>
  <c r="P63" i="38" s="1"/>
  <c r="P64" i="38" s="1"/>
  <c r="N21" i="40"/>
  <c r="J39" i="34"/>
  <c r="L20" i="37"/>
  <c r="J35" i="34"/>
  <c r="L22" i="37"/>
  <c r="J36" i="34"/>
  <c r="L23" i="37"/>
  <c r="J37" i="34"/>
  <c r="L24" i="37"/>
  <c r="J38" i="34"/>
  <c r="N76" i="36"/>
  <c r="N17" i="40" s="1"/>
  <c r="O76" i="36"/>
  <c r="O23" i="38" s="1"/>
  <c r="O49" i="38" s="1"/>
  <c r="O50" i="38" s="1"/>
  <c r="H57" i="21" s="1"/>
  <c r="E16" i="44" s="1"/>
  <c r="M76" i="36"/>
  <c r="J54" i="36"/>
  <c r="L61" i="36"/>
  <c r="L63" i="36" s="1"/>
  <c r="L71" i="36" s="1"/>
  <c r="L60" i="36"/>
  <c r="J59" i="36"/>
  <c r="B16" i="10"/>
  <c r="B23" i="10" s="1"/>
  <c r="M35" i="31" l="1"/>
  <c r="M72" i="31" s="1"/>
  <c r="F78" i="43" s="1"/>
  <c r="F76" i="43"/>
  <c r="L76" i="36"/>
  <c r="N31" i="40"/>
  <c r="M74" i="31"/>
  <c r="J60" i="36"/>
  <c r="J61" i="36"/>
  <c r="B17" i="10"/>
  <c r="N39" i="40" l="1"/>
  <c r="E60" i="44"/>
  <c r="M93" i="31"/>
  <c r="H38" i="21" s="1"/>
  <c r="E35" i="43" s="1"/>
  <c r="E17" i="43"/>
  <c r="L19" i="37"/>
  <c r="L29" i="37" s="1"/>
  <c r="E76" i="43"/>
  <c r="M81" i="31"/>
  <c r="H26" i="21" s="1"/>
  <c r="E23" i="43" s="1"/>
  <c r="M88" i="31"/>
  <c r="H33" i="21" s="1"/>
  <c r="E30" i="43" s="1"/>
  <c r="M85" i="31"/>
  <c r="H30" i="21" s="1"/>
  <c r="E27" i="43" s="1"/>
  <c r="M84" i="31"/>
  <c r="H29" i="21" s="1"/>
  <c r="E26" i="43" s="1"/>
  <c r="M80" i="31"/>
  <c r="H25" i="21" s="1"/>
  <c r="E22" i="43" s="1"/>
  <c r="M90" i="31"/>
  <c r="H35" i="21" s="1"/>
  <c r="E32" i="43" s="1"/>
  <c r="M89" i="31"/>
  <c r="H34" i="21" s="1"/>
  <c r="E31" i="43" s="1"/>
  <c r="M86" i="31"/>
  <c r="H31" i="21" s="1"/>
  <c r="E28" i="43" s="1"/>
  <c r="M83" i="31"/>
  <c r="H28" i="21" s="1"/>
  <c r="E25" i="43" s="1"/>
  <c r="M78" i="31"/>
  <c r="H23" i="21" s="1"/>
  <c r="E20" i="43" s="1"/>
  <c r="M82" i="31"/>
  <c r="H27" i="21" s="1"/>
  <c r="E24" i="43" s="1"/>
  <c r="M87" i="31"/>
  <c r="H32" i="21" s="1"/>
  <c r="E29" i="43" s="1"/>
  <c r="M91" i="31"/>
  <c r="H36" i="21" s="1"/>
  <c r="E33" i="43" s="1"/>
  <c r="M92" i="31"/>
  <c r="H37" i="21" s="1"/>
  <c r="E34" i="43" s="1"/>
  <c r="M77" i="31"/>
  <c r="H22" i="21" s="1"/>
  <c r="E19" i="43" s="1"/>
  <c r="M79" i="31"/>
  <c r="H24" i="21" s="1"/>
  <c r="E21" i="43" s="1"/>
  <c r="J76" i="36"/>
  <c r="J69" i="36"/>
  <c r="B18" i="10"/>
  <c r="B22" i="10" s="1"/>
  <c r="L32" i="37" l="1"/>
  <c r="H14" i="21" s="1"/>
  <c r="E9" i="43" s="1"/>
  <c r="E78" i="43"/>
  <c r="N25" i="40"/>
  <c r="N34" i="40" s="1"/>
  <c r="L34" i="37" l="1"/>
  <c r="H16" i="21" s="1"/>
  <c r="L49" i="31" l="1"/>
  <c r="M62" i="31" s="1"/>
  <c r="M67" i="31" s="1"/>
  <c r="H19" i="21" s="1"/>
  <c r="E14" i="43" s="1"/>
  <c r="N24" i="40" l="1"/>
  <c r="N35" i="40" s="1"/>
  <c r="N40" i="40" l="1"/>
  <c r="N16" i="38" s="1"/>
  <c r="N40" i="38" s="1"/>
  <c r="O44" i="38" s="1"/>
  <c r="H54" i="21" s="1"/>
  <c r="E14" i="44" s="1"/>
  <c r="N36" i="40"/>
  <c r="E61" i="44" s="1"/>
  <c r="H51" i="21" l="1"/>
  <c r="E9" i="44" s="1"/>
  <c r="N62" i="38"/>
  <c r="P65" i="38" s="1"/>
  <c r="H67" i="21" s="1"/>
  <c r="E24"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2"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54" authorId="0" shapeId="0" xr:uid="{F4C00F2E-D804-4583-B2F1-6DDAD1C577D7}">
      <text>
        <r>
          <rPr>
            <sz val="8"/>
            <color indexed="81"/>
            <rFont val="Tahoma"/>
            <family val="2"/>
          </rPr>
          <t>Income related to new connections is deducted from fixed operational costs</t>
        </r>
      </text>
    </comment>
    <comment ref="O76" authorId="0" shapeId="0" xr:uid="{3C474922-ABBA-4CEF-807D-FF7FD1273BF1}">
      <text>
        <r>
          <rPr>
            <sz val="8"/>
            <color indexed="81"/>
            <rFont val="Tahoma"/>
            <family val="2"/>
          </rPr>
          <t>Including estimate extra capital costs for new water connections compared to the number of connections in 2020.</t>
        </r>
      </text>
    </comment>
  </commentList>
</comments>
</file>

<file path=xl/sharedStrings.xml><?xml version="1.0" encoding="utf-8"?>
<sst xmlns="http://schemas.openxmlformats.org/spreadsheetml/2006/main" count="1659" uniqueCount="738">
  <si>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</si>
  <si>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</si>
  <si>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</si>
  <si>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</si>
  <si>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</si>
  <si>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</si>
  <si>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</si>
  <si>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</si>
  <si>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</si>
  <si>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</si>
  <si>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</si>
  <si>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</si>
  <si>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</si>
  <si>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</si>
  <si>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</si>
  <si>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</si>
  <si>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</si>
  <si>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</si>
  <si>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</si>
  <si>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</si>
  <si>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</si>
  <si>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</si>
  <si>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</si>
  <si>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</si>
  <si>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</si>
  <si>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</si>
  <si>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</si>
  <si>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</si>
  <si>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</si>
  <si>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</si>
  <si>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</si>
  <si>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</si>
  <si>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</si>
  <si>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</si>
  <si>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</si>
  <si>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</si>
  <si>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</si>
  <si>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</si>
  <si>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Row total</t>
  </si>
  <si>
    <t>Remarks</t>
  </si>
  <si>
    <t>Source</t>
  </si>
  <si>
    <t>Collecting input data</t>
  </si>
  <si>
    <t>Cover sheet</t>
  </si>
  <si>
    <t>Belongs to decision(s):</t>
  </si>
  <si>
    <t>Reference number of decision(s)</t>
  </si>
  <si>
    <t>If applicable</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</si>
  <si>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</si>
  <si>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</si>
  <si>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</si>
  <si>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</si>
  <si>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</si>
  <si>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</si>
  <si>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</si>
  <si>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Input or calculation that is not yet up-to-date or work in progress</t>
  </si>
  <si>
    <t>Sheet that is not yet up-to-date/work in progress</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</si>
  <si>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</si>
  <si>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</si>
  <si>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</si>
  <si>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</si>
  <si>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</si>
  <si>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</si>
  <si>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</si>
  <si>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</si>
  <si>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doe this file contain business-confidential information? (y/n)</t>
  </si>
  <si>
    <t>This calculation is developed in the standardized format used by the Energy Department of ACM (based on version 5, june 2021)</t>
  </si>
  <si>
    <t>[ END OF SHEET ]</t>
  </si>
  <si>
    <t>ACM case number and/or reference</t>
  </si>
  <si>
    <t>Parameters</t>
  </si>
  <si>
    <t>Description data</t>
  </si>
  <si>
    <t>Explanatory notes</t>
  </si>
  <si>
    <t xml:space="preserve">The development of the CPI of Q3 year T and Q3 year T-1 will be used as the estimated inflation for the year T+1. The estimated inflation is rounded to one decimal. </t>
  </si>
  <si>
    <t>As of the development of the CPI between Q3 2017 and Q3 2018, the 2017 = 100 serie is used. Before this, the 2010 = 100 serie has been used.</t>
  </si>
  <si>
    <t xml:space="preserve">Electricity production </t>
  </si>
  <si>
    <t>Electricity distribution</t>
  </si>
  <si>
    <t>Water production</t>
  </si>
  <si>
    <t>Water distribution</t>
  </si>
  <si>
    <t>Water truck delivery</t>
  </si>
  <si>
    <t xml:space="preserve">CPI </t>
  </si>
  <si>
    <t>Parameters CPI calculation - COVID-subsidies 2020</t>
  </si>
  <si>
    <t>Original CPI 2020 Q3</t>
  </si>
  <si>
    <t>CPI CBS (2017 = 100)</t>
  </si>
  <si>
    <t>Original CPI 2021 Q3</t>
  </si>
  <si>
    <t>Original CPI 2022 Q3</t>
  </si>
  <si>
    <t>Alternative CPI ('afgeleid') 2020 Q3</t>
  </si>
  <si>
    <t>CBS data on CPI for 2020, corrected for COVID-19 impact</t>
  </si>
  <si>
    <t>Alternative CPI (constructed) 2021 Q3</t>
  </si>
  <si>
    <t>Estimated inflation parameters</t>
  </si>
  <si>
    <t>Estimated inflation 2023</t>
  </si>
  <si>
    <t>%</t>
  </si>
  <si>
    <t>Covid subsidies stopped in January 2022; the estimation of the inflation for 2023 is no longer influenced by subsidies.</t>
  </si>
  <si>
    <t>Estimated inflation 2024</t>
  </si>
  <si>
    <t xml:space="preserve">WACC </t>
  </si>
  <si>
    <t>ACM WACC decision 2023-2025</t>
  </si>
  <si>
    <t>Legal interest rate (to be used for the time-value of tariff corrections)</t>
  </si>
  <si>
    <t>Wettelijke rente CNL ('legal fixed interest rate')</t>
  </si>
  <si>
    <t>Wettelijke rente CNL</t>
  </si>
  <si>
    <t>Compounded legal fixed interest rate over 2022 - 2024</t>
  </si>
  <si>
    <t>Compounded legal fixed interest rate over 2023 - 2024</t>
  </si>
  <si>
    <t>Variable part of OPEX</t>
  </si>
  <si>
    <t>Based on analysis by ACM on fixed/variable costs in the Caribbean Netherlands and as used in the 2023 decisions.</t>
  </si>
  <si>
    <t>Variable part of capital costs</t>
  </si>
  <si>
    <t>Based on assumption by ACM on fixed/variable costs in the Caribbean Netherlands and as used in the 2023 decisions.</t>
  </si>
  <si>
    <t xml:space="preserve">Description data </t>
  </si>
  <si>
    <t xml:space="preserve">Description </t>
  </si>
  <si>
    <t xml:space="preserve">Unit </t>
  </si>
  <si>
    <t xml:space="preserve">Constant </t>
  </si>
  <si>
    <t xml:space="preserve">Row total </t>
  </si>
  <si>
    <t>Input from the OPEX-model</t>
  </si>
  <si>
    <t>USD, pl 2022</t>
  </si>
  <si>
    <t>OPEX-model, sheet "Output"; row 11</t>
  </si>
  <si>
    <t>Other income 2022</t>
  </si>
  <si>
    <t>OPEX-model, sheet "Output"; row 12</t>
  </si>
  <si>
    <t>Input from the RAB-model</t>
  </si>
  <si>
    <t>RAB-value ultimo 2022</t>
  </si>
  <si>
    <t>USD</t>
  </si>
  <si>
    <t>RAB-model, sheet "Output"; row 47</t>
  </si>
  <si>
    <t>RAB-value does not relate to any price level due to the use of a nominal WACC.</t>
  </si>
  <si>
    <t>Depreciation 2022</t>
  </si>
  <si>
    <t>RAB-model, sheet "Output"; row 48</t>
  </si>
  <si>
    <t>Depreciation does not relate to any price level due to the use of a nominal WACC.</t>
  </si>
  <si>
    <t>Addition in RAB due to new water connections 2024</t>
  </si>
  <si>
    <t>ACM analysis RAB and depreciation calculation</t>
  </si>
  <si>
    <t>Addition in depreciation due to new water connections 2024</t>
  </si>
  <si>
    <t>Realized volumes</t>
  </si>
  <si>
    <t>(see column)</t>
  </si>
  <si>
    <t>kWh</t>
  </si>
  <si>
    <t>kVA</t>
  </si>
  <si>
    <t>m3</t>
  </si>
  <si>
    <t>connections</t>
  </si>
  <si>
    <t>Realized volume 2022</t>
  </si>
  <si>
    <t>Electricity production 2022; Electricity connections 2022; Water production 2022; Water connections 2022; Distributed water 2022</t>
  </si>
  <si>
    <t>Estimated production data electricity</t>
  </si>
  <si>
    <t>Estimated production by solar in 2024</t>
  </si>
  <si>
    <t xml:space="preserve">kWh </t>
  </si>
  <si>
    <t>Estimated electricity production 2024</t>
  </si>
  <si>
    <t>Estimated production by fuel in 2024</t>
  </si>
  <si>
    <t>Estimated total production in 2024</t>
  </si>
  <si>
    <t>Estimated total production first half 2024</t>
  </si>
  <si>
    <t>Estimated share of production with fuel in 2024</t>
  </si>
  <si>
    <t>liters</t>
  </si>
  <si>
    <t>Fuel model, sheet "Data production"; sum of cells L15:W15</t>
  </si>
  <si>
    <t>Fuel model, sheet "Data production"; sum of cells L16:W16</t>
  </si>
  <si>
    <t>liters/kWh</t>
  </si>
  <si>
    <t>Most recent fuel price</t>
  </si>
  <si>
    <t>USD/liter</t>
  </si>
  <si>
    <t>Estimated production data water</t>
  </si>
  <si>
    <t>Estimated production volume 2024</t>
  </si>
  <si>
    <t>Estimated water production 2024</t>
  </si>
  <si>
    <t>Production yield based on electricity</t>
  </si>
  <si>
    <t>kWh/m3</t>
  </si>
  <si>
    <t>Estimated distribution data</t>
  </si>
  <si>
    <t>Estimated network losses 2024 in %</t>
  </si>
  <si>
    <t>Net losses electricity 2024; Net losses water 2024</t>
  </si>
  <si>
    <t>Tariff for new connection in 2023</t>
  </si>
  <si>
    <t>Tariff for new water connection in 2023</t>
  </si>
  <si>
    <t>USD, pl 2023</t>
  </si>
  <si>
    <t>Tariff for road crossing, per meter</t>
  </si>
  <si>
    <t>Tariff new electricity connection 3,2 and 7,7 kVA (incl. up to 25 meters)</t>
  </si>
  <si>
    <t>Tariff for road crossing for 3,2 kVA connection, per meter</t>
  </si>
  <si>
    <t>Tariff for road crossing for 7,7 kVA connection, per meter</t>
  </si>
  <si>
    <t>Reconnection fee</t>
  </si>
  <si>
    <t>Income associated with new water connections</t>
  </si>
  <si>
    <t>Number of new connections in 2022</t>
  </si>
  <si>
    <t>#</t>
  </si>
  <si>
    <t>New water connnections 2022</t>
  </si>
  <si>
    <t>Tariff for new connections in 2022</t>
  </si>
  <si>
    <t>Rekenmodel STUCO 2022, sheet "Tariffs drinking water"; row 69</t>
  </si>
  <si>
    <t>Excluding mark-up for road crossings.</t>
  </si>
  <si>
    <t xml:space="preserve">Income associated with new connections </t>
  </si>
  <si>
    <t>This calculation is added, since the income from new drinking water connections is lower than the associated costs, due to a specific tariff arrangement.</t>
  </si>
  <si>
    <t>Distributed water 2024</t>
  </si>
  <si>
    <t>Tariff categories and volumes 2024</t>
  </si>
  <si>
    <t>For electricity, the tariff category is determined by the kVA of the connection.</t>
  </si>
  <si>
    <t>Number of connections per kVA</t>
  </si>
  <si>
    <t># connections</t>
  </si>
  <si>
    <t>Total estimated volume</t>
  </si>
  <si>
    <t>Number of connections for water</t>
  </si>
  <si>
    <t>Expected number of connections in 2024</t>
  </si>
  <si>
    <t>Water connections 2024</t>
  </si>
  <si>
    <t>Standardized sheets with general information about this file</t>
  </si>
  <si>
    <t>CPI CBS</t>
  </si>
  <si>
    <t>https://opendata.cbs.nl/statline/#/CBS/nl/dataset/84046NED/table</t>
  </si>
  <si>
    <t>https://www.cbs.nl/nl-nl/maatwerk/2021/45/cpi-caribisch-nederland-exclusief-covid-19-toeslagen</t>
  </si>
  <si>
    <t>https://wetten.overheid.nl/BWBR0030649/2011-11-18</t>
  </si>
  <si>
    <t>Besluit WACC Caribisch Nederland 2023-2025</t>
  </si>
  <si>
    <t>https://www.acm.nl/nl/publicaties/wacc-elektriciteit-en-drinkwater-caribisch-nederland-2023-2025</t>
  </si>
  <si>
    <t>OPEX-model</t>
  </si>
  <si>
    <t>RAB-model</t>
  </si>
  <si>
    <t>Electricity production 2022</t>
  </si>
  <si>
    <t>Electricity connections 2022</t>
  </si>
  <si>
    <t>Water production 2022</t>
  </si>
  <si>
    <t>16. STUCO Overview production Water in M3 in 2021 (4. B3 PRODUCTION STUCO production of Water in M3 for 2021)</t>
  </si>
  <si>
    <t>Water connections 2022</t>
  </si>
  <si>
    <t>13. STUCO Drinking Water Connections for 2021</t>
  </si>
  <si>
    <t>Distributed water 2022</t>
  </si>
  <si>
    <t>17. STUCO distributed Water M3 per category for 2021</t>
  </si>
  <si>
    <t>Fuel model</t>
  </si>
  <si>
    <t>Net losses electricity 2024</t>
  </si>
  <si>
    <t>Net losses water 2024</t>
  </si>
  <si>
    <t>Beschikking productieprijs elektriciteit 2023 Sint Eustatius STUCO | ACM.nl</t>
  </si>
  <si>
    <t>https://www.acm.nl/nl/publicaties/beschikking-productieprijs-elektriciteit-2022-sint-eustatius-stuco-caribisch-nederland</t>
  </si>
  <si>
    <t>Revised tariff model 2023</t>
  </si>
  <si>
    <t>STUCO tariff model 2023 foutberekening</t>
  </si>
  <si>
    <t>This sheet seperates different types of sheets and is intentionally left blank</t>
  </si>
  <si>
    <t>Data on corrections</t>
  </si>
  <si>
    <t>USD, pl 2024</t>
  </si>
  <si>
    <t>Profit sharing: network losses 2022</t>
  </si>
  <si>
    <t>Energy cost correction 2023</t>
  </si>
  <si>
    <t>Corrections as calculated in fuel model</t>
  </si>
  <si>
    <t>Fuel cost correction</t>
  </si>
  <si>
    <t>Fuel model, sheet "Fuel cost correction", row 21</t>
  </si>
  <si>
    <t>Fuel model, sheet "Fuel component correction", row 27</t>
  </si>
  <si>
    <t>Corrections as calculated in revised tariff model 2023</t>
  </si>
  <si>
    <t>Correction income level 2023 before corrections due to error</t>
  </si>
  <si>
    <t>Revised tariff model 2023, sheet "Calculation income level", row 51</t>
  </si>
  <si>
    <t>Applicable period</t>
  </si>
  <si>
    <t>Production price</t>
  </si>
  <si>
    <t>Production price excl fuel</t>
  </si>
  <si>
    <t>USD/kWh, pl 2024</t>
  </si>
  <si>
    <t xml:space="preserve">Production price incl fuel </t>
  </si>
  <si>
    <t>Variable distribution tariff</t>
  </si>
  <si>
    <t>January - June 2024</t>
  </si>
  <si>
    <t>2024 whole year</t>
  </si>
  <si>
    <t>Fixed distribution tariff per kVA category</t>
  </si>
  <si>
    <t>USD/month, pl 2024</t>
  </si>
  <si>
    <t>3,2</t>
  </si>
  <si>
    <t>7,7</t>
  </si>
  <si>
    <t>13,3</t>
  </si>
  <si>
    <t>30,4</t>
  </si>
  <si>
    <t>38,0</t>
  </si>
  <si>
    <t>11,0</t>
  </si>
  <si>
    <t>19,0</t>
  </si>
  <si>
    <t>47,5</t>
  </si>
  <si>
    <t>13,9</t>
  </si>
  <si>
    <t>23,9</t>
  </si>
  <si>
    <t>60,8</t>
  </si>
  <si>
    <t>85,5</t>
  </si>
  <si>
    <t>119,7</t>
  </si>
  <si>
    <t>Tariff for reconnection</t>
  </si>
  <si>
    <t>Tariff for connection</t>
  </si>
  <si>
    <t>Connection 3,2 and 7,7 kVA (incl. up to 25 meters)</t>
  </si>
  <si>
    <t>The reconnection fee is set fixed at USD 40.</t>
  </si>
  <si>
    <t>175,0</t>
  </si>
  <si>
    <t>95,0</t>
  </si>
  <si>
    <t>76,0</t>
  </si>
  <si>
    <t>Production price per m3 (incl electricity costs)</t>
  </si>
  <si>
    <t>USD/m3, pl 2024</t>
  </si>
  <si>
    <t>Variable distribution tariff water 2024</t>
  </si>
  <si>
    <t>Fixed distribution tariff</t>
  </si>
  <si>
    <t>Tariff for reconnection 2024</t>
  </si>
  <si>
    <t>New connection tariff 2024</t>
  </si>
  <si>
    <t>Standard connection (incl. up to 25 meters)</t>
  </si>
  <si>
    <t>Tariff for road crossing for standard connection, per meter</t>
  </si>
  <si>
    <t>Distribution by truck</t>
  </si>
  <si>
    <t>Price distribution by truck</t>
  </si>
  <si>
    <t>Overview tariffs electricity 2024</t>
  </si>
  <si>
    <t>Overview tariffs drinking water 2024</t>
  </si>
  <si>
    <t>Electricity production</t>
  </si>
  <si>
    <t>Relevant data</t>
  </si>
  <si>
    <t>Expected percentage of water by truck 2023</t>
  </si>
  <si>
    <t>Income related to new connections</t>
  </si>
  <si>
    <t>Volume</t>
  </si>
  <si>
    <t>Calculation fixed-variable costs</t>
  </si>
  <si>
    <t>Fixed/variable operational costs</t>
  </si>
  <si>
    <t>For water distribution, income related to new connections is deducted from the fixed operational costs.</t>
  </si>
  <si>
    <t>Fixed/variable capital costs</t>
  </si>
  <si>
    <t>Capital cost (RAB*WACC+ depreciation)</t>
  </si>
  <si>
    <t>Extra estimated variable capital costs due to network growth</t>
  </si>
  <si>
    <t>USD / #</t>
  </si>
  <si>
    <t>Extra estimated variable capital costs per unit for network growth</t>
  </si>
  <si>
    <t>Depreciation in 2022</t>
  </si>
  <si>
    <t>Operational costs 2022 (excl. fuel and other income)</t>
  </si>
  <si>
    <t>Other income 2022 (excl. income new connections for water distribution)</t>
  </si>
  <si>
    <t>Operational costs 2022 (excl. fuel)</t>
  </si>
  <si>
    <t>Variable part of operational costs 2022</t>
  </si>
  <si>
    <t>Variable part of capital costs 2022</t>
  </si>
  <si>
    <t>Addition in RAB due to growth in water connections 2024</t>
  </si>
  <si>
    <t>Addition in depreciation due to growth in water connections 2024</t>
  </si>
  <si>
    <t>Realised volume 2022</t>
  </si>
  <si>
    <t>USD, pl 2022 / #</t>
  </si>
  <si>
    <t>Estimated fixed capital costs 2024</t>
  </si>
  <si>
    <t>Estimated variable capital costs 2024 (excl. addition new water connections)</t>
  </si>
  <si>
    <t>These extra variable costs apply to network growth for accommodating new water connections above the number of connections in 2022.</t>
  </si>
  <si>
    <t>Estimated variable capital costs 2022 per unit (excl. addition for network growth)</t>
  </si>
  <si>
    <t>Total estimated fixed costs 2024</t>
  </si>
  <si>
    <t>Total estimated regular variable capital costs 2024 (excl. addition new water connections)</t>
  </si>
  <si>
    <t>Total estimated regular variable capital costs includes all regular variable capital costs up to the realised volume of 2022.</t>
  </si>
  <si>
    <t>Total estimated variable costs 2024 per unit (excl. addition for network growth)</t>
  </si>
  <si>
    <t>USD, pl 2024 / #</t>
  </si>
  <si>
    <t>Estimated variable operational costs 2024 per unit (excl. addition for network growth)</t>
  </si>
  <si>
    <t>Extra estimated variable costs 2024 for network growth per new water connection</t>
  </si>
  <si>
    <t>These extra variable costs apply to network growth for accomodating new water connections above the number of connections in 2022.</t>
  </si>
  <si>
    <t>Fuel component correction May-October 2023</t>
  </si>
  <si>
    <t>Income level 2024 before corrections</t>
  </si>
  <si>
    <t>The income level before corrections is equal to the expected costs in 2024 including a reasonable return (WACC).</t>
  </si>
  <si>
    <t>Input</t>
  </si>
  <si>
    <t>Income level</t>
  </si>
  <si>
    <t>Estimated fuel efficiency 2024</t>
  </si>
  <si>
    <t>Estimated share production with fuel 2024</t>
  </si>
  <si>
    <t>Estimated total production 2024</t>
  </si>
  <si>
    <t>Fuel component</t>
  </si>
  <si>
    <t>Fuel data</t>
  </si>
  <si>
    <t>Expected number of connections per kVA</t>
  </si>
  <si>
    <t>Fuel Component Correction</t>
  </si>
  <si>
    <t>Fuel component correction will be applied to the variable usage tariff in the first half of 2024.</t>
  </si>
  <si>
    <t>WACC 2024</t>
  </si>
  <si>
    <t>Network losses</t>
  </si>
  <si>
    <t>Calculation Variable Distribution Tariff</t>
  </si>
  <si>
    <t xml:space="preserve">Production price including fuel </t>
  </si>
  <si>
    <t>Tariff calculation</t>
  </si>
  <si>
    <t>Calculating variables for the tariff</t>
  </si>
  <si>
    <t xml:space="preserve">Variable distribution tariff </t>
  </si>
  <si>
    <t>Calculation Fixed Distribution Tariff</t>
  </si>
  <si>
    <t>Income level per kVA per month</t>
  </si>
  <si>
    <t>USD/kVA/month</t>
  </si>
  <si>
    <t>Calculation Connection tariff</t>
  </si>
  <si>
    <t>Tariffs for connection 2023</t>
  </si>
  <si>
    <t>Tariffs for connection 2024</t>
  </si>
  <si>
    <t>Production data</t>
  </si>
  <si>
    <t>Estimated volume</t>
  </si>
  <si>
    <t>Tariffs electricity</t>
  </si>
  <si>
    <t>Variable distribution tariff electricity 2024</t>
  </si>
  <si>
    <t>Fixed electricity costs for water production facility</t>
  </si>
  <si>
    <t>Calculating energy cost</t>
  </si>
  <si>
    <t>Calculating production price</t>
  </si>
  <si>
    <t>Production price per m3 (excl electricity costs)</t>
  </si>
  <si>
    <t>Estimated network losses 2024</t>
  </si>
  <si>
    <t>Expected volume</t>
  </si>
  <si>
    <t>Calculation variable distribution tariff</t>
  </si>
  <si>
    <t>Calculation Production price</t>
  </si>
  <si>
    <t>Calculation fixed tariffs</t>
  </si>
  <si>
    <t>Fixed distribution tariff water 2024</t>
  </si>
  <si>
    <t>Price water by truck 2024</t>
  </si>
  <si>
    <t>Input for calculation new connection tariff</t>
  </si>
  <si>
    <t>Standard connection (incl. up to 25 meters) - tariff 2023</t>
  </si>
  <si>
    <t>Tariff for road crossing for standard connection, per meter - tariff 2023</t>
  </si>
  <si>
    <t>WACC 2022</t>
  </si>
  <si>
    <t>ACM WACC decision 2020-2022</t>
  </si>
  <si>
    <t>Profit sharing</t>
  </si>
  <si>
    <t>Profit sharing-percentage</t>
  </si>
  <si>
    <t>Total estimated fixed costs 2022</t>
  </si>
  <si>
    <t>Tariff decision 2022-1, sheet "Fixed-variable costs", row 62</t>
  </si>
  <si>
    <t>Total estimated regular variable capital costs 2022 (excl. addition new water connections)</t>
  </si>
  <si>
    <t>Tariff decision 2022-1, sheet "Fixed-variable costs", row 63</t>
  </si>
  <si>
    <t>Total estimated variable costs 2022 per unit (excl. addition for network growth)</t>
  </si>
  <si>
    <t>Tariff decision 2022-1, sheet "Fixed-variable costs", row 64-65</t>
  </si>
  <si>
    <t>Extra estimated variable costs 2022 for network growth per new water connection</t>
  </si>
  <si>
    <t>Tariff decision 2022-1, sheet "Fixed-variable costs", row 66</t>
  </si>
  <si>
    <t>Network losses 2022</t>
  </si>
  <si>
    <t>Realisation of water distributed by line in 2022</t>
  </si>
  <si>
    <t>Percentage water distribution by truck 2022</t>
  </si>
  <si>
    <t>Estimated production and distribution data</t>
  </si>
  <si>
    <t>Lost subsidy income</t>
  </si>
  <si>
    <t>Data on the energy cost correction</t>
  </si>
  <si>
    <t>Data on energy costs</t>
  </si>
  <si>
    <t>Total expected water production 2023</t>
  </si>
  <si>
    <t>Tariff decision 2023-1, sheet "Data on volumes and tariffs", cell N29</t>
  </si>
  <si>
    <t>Variable distribution tariff per 1 January 2023</t>
  </si>
  <si>
    <t>USD, pp 2023/kWh</t>
  </si>
  <si>
    <t>Tariff decision 2023-1, sheet "Tariffs electricity", cell M84</t>
  </si>
  <si>
    <t>Variable distribution tariff per 1 July 2023</t>
  </si>
  <si>
    <t>Tariff decision 2023-2, sheet "Result", cell H40</t>
  </si>
  <si>
    <t>Required amount of electricity for drinking water production 2023</t>
  </si>
  <si>
    <t>Tariff decision 2023-1, sheet "Data on volumes and tariffs", cell N31</t>
  </si>
  <si>
    <t>Expected share of water distribution in second half of the year 2023</t>
  </si>
  <si>
    <t>Expected share of 50% as is assumed in the 2023 decisions</t>
  </si>
  <si>
    <t>Estimated volume 2022</t>
  </si>
  <si>
    <t>Estimated network losses 2022</t>
  </si>
  <si>
    <t>Production price incl fuel (Jan-Jun 2022)</t>
  </si>
  <si>
    <t>USD/kWh, pl 2022</t>
  </si>
  <si>
    <t>Production price incl fuel (Jul-Dec 2022)</t>
  </si>
  <si>
    <t>Production price 2022</t>
  </si>
  <si>
    <t>USD/m3, pl 2022</t>
  </si>
  <si>
    <t>Tariff decision 2022-1, sheet "Data on volumes and tariffs"</t>
  </si>
  <si>
    <t>Tariff decision 2022-1, sheet "Tariffs electricity", cell L74</t>
  </si>
  <si>
    <t>Tariff decision 2022-2, sheet "Result", cell H21</t>
  </si>
  <si>
    <t>Tariff decision 2022-1, sheet "Tariffs drinking water", cell N56</t>
  </si>
  <si>
    <t>Realized volume 2020</t>
  </si>
  <si>
    <t>Calculation volume-effect correction 2022</t>
  </si>
  <si>
    <t xml:space="preserve">Description calculation </t>
  </si>
  <si>
    <t>On this sheet the ACM calculates the correction for the volume effect.</t>
  </si>
  <si>
    <t xml:space="preserve">Relevant data for volume-effect correction </t>
  </si>
  <si>
    <t>Input fixed costs</t>
  </si>
  <si>
    <t>Total estimated fixed costs for 2022</t>
  </si>
  <si>
    <t>Total lost subsidy income as a result of rising volumes in 2022</t>
  </si>
  <si>
    <t>Calculation volume-effect correction</t>
  </si>
  <si>
    <t>Calculation coverage of fixed costs</t>
  </si>
  <si>
    <t>Realized income to cover fixed costs 2022</t>
  </si>
  <si>
    <t>Volume-effect correction 2022</t>
  </si>
  <si>
    <t>Relevant data for profit sharing  correction</t>
  </si>
  <si>
    <t>Estimated costs</t>
  </si>
  <si>
    <t>Estimated fixed costs 2022</t>
  </si>
  <si>
    <t>Estimated variable costs 2022 per unit</t>
  </si>
  <si>
    <t>Realized costs</t>
  </si>
  <si>
    <t>Net operational costs 2022 (incl bad debt, excl fuel)</t>
  </si>
  <si>
    <t>Realized costs (after split water distribution by truck)</t>
  </si>
  <si>
    <t>Estimated costs for 2022</t>
  </si>
  <si>
    <t>Total estimated costs for 2022 adjusted for realized volume</t>
  </si>
  <si>
    <t>Realized costs for 2022</t>
  </si>
  <si>
    <t>Capital cost 2022 (RAB*WACC+ depreciation)</t>
  </si>
  <si>
    <t>Total realized costs for 2022</t>
  </si>
  <si>
    <t>Realized profit (loss) over 2022 for profit sharing</t>
  </si>
  <si>
    <t xml:space="preserve">Negative amount indicates realized costs were higher than estimated. </t>
  </si>
  <si>
    <t>Profit sharing correction 2022</t>
  </si>
  <si>
    <t>Calculation profit sharing correction for regular costs</t>
  </si>
  <si>
    <t>Production price incl fuel Jan-Jun 2022</t>
  </si>
  <si>
    <t>USD, pl 2022/kWh</t>
  </si>
  <si>
    <t>Production price incl fuel Jul-Dec 2022</t>
  </si>
  <si>
    <t>Average production price 2022</t>
  </si>
  <si>
    <t>ACM assumes an even distribution between the first and second half of 2022</t>
  </si>
  <si>
    <t>Realized network losses 2022</t>
  </si>
  <si>
    <t>Input for network losses</t>
  </si>
  <si>
    <t>Estimated costs of network losses 2022</t>
  </si>
  <si>
    <t>Realized costs of network losses 2022</t>
  </si>
  <si>
    <t>Realized profit (loss) over network losses 2022</t>
  </si>
  <si>
    <t>Profit sharing add-on for network losses 2022</t>
  </si>
  <si>
    <t>As a result of profit sharing, the income in 2024 will be increased by 50% of the difference between the realized and estimated costs.</t>
  </si>
  <si>
    <t>Calculation proft sharing correction for network losses</t>
  </si>
  <si>
    <t>Calculation of the energy cost correction for water production</t>
  </si>
  <si>
    <t>The correction for energy costs is based on the difference between the variable distribution tariff, as used in the calculation of the drinking water production price, and the variable distribution tariff that is set for the second half of the year.</t>
  </si>
  <si>
    <t>The difference between both prices results in an under- or overrecovery of electricity costs for the drinking water producer, which the energy cost correction corrects for.</t>
  </si>
  <si>
    <t>The energy cost correction is calculated for 2023, based on the variable distribution tariff as set in the semi-annual tariff decision for electricity distribution.</t>
  </si>
  <si>
    <t>USD, pl 2023/kWh</t>
  </si>
  <si>
    <t>Calculation of the energy cost correction</t>
  </si>
  <si>
    <t>Difference between estimated and adjusted distribution tariff per 1 July 2023</t>
  </si>
  <si>
    <t>Required amount of electricity for drinking water production in second half 2023</t>
  </si>
  <si>
    <t>Corrections in price level 2024</t>
  </si>
  <si>
    <t>Corrections caluclated in other models</t>
  </si>
  <si>
    <t>Corrections calculated in this model</t>
  </si>
  <si>
    <t>Overview corrections</t>
  </si>
  <si>
    <t>Fuel component correction May - October 2023</t>
  </si>
  <si>
    <t>The volume effect for distribution is corrected for the fact that subsidy income does not increase with rising volume</t>
  </si>
  <si>
    <t>Total fixed-variable costs and income level</t>
  </si>
  <si>
    <t>Fixed and variable costs</t>
  </si>
  <si>
    <t>WACC 2024 - Electricity production</t>
  </si>
  <si>
    <t>WACC 2024 - Electricity distribution</t>
  </si>
  <si>
    <t>WACC 2024 - Water production and distribution</t>
  </si>
  <si>
    <t>Calculation profit sharing</t>
  </si>
  <si>
    <t>On this sheet ACM calculates the profit sharing correction for regular costs and for network losses.</t>
  </si>
  <si>
    <t>Income level before corrections</t>
  </si>
  <si>
    <t>Income level after corrections</t>
  </si>
  <si>
    <t>Correction income level 2023 due to error</t>
  </si>
  <si>
    <t>Operational costs 2022 (excl fuel)</t>
  </si>
  <si>
    <t xml:space="preserve">Estimated volume 2024 </t>
  </si>
  <si>
    <t>Total expected kVA connected to the network in 2024</t>
  </si>
  <si>
    <t>Variable electricity costs per m3 water production</t>
  </si>
  <si>
    <t>Fixed electricity costs per m3 water production</t>
  </si>
  <si>
    <t xml:space="preserve">Profit sharing: add-on for network losses </t>
  </si>
  <si>
    <t xml:space="preserve">Profit sharing add-on for network losses </t>
  </si>
  <si>
    <t>Estimated volume 2024</t>
  </si>
  <si>
    <t>ACM/23/181663</t>
  </si>
  <si>
    <t>Berekening tarieven STUCO 2024</t>
  </si>
  <si>
    <t>Beschikking productieprijs elektriciteit 2024 STUCO
Beschikking productieprijs drinkwater 2024 STUCO
Beschikking distributietarieven elektriciteit 2024 STUCO
Beschikking distributietarieven drinkwater 2024 STUCO</t>
  </si>
  <si>
    <t xml:space="preserve">Tariff for reconnection </t>
  </si>
  <si>
    <t>The tariff for reconnection is set fixed at 40 USD</t>
  </si>
  <si>
    <t>ACM assumes other income to be related to fixed costs.</t>
  </si>
  <si>
    <t>Estimated fuel efficiency</t>
  </si>
  <si>
    <t>Allocation key fixed/variable costs</t>
  </si>
  <si>
    <t>Volumes data 2022</t>
  </si>
  <si>
    <t>Tariffs associated with connection activities 2023</t>
  </si>
  <si>
    <t>Historical data</t>
  </si>
  <si>
    <t>Delivery of drinking water by truck 2022</t>
  </si>
  <si>
    <t>Estimated delivery of drinking water by truck 2024</t>
  </si>
  <si>
    <t>Estimated drinking water delivered by truck in 2024</t>
  </si>
  <si>
    <t>Estimated percentage of drinking water delivered by truck in 2024</t>
  </si>
  <si>
    <t>Corrections calculated in other models</t>
  </si>
  <si>
    <t>Realized production volume by fuel in 2022</t>
  </si>
  <si>
    <t>Realized liters of fuel consumed for production in 2022</t>
  </si>
  <si>
    <t>Estimates for 2024</t>
  </si>
  <si>
    <t>Production price including fuel</t>
  </si>
  <si>
    <t>Data for the energy cost correction</t>
  </si>
  <si>
    <t>Data for the capital cost correction</t>
  </si>
  <si>
    <t>Number of connections 2016</t>
  </si>
  <si>
    <t>RAB water distribution 2016</t>
  </si>
  <si>
    <t>Depreciation water distribution 2016</t>
  </si>
  <si>
    <t>Data on 2016</t>
  </si>
  <si>
    <t>Estimated number of connections 2024</t>
  </si>
  <si>
    <t>Calculation capital cost correction</t>
  </si>
  <si>
    <t>Data on 2022</t>
  </si>
  <si>
    <t>Number of connections 2022</t>
  </si>
  <si>
    <t>RAB water distribution 2022</t>
  </si>
  <si>
    <t>Depreciation water distribution 2022</t>
  </si>
  <si>
    <t>RAB per extra connection</t>
  </si>
  <si>
    <t>Annual depreciation extra connection</t>
  </si>
  <si>
    <t>Calculation RAB per extra connection</t>
  </si>
  <si>
    <t xml:space="preserve">Expected increase of RAB 2024, in relation to increase in number of connections. </t>
  </si>
  <si>
    <t>Expected increase of depreciation costs in 2024, in relation to increase in number of connections.</t>
  </si>
  <si>
    <t>Estimated fixed operational costs 2024</t>
  </si>
  <si>
    <t>Estimated variable operational costs 2024</t>
  </si>
  <si>
    <t>Estimated variable operational costs 2024 per unit</t>
  </si>
  <si>
    <t>200</t>
  </si>
  <si>
    <t>Data for Volume-effect and Profit Sharing</t>
  </si>
  <si>
    <t>Estimated fixed/variable costs from tariffs 2022</t>
  </si>
  <si>
    <t>ACM method decision 2020-2025</t>
  </si>
  <si>
    <t>Capital cost correction</t>
  </si>
  <si>
    <t>Corrections to income level</t>
  </si>
  <si>
    <t>Corrections to variable distribution tariff</t>
  </si>
  <si>
    <t>Estimated production yield (based on realized data for 2022)</t>
  </si>
  <si>
    <t>Estimated production yield drinking water</t>
  </si>
  <si>
    <t>Realized water production in 2022</t>
  </si>
  <si>
    <t>Energy consumption for drinking water production</t>
  </si>
  <si>
    <t>Profit-sharing percentage</t>
  </si>
  <si>
    <t>E-mail sent by STUCO on September 6, 2023.</t>
  </si>
  <si>
    <t>Fuel model STUCO 2024</t>
  </si>
  <si>
    <t>E-mail sent by STUCO on September 13, 2023.</t>
  </si>
  <si>
    <t>OPEX Model STUCO 2024</t>
  </si>
  <si>
    <t>RAB model STUCO 2024</t>
  </si>
  <si>
    <t>7. STUCO Electricity connections by KVA in 2022</t>
  </si>
  <si>
    <t>Berekening tarieven STUCO 2023</t>
  </si>
  <si>
    <t>Operational costs (excl fuel) 2022 for Profit Sharing</t>
  </si>
  <si>
    <t xml:space="preserve">Operational costs (excl fuel) 2022 </t>
  </si>
  <si>
    <t>Other income 2022 for Profit Sharing</t>
  </si>
  <si>
    <t>OPEX-model, sheet "Output"; row 18</t>
  </si>
  <si>
    <t>OPEX-model, sheet "Output"; row 19</t>
  </si>
  <si>
    <t>14. STUCO New Drinking Water Connections for 2022</t>
  </si>
  <si>
    <t>Net losses electricity 2022</t>
  </si>
  <si>
    <t>Net losses water 2022</t>
  </si>
  <si>
    <t>12. A detailed (monthly) overview of the net losses of elec WP 8143 (A) Electricity Usage Summary Revenue Analysis 2022 (EY 35 UA)</t>
  </si>
  <si>
    <t>18. A detailed (monthly) overview of the net losses of water WP 8144 (A) Water Summary Revenue Analysis 2022 (EY 39 UA)</t>
  </si>
  <si>
    <t>26c. STUCO estimation of distributed Water M3 per category for 2024</t>
  </si>
  <si>
    <t>25a. STUCO Estimation of Drinking Water Connections for 2024</t>
  </si>
  <si>
    <t>25b. STUCO Estimated Overview production Water in M3 in 2024 (4. B3 PRODUCTION STUCO production of Water in M3 for 2022)</t>
  </si>
  <si>
    <t>24. STUCO Estimation of Net Losses Electricity 2024 (WP 8143 (A) Electricity Usage Summary Revenue Analysis 2022 (EY E1))</t>
  </si>
  <si>
    <t>25e STUCO Estimation of Net Losses of drinking water in 2024 WP 8144 (A) Water Summary Revenue Analysis</t>
  </si>
  <si>
    <t>23. STUCO estimation of production of Electricity in KWh for 2023 distributed by first half and second half 2024</t>
  </si>
  <si>
    <t>Cost data</t>
  </si>
  <si>
    <t>Net losses electricity 2022; Net losses water 2022</t>
  </si>
  <si>
    <t>Electricity for water production 2022</t>
  </si>
  <si>
    <t>19. STUCO Overview of the electricity used for the Production and Distribution of drinking water in 2022</t>
  </si>
  <si>
    <t>The realized volume for electricity distribution and water distribution in 2022 was lower than estimated. Therefore, there can be no lost subsidy income due to unexpected volume growth.</t>
  </si>
  <si>
    <t>USD/gallon</t>
  </si>
  <si>
    <t>US gallon to liter</t>
  </si>
  <si>
    <t>Fuel Invoice Delta Petroleum 20231012</t>
  </si>
  <si>
    <t>Total cost of production by GTI in 2022</t>
  </si>
  <si>
    <t>Cost of emergency electricity production</t>
  </si>
  <si>
    <t>OPEX-model, sheet "Assesment OPEX", row 141</t>
  </si>
  <si>
    <t>Cost of emergency production</t>
  </si>
  <si>
    <t>This document contains the calculation of electricity and drinking water tariffs for 2024. These tariffs are based on cost estimates for STUCO for 2024 and the results of profit sharing for 2022.</t>
  </si>
  <si>
    <t>Profit sharing and cost estimates are both calculated in this file. In previous years, profit sharing was a separate file.</t>
  </si>
  <si>
    <t>ACM bases cost estimates for 2024 on realized costs in 2022, as found in the financial statements of STUCO.</t>
  </si>
  <si>
    <t>10. STUCO Overview of Production of Electricity per month in 2023</t>
  </si>
  <si>
    <t>20. STUCO Electricity connections by KVA in projection 2024</t>
  </si>
  <si>
    <t>Projection kVA 2024</t>
  </si>
  <si>
    <t>Electricity for water production 2022, sum of row 5, 9 and 10</t>
  </si>
  <si>
    <t>Assets in row 5, 9 and 10 are related to water production (Source: e-mail sent by STUCO on September 27 2023)</t>
  </si>
  <si>
    <t>Projection kVA 2024, row O</t>
  </si>
  <si>
    <t>Connections for internal use are added to the total number of connections for their kVA category</t>
  </si>
  <si>
    <t>In previous years, these were two separate sheets.</t>
  </si>
  <si>
    <t>Calculation Fixed/Variable costs and Income level</t>
  </si>
  <si>
    <t>Production price per m3</t>
  </si>
  <si>
    <t>Corrections per m3</t>
  </si>
  <si>
    <t>Last update input CBS: October 18, 2023.</t>
  </si>
  <si>
    <t>This sheet shows the percentages used for the CPI, WACC, legal fixed interest rate and the profit sharing.</t>
  </si>
  <si>
    <t>index</t>
  </si>
  <si>
    <t>On this sheet the ACM imports historical data used to calculate the tariffs for 2024.</t>
  </si>
  <si>
    <t>New water connections 2022</t>
  </si>
  <si>
    <t>On this sheet the ACM imports estimated data for 2024.</t>
  </si>
  <si>
    <t xml:space="preserve">ACM applied the wrong inflation parameters in the calculation of the income level 2023 before corrections. This has resulted in an underestimation of the income level for 2023. ACM adds this missed income to the income level 2024 before correction (see sheet "calculation income level", row 45). </t>
  </si>
  <si>
    <t>On this sheet the ACM imports the necessary data for corrections to the tariffs.</t>
  </si>
  <si>
    <t>This includes corrections calculated elsewhere and data needed for corrections calculated in this model.</t>
  </si>
  <si>
    <t>This sheet contains the calculation of the energy cost correction for the water production.</t>
  </si>
  <si>
    <t>Fuel cost correction 2022</t>
  </si>
  <si>
    <t>Cost of emergency production 2022</t>
  </si>
  <si>
    <t>This sheet gives an overview of corrections that affect the tariffs for 2024 and converts them to price level 2024.</t>
  </si>
  <si>
    <t>Production by GTI</t>
  </si>
  <si>
    <t>Production excluding GTI</t>
  </si>
  <si>
    <t>Electricity production 2022, sheet "Elec Meter readings Month(2022), row 48</t>
  </si>
  <si>
    <t>Volume for electricity distribution is the average of the total amount of kVA per month.</t>
  </si>
  <si>
    <t>Costs of emergency production are renumerated separately and not part of the regulatory cost base for 2024 or for profit sharing. Therefore, production by GTI is omitted from realized volume for profit sharing and for the income level 2024.</t>
  </si>
  <si>
    <t>From September to december 2022 STUCO needed to purchase electricity produced by GTI. Because this falls outside of the fuel model and the opex model, STUCO is compensated for this separately.</t>
  </si>
  <si>
    <t>Calculation additons in RAB and depreciation due to new water connections</t>
  </si>
  <si>
    <t>Additional costs of major occurrences</t>
  </si>
  <si>
    <t>Additional capital cost of major occurrences</t>
  </si>
  <si>
    <t>Delta Petroleum Inv #20231012_Oct 12</t>
  </si>
  <si>
    <t>E-mail sent by STUCO on November 19, 2023.</t>
  </si>
  <si>
    <t>WACC elektriciteit en drinkwater Caribisch Nederland 2020-2022 | ACM.nl</t>
  </si>
  <si>
    <t>Besluit WACC Caribisch Nederland 2020-2022</t>
  </si>
  <si>
    <t>ACM Method decision 2020-2025</t>
  </si>
  <si>
    <t>Methodebesluit elektriciteit en drinkwater Caribisch Nederland 2020-2025 | ACM.nl</t>
  </si>
  <si>
    <t>Methodebesluit elektriciteit en drinkwater Caribisch Nederland 2020-2025</t>
  </si>
  <si>
    <t>Beschikking variabel tarief elektriciteit 1 juli 2023 St. Eustatius | ACM.nl</t>
  </si>
  <si>
    <t>Tariff decision 2023-1</t>
  </si>
  <si>
    <t>Tariff decision 2023-2</t>
  </si>
  <si>
    <t>Tariff decision 2022-2</t>
  </si>
  <si>
    <t>Tariff decision 2022-1</t>
  </si>
  <si>
    <t>Beschikking variabel tarief elektriciteit 1 juli 2022 St. Eustatius (Caribisch Nederland) | ACM.nl</t>
  </si>
  <si>
    <t>Berekening variabel gebruikstarief STUCO</t>
  </si>
  <si>
    <t>Berekening tarieven STUCO 2022</t>
  </si>
  <si>
    <t>Beschikking variabel gebruikstarief St. Eustatius</t>
  </si>
  <si>
    <t>The outcome of the tariff calculations is displayed on this sheet.</t>
  </si>
  <si>
    <t>Tariff decision 2023-1, sheet "Tariffs drinking water"; row 69</t>
  </si>
  <si>
    <t>Tariff decision 2023-1, sheet "Tariffs drinking water"; row 70</t>
  </si>
  <si>
    <t>Tariff decision 2023-1, sheet "Tariffs electricity"; row 111</t>
  </si>
  <si>
    <t>Tariff decision 2023-1, sheet "Tariffs electricity"; row 112</t>
  </si>
  <si>
    <t>Tariff decision 2023-1, sheet "Tariffs electricity"; row 113</t>
  </si>
  <si>
    <t>Tariff decision 2023-1, sheet "Tariffs electricity"; row 108; sheet "Tariffs drinking water"; row 66</t>
  </si>
  <si>
    <t>On this sheet the ACM calculates additions in the RAB due to new water connections, as described in paragraph 96 and 97 of the distribution tariff decision for drinking water.</t>
  </si>
  <si>
    <t>Realized costs (before split water distribution)</t>
  </si>
  <si>
    <t>Realized costs (after split water distribution)</t>
  </si>
  <si>
    <t>On this sheet the ACM splits costs per department in a fixed and variable part and calculates the income level per department</t>
  </si>
  <si>
    <t>On this sheet the ACM calculates the production price for electricity</t>
  </si>
  <si>
    <t>Calculation Electriciy Distribution</t>
  </si>
  <si>
    <t>On this sheet the ACM calculates the fixed and variable distribution tariffs for energy.</t>
  </si>
  <si>
    <t>Profit sharing: network losses 2022 per kWh</t>
  </si>
  <si>
    <t>Fuel component correction per kWh</t>
  </si>
  <si>
    <t>Only applicable for the period January - June 2024</t>
  </si>
  <si>
    <t xml:space="preserve">Calculation Production Price Electricity </t>
  </si>
  <si>
    <t>Calculation Production Price Drinking Water</t>
  </si>
  <si>
    <t>On this sheet the ACM calculates the production price for drinking water.</t>
  </si>
  <si>
    <t>Calculation Distribution Tariffs Drinking Water</t>
  </si>
  <si>
    <t>On this sheet the ACM calculates the drinking water distribution tariffs.</t>
  </si>
  <si>
    <t>Calculating components for the tariff</t>
  </si>
  <si>
    <t>Tariff distribution by truck</t>
  </si>
  <si>
    <t>Costs per m3 distribution water by truck</t>
  </si>
  <si>
    <t>Bijschatting kapitaalkosten waterdistributie</t>
  </si>
  <si>
    <t>Dictum en Bijlage 1 Besluit: tariffs and key figures Electricity</t>
  </si>
  <si>
    <t>Tariffs to include in Dictum production price decision</t>
  </si>
  <si>
    <t xml:space="preserve">Production price electricity excl. fuel </t>
  </si>
  <si>
    <t xml:space="preserve">Variable distribution tariff electricity </t>
  </si>
  <si>
    <t xml:space="preserve">Fixed distribution tariff electricity </t>
  </si>
  <si>
    <t>Tariff per kVA</t>
  </si>
  <si>
    <t xml:space="preserve">Tariff category </t>
  </si>
  <si>
    <t xml:space="preserve">  3,2 kVA</t>
  </si>
  <si>
    <t xml:space="preserve">  7,7 kVA</t>
  </si>
  <si>
    <t xml:space="preserve">  11 kVA</t>
  </si>
  <si>
    <t xml:space="preserve">  13,86 kVA</t>
  </si>
  <si>
    <t xml:space="preserve">  13,3 kVA</t>
  </si>
  <si>
    <t xml:space="preserve">  19 kVA</t>
  </si>
  <si>
    <t xml:space="preserve">  23,94 kVA</t>
  </si>
  <si>
    <t xml:space="preserve">  30,4 kVA</t>
  </si>
  <si>
    <t xml:space="preserve">  38 kVA</t>
  </si>
  <si>
    <t xml:space="preserve">  47,5 kVA</t>
  </si>
  <si>
    <t xml:space="preserve">  60,8 kVA</t>
  </si>
  <si>
    <t xml:space="preserve">  76 kVA</t>
  </si>
  <si>
    <t xml:space="preserve">  85,5 kVA</t>
  </si>
  <si>
    <t xml:space="preserve">  95 kVA</t>
  </si>
  <si>
    <t xml:space="preserve">  119,7 kVA</t>
  </si>
  <si>
    <t xml:space="preserve">  175 kVA</t>
  </si>
  <si>
    <t xml:space="preserve">Connections tariffs electricity </t>
  </si>
  <si>
    <t xml:space="preserve">Additional tariff for road crossing </t>
  </si>
  <si>
    <t>Profit sharing percentage</t>
  </si>
  <si>
    <t xml:space="preserve">  of which are the estimated variable costs per unit</t>
  </si>
  <si>
    <t>Total estimated production volume</t>
  </si>
  <si>
    <t xml:space="preserve">   Production by solar</t>
  </si>
  <si>
    <t xml:space="preserve">   Production by fuel</t>
  </si>
  <si>
    <t>Estimated production yield for fuel</t>
  </si>
  <si>
    <t>Liter/kWh</t>
  </si>
  <si>
    <t>Price fuel (most recent)</t>
  </si>
  <si>
    <t xml:space="preserve">Note: 'pl' means price level </t>
  </si>
  <si>
    <t xml:space="preserve">On this sheet all the relevant information to include in the appendix of the decision on the tariffs of 2024 is shown. </t>
  </si>
  <si>
    <t>USD, pl 2024 / kWh</t>
  </si>
  <si>
    <t>USD, pl 2024 / month</t>
  </si>
  <si>
    <t>Dictum en Bijlage 1 Besluit: tariffs and key figures Drinking Water</t>
  </si>
  <si>
    <t>Production price drinking water</t>
  </si>
  <si>
    <t xml:space="preserve">Variable distribution tariff drinking water </t>
  </si>
  <si>
    <t xml:space="preserve">Fixed distribution tariff drinking water </t>
  </si>
  <si>
    <t>Connection tariffs drinking water</t>
  </si>
  <si>
    <t>Price drinking water by truck</t>
  </si>
  <si>
    <t>Percentage for profit sharing</t>
  </si>
  <si>
    <t xml:space="preserve">Water production </t>
  </si>
  <si>
    <t xml:space="preserve">Water distribution </t>
  </si>
  <si>
    <t>Data on developments</t>
  </si>
  <si>
    <t xml:space="preserve">  plus extra variable capital costs per new water connection</t>
  </si>
  <si>
    <t>Additional: total electricity costs for production of drinking water</t>
  </si>
  <si>
    <t xml:space="preserve">   of which distributed by truck</t>
  </si>
  <si>
    <t>Required electricity for drinking water</t>
  </si>
  <si>
    <t>kVA-connection for water production</t>
  </si>
  <si>
    <t>USD, pp 2024 / m3</t>
  </si>
  <si>
    <t xml:space="preserve">USD, pp 2024 / month </t>
  </si>
  <si>
    <t>Summary of cost data 2022</t>
  </si>
  <si>
    <t>Regulated Asset Value (ultimo 2022)</t>
  </si>
  <si>
    <t>Depreciation over 2022</t>
  </si>
  <si>
    <t>Volume-effect 2022</t>
  </si>
  <si>
    <t>Profit sharing: regular costs 2022</t>
  </si>
  <si>
    <t>Energy costs correction 2023</t>
  </si>
  <si>
    <t>Distribution tariffs 2024</t>
  </si>
  <si>
    <t>Key figures Tariff decisions STUCO 2024 - Drinking Water</t>
  </si>
  <si>
    <t>WACC 2024 - Electricity Production</t>
  </si>
  <si>
    <t>WACC 2024 - Electricity Distribution</t>
  </si>
  <si>
    <t>WACC 2024 - Water Production and Distribution</t>
  </si>
  <si>
    <t>Expected percentage of drinking water delivered by truck in 2024</t>
  </si>
  <si>
    <t>Addition in RAB in 2024 due to growth of the water network</t>
  </si>
  <si>
    <t>Addition in depreciation in 2024 due to growth of the water network</t>
  </si>
  <si>
    <t>Income level 2024</t>
  </si>
  <si>
    <t>Total estimated costs 2024 based on estimated volume 2024</t>
  </si>
  <si>
    <t>Income level 2024 after corrections</t>
  </si>
  <si>
    <t>Other parameters (expectations 2024 drinking water)</t>
  </si>
  <si>
    <t>Network loss (estimated for 2024)</t>
  </si>
  <si>
    <t>Expected number of connections 2024 (standard category)</t>
  </si>
  <si>
    <t>Other parameters (expectations 2024 electricity)</t>
  </si>
  <si>
    <t>Network losses (estimate for 2024)</t>
  </si>
  <si>
    <t>Total capacity of the network (estimate for 2024)</t>
  </si>
  <si>
    <t xml:space="preserve">Key figures Tariff decisions STUCO 2024 - Electricity </t>
  </si>
  <si>
    <t xml:space="preserve">  200 kVA</t>
  </si>
  <si>
    <t>Explanantory notes</t>
  </si>
  <si>
    <t>WACC electricty production</t>
  </si>
  <si>
    <t>Solar Park</t>
  </si>
  <si>
    <t>Total costs phase 3</t>
  </si>
  <si>
    <t>Subsidy EZK phase 3</t>
  </si>
  <si>
    <t>Contribution STUCO to phase 3</t>
  </si>
  <si>
    <t>Estimated date of capitalization</t>
  </si>
  <si>
    <t>Depreciation rate</t>
  </si>
  <si>
    <t>Fuel Depot</t>
  </si>
  <si>
    <t>Cost of fuel depot</t>
  </si>
  <si>
    <t>Estimated date of captialization</t>
  </si>
  <si>
    <t>Solar park</t>
  </si>
  <si>
    <t>Annual depreciation</t>
  </si>
  <si>
    <t>Depreciation in 2024</t>
  </si>
  <si>
    <t>Estimated RAB value ultimo 2024</t>
  </si>
  <si>
    <t>Average RAB value 2024</t>
  </si>
  <si>
    <t xml:space="preserve">Period in use </t>
  </si>
  <si>
    <t>Months</t>
  </si>
  <si>
    <t>Average RAB value 2024, by ratio of months in use</t>
  </si>
  <si>
    <t>Estimated captial costs in 2024</t>
  </si>
  <si>
    <t>Fuel depot</t>
  </si>
  <si>
    <t>Depreciation in 2023</t>
  </si>
  <si>
    <t>Estimated RAB value ultimo 2023</t>
  </si>
  <si>
    <t>RAB value ultimo 2024</t>
  </si>
  <si>
    <t>Capital costs 2024</t>
  </si>
  <si>
    <t>Additions to cost estimates related to major occurences</t>
  </si>
  <si>
    <t>This instrument is described in paragraph 91-95 of the ACM method decision</t>
  </si>
  <si>
    <t>On this sheet the ACM caluclates additional capital costs related to new investments in electricity production.</t>
  </si>
  <si>
    <t>E-mail sent by STUCO on November 22</t>
  </si>
  <si>
    <t>To be added to estimated fixed costs for electricity production 2024</t>
  </si>
  <si>
    <t>Total electricity costs for water production</t>
  </si>
  <si>
    <t>Therefore, the ACM estimates the depreciation rate and date of capitalization based on available information. If the ACM deems it necessary, she can correct for inaccuracies caused by this in the tariff decisions 2026.</t>
  </si>
  <si>
    <t>While the ACM accepts the aquisition of the fuel depot as a major occurrece, because it is certain that this happened, the ACM does not have complete information required to calculate capital costs ove 2024 for this investment.</t>
  </si>
  <si>
    <t>Assumption ACM, based on fuel invoices</t>
  </si>
  <si>
    <t>Assumption ACM, based on depreciation scheme in financial statements STUCO 2022</t>
  </si>
  <si>
    <t>Capital costs in 2024 related to major occurrences</t>
  </si>
  <si>
    <t>Total capital costs of major occurrences</t>
  </si>
  <si>
    <t>ACM/UIT/606596
ACM/UIT/606606
ACM/UIT/606610
ACM/UIT/606613</t>
  </si>
  <si>
    <t xml:space="preserve">Calculation capital costs </t>
  </si>
  <si>
    <t xml:space="preserve">STUCO has submitted a budget containing costs related to phase 3 of the solar park and the aquisition of a fuel depot. Because these are large, incidental investments that do not meet the assumption of continuous replacement, the ACM assesses them as a major occurrence. </t>
  </si>
  <si>
    <t xml:space="preserve">The expected capital cost of solar park phase 3 and the fuel depot for are added to the estimated capital cost of the current assets.  </t>
  </si>
  <si>
    <t>This file uses the output from the OPEX model, RAB model and the Fuel model.</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</si>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</sst>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_ ;_ * \-#,##0.000_ ;_ * &quot;-&quot;??_ ;_ @_ "/>
    <numFmt numFmtId="166" formatCode="_ * #,##0.0000_ ;_ * \-#,##0.0000_ ;_ * &quot;-&quot;??_ ;_ @_ "/>
    <numFmt numFmtId="167" formatCode="0.0%"/>
    <numFmt numFmtId="168" formatCode="_ * #,##0.0_ ;_ * \-#,##0.0_ ;_ * &quot;-&quot;??_ ;_ @_ "/>
    <numFmt numFmtId="169" formatCode="0.0"/>
    <numFmt numFmtId="170" formatCode="0.0000"/>
    <numFmt numFmtId="171" formatCode="_ * #,##0.00000_ ;_ * \-#,##0.00000_ ;_ * &quot;-&quot;??_ ;_ @_ "/>
    <numFmt numFmtId="172" formatCode="_ * #,##0.0_ ;_ * \-#,##0.0_ ;_ * &quot;-&quot;_ ;_ @_ "/>
    <numFmt numFmtId="173" formatCode="_ * #,##0.00_ ;_ * \-#,##0.00_ ;_ * &quot;-&quot;_ ;_ @_ "/>
    <numFmt numFmtId="174" formatCode="_ * #,##0.000_ ;_ * \-#,##0.000_ ;_ * &quot;-&quot;_ ;_ @_ "/>
    <numFmt numFmtId="175" formatCode="_ * #,##0.0000_ ;_ * \-#,##0.0000_ ;_ * &quot;-&quot;_ ;_ @_ "/>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sz val="8"/>
      <name val="Arial"/>
      <family val="2"/>
    </font>
    <font>
      <sz val="10"/>
      <color indexed="8"/>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FFCC"/>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4">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8" applyNumberFormat="0" applyAlignment="0" applyProtection="0"/>
    <xf numFmtId="0" fontId="16" fillId="14" borderId="9" applyNumberFormat="0" applyAlignment="0" applyProtection="0"/>
    <xf numFmtId="0" fontId="17" fillId="14" borderId="8" applyNumberFormat="0" applyAlignment="0" applyProtection="0"/>
    <xf numFmtId="0" fontId="18" fillId="0" borderId="10" applyNumberFormat="0" applyFill="0" applyAlignment="0" applyProtection="0"/>
    <xf numFmtId="0" fontId="12" fillId="15" borderId="11" applyNumberFormat="0" applyAlignment="0" applyProtection="0"/>
    <xf numFmtId="0" fontId="14" fillId="16"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0" fontId="14" fillId="0" borderId="0"/>
    <xf numFmtId="43" fontId="5" fillId="45" borderId="0">
      <alignment vertical="top"/>
    </xf>
    <xf numFmtId="43" fontId="5" fillId="9" borderId="0">
      <alignment vertical="top"/>
    </xf>
    <xf numFmtId="49" fontId="6" fillId="17" borderId="1">
      <alignment vertical="top"/>
    </xf>
    <xf numFmtId="43" fontId="5" fillId="10" borderId="0">
      <alignment vertical="top"/>
    </xf>
    <xf numFmtId="43" fontId="5" fillId="11" borderId="0">
      <alignment vertical="top"/>
    </xf>
    <xf numFmtId="43" fontId="5" fillId="8" borderId="0">
      <alignment vertical="top"/>
    </xf>
    <xf numFmtId="0" fontId="32" fillId="0" borderId="0">
      <alignment vertical="top"/>
    </xf>
  </cellStyleXfs>
  <cellXfs count="173">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2" xfId="4" applyBorder="1" applyAlignment="1">
      <alignment horizontal="left" vertical="top" wrapText="1"/>
    </xf>
    <xf numFmtId="0" fontId="5" fillId="6" borderId="0" xfId="4" applyFill="1">
      <alignment vertical="top"/>
    </xf>
    <xf numFmtId="1" fontId="5" fillId="0" borderId="0" xfId="4" applyNumberFormat="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49" fontId="5" fillId="17" borderId="2" xfId="6" applyFont="1" applyBorder="1">
      <alignment vertical="top"/>
    </xf>
    <xf numFmtId="0" fontId="5" fillId="0" borderId="0" xfId="4" quotePrefix="1">
      <alignment vertical="top"/>
    </xf>
    <xf numFmtId="0" fontId="7" fillId="0" borderId="0" xfId="4" applyFont="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7" borderId="0" xfId="12">
      <alignment vertical="top"/>
    </xf>
    <xf numFmtId="41" fontId="5" fillId="44" borderId="0" xfId="11">
      <alignment vertical="top"/>
    </xf>
    <xf numFmtId="41" fontId="5" fillId="11" borderId="0" xfId="13">
      <alignment vertical="top"/>
    </xf>
    <xf numFmtId="41" fontId="5" fillId="9" borderId="0" xfId="9">
      <alignment vertical="top"/>
    </xf>
    <xf numFmtId="49" fontId="29" fillId="0" borderId="0" xfId="14" applyFont="1">
      <alignment vertical="top"/>
    </xf>
    <xf numFmtId="0" fontId="30" fillId="0" borderId="0" xfId="4" applyFont="1">
      <alignment vertical="top"/>
    </xf>
    <xf numFmtId="49" fontId="5" fillId="17" borderId="0" xfId="6" applyFont="1" applyBorder="1">
      <alignment vertical="top"/>
    </xf>
    <xf numFmtId="49" fontId="12" fillId="5" borderId="1" xfId="5" applyFont="1">
      <alignment vertical="top"/>
    </xf>
    <xf numFmtId="49" fontId="5" fillId="0" borderId="0" xfId="7" applyFont="1">
      <alignment vertical="top"/>
    </xf>
    <xf numFmtId="0" fontId="9" fillId="12" borderId="0" xfId="4" applyFont="1" applyFill="1">
      <alignment vertical="top"/>
    </xf>
    <xf numFmtId="0" fontId="14" fillId="0" borderId="0" xfId="66" applyAlignment="1">
      <alignment vertical="top"/>
    </xf>
    <xf numFmtId="43" fontId="5" fillId="45" borderId="0" xfId="67">
      <alignment vertical="top"/>
    </xf>
    <xf numFmtId="43" fontId="5" fillId="9" borderId="0" xfId="68">
      <alignment vertical="top"/>
    </xf>
    <xf numFmtId="10" fontId="5" fillId="9" borderId="0" xfId="68" applyNumberFormat="1">
      <alignment vertical="top"/>
    </xf>
    <xf numFmtId="10" fontId="5" fillId="45" borderId="0" xfId="67" applyNumberFormat="1">
      <alignment vertical="top"/>
    </xf>
    <xf numFmtId="49" fontId="6" fillId="17" borderId="1" xfId="69">
      <alignment vertical="top"/>
    </xf>
    <xf numFmtId="9" fontId="5" fillId="45" borderId="0" xfId="67" applyNumberFormat="1">
      <alignment vertical="top"/>
    </xf>
    <xf numFmtId="164" fontId="5" fillId="9" borderId="0" xfId="68" applyNumberFormat="1">
      <alignment vertical="top"/>
    </xf>
    <xf numFmtId="164" fontId="5" fillId="45" borderId="0" xfId="67" applyNumberFormat="1">
      <alignment vertical="top"/>
    </xf>
    <xf numFmtId="164" fontId="13" fillId="6" borderId="0" xfId="67" applyNumberFormat="1" applyFont="1" applyFill="1">
      <alignment vertical="top"/>
    </xf>
    <xf numFmtId="164" fontId="5" fillId="0" borderId="0" xfId="4" applyNumberFormat="1">
      <alignment vertical="top"/>
    </xf>
    <xf numFmtId="164" fontId="13" fillId="0" borderId="0" xfId="4" applyNumberFormat="1" applyFont="1">
      <alignment vertical="top"/>
    </xf>
    <xf numFmtId="0" fontId="13" fillId="6" borderId="0" xfId="4" applyFont="1" applyFill="1">
      <alignment vertical="top"/>
    </xf>
    <xf numFmtId="49" fontId="5" fillId="0" borderId="0" xfId="14" applyFont="1">
      <alignment vertical="top"/>
    </xf>
    <xf numFmtId="0" fontId="5" fillId="42" borderId="0" xfId="62" applyNumberFormat="1">
      <alignment vertical="top"/>
    </xf>
    <xf numFmtId="164" fontId="5" fillId="45" borderId="0" xfId="68" applyNumberFormat="1" applyFill="1">
      <alignment vertical="top"/>
    </xf>
    <xf numFmtId="9" fontId="5" fillId="9" borderId="0" xfId="68" applyNumberFormat="1">
      <alignment vertical="top"/>
    </xf>
    <xf numFmtId="3" fontId="5" fillId="45" borderId="0" xfId="68" applyNumberFormat="1" applyFill="1">
      <alignment vertical="top"/>
    </xf>
    <xf numFmtId="165" fontId="5" fillId="9" borderId="0" xfId="67" applyNumberFormat="1" applyFill="1">
      <alignment vertical="top"/>
    </xf>
    <xf numFmtId="166" fontId="5" fillId="45" borderId="0" xfId="67" applyNumberFormat="1">
      <alignment vertical="top"/>
    </xf>
    <xf numFmtId="0" fontId="26" fillId="0" borderId="0" xfId="66" applyFont="1" applyAlignment="1">
      <alignment vertical="top"/>
    </xf>
    <xf numFmtId="0" fontId="13" fillId="6" borderId="0" xfId="4" applyFont="1" applyFill="1" applyAlignment="1">
      <alignment vertical="top" wrapText="1"/>
    </xf>
    <xf numFmtId="10" fontId="5" fillId="45" borderId="0" xfId="64" applyFont="1" applyFill="1">
      <alignment vertical="top"/>
    </xf>
    <xf numFmtId="167" fontId="13" fillId="6" borderId="0" xfId="67" applyNumberFormat="1" applyFont="1" applyFill="1">
      <alignment vertical="top"/>
    </xf>
    <xf numFmtId="167" fontId="5" fillId="6" borderId="0" xfId="67" applyNumberFormat="1" applyFill="1">
      <alignment vertical="top"/>
    </xf>
    <xf numFmtId="49" fontId="10" fillId="17" borderId="1" xfId="6" applyFont="1">
      <alignment vertical="top"/>
    </xf>
    <xf numFmtId="0" fontId="13" fillId="42" borderId="0" xfId="62" applyNumberFormat="1" applyFont="1">
      <alignment vertical="top"/>
    </xf>
    <xf numFmtId="43" fontId="13" fillId="6" borderId="0" xfId="67" applyFont="1" applyFill="1">
      <alignment vertical="top"/>
    </xf>
    <xf numFmtId="43" fontId="5" fillId="6" borderId="0" xfId="67" applyFill="1">
      <alignment vertical="top"/>
    </xf>
    <xf numFmtId="43" fontId="13" fillId="0" borderId="0" xfId="4" applyNumberFormat="1" applyFont="1">
      <alignment vertical="top"/>
    </xf>
    <xf numFmtId="164" fontId="5" fillId="9" borderId="0" xfId="67" applyNumberFormat="1" applyFill="1">
      <alignment vertical="top"/>
    </xf>
    <xf numFmtId="0" fontId="6" fillId="42" borderId="0" xfId="62" applyNumberFormat="1" applyFont="1">
      <alignment vertical="top"/>
    </xf>
    <xf numFmtId="49" fontId="13" fillId="0" borderId="0" xfId="15" applyFont="1">
      <alignment vertical="top"/>
    </xf>
    <xf numFmtId="0" fontId="1" fillId="0" borderId="0" xfId="66" applyFont="1"/>
    <xf numFmtId="164" fontId="5" fillId="0" borderId="0" xfId="68" applyNumberFormat="1" applyFill="1">
      <alignment vertical="top"/>
    </xf>
    <xf numFmtId="168" fontId="5" fillId="45" borderId="0" xfId="67" applyNumberFormat="1">
      <alignment vertical="top"/>
    </xf>
    <xf numFmtId="49" fontId="20" fillId="0" borderId="2" xfId="61" applyBorder="1" applyAlignment="1">
      <alignment vertical="top"/>
    </xf>
    <xf numFmtId="164" fontId="5" fillId="42" borderId="0" xfId="62" applyNumberFormat="1">
      <alignment vertical="top"/>
    </xf>
    <xf numFmtId="164" fontId="13" fillId="42" borderId="0" xfId="62" applyNumberFormat="1" applyFont="1">
      <alignment vertical="top"/>
    </xf>
    <xf numFmtId="166" fontId="5" fillId="10" borderId="0" xfId="70" applyNumberFormat="1">
      <alignment vertical="top"/>
    </xf>
    <xf numFmtId="166" fontId="5" fillId="9" borderId="0" xfId="68" applyNumberFormat="1">
      <alignment vertical="top"/>
    </xf>
    <xf numFmtId="43" fontId="5" fillId="10" borderId="0" xfId="70">
      <alignment vertical="top"/>
    </xf>
    <xf numFmtId="169" fontId="5" fillId="0" borderId="0" xfId="4" quotePrefix="1" applyNumberFormat="1">
      <alignment vertical="top"/>
    </xf>
    <xf numFmtId="170" fontId="5" fillId="10" borderId="0" xfId="4" applyNumberFormat="1" applyFill="1">
      <alignment vertical="top"/>
    </xf>
    <xf numFmtId="2" fontId="5" fillId="10" borderId="0" xfId="4" applyNumberFormat="1" applyFill="1">
      <alignment vertical="top"/>
    </xf>
    <xf numFmtId="43" fontId="5" fillId="10" borderId="0" xfId="4" applyNumberFormat="1" applyFill="1">
      <alignment vertical="top"/>
    </xf>
    <xf numFmtId="43" fontId="5" fillId="42" borderId="0" xfId="62">
      <alignment vertical="top"/>
    </xf>
    <xf numFmtId="164" fontId="5" fillId="8" borderId="0" xfId="63" applyNumberFormat="1" applyFill="1">
      <alignment vertical="top"/>
    </xf>
    <xf numFmtId="164" fontId="5" fillId="6" borderId="0" xfId="68" applyNumberFormat="1" applyFill="1">
      <alignment vertical="top"/>
    </xf>
    <xf numFmtId="167" fontId="5" fillId="11" borderId="0" xfId="71" applyNumberFormat="1">
      <alignment vertical="top"/>
    </xf>
    <xf numFmtId="10" fontId="5" fillId="11" borderId="0" xfId="71" applyNumberFormat="1">
      <alignment vertical="top"/>
    </xf>
    <xf numFmtId="164" fontId="5" fillId="11" borderId="0" xfId="71" applyNumberFormat="1">
      <alignment vertical="top"/>
    </xf>
    <xf numFmtId="164" fontId="5" fillId="6" borderId="0" xfId="71" applyNumberFormat="1" applyFill="1">
      <alignment vertical="top"/>
    </xf>
    <xf numFmtId="164" fontId="5" fillId="9" borderId="0" xfId="71" applyNumberFormat="1" applyFill="1">
      <alignment vertical="top"/>
    </xf>
    <xf numFmtId="9" fontId="5" fillId="11" borderId="0" xfId="71" applyNumberFormat="1">
      <alignment vertical="top"/>
    </xf>
    <xf numFmtId="0" fontId="14" fillId="0" borderId="0" xfId="66"/>
    <xf numFmtId="171" fontId="14" fillId="0" borderId="0" xfId="66" applyNumberFormat="1"/>
    <xf numFmtId="43" fontId="5" fillId="9" borderId="0" xfId="72" applyFill="1">
      <alignment vertical="top"/>
    </xf>
    <xf numFmtId="43" fontId="5" fillId="11" borderId="0" xfId="71">
      <alignment vertical="top"/>
    </xf>
    <xf numFmtId="0" fontId="5" fillId="46" borderId="0" xfId="4" applyFill="1">
      <alignment vertical="top"/>
    </xf>
    <xf numFmtId="166" fontId="5" fillId="11" borderId="0" xfId="71" applyNumberFormat="1">
      <alignment vertical="top"/>
    </xf>
    <xf numFmtId="172" fontId="5" fillId="11" borderId="0" xfId="13" applyNumberFormat="1">
      <alignment vertical="top"/>
    </xf>
    <xf numFmtId="172" fontId="5" fillId="11" borderId="0" xfId="13" quotePrefix="1" applyNumberFormat="1">
      <alignment vertical="top"/>
    </xf>
    <xf numFmtId="10" fontId="5" fillId="11" borderId="0" xfId="13" applyNumberFormat="1">
      <alignment vertical="top"/>
    </xf>
    <xf numFmtId="173" fontId="5" fillId="11" borderId="0" xfId="13" applyNumberFormat="1">
      <alignment vertical="top"/>
    </xf>
    <xf numFmtId="173" fontId="5" fillId="10" borderId="0" xfId="8" applyNumberFormat="1">
      <alignment vertical="top"/>
    </xf>
    <xf numFmtId="10" fontId="5" fillId="0" borderId="0" xfId="4" applyNumberFormat="1">
      <alignment vertical="top"/>
    </xf>
    <xf numFmtId="43" fontId="5" fillId="42" borderId="0" xfId="62" applyNumberFormat="1">
      <alignment vertical="top"/>
    </xf>
    <xf numFmtId="164" fontId="5" fillId="45" borderId="0" xfId="63" applyNumberFormat="1" applyFill="1">
      <alignment vertical="top"/>
    </xf>
    <xf numFmtId="10" fontId="5" fillId="9" borderId="0" xfId="4" applyNumberFormat="1" applyFill="1">
      <alignment vertical="top"/>
    </xf>
    <xf numFmtId="49" fontId="5" fillId="0" borderId="0" xfId="15" applyFont="1">
      <alignment vertical="top"/>
    </xf>
    <xf numFmtId="164" fontId="5" fillId="0" borderId="0" xfId="71" applyNumberFormat="1" applyFill="1">
      <alignment vertical="top"/>
    </xf>
    <xf numFmtId="49" fontId="5" fillId="42" borderId="0" xfId="62" applyNumberFormat="1">
      <alignment vertical="top"/>
    </xf>
    <xf numFmtId="49" fontId="6" fillId="0" borderId="0" xfId="4" applyNumberFormat="1" applyFont="1">
      <alignment vertical="top"/>
    </xf>
    <xf numFmtId="0" fontId="5" fillId="0" borderId="0" xfId="62" applyNumberFormat="1" applyFill="1">
      <alignment vertical="top"/>
    </xf>
    <xf numFmtId="166" fontId="5" fillId="9" borderId="0" xfId="4" applyNumberFormat="1" applyFill="1">
      <alignment vertical="top"/>
    </xf>
    <xf numFmtId="164" fontId="5" fillId="9" borderId="0" xfId="63" applyNumberFormat="1" applyFill="1">
      <alignment vertical="top"/>
    </xf>
    <xf numFmtId="49" fontId="6" fillId="0" borderId="0" xfId="15" applyFont="1">
      <alignment vertical="top"/>
    </xf>
    <xf numFmtId="43" fontId="5" fillId="9" borderId="0" xfId="9" applyNumberFormat="1">
      <alignment vertical="top"/>
    </xf>
    <xf numFmtId="10" fontId="5" fillId="45" borderId="0" xfId="64" applyFill="1">
      <alignment vertical="top"/>
    </xf>
    <xf numFmtId="10" fontId="5" fillId="9" borderId="0" xfId="64" applyFill="1">
      <alignment vertical="top"/>
    </xf>
    <xf numFmtId="43" fontId="5" fillId="0" borderId="0" xfId="4" applyNumberFormat="1">
      <alignment vertical="top"/>
    </xf>
    <xf numFmtId="174" fontId="5" fillId="0" borderId="0" xfId="4" applyNumberFormat="1">
      <alignment vertical="top"/>
    </xf>
    <xf numFmtId="170" fontId="5" fillId="10" borderId="0" xfId="70" applyNumberFormat="1">
      <alignment vertical="top"/>
    </xf>
    <xf numFmtId="173" fontId="5" fillId="9" borderId="0" xfId="9" applyNumberFormat="1">
      <alignment vertical="top"/>
    </xf>
    <xf numFmtId="0" fontId="5" fillId="0" borderId="0" xfId="4" applyFont="1">
      <alignment vertical="top"/>
    </xf>
    <xf numFmtId="41" fontId="5" fillId="42" borderId="0" xfId="62" applyNumberFormat="1">
      <alignment vertical="top"/>
    </xf>
    <xf numFmtId="175" fontId="5" fillId="9" borderId="0" xfId="9" applyNumberFormat="1">
      <alignment vertical="top"/>
    </xf>
    <xf numFmtId="170" fontId="5" fillId="10" borderId="0" xfId="8" applyNumberFormat="1">
      <alignment vertical="top"/>
    </xf>
    <xf numFmtId="175" fontId="5" fillId="11" borderId="0" xfId="13" applyNumberFormat="1">
      <alignment vertical="top"/>
    </xf>
    <xf numFmtId="175" fontId="5" fillId="10" borderId="0" xfId="8" applyNumberFormat="1">
      <alignment vertical="top"/>
    </xf>
    <xf numFmtId="170" fontId="5" fillId="9" borderId="0" xfId="9" applyNumberFormat="1">
      <alignment vertical="top"/>
    </xf>
    <xf numFmtId="41" fontId="5" fillId="9" borderId="0" xfId="9" applyNumberFormat="1">
      <alignment vertical="top"/>
    </xf>
    <xf numFmtId="49" fontId="20" fillId="0" borderId="0" xfId="61" applyAlignment="1">
      <alignment vertical="top"/>
    </xf>
    <xf numFmtId="166" fontId="5" fillId="10" borderId="0" xfId="4" applyNumberFormat="1" applyFill="1">
      <alignment vertical="top"/>
    </xf>
    <xf numFmtId="41" fontId="5" fillId="11" borderId="0" xfId="13" applyNumberFormat="1">
      <alignment vertical="top"/>
    </xf>
    <xf numFmtId="175" fontId="5" fillId="42" borderId="0" xfId="62" applyNumberFormat="1">
      <alignment vertical="top"/>
    </xf>
    <xf numFmtId="170" fontId="1" fillId="12" borderId="0" xfId="66" applyNumberFormat="1" applyFont="1" applyFill="1"/>
    <xf numFmtId="0" fontId="1" fillId="0" borderId="5" xfId="66" applyFont="1" applyBorder="1"/>
    <xf numFmtId="0" fontId="1" fillId="0" borderId="6" xfId="66" applyFont="1" applyBorder="1"/>
    <xf numFmtId="0" fontId="1" fillId="0" borderId="7" xfId="66" applyFont="1" applyBorder="1"/>
    <xf numFmtId="49" fontId="6" fillId="17" borderId="3" xfId="6" applyBorder="1">
      <alignment vertical="top"/>
    </xf>
    <xf numFmtId="49" fontId="6" fillId="17" borderId="4" xfId="6" applyBorder="1">
      <alignment vertical="top"/>
    </xf>
    <xf numFmtId="0" fontId="1" fillId="0" borderId="17" xfId="66" applyFont="1" applyBorder="1"/>
    <xf numFmtId="0" fontId="1" fillId="0" borderId="18" xfId="66" applyFont="1" applyBorder="1"/>
    <xf numFmtId="43" fontId="1" fillId="12" borderId="0" xfId="66" applyNumberFormat="1" applyFont="1" applyFill="1"/>
    <xf numFmtId="43" fontId="5" fillId="12" borderId="0" xfId="4" applyNumberFormat="1" applyFill="1">
      <alignment vertical="top"/>
    </xf>
    <xf numFmtId="0" fontId="5" fillId="0" borderId="18" xfId="4" applyBorder="1">
      <alignment vertical="top"/>
    </xf>
    <xf numFmtId="0" fontId="5" fillId="0" borderId="17" xfId="4" applyBorder="1">
      <alignment vertical="top"/>
    </xf>
    <xf numFmtId="0" fontId="1" fillId="0" borderId="19" xfId="66" applyFont="1" applyBorder="1"/>
    <xf numFmtId="0" fontId="5" fillId="0" borderId="20" xfId="4" applyBorder="1">
      <alignment vertical="top"/>
    </xf>
    <xf numFmtId="0" fontId="5" fillId="0" borderId="21" xfId="4" applyBorder="1">
      <alignment vertical="top"/>
    </xf>
    <xf numFmtId="0" fontId="5" fillId="0" borderId="6" xfId="4" applyBorder="1">
      <alignment vertical="top"/>
    </xf>
    <xf numFmtId="0" fontId="5" fillId="0" borderId="7" xfId="4" applyBorder="1">
      <alignment vertical="top"/>
    </xf>
    <xf numFmtId="10" fontId="5" fillId="12" borderId="0" xfId="4" applyNumberFormat="1" applyFill="1">
      <alignment vertical="top"/>
    </xf>
    <xf numFmtId="0" fontId="5" fillId="0" borderId="0" xfId="4" applyAlignment="1">
      <alignment horizontal="center" vertical="center"/>
    </xf>
    <xf numFmtId="0" fontId="6" fillId="0" borderId="0" xfId="4" applyFont="1" applyAlignment="1">
      <alignment horizontal="center" vertical="center" wrapText="1"/>
    </xf>
    <xf numFmtId="164" fontId="5" fillId="12" borderId="0" xfId="63" applyNumberFormat="1" applyFont="1" applyFill="1" applyBorder="1">
      <alignment vertical="top"/>
    </xf>
    <xf numFmtId="164" fontId="1" fillId="0" borderId="0" xfId="66" applyNumberFormat="1" applyFont="1"/>
    <xf numFmtId="165" fontId="5" fillId="12" borderId="0" xfId="63" applyNumberFormat="1" applyFont="1" applyFill="1" applyBorder="1">
      <alignment vertical="top"/>
    </xf>
    <xf numFmtId="0" fontId="26" fillId="0" borderId="0" xfId="66" applyFont="1"/>
    <xf numFmtId="166" fontId="5" fillId="12" borderId="0" xfId="63" applyNumberFormat="1" applyFont="1" applyFill="1" applyBorder="1">
      <alignment vertical="top"/>
    </xf>
    <xf numFmtId="166" fontId="5" fillId="0" borderId="0" xfId="63" applyNumberFormat="1" applyFont="1" applyFill="1" applyBorder="1">
      <alignment vertical="top"/>
    </xf>
    <xf numFmtId="10" fontId="5" fillId="12" borderId="0" xfId="64" applyFont="1" applyFill="1" applyBorder="1">
      <alignment vertical="top"/>
    </xf>
    <xf numFmtId="0" fontId="1" fillId="0" borderId="20" xfId="66" applyFont="1" applyBorder="1"/>
    <xf numFmtId="0" fontId="1" fillId="0" borderId="21" xfId="66" applyFont="1" applyBorder="1"/>
    <xf numFmtId="166" fontId="5" fillId="12" borderId="0" xfId="4" applyNumberFormat="1" applyFill="1">
      <alignment vertical="top"/>
    </xf>
    <xf numFmtId="164" fontId="5" fillId="46" borderId="0" xfId="63" applyNumberFormat="1" applyFont="1" applyFill="1" applyBorder="1">
      <alignment vertical="top"/>
    </xf>
    <xf numFmtId="168" fontId="5" fillId="12" borderId="0" xfId="63" applyNumberFormat="1" applyFont="1" applyFill="1" applyBorder="1">
      <alignment vertical="top"/>
    </xf>
    <xf numFmtId="0" fontId="1" fillId="46" borderId="17" xfId="66" applyFont="1" applyFill="1" applyBorder="1"/>
    <xf numFmtId="168" fontId="5" fillId="46" borderId="0" xfId="63" applyNumberFormat="1" applyFont="1" applyFill="1" applyBorder="1">
      <alignment vertical="top"/>
    </xf>
    <xf numFmtId="0" fontId="1" fillId="46" borderId="0" xfId="66" applyFont="1" applyFill="1"/>
    <xf numFmtId="0" fontId="1" fillId="46" borderId="18" xfId="66" applyFont="1" applyFill="1" applyBorder="1"/>
    <xf numFmtId="14" fontId="5" fillId="44" borderId="0" xfId="11" applyNumberFormat="1">
      <alignment vertical="top"/>
    </xf>
    <xf numFmtId="10" fontId="5" fillId="44" borderId="0" xfId="64" applyFill="1">
      <alignment vertical="top"/>
    </xf>
    <xf numFmtId="167" fontId="5" fillId="44" borderId="0" xfId="11" applyNumberFormat="1">
      <alignment vertical="top"/>
    </xf>
    <xf numFmtId="43" fontId="5" fillId="12" borderId="0" xfId="63" applyNumberFormat="1" applyFont="1" applyFill="1" applyBorder="1">
      <alignment vertical="top"/>
    </xf>
    <xf numFmtId="0" fontId="5" fillId="0" borderId="0" xfId="4" applyAlignment="1">
      <alignment horizontal="left" vertical="top" wrapText="1"/>
    </xf>
    <xf numFmtId="0" fontId="7" fillId="0" borderId="0" xfId="4" applyFont="1" applyAlignment="1">
      <alignment horizontal="left" vertical="top" wrapText="1"/>
    </xf>
  </cellXfs>
  <cellStyles count="74">
    <cellStyle name="_kop1 Bladtitel" xfId="5" xr:uid="{00000000-0005-0000-0000-000000000000}"/>
    <cellStyle name="_kop2 Bloktitel" xfId="6" xr:uid="{00000000-0005-0000-0000-000001000000}"/>
    <cellStyle name="_kop2 Bloktitel 2" xfId="69" xr:uid="{C2CF9DFB-67CE-432D-A44A-58DF709AB70D}"/>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tussen)resultaat 2" xfId="70" xr:uid="{E0A95D49-8B2C-45C8-B1FA-2B4C69C4FF02}"/>
    <cellStyle name="Cel Berekening" xfId="9" xr:uid="{00000000-0005-0000-0000-00001D000000}"/>
    <cellStyle name="Cel Berekening 2" xfId="68" xr:uid="{E8D6279D-181C-414F-83DA-34F868260BBF}"/>
    <cellStyle name="Cel Bijzonderheid" xfId="10" xr:uid="{00000000-0005-0000-0000-00001E000000}"/>
    <cellStyle name="Cel Bijzonderheid 2" xfId="72" xr:uid="{A4CA7F2A-3248-4CD2-9BC3-8BE650255680}"/>
    <cellStyle name="Cel Dataverzoek" xfId="65" xr:uid="{00000000-0005-0000-0000-00001F000000}"/>
    <cellStyle name="Cel Input" xfId="11" xr:uid="{00000000-0005-0000-0000-000020000000}"/>
    <cellStyle name="Cel Input 2" xfId="67" xr:uid="{BAD5CA1F-8FF7-44D1-8A92-C93D93D2C5B2}"/>
    <cellStyle name="Cel n.v.t. (leeg)" xfId="62" xr:uid="{00000000-0005-0000-0000-000021000000}"/>
    <cellStyle name="Cel PM extern" xfId="12" xr:uid="{00000000-0005-0000-0000-000022000000}"/>
    <cellStyle name="Cel Verwijzing" xfId="13" xr:uid="{00000000-0005-0000-0000-000023000000}"/>
    <cellStyle name="Cel Verwijzing 2" xfId="71" xr:uid="{F9DC1D35-3E39-4B82-B03F-783C38245E56}"/>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rmal 2" xfId="73" xr:uid="{6CE87DB4-9069-4133-B6C6-4CDE07B7CA85}"/>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2" xfId="66" xr:uid="{0B7B1EE6-8892-4792-AD00-1F8E9DAC9B9E}"/>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schikking-variabel-tarief-elektriciteit-1-juli-2023-st-eustatius" TargetMode="External"/><Relationship Id="rId3" Type="http://schemas.openxmlformats.org/officeDocument/2006/relationships/hyperlink" Target="https://wetten.overheid.nl/BWBR0030649/2011-11-18" TargetMode="External"/><Relationship Id="rId7" Type="http://schemas.openxmlformats.org/officeDocument/2006/relationships/hyperlink" Target="https://www.acm.nl/nl/publicaties/methodebesluit-elektriciteit-en-drinkwater-caribisch-nederland-2020-2025" TargetMode="External"/><Relationship Id="rId2" Type="http://schemas.openxmlformats.org/officeDocument/2006/relationships/hyperlink" Target="https://www.cbs.nl/nl-nl/maatwerk/2021/45/cpi-caribisch-nederland-exclusief-covid-19-toeslagen" TargetMode="External"/><Relationship Id="rId1" Type="http://schemas.openxmlformats.org/officeDocument/2006/relationships/hyperlink" Target="https://opendata.cbs.nl/statline/" TargetMode="External"/><Relationship Id="rId6" Type="http://schemas.openxmlformats.org/officeDocument/2006/relationships/hyperlink" Target="https://www.acm.nl/nl/publicaties/wacc-elektriciteit-en-drinkwater-caribisch-nederland-2020-2022" TargetMode="External"/><Relationship Id="rId5" Type="http://schemas.openxmlformats.org/officeDocument/2006/relationships/hyperlink" Target="https://www.acm.nl/nl/publicaties/beschikking-productieprijs-elektriciteit-2022-sint-eustatius-stuco-caribisch-nederland" TargetMode="External"/><Relationship Id="rId10" Type="http://schemas.openxmlformats.org/officeDocument/2006/relationships/printerSettings" Target="../printerSettings/printerSettings3.bin"/><Relationship Id="rId4" Type="http://schemas.openxmlformats.org/officeDocument/2006/relationships/hyperlink" Target="https://www.acm.nl/nl/publicaties/wacc-elektriciteit-en-drinkwater-caribisch-nederland-2023-2025" TargetMode="External"/><Relationship Id="rId9" Type="http://schemas.openxmlformats.org/officeDocument/2006/relationships/hyperlink" Target="https://www.acm.nl/nl/publicaties/beschikking-variabel-tarief-elektriciteit-1-juli-2022-st-eustatius-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3"/>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42</v>
      </c>
    </row>
    <row r="6" spans="2:5" x14ac:dyDescent="0.2">
      <c r="B6" s="3"/>
    </row>
    <row r="13" spans="2:5" s="8" customFormat="1" x14ac:dyDescent="0.2">
      <c r="B13" s="8" t="s">
        <v>3</v>
      </c>
    </row>
    <row r="15" spans="2:5" x14ac:dyDescent="0.2">
      <c r="B15" s="9" t="s">
        <v>4</v>
      </c>
      <c r="C15" s="9" t="s">
        <v>450</v>
      </c>
      <c r="E15" s="18"/>
    </row>
    <row r="16" spans="2:5" x14ac:dyDescent="0.2">
      <c r="B16" s="9" t="s">
        <v>5</v>
      </c>
      <c r="C16" s="9" t="s">
        <v>451</v>
      </c>
    </row>
    <row r="17" spans="2:3" x14ac:dyDescent="0.2">
      <c r="B17" s="9" t="s">
        <v>6</v>
      </c>
      <c r="C17" s="9"/>
    </row>
    <row r="18" spans="2:3" ht="51" x14ac:dyDescent="0.2">
      <c r="B18" s="9" t="s">
        <v>43</v>
      </c>
      <c r="C18" s="9" t="s">
        <v>452</v>
      </c>
    </row>
    <row r="19" spans="2:3" ht="51" x14ac:dyDescent="0.2">
      <c r="B19" s="9" t="s">
        <v>44</v>
      </c>
      <c r="C19" s="9" t="s">
        <v>731</v>
      </c>
    </row>
    <row r="20" spans="2:3" x14ac:dyDescent="0.2">
      <c r="B20" s="9" t="s">
        <v>58</v>
      </c>
      <c r="C20" s="9" t="s">
        <v>735</v>
      </c>
    </row>
    <row r="21" spans="2:3" x14ac:dyDescent="0.2">
      <c r="B21" s="9" t="s">
        <v>7</v>
      </c>
      <c r="C21" s="9"/>
    </row>
    <row r="23" spans="2:3" x14ac:dyDescent="0.2">
      <c r="B23" s="20" t="s">
        <v>64</v>
      </c>
    </row>
    <row r="25" spans="2:3" s="8" customFormat="1" x14ac:dyDescent="0.2">
      <c r="B25" s="8" t="s">
        <v>8</v>
      </c>
    </row>
    <row r="27" spans="2:3" x14ac:dyDescent="0.2">
      <c r="B27" s="9" t="s">
        <v>9</v>
      </c>
      <c r="C27" s="9" t="s">
        <v>736</v>
      </c>
    </row>
    <row r="28" spans="2:3" x14ac:dyDescent="0.2">
      <c r="B28" s="9" t="s">
        <v>62</v>
      </c>
      <c r="C28" s="9" t="s">
        <v>736</v>
      </c>
    </row>
    <row r="29" spans="2:3" ht="25.5" x14ac:dyDescent="0.2">
      <c r="B29" s="9" t="s">
        <v>10</v>
      </c>
      <c r="C29" s="9" t="s">
        <v>736</v>
      </c>
    </row>
    <row r="30" spans="2:3" ht="25.5" x14ac:dyDescent="0.2">
      <c r="B30" s="9" t="s">
        <v>63</v>
      </c>
      <c r="C30" s="9" t="s">
        <v>737</v>
      </c>
    </row>
    <row r="31" spans="2:3" x14ac:dyDescent="0.2">
      <c r="B31" s="9" t="s">
        <v>7</v>
      </c>
      <c r="C31" s="9"/>
    </row>
    <row r="33" spans="2:4" x14ac:dyDescent="0.2">
      <c r="B33" s="171" t="s">
        <v>46</v>
      </c>
      <c r="C33" s="172"/>
      <c r="D33" s="5"/>
    </row>
    <row r="34" spans="2:4" x14ac:dyDescent="0.2">
      <c r="B34" s="17"/>
      <c r="C34" s="17"/>
      <c r="D34" s="5"/>
    </row>
    <row r="36" spans="2:4" s="8" customFormat="1" x14ac:dyDescent="0.2">
      <c r="B36" s="8" t="s">
        <v>0</v>
      </c>
    </row>
    <row r="38" spans="2:4" x14ac:dyDescent="0.2">
      <c r="B38" s="2" t="s">
        <v>47</v>
      </c>
    </row>
    <row r="41" spans="2:4" x14ac:dyDescent="0.2">
      <c r="B41" s="4" t="s">
        <v>65</v>
      </c>
    </row>
    <row r="43" spans="2:4" x14ac:dyDescent="0.2">
      <c r="C43" s="28"/>
    </row>
  </sheetData>
  <mergeCells count="1">
    <mergeCell ref="B33:C33"/>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260A-5F4E-4A5E-B633-80380D18E5CD}">
  <sheetPr>
    <tabColor rgb="FFE1FFE1"/>
  </sheetPr>
  <dimension ref="B2:T61"/>
  <sheetViews>
    <sheetView showGridLines="0" zoomScale="84" zoomScaleNormal="84"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58.57031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204</v>
      </c>
    </row>
    <row r="4" spans="2:20" x14ac:dyDescent="0.2">
      <c r="B4" s="1" t="s">
        <v>102</v>
      </c>
      <c r="C4" s="1"/>
      <c r="D4" s="1"/>
    </row>
    <row r="5" spans="2:20" x14ac:dyDescent="0.2">
      <c r="B5" s="2" t="s">
        <v>558</v>
      </c>
      <c r="C5" s="3"/>
      <c r="D5" s="3"/>
      <c r="H5" s="13"/>
    </row>
    <row r="6" spans="2:20" x14ac:dyDescent="0.2">
      <c r="B6" s="2" t="s">
        <v>559</v>
      </c>
      <c r="C6" s="3"/>
      <c r="D6" s="3"/>
      <c r="H6" s="13"/>
    </row>
    <row r="8" spans="2:20" s="8" customFormat="1" x14ac:dyDescent="0.2">
      <c r="B8" s="8" t="s">
        <v>103</v>
      </c>
      <c r="F8" s="8" t="s">
        <v>104</v>
      </c>
      <c r="H8" s="8" t="s">
        <v>105</v>
      </c>
      <c r="J8" s="8" t="s">
        <v>106</v>
      </c>
      <c r="L8" s="8" t="s">
        <v>72</v>
      </c>
      <c r="M8" s="8" t="s">
        <v>73</v>
      </c>
      <c r="N8" s="8" t="s">
        <v>74</v>
      </c>
      <c r="O8" s="8" t="s">
        <v>75</v>
      </c>
      <c r="P8" s="8" t="s">
        <v>76</v>
      </c>
      <c r="R8" s="8" t="s">
        <v>40</v>
      </c>
      <c r="T8" s="8" t="s">
        <v>39</v>
      </c>
    </row>
    <row r="11" spans="2:20" s="8" customFormat="1" x14ac:dyDescent="0.2">
      <c r="B11" s="8" t="s">
        <v>465</v>
      </c>
    </row>
    <row r="12" spans="2:20" x14ac:dyDescent="0.2">
      <c r="L12" s="13"/>
      <c r="M12" s="13"/>
      <c r="N12" s="13"/>
      <c r="O12" s="13"/>
      <c r="P12" s="13"/>
      <c r="Q12" s="13"/>
    </row>
    <row r="13" spans="2:20" x14ac:dyDescent="0.2">
      <c r="B13" s="1" t="s">
        <v>208</v>
      </c>
      <c r="L13" s="13"/>
      <c r="M13" s="13"/>
      <c r="N13" s="13"/>
      <c r="O13" s="13"/>
      <c r="P13" s="13"/>
      <c r="Q13" s="13"/>
      <c r="R13" s="13"/>
    </row>
    <row r="14" spans="2:20" x14ac:dyDescent="0.2">
      <c r="B14" s="2" t="s">
        <v>561</v>
      </c>
      <c r="F14" s="2" t="s">
        <v>108</v>
      </c>
      <c r="J14" s="41">
        <f>SUM(L14:P14)</f>
        <v>405380.8600231274</v>
      </c>
      <c r="L14" s="42">
        <v>405380.8600231274</v>
      </c>
      <c r="M14" s="71"/>
      <c r="N14" s="72"/>
      <c r="O14" s="72"/>
      <c r="P14" s="72"/>
      <c r="Q14" s="13"/>
      <c r="R14" s="2" t="s">
        <v>210</v>
      </c>
    </row>
    <row r="15" spans="2:20" x14ac:dyDescent="0.2">
      <c r="B15" s="2" t="s">
        <v>430</v>
      </c>
      <c r="F15" s="2" t="s">
        <v>155</v>
      </c>
      <c r="J15" s="41">
        <f>SUM(L15:P15)</f>
        <v>-211260.54231172998</v>
      </c>
      <c r="L15" s="71"/>
      <c r="M15" s="42">
        <v>-211260.54231172998</v>
      </c>
      <c r="N15" s="72"/>
      <c r="O15" s="72"/>
      <c r="P15" s="72"/>
      <c r="Q15" s="13"/>
      <c r="R15" s="2" t="s">
        <v>211</v>
      </c>
    </row>
    <row r="17" spans="2:20" x14ac:dyDescent="0.2">
      <c r="B17" s="1" t="s">
        <v>212</v>
      </c>
    </row>
    <row r="18" spans="2:20" x14ac:dyDescent="0.2">
      <c r="B18" s="2" t="s">
        <v>213</v>
      </c>
      <c r="F18" s="2" t="s">
        <v>155</v>
      </c>
      <c r="J18" s="41">
        <f>SUM(L18:P18)</f>
        <v>266000.51429942914</v>
      </c>
      <c r="L18" s="42">
        <v>115799.73845607834</v>
      </c>
      <c r="M18" s="42">
        <v>57622.023824131815</v>
      </c>
      <c r="N18" s="42">
        <v>33866.56893080892</v>
      </c>
      <c r="O18" s="42">
        <v>57536.881810847204</v>
      </c>
      <c r="P18" s="42">
        <v>1175.3012775628376</v>
      </c>
      <c r="R18" s="2" t="s">
        <v>214</v>
      </c>
      <c r="T18" s="2" t="s">
        <v>557</v>
      </c>
    </row>
    <row r="20" spans="2:20" x14ac:dyDescent="0.2">
      <c r="B20" s="1" t="s">
        <v>534</v>
      </c>
      <c r="Q20" s="13"/>
      <c r="R20" s="13"/>
    </row>
    <row r="21" spans="2:20" x14ac:dyDescent="0.2">
      <c r="B21" s="119" t="s">
        <v>533</v>
      </c>
      <c r="F21" s="2" t="s">
        <v>108</v>
      </c>
      <c r="L21" s="35">
        <v>329217.37</v>
      </c>
      <c r="M21" s="48"/>
      <c r="N21" s="48"/>
      <c r="O21" s="48"/>
      <c r="P21" s="48"/>
      <c r="Q21" s="13"/>
      <c r="R21" s="119" t="s">
        <v>535</v>
      </c>
      <c r="T21" s="2" t="s">
        <v>569</v>
      </c>
    </row>
    <row r="23" spans="2:20" x14ac:dyDescent="0.2">
      <c r="B23" s="1" t="s">
        <v>352</v>
      </c>
    </row>
    <row r="24" spans="2:20" x14ac:dyDescent="0.2">
      <c r="B24" s="2" t="s">
        <v>352</v>
      </c>
      <c r="F24" s="2" t="s">
        <v>108</v>
      </c>
      <c r="L24" s="48"/>
      <c r="M24" s="35">
        <v>0</v>
      </c>
      <c r="N24" s="48"/>
      <c r="O24" s="35">
        <v>0</v>
      </c>
      <c r="P24" s="48"/>
      <c r="R24" s="2" t="s">
        <v>529</v>
      </c>
    </row>
    <row r="26" spans="2:20" s="8" customFormat="1" x14ac:dyDescent="0.2">
      <c r="B26" s="8" t="s">
        <v>491</v>
      </c>
    </row>
    <row r="28" spans="2:20" x14ac:dyDescent="0.2">
      <c r="B28" s="1" t="s">
        <v>492</v>
      </c>
    </row>
    <row r="29" spans="2:20" x14ac:dyDescent="0.2">
      <c r="B29" s="2" t="s">
        <v>340</v>
      </c>
      <c r="F29" s="2" t="s">
        <v>108</v>
      </c>
      <c r="J29" s="36">
        <f>SUM(L29:P29)</f>
        <v>4114196.1146405409</v>
      </c>
      <c r="L29" s="42">
        <v>1969520.7920966125</v>
      </c>
      <c r="M29" s="42">
        <v>764050.24085798801</v>
      </c>
      <c r="N29" s="42">
        <v>797188.08680193231</v>
      </c>
      <c r="O29" s="42">
        <v>571057.93076286872</v>
      </c>
      <c r="P29" s="42">
        <v>12379.064121139319</v>
      </c>
      <c r="R29" s="2" t="s">
        <v>341</v>
      </c>
    </row>
    <row r="30" spans="2:20" x14ac:dyDescent="0.2">
      <c r="B30" s="2" t="s">
        <v>342</v>
      </c>
      <c r="F30" s="2" t="s">
        <v>108</v>
      </c>
      <c r="J30" s="36">
        <f>SUM(L30:P30)</f>
        <v>127828.38424120485</v>
      </c>
      <c r="L30" s="101"/>
      <c r="M30" s="101"/>
      <c r="N30" s="101"/>
      <c r="O30" s="42">
        <v>127828.38424120485</v>
      </c>
      <c r="P30" s="101"/>
      <c r="R30" s="2" t="s">
        <v>343</v>
      </c>
    </row>
    <row r="31" spans="2:20" x14ac:dyDescent="0.2">
      <c r="B31" s="2" t="s">
        <v>344</v>
      </c>
      <c r="F31" s="2" t="s">
        <v>279</v>
      </c>
      <c r="J31" s="36">
        <f>SUM(L31:P31)</f>
        <v>293.90903066182125</v>
      </c>
      <c r="L31" s="35">
        <v>2.3154335450431548E-2</v>
      </c>
      <c r="M31" s="35">
        <v>25.798082112926469</v>
      </c>
      <c r="N31" s="35">
        <v>0.72336183329294312</v>
      </c>
      <c r="O31" s="35">
        <v>265.91124491419987</v>
      </c>
      <c r="P31" s="35">
        <v>1.4531874659515487</v>
      </c>
      <c r="R31" s="2" t="s">
        <v>345</v>
      </c>
    </row>
    <row r="32" spans="2:20" x14ac:dyDescent="0.2">
      <c r="B32" s="2" t="s">
        <v>346</v>
      </c>
      <c r="F32" s="2" t="s">
        <v>279</v>
      </c>
      <c r="J32" s="36">
        <f>SUM(L32:P32)</f>
        <v>576.27419043324039</v>
      </c>
      <c r="L32" s="101"/>
      <c r="M32" s="101"/>
      <c r="N32" s="101"/>
      <c r="O32" s="35">
        <v>576.27419043324039</v>
      </c>
      <c r="P32" s="101"/>
      <c r="R32" s="2" t="s">
        <v>347</v>
      </c>
    </row>
    <row r="34" spans="2:18" x14ac:dyDescent="0.2">
      <c r="B34" s="1" t="s">
        <v>366</v>
      </c>
    </row>
    <row r="35" spans="2:18" x14ac:dyDescent="0.2">
      <c r="B35" s="20" t="s">
        <v>36</v>
      </c>
      <c r="F35" s="20" t="s">
        <v>124</v>
      </c>
      <c r="L35" s="20" t="s">
        <v>125</v>
      </c>
      <c r="M35" s="20" t="s">
        <v>126</v>
      </c>
      <c r="N35" s="20" t="s">
        <v>127</v>
      </c>
      <c r="O35" s="20" t="s">
        <v>128</v>
      </c>
      <c r="P35" s="20" t="s">
        <v>127</v>
      </c>
      <c r="Q35" s="20"/>
      <c r="R35" s="20"/>
    </row>
    <row r="36" spans="2:18" x14ac:dyDescent="0.2">
      <c r="B36" s="2" t="s">
        <v>366</v>
      </c>
      <c r="F36" s="2" t="s">
        <v>124</v>
      </c>
      <c r="L36" s="42">
        <v>17919431.587000001</v>
      </c>
      <c r="M36" s="42">
        <v>18362.981033333333</v>
      </c>
      <c r="N36" s="42">
        <v>181361.1299297782</v>
      </c>
      <c r="O36" s="42">
        <v>1043.4687889299626</v>
      </c>
      <c r="P36" s="42">
        <v>3172.006162471821</v>
      </c>
      <c r="R36" s="2" t="s">
        <v>373</v>
      </c>
    </row>
    <row r="37" spans="2:18" x14ac:dyDescent="0.2">
      <c r="B37" s="2" t="s">
        <v>377</v>
      </c>
      <c r="F37" s="2" t="s">
        <v>124</v>
      </c>
      <c r="L37" s="48"/>
      <c r="M37" s="48"/>
      <c r="N37" s="48"/>
      <c r="O37" s="42">
        <v>896.33333333333337</v>
      </c>
      <c r="P37" s="48"/>
      <c r="R37" s="104" t="s">
        <v>373</v>
      </c>
    </row>
    <row r="39" spans="2:18" x14ac:dyDescent="0.2">
      <c r="B39" s="2" t="s">
        <v>367</v>
      </c>
      <c r="F39" s="2" t="s">
        <v>88</v>
      </c>
      <c r="L39" s="48"/>
      <c r="M39" s="38">
        <v>0.14000000000000001</v>
      </c>
      <c r="N39" s="48"/>
      <c r="O39" s="38">
        <v>0.1255</v>
      </c>
      <c r="P39" s="48"/>
      <c r="R39" s="2" t="s">
        <v>373</v>
      </c>
    </row>
    <row r="41" spans="2:18" x14ac:dyDescent="0.2">
      <c r="B41" s="1" t="s">
        <v>371</v>
      </c>
    </row>
    <row r="42" spans="2:18" x14ac:dyDescent="0.2">
      <c r="B42" s="2" t="s">
        <v>368</v>
      </c>
      <c r="F42" s="2" t="s">
        <v>369</v>
      </c>
      <c r="L42" s="53">
        <v>0.29422474662865467</v>
      </c>
      <c r="M42" s="48"/>
      <c r="N42" s="48"/>
      <c r="O42" s="48"/>
      <c r="P42" s="48"/>
      <c r="R42" s="2" t="s">
        <v>374</v>
      </c>
    </row>
    <row r="43" spans="2:18" x14ac:dyDescent="0.2">
      <c r="B43" s="2" t="s">
        <v>370</v>
      </c>
      <c r="F43" s="2" t="s">
        <v>369</v>
      </c>
      <c r="L43" s="53">
        <v>0.36197645114248977</v>
      </c>
      <c r="M43" s="48"/>
      <c r="N43" s="48"/>
      <c r="O43" s="48"/>
      <c r="P43" s="48"/>
      <c r="R43" s="2" t="s">
        <v>375</v>
      </c>
    </row>
    <row r="44" spans="2:18" x14ac:dyDescent="0.2">
      <c r="B44" s="2" t="s">
        <v>371</v>
      </c>
      <c r="F44" s="2" t="s">
        <v>372</v>
      </c>
      <c r="L44" s="48"/>
      <c r="M44" s="48"/>
      <c r="N44" s="53">
        <v>7.191572933731611</v>
      </c>
      <c r="O44" s="48"/>
      <c r="P44" s="48"/>
      <c r="R44" s="2" t="s">
        <v>376</v>
      </c>
    </row>
    <row r="46" spans="2:18" s="8" customFormat="1" x14ac:dyDescent="0.2">
      <c r="B46" s="8" t="s">
        <v>470</v>
      </c>
    </row>
    <row r="48" spans="2:18" x14ac:dyDescent="0.2">
      <c r="B48" s="2" t="s">
        <v>355</v>
      </c>
      <c r="F48" s="2" t="s">
        <v>127</v>
      </c>
      <c r="L48" s="10"/>
      <c r="M48" s="10"/>
      <c r="N48" s="35">
        <v>187300</v>
      </c>
      <c r="O48" s="10"/>
      <c r="P48" s="10"/>
      <c r="R48" s="2" t="s">
        <v>356</v>
      </c>
    </row>
    <row r="49" spans="2:18" x14ac:dyDescent="0.2">
      <c r="B49" s="2" t="s">
        <v>357</v>
      </c>
      <c r="F49" s="2" t="s">
        <v>358</v>
      </c>
      <c r="L49" s="10"/>
      <c r="M49" s="10"/>
      <c r="N49" s="35">
        <v>0.50186477676694452</v>
      </c>
      <c r="O49" s="10"/>
      <c r="P49" s="10"/>
      <c r="R49" s="2" t="s">
        <v>359</v>
      </c>
    </row>
    <row r="50" spans="2:18" x14ac:dyDescent="0.2">
      <c r="B50" s="2" t="s">
        <v>360</v>
      </c>
      <c r="F50" s="2" t="s">
        <v>358</v>
      </c>
      <c r="L50" s="10"/>
      <c r="M50" s="10"/>
      <c r="N50" s="35">
        <v>0.37139101036130612</v>
      </c>
      <c r="O50" s="10"/>
      <c r="P50" s="10"/>
      <c r="R50" s="2" t="s">
        <v>361</v>
      </c>
    </row>
    <row r="51" spans="2:18" x14ac:dyDescent="0.2">
      <c r="B51" s="2" t="s">
        <v>148</v>
      </c>
      <c r="F51" s="2" t="s">
        <v>149</v>
      </c>
      <c r="L51" s="10"/>
      <c r="M51" s="10"/>
      <c r="N51" s="35">
        <v>3.4550162121682879</v>
      </c>
      <c r="O51" s="10"/>
      <c r="P51" s="10"/>
      <c r="R51" s="2" t="s">
        <v>363</v>
      </c>
    </row>
    <row r="52" spans="2:18" x14ac:dyDescent="0.2">
      <c r="B52" s="2" t="s">
        <v>364</v>
      </c>
      <c r="F52" s="2" t="s">
        <v>88</v>
      </c>
      <c r="L52" s="10"/>
      <c r="M52" s="10"/>
      <c r="N52" s="35">
        <v>0.5</v>
      </c>
      <c r="O52" s="10"/>
      <c r="P52" s="10"/>
      <c r="R52" s="2" t="s">
        <v>365</v>
      </c>
    </row>
    <row r="53" spans="2:18" x14ac:dyDescent="0.2">
      <c r="N53" s="22"/>
      <c r="R53" s="13"/>
    </row>
    <row r="54" spans="2:18" s="8" customFormat="1" x14ac:dyDescent="0.2">
      <c r="B54" s="8" t="s">
        <v>471</v>
      </c>
    </row>
    <row r="56" spans="2:18" x14ac:dyDescent="0.2">
      <c r="B56" s="2" t="s">
        <v>472</v>
      </c>
      <c r="F56" s="2" t="s">
        <v>163</v>
      </c>
      <c r="L56" s="10"/>
      <c r="M56" s="10"/>
      <c r="N56" s="10"/>
      <c r="O56" s="42">
        <v>518</v>
      </c>
      <c r="P56" s="10"/>
      <c r="R56" s="119" t="s">
        <v>121</v>
      </c>
    </row>
    <row r="57" spans="2:18" x14ac:dyDescent="0.2">
      <c r="B57" s="2" t="s">
        <v>473</v>
      </c>
      <c r="F57" s="2" t="s">
        <v>114</v>
      </c>
      <c r="L57" s="10"/>
      <c r="M57" s="10"/>
      <c r="N57" s="10"/>
      <c r="O57" s="42">
        <v>307847</v>
      </c>
      <c r="P57" s="10"/>
      <c r="R57" s="119" t="s">
        <v>121</v>
      </c>
    </row>
    <row r="58" spans="2:18" x14ac:dyDescent="0.2">
      <c r="B58" s="2" t="s">
        <v>474</v>
      </c>
      <c r="F58" s="2" t="s">
        <v>114</v>
      </c>
      <c r="L58" s="10"/>
      <c r="M58" s="10"/>
      <c r="N58" s="10"/>
      <c r="O58" s="42">
        <v>24424</v>
      </c>
      <c r="P58" s="10"/>
      <c r="R58" s="119" t="s">
        <v>121</v>
      </c>
    </row>
    <row r="61" spans="2:18" x14ac:dyDescent="0.2">
      <c r="B61" s="4" t="s">
        <v>65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203</v>
      </c>
    </row>
    <row r="3" spans="2:2" x14ac:dyDescent="0.2">
      <c r="B3" s="3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2FAAF-E534-4559-AB39-5CF0F422597A}">
  <sheetPr>
    <tabColor rgb="FFFFFFCC"/>
  </sheetPr>
  <dimension ref="A2:R30"/>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1:18" s="12" customFormat="1" ht="18" x14ac:dyDescent="0.2">
      <c r="B2" s="12" t="s">
        <v>378</v>
      </c>
    </row>
    <row r="4" spans="1:18" x14ac:dyDescent="0.2">
      <c r="B4" s="19" t="s">
        <v>379</v>
      </c>
      <c r="C4" s="1"/>
      <c r="D4" s="1"/>
    </row>
    <row r="5" spans="1:18" x14ac:dyDescent="0.2">
      <c r="B5" s="2" t="s">
        <v>380</v>
      </c>
      <c r="C5" s="3"/>
      <c r="D5" s="3"/>
      <c r="H5" s="13"/>
    </row>
    <row r="7" spans="1:18" s="8" customFormat="1" ht="12.75" customHeight="1" x14ac:dyDescent="0.2">
      <c r="B7" s="8" t="s">
        <v>103</v>
      </c>
      <c r="F7" s="8" t="s">
        <v>104</v>
      </c>
      <c r="H7" s="8" t="s">
        <v>37</v>
      </c>
      <c r="J7" s="8" t="s">
        <v>38</v>
      </c>
      <c r="L7" s="8" t="s">
        <v>257</v>
      </c>
      <c r="M7" s="8" t="s">
        <v>73</v>
      </c>
      <c r="N7" s="8" t="s">
        <v>74</v>
      </c>
      <c r="O7" s="8" t="s">
        <v>75</v>
      </c>
      <c r="P7" s="8" t="s">
        <v>76</v>
      </c>
      <c r="R7" s="8" t="s">
        <v>39</v>
      </c>
    </row>
    <row r="10" spans="1:18" s="8" customFormat="1" x14ac:dyDescent="0.2">
      <c r="B10" s="8" t="s">
        <v>381</v>
      </c>
    </row>
    <row r="11" spans="1:18" x14ac:dyDescent="0.2">
      <c r="H11"/>
      <c r="I11"/>
      <c r="J11"/>
      <c r="K11"/>
    </row>
    <row r="12" spans="1:18" x14ac:dyDescent="0.2">
      <c r="B12" s="19" t="s">
        <v>382</v>
      </c>
      <c r="K12"/>
      <c r="L12"/>
      <c r="M12"/>
      <c r="N12"/>
    </row>
    <row r="13" spans="1:18" x14ac:dyDescent="0.2">
      <c r="B13" s="2" t="s">
        <v>383</v>
      </c>
      <c r="F13" s="2" t="s">
        <v>108</v>
      </c>
      <c r="J13" s="27">
        <f>SUM(L13:P13)</f>
        <v>4114196.1146405409</v>
      </c>
      <c r="L13" s="85">
        <f>'Data on corrections'!L29</f>
        <v>1969520.7920966125</v>
      </c>
      <c r="M13" s="85">
        <f>'Data on corrections'!M29</f>
        <v>764050.24085798801</v>
      </c>
      <c r="N13" s="85">
        <f>'Data on corrections'!N29</f>
        <v>797188.08680193231</v>
      </c>
      <c r="O13" s="85">
        <f>'Data on corrections'!O29</f>
        <v>571057.93076286872</v>
      </c>
      <c r="P13" s="85">
        <f>'Data on corrections'!P29</f>
        <v>12379.064121139319</v>
      </c>
    </row>
    <row r="14" spans="1:18" x14ac:dyDescent="0.2">
      <c r="M14"/>
      <c r="O14"/>
      <c r="P14"/>
    </row>
    <row r="15" spans="1:18" x14ac:dyDescent="0.2">
      <c r="B15" s="1" t="s">
        <v>261</v>
      </c>
    </row>
    <row r="16" spans="1:18" s="20" customFormat="1" x14ac:dyDescent="0.2">
      <c r="A16" s="2"/>
      <c r="B16" s="20" t="s">
        <v>36</v>
      </c>
      <c r="F16" s="20" t="s">
        <v>124</v>
      </c>
      <c r="L16" s="20" t="s">
        <v>125</v>
      </c>
      <c r="M16" s="20" t="s">
        <v>126</v>
      </c>
      <c r="N16" s="20" t="s">
        <v>127</v>
      </c>
      <c r="O16" s="20" t="s">
        <v>128</v>
      </c>
      <c r="P16" s="20" t="s">
        <v>127</v>
      </c>
    </row>
    <row r="17" spans="2:18" x14ac:dyDescent="0.2">
      <c r="B17" s="2" t="s">
        <v>366</v>
      </c>
      <c r="F17" s="2" t="s">
        <v>124</v>
      </c>
      <c r="J17" s="27">
        <f>SUM(L17:P17)</f>
        <v>18123371.172914512</v>
      </c>
      <c r="L17" s="85">
        <f>'Data on corrections'!L36</f>
        <v>17919431.587000001</v>
      </c>
      <c r="M17" s="85">
        <f>'Data on corrections'!M36</f>
        <v>18362.981033333333</v>
      </c>
      <c r="N17" s="85">
        <f>'Data on corrections'!N36</f>
        <v>181361.1299297782</v>
      </c>
      <c r="O17" s="85">
        <f>'Data on corrections'!O36</f>
        <v>1043.4687889299626</v>
      </c>
      <c r="P17" s="85">
        <f>'Data on corrections'!P36</f>
        <v>3172.006162471821</v>
      </c>
    </row>
    <row r="18" spans="2:18" x14ac:dyDescent="0.2">
      <c r="B18" s="2" t="s">
        <v>129</v>
      </c>
      <c r="F18" s="2" t="s">
        <v>124</v>
      </c>
      <c r="J18" s="27">
        <f>SUM(L18:P18)</f>
        <v>16541866.146666665</v>
      </c>
      <c r="L18" s="85">
        <f>'Historical data'!L37</f>
        <v>16328808</v>
      </c>
      <c r="M18" s="85">
        <f>'Historical data'!M37</f>
        <v>18218.78</v>
      </c>
      <c r="N18" s="85">
        <f>'Historical data'!N37</f>
        <v>187656</v>
      </c>
      <c r="O18" s="85">
        <f>'Historical data'!O37</f>
        <v>1036.1666666666667</v>
      </c>
      <c r="P18" s="85">
        <f>'Historical data'!P37</f>
        <v>6147.1999999999989</v>
      </c>
    </row>
    <row r="19" spans="2:18" x14ac:dyDescent="0.2">
      <c r="M19"/>
      <c r="O19"/>
      <c r="P19"/>
    </row>
    <row r="20" spans="2:18" x14ac:dyDescent="0.2">
      <c r="B20" s="2" t="s">
        <v>384</v>
      </c>
      <c r="F20" s="2" t="s">
        <v>108</v>
      </c>
      <c r="L20" s="48"/>
      <c r="M20" s="85">
        <f>'Data on corrections'!M24</f>
        <v>0</v>
      </c>
      <c r="N20" s="48"/>
      <c r="O20" s="85">
        <f>'Data on corrections'!O24</f>
        <v>0</v>
      </c>
      <c r="P20" s="48"/>
    </row>
    <row r="21" spans="2:18" x14ac:dyDescent="0.2">
      <c r="M21"/>
      <c r="O21"/>
      <c r="P21"/>
    </row>
    <row r="22" spans="2:18" s="8" customFormat="1" x14ac:dyDescent="0.2">
      <c r="B22" s="8" t="s">
        <v>385</v>
      </c>
    </row>
    <row r="23" spans="2:18" x14ac:dyDescent="0.2">
      <c r="M23"/>
      <c r="O23"/>
      <c r="P23"/>
    </row>
    <row r="24" spans="2:18" x14ac:dyDescent="0.2">
      <c r="B24" s="19" t="s">
        <v>386</v>
      </c>
      <c r="M24"/>
      <c r="O24"/>
      <c r="P24"/>
    </row>
    <row r="25" spans="2:18" x14ac:dyDescent="0.2">
      <c r="B25" s="2" t="s">
        <v>387</v>
      </c>
      <c r="F25" s="2" t="s">
        <v>108</v>
      </c>
      <c r="J25" s="27">
        <f>SUM(L25:P25)</f>
        <v>3968655.4739798489</v>
      </c>
      <c r="L25" s="41">
        <f>L13/L17*L18</f>
        <v>1794695.7028193097</v>
      </c>
      <c r="M25" s="41">
        <f>M13/M17*M18</f>
        <v>758050.29814442166</v>
      </c>
      <c r="N25" s="41">
        <f>N13/N17*N18</f>
        <v>824857.71716809669</v>
      </c>
      <c r="O25" s="41">
        <f>O13/O17*O18</f>
        <v>567061.70694276644</v>
      </c>
      <c r="P25" s="41">
        <f>P13/P17*P18</f>
        <v>23990.048905254491</v>
      </c>
    </row>
    <row r="26" spans="2:18" x14ac:dyDescent="0.2">
      <c r="B26" s="32" t="s">
        <v>388</v>
      </c>
      <c r="F26" s="2" t="s">
        <v>108</v>
      </c>
      <c r="J26" s="27">
        <f>SUM(L26:P26)</f>
        <v>145540.64066069195</v>
      </c>
      <c r="L26" s="21">
        <f>L13-L25</f>
        <v>174825.08927730285</v>
      </c>
      <c r="M26" s="23">
        <f>M13-M25+M20</f>
        <v>5999.9427135663573</v>
      </c>
      <c r="N26" s="21">
        <f>N13-N25</f>
        <v>-27669.630366164376</v>
      </c>
      <c r="O26" s="23">
        <f>O13-O25+O20</f>
        <v>3996.2238201022847</v>
      </c>
      <c r="P26" s="21">
        <f>P13-P25</f>
        <v>-11610.984784115171</v>
      </c>
      <c r="R26" s="2" t="s">
        <v>431</v>
      </c>
    </row>
    <row r="27" spans="2:18" x14ac:dyDescent="0.2">
      <c r="M27"/>
      <c r="N27"/>
      <c r="O27"/>
      <c r="P27"/>
    </row>
    <row r="30" spans="2:18" x14ac:dyDescent="0.2">
      <c r="B30" s="4" t="s">
        <v>65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R70"/>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437</v>
      </c>
    </row>
    <row r="4" spans="2:18" x14ac:dyDescent="0.2">
      <c r="B4" s="19" t="s">
        <v>379</v>
      </c>
      <c r="C4" s="1"/>
      <c r="D4" s="1"/>
    </row>
    <row r="5" spans="2:18" x14ac:dyDescent="0.2">
      <c r="B5" s="2" t="s">
        <v>438</v>
      </c>
      <c r="C5" s="3"/>
      <c r="D5" s="3"/>
      <c r="H5"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389</v>
      </c>
    </row>
    <row r="11" spans="2:18" x14ac:dyDescent="0.2">
      <c r="B11" s="19"/>
    </row>
    <row r="12" spans="2:18" x14ac:dyDescent="0.2">
      <c r="B12" s="19" t="s">
        <v>67</v>
      </c>
    </row>
    <row r="13" spans="2:18" x14ac:dyDescent="0.2">
      <c r="B13" s="2" t="s">
        <v>336</v>
      </c>
      <c r="F13" s="2" t="s">
        <v>88</v>
      </c>
      <c r="H13" s="84">
        <f>Parameters!H39</f>
        <v>5.9700000000000003E-2</v>
      </c>
    </row>
    <row r="14" spans="2:18" x14ac:dyDescent="0.2">
      <c r="B14" s="2" t="s">
        <v>339</v>
      </c>
      <c r="F14" s="2" t="s">
        <v>88</v>
      </c>
      <c r="H14" s="88">
        <f>Parameters!H46</f>
        <v>0.5</v>
      </c>
    </row>
    <row r="15" spans="2:18" x14ac:dyDescent="0.2">
      <c r="B15" s="2" t="s">
        <v>350</v>
      </c>
      <c r="F15" s="2" t="s">
        <v>88</v>
      </c>
      <c r="H15" s="84">
        <f>'Historical data'!P50</f>
        <v>3.2054342372382902E-2</v>
      </c>
    </row>
    <row r="17" spans="2:16" x14ac:dyDescent="0.2">
      <c r="B17" s="19" t="s">
        <v>390</v>
      </c>
    </row>
    <row r="18" spans="2:16" x14ac:dyDescent="0.2">
      <c r="B18" s="2" t="s">
        <v>391</v>
      </c>
      <c r="F18" s="2" t="s">
        <v>279</v>
      </c>
      <c r="J18" s="27">
        <f>SUM(L18:P18)</f>
        <v>4114196.1146405409</v>
      </c>
      <c r="L18" s="26">
        <f>'Data on corrections'!L29</f>
        <v>1969520.7920966125</v>
      </c>
      <c r="M18" s="26">
        <f>'Data on corrections'!M29</f>
        <v>764050.24085798801</v>
      </c>
      <c r="N18" s="26">
        <f>'Data on corrections'!N29</f>
        <v>797188.08680193231</v>
      </c>
      <c r="O18" s="26">
        <f>'Data on corrections'!O29</f>
        <v>571057.93076286872</v>
      </c>
      <c r="P18" s="26">
        <f>'Data on corrections'!P29</f>
        <v>12379.064121139319</v>
      </c>
    </row>
    <row r="19" spans="2:16" x14ac:dyDescent="0.2">
      <c r="B19" s="2" t="s">
        <v>342</v>
      </c>
      <c r="F19" s="2" t="s">
        <v>279</v>
      </c>
      <c r="L19" s="101"/>
      <c r="M19" s="101"/>
      <c r="N19" s="101"/>
      <c r="O19" s="26">
        <f>'Data on corrections'!O30</f>
        <v>127828.38424120485</v>
      </c>
      <c r="P19" s="101"/>
    </row>
    <row r="20" spans="2:16" x14ac:dyDescent="0.2">
      <c r="B20" s="2" t="s">
        <v>392</v>
      </c>
      <c r="F20" s="2" t="s">
        <v>279</v>
      </c>
      <c r="L20" s="92">
        <f>'Data on corrections'!L31</f>
        <v>2.3154335450431548E-2</v>
      </c>
      <c r="M20" s="92">
        <f>'Data on corrections'!M31</f>
        <v>25.798082112926469</v>
      </c>
      <c r="N20" s="92">
        <f>'Data on corrections'!N31</f>
        <v>0.72336183329294312</v>
      </c>
      <c r="O20" s="92">
        <f>'Data on corrections'!O31</f>
        <v>265.91124491419987</v>
      </c>
      <c r="P20" s="92">
        <f>'Data on corrections'!P31</f>
        <v>1.4531874659515487</v>
      </c>
    </row>
    <row r="21" spans="2:16" x14ac:dyDescent="0.2">
      <c r="B21" s="2" t="s">
        <v>346</v>
      </c>
      <c r="F21" s="2" t="s">
        <v>279</v>
      </c>
      <c r="L21" s="101"/>
      <c r="M21" s="101"/>
      <c r="N21" s="101"/>
      <c r="O21" s="92">
        <f>'Data on corrections'!O32</f>
        <v>576.27419043324039</v>
      </c>
      <c r="P21" s="101"/>
    </row>
    <row r="23" spans="2:16" x14ac:dyDescent="0.2">
      <c r="B23" s="19" t="s">
        <v>393</v>
      </c>
    </row>
    <row r="24" spans="2:16" x14ac:dyDescent="0.2">
      <c r="B24" s="2" t="s">
        <v>113</v>
      </c>
      <c r="F24" s="2" t="s">
        <v>114</v>
      </c>
      <c r="J24" s="27">
        <f>SUM(L24:P24)</f>
        <v>9099251.3823729344</v>
      </c>
      <c r="L24" s="26">
        <f>'Historical data'!L21</f>
        <v>2807790.6419269913</v>
      </c>
      <c r="M24" s="26">
        <f>'Historical data'!M21</f>
        <v>2099727.8190321838</v>
      </c>
      <c r="N24" s="26">
        <f>'Historical data'!N21</f>
        <v>1364182.3299102224</v>
      </c>
      <c r="O24" s="26">
        <f>'Historical data'!O21</f>
        <v>2826574.5199072561</v>
      </c>
      <c r="P24" s="26">
        <f>'Historical data'!P21</f>
        <v>976.07159627994554</v>
      </c>
    </row>
    <row r="25" spans="2:16" x14ac:dyDescent="0.2">
      <c r="B25" s="2" t="s">
        <v>117</v>
      </c>
      <c r="F25" s="2" t="s">
        <v>114</v>
      </c>
      <c r="J25" s="27">
        <f t="shared" ref="J25:J27" si="0">SUM(L25:P25)</f>
        <v>884400.79669051722</v>
      </c>
      <c r="L25" s="26">
        <f>'Historical data'!L22</f>
        <v>369335.68785139988</v>
      </c>
      <c r="M25" s="26">
        <f>'Historical data'!M22</f>
        <v>198076.97728293162</v>
      </c>
      <c r="N25" s="26">
        <f>'Historical data'!N22</f>
        <v>122271.43611731179</v>
      </c>
      <c r="O25" s="26">
        <f>'Historical data'!O22</f>
        <v>194529.94154355564</v>
      </c>
      <c r="P25" s="26">
        <f>'Historical data'!P22</f>
        <v>186.75389531827514</v>
      </c>
    </row>
    <row r="26" spans="2:16" x14ac:dyDescent="0.2">
      <c r="B26" s="2" t="s">
        <v>442</v>
      </c>
      <c r="F26" s="2" t="s">
        <v>108</v>
      </c>
      <c r="J26" s="27">
        <f t="shared" si="0"/>
        <v>4489359.1499999994</v>
      </c>
      <c r="L26" s="26">
        <f>'Historical data'!L17</f>
        <v>2007361.6478045504</v>
      </c>
      <c r="M26" s="26">
        <f>'Historical data'!M17</f>
        <v>1040667.8730083217</v>
      </c>
      <c r="N26" s="26">
        <f>'Historical data'!N17</f>
        <v>594864.90738965385</v>
      </c>
      <c r="O26" s="26">
        <f>'Historical data'!O17</f>
        <v>846464.72179747385</v>
      </c>
      <c r="P26" s="26">
        <f>'Historical data'!P17</f>
        <v>0</v>
      </c>
    </row>
    <row r="27" spans="2:16" x14ac:dyDescent="0.2">
      <c r="B27" s="2" t="s">
        <v>110</v>
      </c>
      <c r="F27" s="2" t="s">
        <v>108</v>
      </c>
      <c r="J27" s="27">
        <f t="shared" si="0"/>
        <v>511397.42999999993</v>
      </c>
      <c r="L27" s="26">
        <f>'Historical data'!L18</f>
        <v>2926.1146092557124</v>
      </c>
      <c r="M27" s="26">
        <f>'Historical data'!M18</f>
        <v>439515.27092647104</v>
      </c>
      <c r="N27" s="26">
        <f>'Historical data'!N18</f>
        <v>-838.2788484082314</v>
      </c>
      <c r="O27" s="26">
        <f>'Historical data'!O18</f>
        <v>69794.323312681474</v>
      </c>
      <c r="P27" s="26">
        <f>'Historical data'!P18</f>
        <v>0</v>
      </c>
    </row>
    <row r="28" spans="2:16" x14ac:dyDescent="0.2">
      <c r="B28" s="2" t="s">
        <v>394</v>
      </c>
      <c r="F28" s="2" t="s">
        <v>108</v>
      </c>
      <c r="L28" s="36">
        <f>L26-L27</f>
        <v>2004435.5331952947</v>
      </c>
      <c r="M28" s="36">
        <f t="shared" ref="M28:P28" si="1">M26-M27</f>
        <v>601152.60208185064</v>
      </c>
      <c r="N28" s="36">
        <f t="shared" si="1"/>
        <v>595703.1862380621</v>
      </c>
      <c r="O28" s="36">
        <f t="shared" si="1"/>
        <v>776670.39848479233</v>
      </c>
      <c r="P28" s="36">
        <f t="shared" si="1"/>
        <v>0</v>
      </c>
    </row>
    <row r="29" spans="2:16" x14ac:dyDescent="0.2">
      <c r="L29" s="105"/>
      <c r="M29" s="105"/>
      <c r="N29" s="105"/>
      <c r="O29" s="105"/>
      <c r="P29" s="105"/>
    </row>
    <row r="30" spans="2:16" x14ac:dyDescent="0.2">
      <c r="B30" s="19" t="s">
        <v>395</v>
      </c>
    </row>
    <row r="31" spans="2:16" x14ac:dyDescent="0.2">
      <c r="B31" s="2" t="s">
        <v>113</v>
      </c>
      <c r="F31" s="2" t="s">
        <v>114</v>
      </c>
      <c r="J31" s="27">
        <f t="shared" ref="J31:J33" si="2">SUM(L31:P31)</f>
        <v>9099251.3823729344</v>
      </c>
      <c r="L31" s="26">
        <f t="shared" ref="L31:N32" si="3">L24</f>
        <v>2807790.6419269913</v>
      </c>
      <c r="M31" s="26">
        <f t="shared" si="3"/>
        <v>2099727.8190321838</v>
      </c>
      <c r="N31" s="26">
        <f t="shared" si="3"/>
        <v>1364182.3299102224</v>
      </c>
      <c r="O31" s="27">
        <f>O24*(1-$H$15)</f>
        <v>2735970.532505095</v>
      </c>
      <c r="P31" s="27">
        <f>O24*$H$15+P24</f>
        <v>91580.05899844096</v>
      </c>
    </row>
    <row r="32" spans="2:16" x14ac:dyDescent="0.2">
      <c r="B32" s="2" t="s">
        <v>117</v>
      </c>
      <c r="F32" s="2" t="s">
        <v>114</v>
      </c>
      <c r="J32" s="27">
        <f t="shared" si="2"/>
        <v>884400.79669051722</v>
      </c>
      <c r="L32" s="26">
        <f t="shared" si="3"/>
        <v>369335.68785139988</v>
      </c>
      <c r="M32" s="26">
        <f t="shared" si="3"/>
        <v>198076.97728293162</v>
      </c>
      <c r="N32" s="26">
        <f t="shared" si="3"/>
        <v>122271.43611731179</v>
      </c>
      <c r="O32" s="27">
        <f>O25*(1-$H$15)</f>
        <v>188294.41219563887</v>
      </c>
      <c r="P32" s="27">
        <f>O25*$H$15+P25</f>
        <v>6422.2832432350397</v>
      </c>
    </row>
    <row r="33" spans="1:17" x14ac:dyDescent="0.2">
      <c r="B33" s="2" t="s">
        <v>394</v>
      </c>
      <c r="F33" s="2" t="s">
        <v>108</v>
      </c>
      <c r="J33" s="27">
        <f t="shared" si="2"/>
        <v>3977961.72</v>
      </c>
      <c r="L33" s="26">
        <f>L28</f>
        <v>2004435.5331952947</v>
      </c>
      <c r="M33" s="26">
        <f t="shared" ref="M33:N33" si="4">M28</f>
        <v>601152.60208185064</v>
      </c>
      <c r="N33" s="26">
        <f t="shared" si="4"/>
        <v>595703.1862380621</v>
      </c>
      <c r="O33" s="27">
        <f>O28*(1-$H$15)</f>
        <v>751774.73962126567</v>
      </c>
      <c r="P33" s="112">
        <f>O28*$H$15</f>
        <v>24895.658863526591</v>
      </c>
    </row>
    <row r="35" spans="1:17" x14ac:dyDescent="0.2">
      <c r="B35" s="1" t="s">
        <v>261</v>
      </c>
    </row>
    <row r="36" spans="1:17" s="20" customFormat="1" x14ac:dyDescent="0.2">
      <c r="A36" s="2"/>
      <c r="B36" s="20" t="s">
        <v>36</v>
      </c>
      <c r="F36" s="20" t="s">
        <v>124</v>
      </c>
      <c r="L36" s="20" t="s">
        <v>125</v>
      </c>
      <c r="M36" s="20" t="s">
        <v>126</v>
      </c>
      <c r="N36" s="20" t="s">
        <v>127</v>
      </c>
      <c r="O36" s="20" t="s">
        <v>128</v>
      </c>
      <c r="P36" s="20" t="s">
        <v>127</v>
      </c>
    </row>
    <row r="37" spans="1:17" s="20" customFormat="1" x14ac:dyDescent="0.2">
      <c r="A37" s="2"/>
      <c r="B37" s="2" t="s">
        <v>377</v>
      </c>
      <c r="F37" s="2" t="s">
        <v>124</v>
      </c>
      <c r="L37" s="106"/>
      <c r="M37" s="106"/>
      <c r="N37" s="106"/>
      <c r="O37" s="92">
        <f>'Data on corrections'!O37</f>
        <v>896.33333333333337</v>
      </c>
      <c r="P37" s="106"/>
    </row>
    <row r="38" spans="1:17" x14ac:dyDescent="0.2">
      <c r="B38" s="2" t="s">
        <v>129</v>
      </c>
      <c r="F38" s="2" t="s">
        <v>124</v>
      </c>
      <c r="L38" s="85">
        <f>'Historical data'!L39</f>
        <v>15672434</v>
      </c>
      <c r="M38" s="85">
        <f>'Historical data'!M37</f>
        <v>18218.78</v>
      </c>
      <c r="N38" s="85">
        <f>'Historical data'!N37</f>
        <v>187656</v>
      </c>
      <c r="O38" s="85">
        <f>'Historical data'!O37</f>
        <v>1036.1666666666667</v>
      </c>
      <c r="P38" s="85">
        <f>'Historical data'!P37</f>
        <v>6147.1999999999989</v>
      </c>
    </row>
    <row r="40" spans="1:17" x14ac:dyDescent="0.2">
      <c r="B40" s="107" t="s">
        <v>411</v>
      </c>
    </row>
    <row r="41" spans="1:17" x14ac:dyDescent="0.2">
      <c r="B41" s="2" t="s">
        <v>405</v>
      </c>
      <c r="F41" s="2" t="s">
        <v>406</v>
      </c>
      <c r="L41" s="94">
        <f>'Data on corrections'!L42</f>
        <v>0.29422474662865467</v>
      </c>
      <c r="M41" s="48"/>
      <c r="N41" s="48"/>
      <c r="O41" s="48"/>
    </row>
    <row r="42" spans="1:17" x14ac:dyDescent="0.2">
      <c r="B42" s="2" t="s">
        <v>407</v>
      </c>
      <c r="F42" s="2" t="s">
        <v>406</v>
      </c>
      <c r="L42" s="94">
        <f>'Data on corrections'!L43</f>
        <v>0.36197645114248977</v>
      </c>
      <c r="M42" s="48"/>
      <c r="N42" s="48"/>
      <c r="O42" s="48"/>
    </row>
    <row r="43" spans="1:17" x14ac:dyDescent="0.2">
      <c r="B43" s="2" t="s">
        <v>408</v>
      </c>
      <c r="F43" s="2" t="s">
        <v>406</v>
      </c>
      <c r="L43" s="74">
        <f>(L41+L42)/2</f>
        <v>0.32810059888557219</v>
      </c>
      <c r="M43" s="48"/>
      <c r="N43" s="94">
        <f>'Data on corrections'!N44</f>
        <v>7.191572933731611</v>
      </c>
      <c r="O43" s="48"/>
      <c r="Q43" s="2" t="s">
        <v>409</v>
      </c>
    </row>
    <row r="44" spans="1:17" x14ac:dyDescent="0.2">
      <c r="B44" s="2" t="s">
        <v>367</v>
      </c>
      <c r="F44" s="2" t="s">
        <v>88</v>
      </c>
      <c r="L44" s="48"/>
      <c r="M44" s="84">
        <f>'Data on corrections'!M39</f>
        <v>0.14000000000000001</v>
      </c>
      <c r="N44" s="48"/>
      <c r="O44" s="84">
        <f>'Data on corrections'!O39</f>
        <v>0.1255</v>
      </c>
    </row>
    <row r="45" spans="1:17" x14ac:dyDescent="0.2">
      <c r="B45" s="2" t="s">
        <v>410</v>
      </c>
      <c r="F45" s="2" t="s">
        <v>88</v>
      </c>
      <c r="L45" s="48"/>
      <c r="M45" s="84">
        <f>'Historical data'!M41</f>
        <v>9.6593510378510203E-2</v>
      </c>
      <c r="N45" s="48"/>
      <c r="O45" s="84">
        <f>'Historical data'!O41</f>
        <v>0.39205620923391699</v>
      </c>
    </row>
    <row r="47" spans="1:17" s="8" customFormat="1" x14ac:dyDescent="0.2">
      <c r="B47" s="8" t="s">
        <v>404</v>
      </c>
    </row>
    <row r="49" spans="2:18" x14ac:dyDescent="0.2">
      <c r="B49" s="19" t="s">
        <v>396</v>
      </c>
    </row>
    <row r="50" spans="2:18" x14ac:dyDescent="0.2">
      <c r="B50" s="2" t="s">
        <v>397</v>
      </c>
      <c r="F50" s="2" t="s">
        <v>108</v>
      </c>
      <c r="J50" s="27">
        <f t="shared" ref="J50" si="5">SUM(L50:P50)</f>
        <v>5575705.8068931326</v>
      </c>
      <c r="L50" s="41">
        <f>L38*L20+L18</f>
        <v>2332405.5862573613</v>
      </c>
      <c r="M50" s="41">
        <f>M38*M20+M18</f>
        <v>1234059.8232953304</v>
      </c>
      <c r="N50" s="41">
        <f>N38*N20+N18</f>
        <v>932931.2749903528</v>
      </c>
      <c r="O50" s="41">
        <f>O18+O19+O38*O20+O21*(O38-O37)</f>
        <v>1054997.0242382518</v>
      </c>
      <c r="P50" s="41">
        <f>P38*P20+P18</f>
        <v>21312.098111836676</v>
      </c>
    </row>
    <row r="52" spans="2:18" x14ac:dyDescent="0.2">
      <c r="B52" s="19" t="s">
        <v>398</v>
      </c>
    </row>
    <row r="53" spans="2:18" x14ac:dyDescent="0.2">
      <c r="B53" s="2" t="s">
        <v>399</v>
      </c>
      <c r="F53" s="2" t="s">
        <v>108</v>
      </c>
      <c r="J53" s="27">
        <f t="shared" ref="J53:J55" si="6">SUM(L53:P53)</f>
        <v>1427626.1042181812</v>
      </c>
      <c r="L53" s="41">
        <f>L31*$H$13+L32</f>
        <v>536960.78917444125</v>
      </c>
      <c r="M53" s="41">
        <f>M31*$H$13+M32</f>
        <v>323430.72807915299</v>
      </c>
      <c r="N53" s="41">
        <f>N31*$H$13+N32</f>
        <v>203713.12121295207</v>
      </c>
      <c r="O53" s="41">
        <f>O31*$H$13+O32</f>
        <v>351631.85298619303</v>
      </c>
      <c r="P53" s="41">
        <f>P31*$H$13+P32</f>
        <v>11889.612765441965</v>
      </c>
    </row>
    <row r="54" spans="2:18" x14ac:dyDescent="0.2">
      <c r="B54" s="2" t="s">
        <v>394</v>
      </c>
      <c r="F54" s="2" t="s">
        <v>108</v>
      </c>
      <c r="J54" s="27">
        <f t="shared" si="6"/>
        <v>3977961.72</v>
      </c>
      <c r="L54" s="85">
        <f>L33</f>
        <v>2004435.5331952947</v>
      </c>
      <c r="M54" s="85">
        <f>M33</f>
        <v>601152.60208185064</v>
      </c>
      <c r="N54" s="85">
        <f>N33</f>
        <v>595703.1862380621</v>
      </c>
      <c r="O54" s="85">
        <f>O33</f>
        <v>751774.73962126567</v>
      </c>
      <c r="P54" s="85">
        <f>P33</f>
        <v>24895.658863526591</v>
      </c>
    </row>
    <row r="55" spans="2:18" x14ac:dyDescent="0.2">
      <c r="B55" s="2" t="s">
        <v>400</v>
      </c>
      <c r="F55" s="2" t="s">
        <v>108</v>
      </c>
      <c r="J55" s="27">
        <f t="shared" si="6"/>
        <v>5405587.82421818</v>
      </c>
      <c r="L55" s="41">
        <f>L53+L54</f>
        <v>2541396.3223697357</v>
      </c>
      <c r="M55" s="41">
        <f>M53+M54</f>
        <v>924583.33016100363</v>
      </c>
      <c r="N55" s="41">
        <f>N53+N54</f>
        <v>799416.30745101417</v>
      </c>
      <c r="O55" s="41">
        <f>O53+O54</f>
        <v>1103406.5926074586</v>
      </c>
      <c r="P55" s="41">
        <f>P53+P54</f>
        <v>36785.271628968556</v>
      </c>
    </row>
    <row r="57" spans="2:18" x14ac:dyDescent="0.2">
      <c r="B57" s="19" t="s">
        <v>338</v>
      </c>
    </row>
    <row r="58" spans="2:18" x14ac:dyDescent="0.2">
      <c r="B58" s="2" t="s">
        <v>401</v>
      </c>
      <c r="F58" s="2" t="s">
        <v>108</v>
      </c>
      <c r="L58" s="41">
        <f>L50-L55</f>
        <v>-208990.73611237435</v>
      </c>
      <c r="M58" s="41">
        <f>M50-M55</f>
        <v>309476.49313432677</v>
      </c>
      <c r="N58" s="41">
        <f>N50-N55</f>
        <v>133514.96753933863</v>
      </c>
      <c r="O58" s="41">
        <f>O50-O55</f>
        <v>-48409.56836920674</v>
      </c>
      <c r="P58" s="41">
        <f>P50-P55</f>
        <v>-15473.17351713188</v>
      </c>
      <c r="R58" s="2" t="s">
        <v>402</v>
      </c>
    </row>
    <row r="59" spans="2:18" x14ac:dyDescent="0.2">
      <c r="B59" s="2" t="s">
        <v>403</v>
      </c>
      <c r="F59" s="2" t="s">
        <v>108</v>
      </c>
      <c r="L59" s="21">
        <f>$H$14*L58*(-1)</f>
        <v>104495.36805618717</v>
      </c>
      <c r="M59" s="21">
        <f>$H$14*M58*(-1)</f>
        <v>-154738.24656716338</v>
      </c>
      <c r="N59" s="21">
        <f>$H$14*N58*(-1)</f>
        <v>-66757.483769669314</v>
      </c>
      <c r="O59" s="21">
        <f>$H$14*O58*(-1)</f>
        <v>24204.78418460337</v>
      </c>
      <c r="P59" s="21">
        <f>$H$14*P58*(-1)</f>
        <v>7736.5867585659398</v>
      </c>
    </row>
    <row r="61" spans="2:18" s="8" customFormat="1" x14ac:dyDescent="0.2">
      <c r="B61" s="8" t="s">
        <v>417</v>
      </c>
    </row>
    <row r="63" spans="2:18" x14ac:dyDescent="0.2">
      <c r="B63" s="2" t="s">
        <v>412</v>
      </c>
      <c r="F63" s="2" t="s">
        <v>108</v>
      </c>
      <c r="L63" s="48"/>
      <c r="M63" s="41">
        <f>L43*L38*M44</f>
        <v>719898.89739524457</v>
      </c>
      <c r="N63" s="48"/>
      <c r="O63" s="41">
        <f>N43*N38*O44</f>
        <v>169367.49721176858</v>
      </c>
      <c r="P63" s="48"/>
    </row>
    <row r="64" spans="2:18" x14ac:dyDescent="0.2">
      <c r="B64" s="2" t="s">
        <v>413</v>
      </c>
      <c r="F64" s="2" t="s">
        <v>108</v>
      </c>
      <c r="L64" s="48"/>
      <c r="M64" s="41">
        <f>L43*L38*M45</f>
        <v>496696.86869304004</v>
      </c>
      <c r="N64" s="48"/>
      <c r="O64" s="41">
        <f>N43*N38*O45</f>
        <v>529096.24640862143</v>
      </c>
      <c r="P64" s="48"/>
    </row>
    <row r="65" spans="2:18" x14ac:dyDescent="0.2">
      <c r="B65" s="2" t="s">
        <v>414</v>
      </c>
      <c r="F65" s="2" t="s">
        <v>108</v>
      </c>
      <c r="L65" s="48"/>
      <c r="M65" s="41">
        <f>M63-M64</f>
        <v>223202.02870220452</v>
      </c>
      <c r="N65" s="48"/>
      <c r="O65" s="41">
        <f>O63-O64</f>
        <v>-359728.74919685285</v>
      </c>
      <c r="P65" s="48"/>
      <c r="R65" s="2" t="s">
        <v>402</v>
      </c>
    </row>
    <row r="67" spans="2:18" x14ac:dyDescent="0.2">
      <c r="B67" s="2" t="s">
        <v>415</v>
      </c>
      <c r="F67" s="2" t="s">
        <v>108</v>
      </c>
      <c r="L67" s="48"/>
      <c r="M67" s="21">
        <f>$H$14*M65*(-1)</f>
        <v>-111601.01435110226</v>
      </c>
      <c r="N67" s="48"/>
      <c r="O67" s="21">
        <f>$H$14*O65*(-1)</f>
        <v>179864.37459842642</v>
      </c>
      <c r="P67" s="48"/>
      <c r="R67" s="2" t="s">
        <v>416</v>
      </c>
    </row>
    <row r="68" spans="2:18" x14ac:dyDescent="0.2">
      <c r="L68" s="108"/>
      <c r="M68" s="68"/>
      <c r="N68" s="108"/>
      <c r="O68" s="68"/>
    </row>
    <row r="70" spans="2:18" x14ac:dyDescent="0.2">
      <c r="B70" s="4" t="s">
        <v>65</v>
      </c>
    </row>
  </sheetData>
  <phoneticPr fontId="3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DD41-07E3-4DF5-96C3-B03E91C1BA99}">
  <sheetPr>
    <tabColor rgb="FFFFFFCC"/>
  </sheetPr>
  <dimension ref="B2:R30"/>
  <sheetViews>
    <sheetView showGridLines="0" zoomScale="85" zoomScaleNormal="85" workbookViewId="0">
      <pane xSplit="6" ySplit="11" topLeftCell="G12" activePane="bottomRight" state="frozen"/>
      <selection activeCell="L52" sqref="L52"/>
      <selection pane="topRight" activeCell="L52" sqref="L52"/>
      <selection pane="bottomLeft" activeCell="L52" sqref="L52"/>
      <selection pane="bottomRight" activeCell="G12" sqref="G12"/>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418</v>
      </c>
    </row>
    <row r="4" spans="2:18" x14ac:dyDescent="0.2">
      <c r="B4" s="19" t="s">
        <v>102</v>
      </c>
      <c r="C4" s="1"/>
      <c r="D4" s="1"/>
    </row>
    <row r="5" spans="2:18" x14ac:dyDescent="0.2">
      <c r="B5" s="2" t="s">
        <v>560</v>
      </c>
      <c r="C5" s="3"/>
      <c r="D5" s="3"/>
      <c r="H5" s="13"/>
    </row>
    <row r="6" spans="2:18" x14ac:dyDescent="0.2">
      <c r="B6" s="2" t="s">
        <v>419</v>
      </c>
      <c r="C6" s="3"/>
      <c r="D6" s="3"/>
      <c r="H6" s="13"/>
    </row>
    <row r="7" spans="2:18" x14ac:dyDescent="0.2">
      <c r="B7" s="2" t="s">
        <v>420</v>
      </c>
      <c r="C7" s="3"/>
      <c r="D7" s="3"/>
      <c r="H7" s="13"/>
    </row>
    <row r="8" spans="2:18" x14ac:dyDescent="0.2">
      <c r="B8" s="2" t="s">
        <v>421</v>
      </c>
      <c r="C8" s="3"/>
      <c r="D8" s="3"/>
    </row>
    <row r="9" spans="2:18" x14ac:dyDescent="0.2">
      <c r="B9" s="4"/>
      <c r="C9" s="3"/>
      <c r="D9" s="3"/>
    </row>
    <row r="10" spans="2:18" s="8" customFormat="1" ht="12.75" customHeight="1" x14ac:dyDescent="0.2">
      <c r="B10" s="8" t="s">
        <v>103</v>
      </c>
      <c r="F10" s="8" t="s">
        <v>104</v>
      </c>
      <c r="H10" s="8" t="s">
        <v>37</v>
      </c>
      <c r="J10" s="8" t="s">
        <v>38</v>
      </c>
      <c r="L10" s="8" t="s">
        <v>257</v>
      </c>
      <c r="M10" s="8" t="s">
        <v>73</v>
      </c>
      <c r="N10" s="8" t="s">
        <v>74</v>
      </c>
      <c r="O10" s="8" t="s">
        <v>75</v>
      </c>
      <c r="P10" s="8" t="s">
        <v>76</v>
      </c>
      <c r="R10" s="8" t="s">
        <v>39</v>
      </c>
    </row>
    <row r="13" spans="2:18" s="8" customFormat="1" x14ac:dyDescent="0.2">
      <c r="B13" s="8" t="s">
        <v>353</v>
      </c>
    </row>
    <row r="15" spans="2:18" x14ac:dyDescent="0.2">
      <c r="B15" s="1" t="s">
        <v>354</v>
      </c>
    </row>
    <row r="16" spans="2:18" x14ac:dyDescent="0.2">
      <c r="B16" s="2" t="s">
        <v>355</v>
      </c>
      <c r="F16" s="2" t="s">
        <v>127</v>
      </c>
      <c r="L16" s="10"/>
      <c r="M16" s="10"/>
      <c r="N16" s="85">
        <f>'Data on corrections'!N48</f>
        <v>187300</v>
      </c>
      <c r="O16" s="10"/>
      <c r="P16" s="10"/>
    </row>
    <row r="17" spans="2:16" x14ac:dyDescent="0.2">
      <c r="B17" s="2" t="s">
        <v>357</v>
      </c>
      <c r="F17" s="2" t="s">
        <v>422</v>
      </c>
      <c r="L17" s="10"/>
      <c r="M17" s="10"/>
      <c r="N17" s="92">
        <f>'Data on corrections'!N49</f>
        <v>0.50186477676694452</v>
      </c>
      <c r="O17" s="10"/>
      <c r="P17" s="10"/>
    </row>
    <row r="18" spans="2:16" x14ac:dyDescent="0.2">
      <c r="B18" s="2" t="s">
        <v>360</v>
      </c>
      <c r="F18" s="2" t="s">
        <v>422</v>
      </c>
      <c r="L18" s="10"/>
      <c r="M18" s="10"/>
      <c r="N18" s="92">
        <f>'Data on corrections'!N50</f>
        <v>0.37139101036130612</v>
      </c>
      <c r="O18" s="10"/>
      <c r="P18" s="10"/>
    </row>
    <row r="19" spans="2:16" x14ac:dyDescent="0.2">
      <c r="B19" s="2" t="s">
        <v>362</v>
      </c>
      <c r="F19" s="2" t="s">
        <v>149</v>
      </c>
      <c r="L19" s="10"/>
      <c r="M19" s="10"/>
      <c r="N19" s="92">
        <f>'Data on corrections'!N51</f>
        <v>3.4550162121682879</v>
      </c>
      <c r="O19" s="10"/>
      <c r="P19" s="10"/>
    </row>
    <row r="20" spans="2:16" x14ac:dyDescent="0.2">
      <c r="B20" s="2" t="s">
        <v>364</v>
      </c>
      <c r="F20" s="2" t="s">
        <v>88</v>
      </c>
      <c r="L20" s="10"/>
      <c r="M20" s="10"/>
      <c r="N20" s="92">
        <f>'Data on corrections'!N52</f>
        <v>0.5</v>
      </c>
      <c r="O20" s="10"/>
      <c r="P20" s="10"/>
    </row>
    <row r="21" spans="2:16" x14ac:dyDescent="0.2">
      <c r="N21" s="22"/>
    </row>
    <row r="22" spans="2:16" s="8" customFormat="1" x14ac:dyDescent="0.2">
      <c r="B22" s="8" t="s">
        <v>423</v>
      </c>
    </row>
    <row r="23" spans="2:16" x14ac:dyDescent="0.2">
      <c r="N23" s="22"/>
    </row>
    <row r="24" spans="2:16" x14ac:dyDescent="0.2">
      <c r="B24" s="2" t="s">
        <v>424</v>
      </c>
      <c r="F24" s="2" t="s">
        <v>422</v>
      </c>
      <c r="L24" s="10"/>
      <c r="M24" s="10"/>
      <c r="N24" s="109">
        <f>N18-N17</f>
        <v>-0.1304737664056384</v>
      </c>
      <c r="O24" s="10"/>
      <c r="P24" s="10"/>
    </row>
    <row r="25" spans="2:16" x14ac:dyDescent="0.2">
      <c r="B25" s="2" t="s">
        <v>425</v>
      </c>
      <c r="F25" s="2" t="s">
        <v>125</v>
      </c>
      <c r="L25" s="10"/>
      <c r="M25" s="10"/>
      <c r="N25" s="110">
        <f>N16*N20*N19</f>
        <v>323562.26826956018</v>
      </c>
      <c r="O25" s="10"/>
      <c r="P25" s="10"/>
    </row>
    <row r="26" spans="2:16" x14ac:dyDescent="0.2">
      <c r="N26" s="22"/>
    </row>
    <row r="27" spans="2:16" x14ac:dyDescent="0.2">
      <c r="B27" s="2" t="s">
        <v>207</v>
      </c>
      <c r="F27" s="2" t="s">
        <v>155</v>
      </c>
      <c r="L27" s="10"/>
      <c r="M27" s="10"/>
      <c r="N27" s="21">
        <f>N25*N24</f>
        <v>-42216.387807881103</v>
      </c>
      <c r="O27" s="10"/>
      <c r="P27" s="10"/>
    </row>
    <row r="30" spans="2:16" x14ac:dyDescent="0.2">
      <c r="B30" s="4" t="s">
        <v>65</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6DA2-1FC8-4F22-8FF5-D0DB21232824}">
  <sheetPr>
    <tabColor rgb="FFFFFFCC"/>
  </sheetPr>
  <dimension ref="B2:R36"/>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477</v>
      </c>
    </row>
    <row r="4" spans="2:18" x14ac:dyDescent="0.2">
      <c r="B4" s="19" t="s">
        <v>12</v>
      </c>
      <c r="C4" s="1"/>
      <c r="D4" s="1"/>
    </row>
    <row r="5" spans="2:18" x14ac:dyDescent="0.2">
      <c r="B5" s="2" t="s">
        <v>596</v>
      </c>
      <c r="C5" s="3"/>
      <c r="D5" s="3"/>
      <c r="H5" s="13"/>
    </row>
    <row r="6" spans="2:18" x14ac:dyDescent="0.2">
      <c r="C6" s="3"/>
      <c r="D6" s="3"/>
      <c r="H6"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41</v>
      </c>
    </row>
    <row r="12" spans="2:18" x14ac:dyDescent="0.2">
      <c r="B12" s="19" t="s">
        <v>475</v>
      </c>
    </row>
    <row r="13" spans="2:18" x14ac:dyDescent="0.2">
      <c r="B13" s="2" t="s">
        <v>472</v>
      </c>
      <c r="F13" s="2" t="s">
        <v>163</v>
      </c>
      <c r="O13" s="26">
        <f>'Data on corrections'!O56</f>
        <v>518</v>
      </c>
    </row>
    <row r="14" spans="2:18" x14ac:dyDescent="0.2">
      <c r="B14" s="2" t="s">
        <v>473</v>
      </c>
      <c r="F14" s="2" t="s">
        <v>114</v>
      </c>
      <c r="O14" s="26">
        <f>'Data on corrections'!O57</f>
        <v>307847</v>
      </c>
    </row>
    <row r="15" spans="2:18" x14ac:dyDescent="0.2">
      <c r="B15" s="2" t="s">
        <v>474</v>
      </c>
      <c r="F15" s="2" t="s">
        <v>114</v>
      </c>
      <c r="O15" s="26">
        <f>'Data on corrections'!O58</f>
        <v>24424</v>
      </c>
    </row>
    <row r="17" spans="2:18" x14ac:dyDescent="0.2">
      <c r="B17" s="19" t="s">
        <v>478</v>
      </c>
    </row>
    <row r="18" spans="2:18" x14ac:dyDescent="0.2">
      <c r="B18" s="2" t="s">
        <v>479</v>
      </c>
      <c r="F18" s="2" t="s">
        <v>163</v>
      </c>
      <c r="O18" s="26">
        <f>'Historical data'!O37</f>
        <v>1036.1666666666667</v>
      </c>
    </row>
    <row r="19" spans="2:18" x14ac:dyDescent="0.2">
      <c r="B19" s="2" t="s">
        <v>480</v>
      </c>
      <c r="F19" s="2" t="s">
        <v>114</v>
      </c>
      <c r="O19" s="26">
        <f>'Historical data'!O21</f>
        <v>2826574.5199072561</v>
      </c>
    </row>
    <row r="20" spans="2:18" x14ac:dyDescent="0.2">
      <c r="B20" s="2" t="s">
        <v>481</v>
      </c>
      <c r="F20" s="2" t="s">
        <v>114</v>
      </c>
      <c r="O20" s="26">
        <f>'Historical data'!O22</f>
        <v>194529.94154355564</v>
      </c>
    </row>
    <row r="22" spans="2:18" x14ac:dyDescent="0.2">
      <c r="B22" s="19" t="s">
        <v>468</v>
      </c>
    </row>
    <row r="23" spans="2:18" x14ac:dyDescent="0.2">
      <c r="B23" s="32" t="s">
        <v>476</v>
      </c>
      <c r="F23" s="2" t="s">
        <v>163</v>
      </c>
      <c r="O23" s="26">
        <f>'Estimates for 2024'!O68</f>
        <v>1149.8493807187922</v>
      </c>
    </row>
    <row r="25" spans="2:18" s="8" customFormat="1" x14ac:dyDescent="0.2">
      <c r="B25" s="8" t="s">
        <v>570</v>
      </c>
    </row>
    <row r="27" spans="2:18" x14ac:dyDescent="0.2">
      <c r="B27" s="19" t="s">
        <v>484</v>
      </c>
    </row>
    <row r="28" spans="2:18" x14ac:dyDescent="0.2">
      <c r="B28" s="2" t="s">
        <v>482</v>
      </c>
      <c r="F28" s="2" t="s">
        <v>114</v>
      </c>
      <c r="O28" s="41">
        <f>(O19-O14)/(O18-O13)</f>
        <v>4860.844361352054</v>
      </c>
    </row>
    <row r="29" spans="2:18" x14ac:dyDescent="0.2">
      <c r="B29" s="2" t="s">
        <v>483</v>
      </c>
      <c r="F29" s="2" t="s">
        <v>114</v>
      </c>
      <c r="O29" s="41">
        <f>(O20-O15)/(O18-O13)</f>
        <v>328.2842229853116</v>
      </c>
    </row>
    <row r="31" spans="2:18" x14ac:dyDescent="0.2">
      <c r="B31" s="19" t="s">
        <v>477</v>
      </c>
    </row>
    <row r="32" spans="2:18" x14ac:dyDescent="0.2">
      <c r="B32" s="2" t="s">
        <v>120</v>
      </c>
      <c r="F32" s="2" t="s">
        <v>114</v>
      </c>
      <c r="O32" s="41">
        <f>O28*(O23-O18)</f>
        <v>552593.9795834719</v>
      </c>
      <c r="R32" s="47" t="s">
        <v>485</v>
      </c>
    </row>
    <row r="33" spans="2:18" x14ac:dyDescent="0.2">
      <c r="B33" s="2" t="s">
        <v>122</v>
      </c>
      <c r="F33" s="2" t="s">
        <v>114</v>
      </c>
      <c r="O33" s="41">
        <f>O29*(O23-O18)</f>
        <v>37320.24144946337</v>
      </c>
      <c r="R33" s="47" t="s">
        <v>486</v>
      </c>
    </row>
    <row r="36" spans="2:18" x14ac:dyDescent="0.2">
      <c r="B36" s="4" t="s">
        <v>65</v>
      </c>
    </row>
  </sheetData>
  <phoneticPr fontId="3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F0240-A583-4AC7-A5BF-865241960DB5}">
  <sheetPr>
    <tabColor rgb="FFFFFFCC"/>
  </sheetPr>
  <dimension ref="B2:R51"/>
  <sheetViews>
    <sheetView showGridLines="0" zoomScale="85" zoomScaleNormal="85" workbookViewId="0">
      <pane xSplit="6" ySplit="8" topLeftCell="G9" activePane="bottomRight" state="frozen"/>
      <selection activeCell="L52" sqref="L52"/>
      <selection pane="topRight" activeCell="L52" sqref="L52"/>
      <selection pane="bottomLeft" activeCell="L52" sqref="L52"/>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429</v>
      </c>
    </row>
    <row r="4" spans="2:18" x14ac:dyDescent="0.2">
      <c r="B4" s="19" t="s">
        <v>12</v>
      </c>
      <c r="C4" s="1"/>
      <c r="D4" s="1"/>
    </row>
    <row r="5" spans="2:18" x14ac:dyDescent="0.2">
      <c r="B5" s="2" t="s">
        <v>563</v>
      </c>
      <c r="C5" s="3"/>
      <c r="D5" s="3"/>
      <c r="H5" s="13"/>
    </row>
    <row r="6" spans="2:18" x14ac:dyDescent="0.2">
      <c r="C6" s="3"/>
      <c r="D6" s="3"/>
      <c r="H6"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295</v>
      </c>
    </row>
    <row r="12" spans="2:18" x14ac:dyDescent="0.2">
      <c r="B12" s="19" t="s">
        <v>67</v>
      </c>
    </row>
    <row r="13" spans="2:18" x14ac:dyDescent="0.2">
      <c r="B13" s="2" t="s">
        <v>96</v>
      </c>
      <c r="F13" s="2" t="s">
        <v>88</v>
      </c>
      <c r="H13" s="97">
        <f>Parameters!H34</f>
        <v>6.0899999999999954E-2</v>
      </c>
    </row>
    <row r="14" spans="2:18" x14ac:dyDescent="0.2">
      <c r="B14" s="2" t="s">
        <v>97</v>
      </c>
      <c r="F14" s="2" t="s">
        <v>88</v>
      </c>
      <c r="H14" s="97">
        <f>Parameters!H35</f>
        <v>3.0000000000000027E-2</v>
      </c>
    </row>
    <row r="16" spans="2:18" x14ac:dyDescent="0.2">
      <c r="B16" s="1" t="s">
        <v>427</v>
      </c>
    </row>
    <row r="17" spans="2:16" x14ac:dyDescent="0.2">
      <c r="B17" s="2" t="s">
        <v>561</v>
      </c>
      <c r="F17" s="2" t="s">
        <v>108</v>
      </c>
      <c r="L17" s="26">
        <f>'Data on corrections'!L14</f>
        <v>405380.8600231274</v>
      </c>
      <c r="M17" s="48"/>
      <c r="N17" s="48"/>
      <c r="O17" s="48"/>
      <c r="P17" s="48"/>
    </row>
    <row r="18" spans="2:16" x14ac:dyDescent="0.2">
      <c r="B18" s="2" t="s">
        <v>430</v>
      </c>
      <c r="F18" s="2" t="s">
        <v>155</v>
      </c>
      <c r="L18" s="48"/>
      <c r="M18" s="26">
        <f>'Data on corrections'!M15</f>
        <v>-211260.54231172998</v>
      </c>
      <c r="N18" s="48"/>
      <c r="O18" s="48"/>
      <c r="P18" s="48"/>
    </row>
    <row r="19" spans="2:16" x14ac:dyDescent="0.2">
      <c r="B19" s="2" t="s">
        <v>441</v>
      </c>
      <c r="F19" s="2" t="s">
        <v>155</v>
      </c>
      <c r="L19" s="26">
        <f>'Data on corrections'!L18</f>
        <v>115799.73845607834</v>
      </c>
      <c r="M19" s="26">
        <f>'Data on corrections'!M18</f>
        <v>57622.023824131815</v>
      </c>
      <c r="N19" s="26">
        <f>'Data on corrections'!N18</f>
        <v>33866.56893080892</v>
      </c>
      <c r="O19" s="26">
        <f>'Data on corrections'!O18</f>
        <v>57536.881810847204</v>
      </c>
      <c r="P19" s="26">
        <f>'Data on corrections'!P18</f>
        <v>1175.3012775628376</v>
      </c>
    </row>
    <row r="20" spans="2:16" x14ac:dyDescent="0.2">
      <c r="B20" s="2" t="s">
        <v>562</v>
      </c>
      <c r="F20" s="2" t="s">
        <v>108</v>
      </c>
      <c r="L20" s="26">
        <f>'Data on corrections'!L21</f>
        <v>329217.37</v>
      </c>
      <c r="M20" s="120"/>
      <c r="N20" s="120"/>
      <c r="O20" s="120"/>
      <c r="P20" s="120"/>
    </row>
    <row r="22" spans="2:16" x14ac:dyDescent="0.2">
      <c r="B22" s="1" t="s">
        <v>428</v>
      </c>
    </row>
    <row r="23" spans="2:16" x14ac:dyDescent="0.2">
      <c r="B23" s="32" t="s">
        <v>388</v>
      </c>
      <c r="F23" s="2" t="s">
        <v>108</v>
      </c>
      <c r="L23" s="26">
        <f>'Volume-effect 2022'!L26</f>
        <v>174825.08927730285</v>
      </c>
      <c r="M23" s="26">
        <f>'Volume-effect 2022'!M26</f>
        <v>5999.9427135663573</v>
      </c>
      <c r="N23" s="26">
        <f>'Volume-effect 2022'!N26</f>
        <v>-27669.630366164376</v>
      </c>
      <c r="O23" s="26">
        <f>'Volume-effect 2022'!O26</f>
        <v>3996.2238201022847</v>
      </c>
      <c r="P23" s="26">
        <f>'Volume-effect 2022'!P26</f>
        <v>-11610.984784115171</v>
      </c>
    </row>
    <row r="24" spans="2:16" x14ac:dyDescent="0.2">
      <c r="B24" s="2" t="s">
        <v>403</v>
      </c>
      <c r="F24" s="2" t="s">
        <v>108</v>
      </c>
      <c r="L24" s="26">
        <f>'Profit Sharing 2022'!L59</f>
        <v>104495.36805618717</v>
      </c>
      <c r="M24" s="26">
        <f>'Profit Sharing 2022'!M59</f>
        <v>-154738.24656716338</v>
      </c>
      <c r="N24" s="26">
        <f>'Profit Sharing 2022'!N59</f>
        <v>-66757.483769669314</v>
      </c>
      <c r="O24" s="26">
        <f>'Profit Sharing 2022'!O59</f>
        <v>24204.78418460337</v>
      </c>
      <c r="P24" s="26">
        <f>'Profit Sharing 2022'!P59</f>
        <v>7736.5867585659398</v>
      </c>
    </row>
    <row r="25" spans="2:16" x14ac:dyDescent="0.2">
      <c r="B25" s="2" t="s">
        <v>415</v>
      </c>
      <c r="F25" s="2" t="s">
        <v>108</v>
      </c>
      <c r="L25" s="48"/>
      <c r="M25" s="26">
        <f>'Profit Sharing 2022'!M67</f>
        <v>-111601.01435110226</v>
      </c>
      <c r="N25" s="48"/>
      <c r="O25" s="26">
        <f>'Profit Sharing 2022'!O67</f>
        <v>179864.37459842642</v>
      </c>
      <c r="P25" s="48"/>
    </row>
    <row r="26" spans="2:16" x14ac:dyDescent="0.2">
      <c r="B26" s="2" t="s">
        <v>207</v>
      </c>
      <c r="F26" s="2" t="s">
        <v>155</v>
      </c>
      <c r="L26" s="48"/>
      <c r="M26" s="48"/>
      <c r="N26" s="26">
        <f>'Energy cost correction 2023'!N27</f>
        <v>-42216.387807881103</v>
      </c>
      <c r="O26" s="48"/>
      <c r="P26" s="48"/>
    </row>
    <row r="28" spans="2:16" x14ac:dyDescent="0.2">
      <c r="B28" s="1" t="s">
        <v>494</v>
      </c>
    </row>
    <row r="29" spans="2:16" x14ac:dyDescent="0.2">
      <c r="B29" s="2" t="s">
        <v>120</v>
      </c>
      <c r="F29" s="2" t="s">
        <v>114</v>
      </c>
      <c r="L29" s="48"/>
      <c r="M29" s="48"/>
      <c r="N29" s="48"/>
      <c r="O29" s="26">
        <f>'Capital cost correction'!O32</f>
        <v>552593.9795834719</v>
      </c>
      <c r="P29" s="48"/>
    </row>
    <row r="30" spans="2:16" x14ac:dyDescent="0.2">
      <c r="B30" s="2" t="s">
        <v>122</v>
      </c>
      <c r="F30" s="2" t="s">
        <v>114</v>
      </c>
      <c r="L30" s="48"/>
      <c r="M30" s="48"/>
      <c r="N30" s="48"/>
      <c r="O30" s="26">
        <f>'Capital cost correction'!O33</f>
        <v>37320.24144946337</v>
      </c>
      <c r="P30" s="48"/>
    </row>
    <row r="32" spans="2:16" s="8" customFormat="1" x14ac:dyDescent="0.2">
      <c r="B32" s="8" t="s">
        <v>426</v>
      </c>
    </row>
    <row r="34" spans="2:16" x14ac:dyDescent="0.2">
      <c r="B34" s="19" t="s">
        <v>495</v>
      </c>
    </row>
    <row r="35" spans="2:16" x14ac:dyDescent="0.2">
      <c r="B35" s="2" t="s">
        <v>561</v>
      </c>
      <c r="F35" s="2" t="s">
        <v>205</v>
      </c>
      <c r="J35" s="41">
        <f>SUM(L35:P35)</f>
        <v>430068.55439853587</v>
      </c>
      <c r="L35" s="27">
        <f>L17*(1+$H$13)</f>
        <v>430068.55439853587</v>
      </c>
      <c r="M35" s="48"/>
      <c r="N35" s="48"/>
      <c r="O35" s="48"/>
      <c r="P35" s="48"/>
    </row>
    <row r="36" spans="2:16" x14ac:dyDescent="0.2">
      <c r="B36" s="2" t="s">
        <v>441</v>
      </c>
      <c r="F36" s="2" t="s">
        <v>205</v>
      </c>
      <c r="J36" s="41">
        <f t="shared" ref="J36:J48" si="0">SUM(L36:P36)</f>
        <v>273980.52972841199</v>
      </c>
      <c r="L36" s="27">
        <f>L19*(1+$H$14)</f>
        <v>119273.73060976069</v>
      </c>
      <c r="M36" s="27">
        <f>M19*(1+$H$14)</f>
        <v>59350.68453885577</v>
      </c>
      <c r="N36" s="27">
        <f>N19*(1+$H$14)</f>
        <v>34882.565998733189</v>
      </c>
      <c r="O36" s="27">
        <f>O19*(1+$H$14)</f>
        <v>59262.988265172622</v>
      </c>
      <c r="P36" s="27">
        <f>P19*(1+$H$14)</f>
        <v>1210.5603158897227</v>
      </c>
    </row>
    <row r="37" spans="2:16" x14ac:dyDescent="0.2">
      <c r="B37" s="32" t="s">
        <v>388</v>
      </c>
      <c r="F37" s="2" t="s">
        <v>205</v>
      </c>
      <c r="J37" s="41">
        <f t="shared" si="0"/>
        <v>154404.06567692809</v>
      </c>
      <c r="L37" s="27">
        <f>L23*(1+$H$13)</f>
        <v>185471.93721429058</v>
      </c>
      <c r="M37" s="27">
        <f t="shared" ref="M37:P37" si="1">M23*(1+$H$13)</f>
        <v>6365.3392248225482</v>
      </c>
      <c r="N37" s="27">
        <f t="shared" si="1"/>
        <v>-29354.710855463785</v>
      </c>
      <c r="O37" s="27">
        <f t="shared" si="1"/>
        <v>4239.5938507465135</v>
      </c>
      <c r="P37" s="27">
        <f t="shared" si="1"/>
        <v>-12318.093757467785</v>
      </c>
    </row>
    <row r="38" spans="2:16" x14ac:dyDescent="0.2">
      <c r="B38" s="2" t="s">
        <v>403</v>
      </c>
      <c r="F38" s="2" t="s">
        <v>205</v>
      </c>
      <c r="J38" s="41">
        <f t="shared" si="0"/>
        <v>-90239.083909928493</v>
      </c>
      <c r="L38" s="27">
        <f>L24*(1+$H$13)</f>
        <v>110859.13597080897</v>
      </c>
      <c r="M38" s="27">
        <f t="shared" ref="M38:P38" si="2">M24*(1+$H$13)</f>
        <v>-164161.80578310363</v>
      </c>
      <c r="N38" s="27">
        <f t="shared" si="2"/>
        <v>-70823.014531242166</v>
      </c>
      <c r="O38" s="27">
        <f t="shared" si="2"/>
        <v>25678.855541445715</v>
      </c>
      <c r="P38" s="27">
        <f t="shared" si="2"/>
        <v>8207.7448921626055</v>
      </c>
    </row>
    <row r="39" spans="2:16" x14ac:dyDescent="0.2">
      <c r="B39" s="2" t="s">
        <v>207</v>
      </c>
      <c r="F39" s="2" t="s">
        <v>205</v>
      </c>
      <c r="J39" s="41">
        <f t="shared" si="0"/>
        <v>-43482.879442117541</v>
      </c>
      <c r="L39" s="48"/>
      <c r="M39" s="48"/>
      <c r="N39" s="27">
        <f>N26*(1+$H$14)</f>
        <v>-43482.879442117541</v>
      </c>
      <c r="O39" s="48"/>
      <c r="P39" s="48"/>
    </row>
    <row r="40" spans="2:16" x14ac:dyDescent="0.2">
      <c r="B40" s="2" t="s">
        <v>562</v>
      </c>
      <c r="F40" s="2" t="s">
        <v>205</v>
      </c>
      <c r="J40" s="41">
        <f t="shared" si="0"/>
        <v>349266.70783299999</v>
      </c>
      <c r="L40" s="36">
        <f>L20*(1+H13)</f>
        <v>349266.70783299999</v>
      </c>
      <c r="M40" s="48"/>
      <c r="N40" s="48"/>
      <c r="O40" s="48"/>
      <c r="P40" s="48"/>
    </row>
    <row r="41" spans="2:16" x14ac:dyDescent="0.2">
      <c r="J41" s="68"/>
    </row>
    <row r="42" spans="2:16" x14ac:dyDescent="0.2">
      <c r="B42" s="1" t="s">
        <v>496</v>
      </c>
      <c r="J42" s="68"/>
    </row>
    <row r="43" spans="2:16" x14ac:dyDescent="0.2">
      <c r="B43" s="2" t="s">
        <v>430</v>
      </c>
      <c r="F43" s="2" t="s">
        <v>205</v>
      </c>
      <c r="J43" s="41">
        <f t="shared" si="0"/>
        <v>-217598.35858108188</v>
      </c>
      <c r="L43" s="48"/>
      <c r="M43" s="27">
        <f>M18*(1+$H$14)</f>
        <v>-217598.35858108188</v>
      </c>
      <c r="N43" s="48"/>
      <c r="O43" s="48"/>
      <c r="P43" s="48"/>
    </row>
    <row r="44" spans="2:16" x14ac:dyDescent="0.2">
      <c r="B44" s="2" t="s">
        <v>448</v>
      </c>
      <c r="F44" s="2" t="s">
        <v>205</v>
      </c>
      <c r="J44" s="41">
        <f t="shared" si="0"/>
        <v>72420.598886386215</v>
      </c>
      <c r="L44" s="48"/>
      <c r="M44" s="27">
        <f>M25*(1+$H$13)</f>
        <v>-118397.51612508438</v>
      </c>
      <c r="N44" s="48"/>
      <c r="O44" s="27">
        <f>O25*(1+$H$13)</f>
        <v>190818.1150114706</v>
      </c>
      <c r="P44" s="48"/>
    </row>
    <row r="45" spans="2:16" x14ac:dyDescent="0.2">
      <c r="J45" s="68"/>
    </row>
    <row r="46" spans="2:16" x14ac:dyDescent="0.2">
      <c r="B46" s="1" t="s">
        <v>494</v>
      </c>
      <c r="J46" s="68"/>
    </row>
    <row r="47" spans="2:16" x14ac:dyDescent="0.2">
      <c r="B47" s="2" t="s">
        <v>120</v>
      </c>
      <c r="F47" s="2" t="s">
        <v>114</v>
      </c>
      <c r="J47" s="41">
        <f t="shared" si="0"/>
        <v>552593.9795834719</v>
      </c>
      <c r="L47" s="48"/>
      <c r="M47" s="48"/>
      <c r="N47" s="48"/>
      <c r="O47" s="41">
        <f>O29</f>
        <v>552593.9795834719</v>
      </c>
      <c r="P47" s="48"/>
    </row>
    <row r="48" spans="2:16" x14ac:dyDescent="0.2">
      <c r="B48" s="2" t="s">
        <v>122</v>
      </c>
      <c r="F48" s="2" t="s">
        <v>114</v>
      </c>
      <c r="J48" s="41">
        <f t="shared" si="0"/>
        <v>37320.24144946337</v>
      </c>
      <c r="L48" s="48"/>
      <c r="M48" s="48"/>
      <c r="N48" s="48"/>
      <c r="O48" s="41">
        <f>O30</f>
        <v>37320.24144946337</v>
      </c>
      <c r="P48" s="48"/>
    </row>
    <row r="51" spans="2:2" x14ac:dyDescent="0.2">
      <c r="B51" s="4" t="s">
        <v>65</v>
      </c>
    </row>
  </sheetData>
  <phoneticPr fontId="3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C7A6-D0CD-4E9A-8AC4-964CA220C839}">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4"/>
  </cols>
  <sheetData>
    <row r="2" spans="2:2" x14ac:dyDescent="0.2">
      <c r="B2" s="33" t="s">
        <v>203</v>
      </c>
    </row>
    <row r="3" spans="2:2" x14ac:dyDescent="0.2">
      <c r="B3" s="33"/>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6FDE-B20B-464F-A124-A312451D0D3D}">
  <sheetPr>
    <tabColor rgb="FFFFFFCC"/>
  </sheetPr>
  <dimension ref="A2:R81"/>
  <sheetViews>
    <sheetView showGridLines="0" zoomScale="85" zoomScaleNormal="85" workbookViewId="0">
      <pane xSplit="6" ySplit="12" topLeftCell="G13" activePane="bottomRight" state="frozen"/>
      <selection activeCell="U34" sqref="U34"/>
      <selection pane="topRight" activeCell="U34" sqref="U34"/>
      <selection pane="bottomLeft" activeCell="U34" sqref="U34"/>
      <selection pane="bottomRight" activeCell="G13" sqref="G13"/>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548</v>
      </c>
    </row>
    <row r="4" spans="2:18" x14ac:dyDescent="0.2">
      <c r="B4" s="19" t="s">
        <v>379</v>
      </c>
      <c r="C4" s="1"/>
      <c r="D4" s="1"/>
    </row>
    <row r="5" spans="2:18" x14ac:dyDescent="0.2">
      <c r="B5" s="2" t="s">
        <v>599</v>
      </c>
      <c r="C5" s="3"/>
      <c r="D5" s="3"/>
      <c r="H5" s="13"/>
    </row>
    <row r="6" spans="2:18" x14ac:dyDescent="0.2">
      <c r="C6" s="3"/>
      <c r="D6" s="3"/>
      <c r="H6" s="13"/>
    </row>
    <row r="7" spans="2:18" x14ac:dyDescent="0.2">
      <c r="B7" s="20" t="s">
        <v>69</v>
      </c>
      <c r="C7" s="3"/>
      <c r="D7" s="3"/>
      <c r="H7" s="13"/>
    </row>
    <row r="8" spans="2:18" x14ac:dyDescent="0.2">
      <c r="B8" s="20" t="s">
        <v>455</v>
      </c>
      <c r="C8" s="3"/>
      <c r="D8" s="3"/>
    </row>
    <row r="9" spans="2:18" x14ac:dyDescent="0.2">
      <c r="B9" s="4" t="s">
        <v>547</v>
      </c>
      <c r="C9" s="3"/>
      <c r="D9" s="3"/>
    </row>
    <row r="11" spans="2:18" s="8" customFormat="1" ht="12.75" customHeight="1" x14ac:dyDescent="0.2">
      <c r="B11" s="8" t="s">
        <v>103</v>
      </c>
      <c r="F11" s="8" t="s">
        <v>104</v>
      </c>
      <c r="H11" s="8" t="s">
        <v>37</v>
      </c>
      <c r="J11" s="8" t="s">
        <v>38</v>
      </c>
      <c r="L11" s="8" t="s">
        <v>257</v>
      </c>
      <c r="M11" s="8" t="s">
        <v>73</v>
      </c>
      <c r="N11" s="8" t="s">
        <v>74</v>
      </c>
      <c r="O11" s="8" t="s">
        <v>75</v>
      </c>
      <c r="P11" s="8" t="s">
        <v>76</v>
      </c>
      <c r="R11" s="8" t="s">
        <v>39</v>
      </c>
    </row>
    <row r="14" spans="2:18" s="8" customFormat="1" ht="12.75" customHeight="1" x14ac:dyDescent="0.2">
      <c r="B14" s="8" t="s">
        <v>258</v>
      </c>
    </row>
    <row r="15" spans="2:18" ht="12.75" customHeight="1" x14ac:dyDescent="0.2"/>
    <row r="16" spans="2:18" ht="12.75" customHeight="1" x14ac:dyDescent="0.2">
      <c r="B16" s="19" t="s">
        <v>67</v>
      </c>
    </row>
    <row r="17" spans="1:16" ht="12.75" customHeight="1" x14ac:dyDescent="0.2">
      <c r="B17" s="2" t="s">
        <v>87</v>
      </c>
      <c r="F17" s="2" t="s">
        <v>88</v>
      </c>
      <c r="H17" s="83">
        <f>Parameters!H27</f>
        <v>6.4000000000000001E-2</v>
      </c>
    </row>
    <row r="18" spans="1:16" ht="12.75" customHeight="1" x14ac:dyDescent="0.2">
      <c r="B18" s="2" t="s">
        <v>90</v>
      </c>
      <c r="F18" s="2" t="s">
        <v>88</v>
      </c>
      <c r="H18" s="83">
        <f>Parameters!H28</f>
        <v>-1.0999999999999999E-2</v>
      </c>
    </row>
    <row r="19" spans="1:16" ht="12.75" customHeight="1" x14ac:dyDescent="0.2">
      <c r="B19" s="2" t="s">
        <v>305</v>
      </c>
      <c r="F19" s="2" t="s">
        <v>88</v>
      </c>
      <c r="L19" s="84">
        <f>Parameters!H40</f>
        <v>6.4600000000000005E-2</v>
      </c>
      <c r="M19" s="84">
        <f>Parameters!H41</f>
        <v>5.7200000000000001E-2</v>
      </c>
      <c r="N19" s="84">
        <f>Parameters!H42</f>
        <v>6.3799999999999996E-2</v>
      </c>
      <c r="O19" s="84">
        <f>Parameters!H42</f>
        <v>6.3799999999999996E-2</v>
      </c>
      <c r="P19" s="84">
        <f>Parameters!H42</f>
        <v>6.3799999999999996E-2</v>
      </c>
    </row>
    <row r="20" spans="1:16" ht="12.75" customHeight="1" x14ac:dyDescent="0.2"/>
    <row r="21" spans="1:16" ht="12.75" customHeight="1" x14ac:dyDescent="0.2">
      <c r="B21" s="1" t="s">
        <v>261</v>
      </c>
    </row>
    <row r="22" spans="1:16" s="20" customFormat="1" ht="12.75" customHeight="1" x14ac:dyDescent="0.2">
      <c r="A22" s="2"/>
      <c r="B22" s="20" t="s">
        <v>36</v>
      </c>
      <c r="C22" s="2"/>
      <c r="D22" s="2"/>
      <c r="E22" s="2"/>
      <c r="F22" s="20" t="s">
        <v>124</v>
      </c>
      <c r="L22" s="20" t="s">
        <v>125</v>
      </c>
      <c r="M22" s="20" t="s">
        <v>126</v>
      </c>
      <c r="N22" s="20" t="s">
        <v>127</v>
      </c>
      <c r="O22" s="20" t="s">
        <v>128</v>
      </c>
      <c r="P22" s="20" t="s">
        <v>127</v>
      </c>
    </row>
    <row r="23" spans="1:16" ht="12.75" customHeight="1" x14ac:dyDescent="0.2">
      <c r="B23" s="2" t="s">
        <v>278</v>
      </c>
      <c r="F23" s="2" t="s">
        <v>124</v>
      </c>
      <c r="L23" s="85">
        <f>'Historical data'!L39</f>
        <v>15672434</v>
      </c>
      <c r="M23" s="85">
        <f>'Historical data'!M37</f>
        <v>18218.78</v>
      </c>
      <c r="N23" s="85">
        <f>'Historical data'!N37</f>
        <v>187656</v>
      </c>
      <c r="O23" s="85">
        <f>'Historical data'!O37</f>
        <v>1036.1666666666667</v>
      </c>
      <c r="P23" s="85">
        <f>'Historical data'!P37</f>
        <v>6147.1999999999989</v>
      </c>
    </row>
    <row r="24" spans="1:16" ht="12.75" customHeight="1" x14ac:dyDescent="0.2">
      <c r="B24" s="2" t="s">
        <v>443</v>
      </c>
      <c r="F24" s="2" t="s">
        <v>124</v>
      </c>
      <c r="L24" s="85">
        <f>'Estimates for 2024'!L22</f>
        <v>16551729.997999959</v>
      </c>
      <c r="M24" s="85">
        <f>'Estimates for 2024'!M65</f>
        <v>18840.837267081202</v>
      </c>
      <c r="N24" s="85">
        <f>'Estimates for 2024'!N14</f>
        <v>197952.55799999996</v>
      </c>
      <c r="O24" s="85">
        <f>'Estimates for 2024'!O68</f>
        <v>1149.8493807187922</v>
      </c>
      <c r="P24" s="85">
        <f>'Estimates for 2024'!P27</f>
        <v>1979.52558</v>
      </c>
    </row>
    <row r="25" spans="1:16" ht="12.75" customHeight="1" x14ac:dyDescent="0.2">
      <c r="B25" s="2" t="s">
        <v>259</v>
      </c>
      <c r="F25" s="2" t="s">
        <v>88</v>
      </c>
      <c r="L25" s="80"/>
      <c r="M25" s="80"/>
      <c r="N25" s="80"/>
      <c r="O25" s="80"/>
      <c r="P25" s="84">
        <f>'Estimates for 2024'!P28</f>
        <v>1.2820512820512822E-2</v>
      </c>
    </row>
    <row r="26" spans="1:16" ht="12.75" customHeight="1" x14ac:dyDescent="0.2"/>
    <row r="27" spans="1:16" ht="12.75" customHeight="1" x14ac:dyDescent="0.2">
      <c r="B27" s="1" t="s">
        <v>597</v>
      </c>
    </row>
    <row r="28" spans="1:16" ht="12.75" customHeight="1" x14ac:dyDescent="0.2">
      <c r="B28" s="2" t="s">
        <v>113</v>
      </c>
      <c r="F28" s="2" t="s">
        <v>114</v>
      </c>
      <c r="J28" s="41">
        <f>SUM(L28:P28)</f>
        <v>9099251.3823729344</v>
      </c>
      <c r="L28" s="85">
        <f>'Historical data'!L21</f>
        <v>2807790.6419269913</v>
      </c>
      <c r="M28" s="85">
        <f>'Historical data'!M21</f>
        <v>2099727.8190321838</v>
      </c>
      <c r="N28" s="85">
        <f>'Historical data'!N21</f>
        <v>1364182.3299102224</v>
      </c>
      <c r="O28" s="85">
        <f>'Historical data'!O21</f>
        <v>2826574.5199072561</v>
      </c>
      <c r="P28" s="85">
        <f>'Historical data'!P21</f>
        <v>976.07159627994554</v>
      </c>
    </row>
    <row r="29" spans="1:16" ht="12.75" customHeight="1" x14ac:dyDescent="0.2">
      <c r="B29" s="2" t="s">
        <v>270</v>
      </c>
      <c r="F29" s="2" t="s">
        <v>114</v>
      </c>
      <c r="J29" s="41">
        <f>SUM(L29:P29)</f>
        <v>884400.79669051722</v>
      </c>
      <c r="L29" s="85">
        <f>'Historical data'!L22</f>
        <v>369335.68785139988</v>
      </c>
      <c r="M29" s="85">
        <f>'Historical data'!M22</f>
        <v>198076.97728293162</v>
      </c>
      <c r="N29" s="85">
        <f>'Historical data'!N22</f>
        <v>122271.43611731179</v>
      </c>
      <c r="O29" s="85">
        <f>'Historical data'!O22</f>
        <v>194529.94154355564</v>
      </c>
      <c r="P29" s="85">
        <f>'Historical data'!P22</f>
        <v>186.75389531827514</v>
      </c>
    </row>
    <row r="30" spans="1:16" ht="12.75" customHeight="1" x14ac:dyDescent="0.2">
      <c r="B30" s="2" t="s">
        <v>271</v>
      </c>
      <c r="F30" s="2" t="s">
        <v>108</v>
      </c>
      <c r="J30" s="41">
        <f>SUM(L30:P30)</f>
        <v>4489359.1499999994</v>
      </c>
      <c r="L30" s="85">
        <f>'Historical data'!L14</f>
        <v>2007361.6478045504</v>
      </c>
      <c r="M30" s="85">
        <f>'Historical data'!M14</f>
        <v>1040667.8730083217</v>
      </c>
      <c r="N30" s="85">
        <f>'Historical data'!N14</f>
        <v>594864.90738965385</v>
      </c>
      <c r="O30" s="85">
        <f>'Historical data'!O14</f>
        <v>846464.72179747385</v>
      </c>
      <c r="P30" s="80"/>
    </row>
    <row r="31" spans="1:16" ht="12.75" customHeight="1" x14ac:dyDescent="0.2">
      <c r="B31" s="2" t="s">
        <v>272</v>
      </c>
      <c r="F31" s="2" t="s">
        <v>108</v>
      </c>
      <c r="J31" s="41">
        <f>SUM(L31:P31)</f>
        <v>511397.42999999993</v>
      </c>
      <c r="L31" s="85">
        <f>'Historical data'!L15</f>
        <v>2926.1146092557124</v>
      </c>
      <c r="M31" s="85">
        <f>'Historical data'!M15</f>
        <v>439515.27092647104</v>
      </c>
      <c r="N31" s="85">
        <f>'Historical data'!N15</f>
        <v>-838.2788484082314</v>
      </c>
      <c r="O31" s="85">
        <f>'Historical data'!O15</f>
        <v>69794.323312681474</v>
      </c>
      <c r="P31" s="80"/>
    </row>
    <row r="32" spans="1:16" ht="12.75" customHeight="1" x14ac:dyDescent="0.2">
      <c r="B32" s="2" t="s">
        <v>260</v>
      </c>
      <c r="F32" s="2" t="s">
        <v>108</v>
      </c>
      <c r="J32" s="41">
        <f>SUM(L32:P32)</f>
        <v>49022.047990702085</v>
      </c>
      <c r="L32" s="86"/>
      <c r="M32" s="86"/>
      <c r="N32" s="86"/>
      <c r="O32" s="85">
        <f>'Historical data'!O46</f>
        <v>49022.047990702085</v>
      </c>
      <c r="P32" s="80"/>
    </row>
    <row r="33" spans="2:16" ht="12.75" customHeight="1" x14ac:dyDescent="0.2"/>
    <row r="34" spans="2:16" ht="12.75" customHeight="1" x14ac:dyDescent="0.2">
      <c r="B34" s="1" t="s">
        <v>598</v>
      </c>
    </row>
    <row r="35" spans="2:16" ht="12.75" customHeight="1" x14ac:dyDescent="0.2">
      <c r="B35" s="2" t="s">
        <v>113</v>
      </c>
      <c r="F35" s="2" t="s">
        <v>114</v>
      </c>
      <c r="J35" s="41">
        <f>SUM(L35:P35)</f>
        <v>9099251.3823729344</v>
      </c>
      <c r="L35" s="85">
        <f>L28</f>
        <v>2807790.6419269913</v>
      </c>
      <c r="M35" s="85">
        <f t="shared" ref="M35:M38" si="0">M28</f>
        <v>2099727.8190321838</v>
      </c>
      <c r="N35" s="85">
        <f>N28</f>
        <v>1364182.3299102224</v>
      </c>
      <c r="O35" s="87">
        <f>O28*(1-$P$25)</f>
        <v>2790336.3850366506</v>
      </c>
      <c r="P35" s="87">
        <f>O28*$P$25+P28</f>
        <v>37214.206466885793</v>
      </c>
    </row>
    <row r="36" spans="2:16" ht="12.75" customHeight="1" x14ac:dyDescent="0.2">
      <c r="B36" s="2" t="s">
        <v>270</v>
      </c>
      <c r="F36" s="2" t="s">
        <v>114</v>
      </c>
      <c r="J36" s="41">
        <f>SUM(L36:P36)</f>
        <v>884400.79669051722</v>
      </c>
      <c r="L36" s="85">
        <f t="shared" ref="L36:L38" si="1">L29</f>
        <v>369335.68785139988</v>
      </c>
      <c r="M36" s="85">
        <f t="shared" si="0"/>
        <v>198076.97728293162</v>
      </c>
      <c r="N36" s="85">
        <f>N29</f>
        <v>122271.43611731179</v>
      </c>
      <c r="O36" s="87">
        <f>O29*(1-$P$25)</f>
        <v>192035.96793402289</v>
      </c>
      <c r="P36" s="87">
        <f>O29*$P$25+P29</f>
        <v>2680.7275048510401</v>
      </c>
    </row>
    <row r="37" spans="2:16" ht="12.75" customHeight="1" x14ac:dyDescent="0.2">
      <c r="B37" s="2" t="s">
        <v>273</v>
      </c>
      <c r="F37" s="2" t="s">
        <v>108</v>
      </c>
      <c r="J37" s="41">
        <f>SUM(L37:P37)</f>
        <v>4489359.1499999994</v>
      </c>
      <c r="L37" s="85">
        <f t="shared" si="1"/>
        <v>2007361.6478045504</v>
      </c>
      <c r="M37" s="85">
        <f t="shared" si="0"/>
        <v>1040667.8730083217</v>
      </c>
      <c r="N37" s="85">
        <f>N30</f>
        <v>594864.90738965385</v>
      </c>
      <c r="O37" s="87">
        <f>O30*(1-$P$25)</f>
        <v>835612.60997955757</v>
      </c>
      <c r="P37" s="87">
        <f>O30*$P$25</f>
        <v>10852.111817916333</v>
      </c>
    </row>
    <row r="38" spans="2:16" ht="12.75" customHeight="1" x14ac:dyDescent="0.2">
      <c r="B38" s="2" t="s">
        <v>272</v>
      </c>
      <c r="F38" s="2" t="s">
        <v>108</v>
      </c>
      <c r="J38" s="41">
        <f>SUM(L38:P38)</f>
        <v>511397.42999999993</v>
      </c>
      <c r="L38" s="85">
        <f t="shared" si="1"/>
        <v>2926.1146092557124</v>
      </c>
      <c r="M38" s="85">
        <f t="shared" si="0"/>
        <v>439515.27092647104</v>
      </c>
      <c r="N38" s="85">
        <f>N31</f>
        <v>-838.2788484082314</v>
      </c>
      <c r="O38" s="87">
        <f>O31*(1-$P$25)</f>
        <v>68899.524295852229</v>
      </c>
      <c r="P38" s="87">
        <f>O31*$P$25</f>
        <v>894.79901682924981</v>
      </c>
    </row>
    <row r="39" spans="2:16" ht="12.75" customHeight="1" x14ac:dyDescent="0.2">
      <c r="B39" s="2" t="s">
        <v>260</v>
      </c>
      <c r="F39" s="2" t="s">
        <v>108</v>
      </c>
      <c r="J39" s="41">
        <f>SUM(L39:P39)</f>
        <v>49022.047990702085</v>
      </c>
      <c r="L39" s="86"/>
      <c r="M39" s="86"/>
      <c r="N39" s="86"/>
      <c r="O39" s="85">
        <f>O32</f>
        <v>49022.047990702085</v>
      </c>
      <c r="P39" s="86"/>
    </row>
    <row r="40" spans="2:16" ht="12.75" customHeight="1" x14ac:dyDescent="0.2"/>
    <row r="41" spans="2:16" ht="12.75" customHeight="1" x14ac:dyDescent="0.2">
      <c r="B41" s="2" t="s">
        <v>274</v>
      </c>
      <c r="F41" s="2" t="s">
        <v>88</v>
      </c>
      <c r="L41" s="88">
        <f>'Historical data'!L25</f>
        <v>0.19410125059831115</v>
      </c>
      <c r="M41" s="88">
        <f>'Historical data'!M25</f>
        <v>0.27580884597893079</v>
      </c>
      <c r="N41" s="88">
        <f>'Historical data'!N25</f>
        <v>0.12889013723645187</v>
      </c>
      <c r="O41" s="88">
        <f>'Historical data'!O25</f>
        <v>0.30232576550308171</v>
      </c>
      <c r="P41" s="88">
        <f>'Historical data'!P25</f>
        <v>0.30232576550308171</v>
      </c>
    </row>
    <row r="42" spans="2:16" ht="12.75" customHeight="1" x14ac:dyDescent="0.2">
      <c r="B42" s="2" t="s">
        <v>275</v>
      </c>
      <c r="F42" s="2" t="s">
        <v>88</v>
      </c>
      <c r="L42" s="88">
        <f>'Historical data'!L26</f>
        <v>0</v>
      </c>
      <c r="M42" s="88">
        <f>'Historical data'!M26</f>
        <v>0.5</v>
      </c>
      <c r="N42" s="88">
        <f>'Historical data'!N26</f>
        <v>0</v>
      </c>
      <c r="O42" s="88">
        <f>'Historical data'!O26</f>
        <v>0.5</v>
      </c>
      <c r="P42" s="88">
        <f>'Historical data'!P26</f>
        <v>0.5</v>
      </c>
    </row>
    <row r="43" spans="2:16" ht="12.75" customHeight="1" x14ac:dyDescent="0.2"/>
    <row r="44" spans="2:16" ht="12.75" customHeight="1" x14ac:dyDescent="0.2">
      <c r="B44" s="1" t="s">
        <v>494</v>
      </c>
    </row>
    <row r="45" spans="2:16" ht="12.75" customHeight="1" x14ac:dyDescent="0.2">
      <c r="B45" s="2" t="s">
        <v>276</v>
      </c>
      <c r="F45" s="2" t="s">
        <v>114</v>
      </c>
      <c r="J45" s="41">
        <f>SUM(L45:P45)</f>
        <v>552593.9795834719</v>
      </c>
      <c r="L45" s="10"/>
      <c r="M45" s="10"/>
      <c r="N45" s="10"/>
      <c r="O45" s="85">
        <f>'Overview corrections'!O47</f>
        <v>552593.9795834719</v>
      </c>
      <c r="P45" s="10"/>
    </row>
    <row r="46" spans="2:16" ht="12.75" customHeight="1" x14ac:dyDescent="0.2">
      <c r="B46" s="2" t="s">
        <v>277</v>
      </c>
      <c r="F46" s="2" t="s">
        <v>114</v>
      </c>
      <c r="J46" s="41">
        <f>SUM(L46:P46)</f>
        <v>37320.24144946337</v>
      </c>
      <c r="L46" s="10"/>
      <c r="M46" s="10"/>
      <c r="N46" s="10"/>
      <c r="O46" s="85">
        <f>'Overview corrections'!O48</f>
        <v>37320.24144946337</v>
      </c>
      <c r="P46" s="10"/>
    </row>
    <row r="47" spans="2:16" ht="12.75" customHeight="1" x14ac:dyDescent="0.2"/>
    <row r="48" spans="2:16" ht="12.75" customHeight="1" x14ac:dyDescent="0.2">
      <c r="B48" s="1" t="s">
        <v>571</v>
      </c>
    </row>
    <row r="49" spans="1:18" ht="12.75" customHeight="1" x14ac:dyDescent="0.2">
      <c r="B49" s="2" t="s">
        <v>572</v>
      </c>
      <c r="F49" s="2" t="s">
        <v>114</v>
      </c>
      <c r="J49" s="41">
        <f>SUM(L49:P49)</f>
        <v>147382.57311481124</v>
      </c>
      <c r="L49" s="26">
        <f>'Major occurrences'!L52</f>
        <v>147382.57311481124</v>
      </c>
      <c r="M49" s="48"/>
      <c r="N49" s="48"/>
      <c r="O49" s="48"/>
      <c r="P49" s="48"/>
    </row>
    <row r="50" spans="1:18" ht="12.75" customHeight="1" x14ac:dyDescent="0.2">
      <c r="A50" s="93"/>
    </row>
    <row r="51" spans="1:18" s="8" customFormat="1" ht="12.75" customHeight="1" x14ac:dyDescent="0.2">
      <c r="B51" s="8" t="s">
        <v>262</v>
      </c>
    </row>
    <row r="52" spans="1:18" ht="12.75" customHeight="1" x14ac:dyDescent="0.25">
      <c r="M52" s="89"/>
      <c r="N52" s="89"/>
      <c r="O52" s="89"/>
      <c r="P52" s="89"/>
    </row>
    <row r="53" spans="1:18" ht="12.75" customHeight="1" x14ac:dyDescent="0.25">
      <c r="B53" s="1" t="s">
        <v>263</v>
      </c>
      <c r="M53" s="89"/>
      <c r="N53" s="89"/>
      <c r="O53" s="89"/>
      <c r="P53" s="89"/>
    </row>
    <row r="54" spans="1:18" ht="12.75" customHeight="1" x14ac:dyDescent="0.2">
      <c r="B54" s="2" t="s">
        <v>487</v>
      </c>
      <c r="F54" s="2" t="s">
        <v>108</v>
      </c>
      <c r="J54" s="41">
        <f>SUM(L54:P54)</f>
        <v>2919702.546126198</v>
      </c>
      <c r="L54" s="41">
        <f>L37*(1-L41)-L38</f>
        <v>1614804.1269533448</v>
      </c>
      <c r="M54" s="41">
        <f>M37*(1-M41)-M38</f>
        <v>314127.19698007702</v>
      </c>
      <c r="N54" s="41">
        <f>N37*(1-N41)-N38</f>
        <v>519030.96668746037</v>
      </c>
      <c r="O54" s="81">
        <f>O37*(1-O41)-O38-O39</f>
        <v>465063.81571690546</v>
      </c>
      <c r="P54" s="41">
        <f>P37*(1-P41)-P38</f>
        <v>6676.4397884104874</v>
      </c>
      <c r="R54" s="2" t="s">
        <v>264</v>
      </c>
    </row>
    <row r="55" spans="1:18" ht="12.75" customHeight="1" x14ac:dyDescent="0.2">
      <c r="B55" s="2" t="s">
        <v>488</v>
      </c>
      <c r="F55" s="2" t="s">
        <v>108</v>
      </c>
      <c r="J55" s="41">
        <f>SUM(L55:P55)</f>
        <v>1009237.1258830996</v>
      </c>
      <c r="L55" s="41">
        <f>L37*L41</f>
        <v>389631.40624194982</v>
      </c>
      <c r="M55" s="41">
        <f>M37*M41</f>
        <v>287025.40510177374</v>
      </c>
      <c r="N55" s="41">
        <f>N37*N41</f>
        <v>76672.219550601716</v>
      </c>
      <c r="O55" s="41">
        <f>O37*O41</f>
        <v>252627.22197609779</v>
      </c>
      <c r="P55" s="41">
        <f>P37*P41</f>
        <v>3280.873012676595</v>
      </c>
    </row>
    <row r="56" spans="1:18" ht="12.75" customHeight="1" x14ac:dyDescent="0.2">
      <c r="B56" s="2" t="s">
        <v>489</v>
      </c>
      <c r="F56" s="2" t="s">
        <v>279</v>
      </c>
      <c r="L56" s="74">
        <f>L55/L23</f>
        <v>2.4860937761291568E-2</v>
      </c>
      <c r="M56" s="36">
        <f>M55/M23</f>
        <v>15.754370221374524</v>
      </c>
      <c r="N56" s="36">
        <f>N55/N23</f>
        <v>0.40857856690221317</v>
      </c>
      <c r="O56" s="36">
        <f>O55/O23</f>
        <v>243.8094469770929</v>
      </c>
      <c r="P56" s="36">
        <f>P55/P23</f>
        <v>0.53371828030267365</v>
      </c>
    </row>
    <row r="57" spans="1:18" ht="12.75" customHeight="1" x14ac:dyDescent="0.25">
      <c r="M57" s="89"/>
      <c r="N57" s="89"/>
      <c r="O57" s="89"/>
      <c r="P57" s="89"/>
    </row>
    <row r="58" spans="1:18" ht="12.75" customHeight="1" x14ac:dyDescent="0.25">
      <c r="B58" s="1" t="s">
        <v>265</v>
      </c>
      <c r="M58" s="89"/>
      <c r="N58" s="90"/>
      <c r="O58" s="89"/>
      <c r="P58" s="89"/>
    </row>
    <row r="59" spans="1:18" ht="12.75" customHeight="1" x14ac:dyDescent="0.2">
      <c r="B59" s="2" t="s">
        <v>266</v>
      </c>
      <c r="F59" s="2" t="s">
        <v>114</v>
      </c>
      <c r="J59" s="41">
        <f>SUM(L59:P59)</f>
        <v>1453321.0637938394</v>
      </c>
      <c r="L59" s="41">
        <f>L19*L35+L36</f>
        <v>550718.96331988357</v>
      </c>
      <c r="M59" s="41">
        <f>M19*M35+M36</f>
        <v>318181.40853157255</v>
      </c>
      <c r="N59" s="41">
        <f>N19*N35+N36</f>
        <v>209306.26876558398</v>
      </c>
      <c r="O59" s="41">
        <f>O19*O35+O36</f>
        <v>370059.42929936119</v>
      </c>
      <c r="P59" s="41">
        <f>P19*P35+P36</f>
        <v>5054.9938774383536</v>
      </c>
    </row>
    <row r="60" spans="1:18" ht="12.75" customHeight="1" x14ac:dyDescent="0.2">
      <c r="B60" s="2" t="s">
        <v>280</v>
      </c>
      <c r="F60" s="2" t="s">
        <v>114</v>
      </c>
      <c r="J60" s="41">
        <f>SUM(L60:P60)</f>
        <v>1106673.1479396536</v>
      </c>
      <c r="L60" s="41">
        <f>L59*(1-L42)</f>
        <v>550718.96331988357</v>
      </c>
      <c r="M60" s="41">
        <f>M59*(1-M42)</f>
        <v>159090.70426578628</v>
      </c>
      <c r="N60" s="41">
        <f>N59*(1-N42)</f>
        <v>209306.26876558398</v>
      </c>
      <c r="O60" s="41">
        <f>O59*(1-O42)</f>
        <v>185029.71464968059</v>
      </c>
      <c r="P60" s="41">
        <f>P59*(1-P42)</f>
        <v>2527.4969387191768</v>
      </c>
      <c r="R60" s="18"/>
    </row>
    <row r="61" spans="1:18" ht="12.75" customHeight="1" x14ac:dyDescent="0.2">
      <c r="B61" s="2" t="s">
        <v>281</v>
      </c>
      <c r="F61" s="2" t="s">
        <v>114</v>
      </c>
      <c r="J61" s="41">
        <f>SUM(L61:P61)</f>
        <v>346647.91585418605</v>
      </c>
      <c r="L61" s="41">
        <f>L59*L42</f>
        <v>0</v>
      </c>
      <c r="M61" s="41">
        <f>M59*M42</f>
        <v>159090.70426578628</v>
      </c>
      <c r="N61" s="41">
        <f>N59*N42</f>
        <v>0</v>
      </c>
      <c r="O61" s="41">
        <f>O59*O42</f>
        <v>185029.71464968059</v>
      </c>
      <c r="P61" s="41">
        <f>P59*P42</f>
        <v>2527.4969387191768</v>
      </c>
    </row>
    <row r="62" spans="1:18" ht="12.75" customHeight="1" x14ac:dyDescent="0.2">
      <c r="B62" s="2" t="s">
        <v>267</v>
      </c>
      <c r="F62" s="2" t="s">
        <v>114</v>
      </c>
      <c r="J62" s="41">
        <f>SUM(L62:P62)</f>
        <v>72575.737346888869</v>
      </c>
      <c r="L62" s="82"/>
      <c r="M62" s="82"/>
      <c r="N62" s="82"/>
      <c r="O62" s="41">
        <f>O45*$O$19+O46</f>
        <v>72575.737346888869</v>
      </c>
      <c r="P62" s="82"/>
      <c r="R62" s="2" t="s">
        <v>282</v>
      </c>
    </row>
    <row r="63" spans="1:18" ht="12.75" customHeight="1" x14ac:dyDescent="0.2">
      <c r="B63" s="2" t="s">
        <v>283</v>
      </c>
      <c r="F63" s="2" t="s">
        <v>268</v>
      </c>
      <c r="L63" s="36">
        <f>L61/L23</f>
        <v>0</v>
      </c>
      <c r="M63" s="36">
        <f>M61/M23</f>
        <v>8.7322369700817664</v>
      </c>
      <c r="N63" s="36">
        <f>N61/N23</f>
        <v>0</v>
      </c>
      <c r="O63" s="48"/>
      <c r="P63" s="36">
        <f>P61/P23</f>
        <v>0.41116230783432739</v>
      </c>
    </row>
    <row r="64" spans="1:18" ht="12.75" customHeight="1" x14ac:dyDescent="0.2">
      <c r="B64" s="2" t="s">
        <v>269</v>
      </c>
      <c r="F64" s="2" t="s">
        <v>268</v>
      </c>
      <c r="L64" s="48"/>
      <c r="M64" s="48"/>
      <c r="N64" s="48"/>
      <c r="O64" s="91">
        <f>O62/(O24-O23)</f>
        <v>638.40609323957256</v>
      </c>
      <c r="P64" s="48"/>
      <c r="R64" s="2" t="s">
        <v>282</v>
      </c>
    </row>
    <row r="66" spans="2:18" s="8" customFormat="1" x14ac:dyDescent="0.2">
      <c r="B66" s="8" t="s">
        <v>432</v>
      </c>
    </row>
    <row r="67" spans="2:18" ht="12.75" customHeight="1" x14ac:dyDescent="0.25">
      <c r="M67" s="89"/>
      <c r="N67" s="89"/>
      <c r="O67" s="89"/>
      <c r="P67" s="89"/>
    </row>
    <row r="68" spans="2:18" ht="12.75" customHeight="1" x14ac:dyDescent="0.25">
      <c r="B68" s="1" t="s">
        <v>433</v>
      </c>
      <c r="M68" s="89"/>
      <c r="N68" s="89"/>
      <c r="O68" s="89"/>
      <c r="P68" s="89"/>
    </row>
    <row r="69" spans="2:18" ht="12.75" customHeight="1" x14ac:dyDescent="0.2">
      <c r="B69" s="2" t="s">
        <v>284</v>
      </c>
      <c r="F69" s="2" t="s">
        <v>205</v>
      </c>
      <c r="J69" s="41">
        <f>SUM(L69:P69)</f>
        <v>4326447.031532879</v>
      </c>
      <c r="L69" s="41">
        <f>L54*(1+$H$17)*(1+$H$18)+L60+L49</f>
        <v>2397353.4600111921</v>
      </c>
      <c r="M69" s="41">
        <f>M54*(1+$H$17)*(1+$H$18)+M60</f>
        <v>489645.4971391334</v>
      </c>
      <c r="N69" s="41">
        <f>N54*(1+$H$17)*(1+$H$18)+N60</f>
        <v>755480.47888693179</v>
      </c>
      <c r="O69" s="41">
        <f>O54*(1+$H$17)*(1+$H$18)+O60</f>
        <v>674414.50767331733</v>
      </c>
      <c r="P69" s="41">
        <f>P54*(1+$H$17)*(1+$H$18)+P60</f>
        <v>9553.0878223043801</v>
      </c>
    </row>
    <row r="70" spans="2:18" ht="12.75" customHeight="1" x14ac:dyDescent="0.2">
      <c r="B70" s="2" t="s">
        <v>285</v>
      </c>
      <c r="F70" s="2" t="s">
        <v>205</v>
      </c>
      <c r="J70" s="41">
        <f>SUM(L70:P70)</f>
        <v>185029.71464968059</v>
      </c>
      <c r="L70" s="48"/>
      <c r="M70" s="48"/>
      <c r="N70" s="48"/>
      <c r="O70" s="85">
        <f>O61</f>
        <v>185029.71464968059</v>
      </c>
      <c r="P70" s="48"/>
      <c r="R70" s="2" t="s">
        <v>286</v>
      </c>
    </row>
    <row r="71" spans="2:18" ht="12.75" customHeight="1" x14ac:dyDescent="0.2">
      <c r="B71" s="2" t="s">
        <v>287</v>
      </c>
      <c r="F71" s="2" t="s">
        <v>288</v>
      </c>
      <c r="L71" s="74">
        <f>L56*(1+$H$17)*(1+$H$18)+L63</f>
        <v>2.6161065362456073E-2</v>
      </c>
      <c r="M71" s="36">
        <f>M56*(1+$H$17)*(1+$H$18)+M63</f>
        <v>25.310497736553295</v>
      </c>
      <c r="N71" s="36">
        <f>N56*(1+$H$17)*(1+$H$18)+N63</f>
        <v>0.4299455916369313</v>
      </c>
      <c r="O71" s="48"/>
      <c r="P71" s="36">
        <f>P56*(1+$H$17)*(1+$H$18)+P63</f>
        <v>0.97279191932370968</v>
      </c>
    </row>
    <row r="72" spans="2:18" ht="12.75" customHeight="1" x14ac:dyDescent="0.2">
      <c r="B72" s="2" t="s">
        <v>289</v>
      </c>
      <c r="F72" s="2" t="s">
        <v>288</v>
      </c>
      <c r="L72" s="48"/>
      <c r="M72" s="48"/>
      <c r="N72" s="48"/>
      <c r="O72" s="36">
        <f>O56*(1+$H$17)*(1+$H$18)</f>
        <v>256.55970581620693</v>
      </c>
      <c r="P72" s="48"/>
    </row>
    <row r="73" spans="2:18" ht="12.75" customHeight="1" x14ac:dyDescent="0.2">
      <c r="B73" s="2" t="s">
        <v>290</v>
      </c>
      <c r="F73" s="2" t="s">
        <v>288</v>
      </c>
      <c r="L73" s="48"/>
      <c r="M73" s="48"/>
      <c r="N73" s="48"/>
      <c r="O73" s="92">
        <f>O64</f>
        <v>638.40609323957256</v>
      </c>
      <c r="P73" s="48"/>
      <c r="R73" s="2" t="s">
        <v>291</v>
      </c>
    </row>
    <row r="75" spans="2:18" x14ac:dyDescent="0.2">
      <c r="B75" s="1" t="s">
        <v>296</v>
      </c>
    </row>
    <row r="76" spans="2:18" x14ac:dyDescent="0.2">
      <c r="B76" s="2" t="s">
        <v>293</v>
      </c>
      <c r="F76" s="2" t="s">
        <v>205</v>
      </c>
      <c r="J76" s="41">
        <f>SUM(L76:P76)</f>
        <v>5875973.8578759115</v>
      </c>
      <c r="L76" s="21">
        <f>L69+L71*L24</f>
        <v>2830364.3503505941</v>
      </c>
      <c r="M76" s="21">
        <f>M69+M71*M24</f>
        <v>966516.46614236105</v>
      </c>
      <c r="N76" s="21">
        <f>N69+N71*N24</f>
        <v>840589.30855228577</v>
      </c>
      <c r="O76" s="21">
        <f>O69+O70+O72*O24+O73*(O24-O23)</f>
        <v>1227024.9785200479</v>
      </c>
      <c r="P76" s="21">
        <f>P69+P71*P24</f>
        <v>11478.75431062296</v>
      </c>
      <c r="R76" s="2" t="s">
        <v>294</v>
      </c>
    </row>
    <row r="79" spans="2:18" x14ac:dyDescent="0.2">
      <c r="B79" s="4" t="s">
        <v>65</v>
      </c>
    </row>
    <row r="81" spans="2:2" x14ac:dyDescent="0.2">
      <c r="B81" s="4"/>
    </row>
  </sheetData>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0C7C-27E7-4904-A897-12A386B7322B}">
  <sheetPr>
    <tabColor rgb="FFFFFFCC"/>
  </sheetPr>
  <dimension ref="B2:R37"/>
  <sheetViews>
    <sheetView showGridLines="0" zoomScale="85" zoomScaleNormal="85" workbookViewId="0">
      <pane xSplit="6" ySplit="8" topLeftCell="G9" activePane="bottomRight" state="frozen"/>
      <selection activeCell="H13" sqref="H13"/>
      <selection pane="topRight" activeCell="H13" sqref="H13"/>
      <selection pane="bottomLeft" activeCell="H13" sqref="H13"/>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606</v>
      </c>
    </row>
    <row r="4" spans="2:18" x14ac:dyDescent="0.2">
      <c r="B4" s="19" t="s">
        <v>12</v>
      </c>
      <c r="C4" s="1"/>
      <c r="D4" s="1"/>
    </row>
    <row r="5" spans="2:18" x14ac:dyDescent="0.2">
      <c r="B5" s="2" t="s">
        <v>600</v>
      </c>
      <c r="C5" s="3"/>
      <c r="D5" s="3"/>
      <c r="H5" s="13"/>
    </row>
    <row r="6" spans="2:18" x14ac:dyDescent="0.2">
      <c r="C6" s="3"/>
      <c r="D6" s="3"/>
      <c r="H6"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295</v>
      </c>
    </row>
    <row r="12" spans="2:18" x14ac:dyDescent="0.2">
      <c r="B12" s="19" t="s">
        <v>301</v>
      </c>
    </row>
    <row r="13" spans="2:18" ht="12.75" customHeight="1" x14ac:dyDescent="0.2">
      <c r="B13" s="2" t="s">
        <v>297</v>
      </c>
      <c r="F13" s="2" t="s">
        <v>142</v>
      </c>
      <c r="L13" s="94">
        <f>'Estimates for 2024'!L35</f>
        <v>0.27626522408947457</v>
      </c>
      <c r="M13" s="48"/>
      <c r="N13" s="48"/>
      <c r="O13" s="48"/>
      <c r="P13" s="48"/>
    </row>
    <row r="14" spans="2:18" ht="12.75" customHeight="1" x14ac:dyDescent="0.2">
      <c r="B14" s="2" t="s">
        <v>298</v>
      </c>
      <c r="F14" s="2" t="s">
        <v>88</v>
      </c>
      <c r="L14" s="88">
        <f>'Estimates for 2024'!L24</f>
        <v>0.51666683778875944</v>
      </c>
      <c r="M14" s="48"/>
      <c r="N14" s="48"/>
      <c r="O14" s="48"/>
      <c r="P14" s="48"/>
    </row>
    <row r="15" spans="2:18" ht="12.75" customHeight="1" x14ac:dyDescent="0.2">
      <c r="B15" s="2" t="s">
        <v>143</v>
      </c>
      <c r="F15" s="2" t="s">
        <v>144</v>
      </c>
      <c r="L15" s="94">
        <f>'Historical data'!H31</f>
        <v>0.98250869816863085</v>
      </c>
      <c r="M15" s="48"/>
      <c r="N15" s="48"/>
      <c r="O15" s="48"/>
      <c r="P15" s="48"/>
    </row>
    <row r="16" spans="2:18" ht="12.75" customHeight="1" x14ac:dyDescent="0.2">
      <c r="B16" s="2" t="s">
        <v>299</v>
      </c>
      <c r="F16" s="2" t="s">
        <v>125</v>
      </c>
      <c r="L16" s="85">
        <f>'Estimates for 2024'!L22</f>
        <v>16551729.997999959</v>
      </c>
      <c r="M16" s="48"/>
      <c r="N16" s="48"/>
      <c r="O16" s="48"/>
      <c r="P16" s="48"/>
    </row>
    <row r="18" spans="2:16" x14ac:dyDescent="0.2">
      <c r="B18" s="19" t="s">
        <v>296</v>
      </c>
    </row>
    <row r="19" spans="2:16" x14ac:dyDescent="0.2">
      <c r="B19" s="2" t="s">
        <v>439</v>
      </c>
      <c r="F19" s="2" t="s">
        <v>205</v>
      </c>
      <c r="L19" s="85">
        <f>'Calculation cost base 2024'!L76</f>
        <v>2830364.3503505941</v>
      </c>
      <c r="M19" s="48"/>
      <c r="N19" s="48"/>
      <c r="O19" s="48"/>
      <c r="P19" s="48"/>
    </row>
    <row r="20" spans="2:16" x14ac:dyDescent="0.2">
      <c r="B20" s="2" t="s">
        <v>209</v>
      </c>
      <c r="F20" s="2" t="s">
        <v>205</v>
      </c>
      <c r="L20" s="85">
        <f>'Overview corrections'!L35</f>
        <v>430068.55439853587</v>
      </c>
      <c r="M20" s="48"/>
      <c r="N20" s="48"/>
      <c r="O20" s="48"/>
      <c r="P20" s="48"/>
    </row>
    <row r="21" spans="2:16" x14ac:dyDescent="0.2">
      <c r="B21" s="2" t="s">
        <v>536</v>
      </c>
      <c r="F21" s="2" t="s">
        <v>205</v>
      </c>
      <c r="L21" s="85">
        <f>'Overview corrections'!L40</f>
        <v>349266.70783299999</v>
      </c>
      <c r="M21" s="48"/>
      <c r="N21" s="48"/>
      <c r="O21" s="48"/>
      <c r="P21" s="48"/>
    </row>
    <row r="22" spans="2:16" x14ac:dyDescent="0.2">
      <c r="B22" s="2" t="s">
        <v>441</v>
      </c>
      <c r="F22" s="2" t="s">
        <v>205</v>
      </c>
      <c r="L22" s="85">
        <f>'Overview corrections'!L36</f>
        <v>119273.73060976069</v>
      </c>
      <c r="M22" s="48"/>
      <c r="N22" s="48"/>
      <c r="O22" s="48"/>
      <c r="P22" s="48"/>
    </row>
    <row r="23" spans="2:16" x14ac:dyDescent="0.2">
      <c r="B23" s="32" t="s">
        <v>388</v>
      </c>
      <c r="F23" s="2" t="s">
        <v>205</v>
      </c>
      <c r="L23" s="85">
        <f>'Overview corrections'!L37</f>
        <v>185471.93721429058</v>
      </c>
      <c r="M23" s="48"/>
      <c r="N23" s="48"/>
      <c r="O23" s="48"/>
      <c r="P23" s="48"/>
    </row>
    <row r="24" spans="2:16" x14ac:dyDescent="0.2">
      <c r="B24" s="2" t="s">
        <v>403</v>
      </c>
      <c r="F24" s="2" t="s">
        <v>205</v>
      </c>
      <c r="L24" s="85">
        <f>'Overview corrections'!L38</f>
        <v>110859.13597080897</v>
      </c>
      <c r="M24" s="48"/>
      <c r="N24" s="48"/>
      <c r="O24" s="48"/>
      <c r="P24" s="48"/>
    </row>
    <row r="26" spans="2:16" s="8" customFormat="1" x14ac:dyDescent="0.2">
      <c r="B26" s="8" t="s">
        <v>309</v>
      </c>
    </row>
    <row r="28" spans="2:16" x14ac:dyDescent="0.2">
      <c r="B28" s="1" t="s">
        <v>296</v>
      </c>
    </row>
    <row r="29" spans="2:16" x14ac:dyDescent="0.2">
      <c r="B29" s="2" t="s">
        <v>440</v>
      </c>
      <c r="F29" s="2" t="s">
        <v>205</v>
      </c>
      <c r="L29" s="27">
        <f>SUM(L19:L24)</f>
        <v>4025304.4163769903</v>
      </c>
      <c r="M29" s="48"/>
      <c r="N29" s="48"/>
      <c r="O29" s="48"/>
      <c r="P29" s="48"/>
    </row>
    <row r="31" spans="2:16" ht="12.75" customHeight="1" x14ac:dyDescent="0.2">
      <c r="B31" s="1" t="s">
        <v>216</v>
      </c>
    </row>
    <row r="32" spans="2:16" ht="12.75" customHeight="1" x14ac:dyDescent="0.2">
      <c r="B32" s="2" t="s">
        <v>217</v>
      </c>
      <c r="F32" s="2" t="s">
        <v>218</v>
      </c>
      <c r="L32" s="73">
        <f>L29/L16</f>
        <v>0.24319538905379626</v>
      </c>
      <c r="M32" s="48"/>
      <c r="N32" s="48"/>
      <c r="O32" s="48"/>
      <c r="P32" s="48"/>
    </row>
    <row r="33" spans="2:16" ht="12.75" customHeight="1" x14ac:dyDescent="0.2">
      <c r="B33" s="2" t="s">
        <v>300</v>
      </c>
      <c r="F33" s="2" t="s">
        <v>218</v>
      </c>
      <c r="L33" s="124">
        <f>L13*L14*L15</f>
        <v>0.14024042237737816</v>
      </c>
      <c r="M33" s="48"/>
      <c r="N33" s="48"/>
      <c r="O33" s="48"/>
      <c r="P33" s="48"/>
    </row>
    <row r="34" spans="2:16" ht="12.75" customHeight="1" x14ac:dyDescent="0.2">
      <c r="B34" s="2" t="s">
        <v>219</v>
      </c>
      <c r="F34" s="2" t="s">
        <v>218</v>
      </c>
      <c r="L34" s="117">
        <f>L32+L33</f>
        <v>0.38343581143117444</v>
      </c>
      <c r="M34" s="48"/>
      <c r="N34" s="48"/>
      <c r="O34" s="48"/>
      <c r="P34" s="48"/>
    </row>
    <row r="35" spans="2:16" x14ac:dyDescent="0.2">
      <c r="B35" s="19"/>
    </row>
    <row r="37" spans="2:16" x14ac:dyDescent="0.2">
      <c r="B37" s="4" t="s">
        <v>65</v>
      </c>
    </row>
  </sheetData>
  <phoneticPr fontId="3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48</v>
      </c>
    </row>
    <row r="3" spans="2:8" x14ac:dyDescent="0.2">
      <c r="B3" s="29"/>
    </row>
    <row r="4" spans="2:8" x14ac:dyDescent="0.2">
      <c r="B4" s="29"/>
    </row>
    <row r="5" spans="2:8" s="8" customFormat="1" x14ac:dyDescent="0.2">
      <c r="B5" s="8" t="s">
        <v>49</v>
      </c>
    </row>
    <row r="7" spans="2:8" x14ac:dyDescent="0.2">
      <c r="B7" s="2" t="s">
        <v>537</v>
      </c>
    </row>
    <row r="8" spans="2:8" x14ac:dyDescent="0.2">
      <c r="B8" s="2" t="s">
        <v>539</v>
      </c>
    </row>
    <row r="9" spans="2:8" x14ac:dyDescent="0.2">
      <c r="B9" s="2" t="s">
        <v>538</v>
      </c>
    </row>
    <row r="10" spans="2:8" x14ac:dyDescent="0.2">
      <c r="H10" s="22"/>
    </row>
    <row r="11" spans="2:8" s="8" customFormat="1" x14ac:dyDescent="0.2">
      <c r="B11" s="8" t="s">
        <v>50</v>
      </c>
    </row>
    <row r="13" spans="2:8" x14ac:dyDescent="0.2">
      <c r="B13" s="19" t="s">
        <v>11</v>
      </c>
      <c r="D13" s="19" t="s">
        <v>12</v>
      </c>
      <c r="F13" s="5"/>
    </row>
    <row r="15" spans="2:8" x14ac:dyDescent="0.2">
      <c r="B15" s="25">
        <v>123</v>
      </c>
      <c r="D15" s="2" t="s">
        <v>13</v>
      </c>
    </row>
    <row r="16" spans="2:8" x14ac:dyDescent="0.2">
      <c r="B16" s="26">
        <f>B15</f>
        <v>123</v>
      </c>
      <c r="D16" s="2" t="s">
        <v>51</v>
      </c>
    </row>
    <row r="17" spans="2:6" x14ac:dyDescent="0.2">
      <c r="B17" s="27">
        <f>B16+B15</f>
        <v>246</v>
      </c>
      <c r="D17" s="2" t="s">
        <v>14</v>
      </c>
    </row>
    <row r="18" spans="2:6" x14ac:dyDescent="0.2">
      <c r="B18" s="21">
        <f>B16+B17</f>
        <v>369</v>
      </c>
      <c r="D18" s="2" t="s">
        <v>52</v>
      </c>
      <c r="E18" s="5"/>
      <c r="F18" s="5"/>
    </row>
    <row r="19" spans="2:6" x14ac:dyDescent="0.2">
      <c r="B19" s="10"/>
      <c r="D19" s="2" t="s">
        <v>15</v>
      </c>
      <c r="E19" s="5"/>
    </row>
    <row r="21" spans="2:6" x14ac:dyDescent="0.2">
      <c r="B21" s="20" t="s">
        <v>26</v>
      </c>
    </row>
    <row r="22" spans="2:6" x14ac:dyDescent="0.2">
      <c r="B22" s="23">
        <f>B18+16</f>
        <v>385</v>
      </c>
      <c r="D22" s="2" t="s">
        <v>16</v>
      </c>
    </row>
    <row r="23" spans="2:6" x14ac:dyDescent="0.2">
      <c r="B23" s="24">
        <f>B16*PI()</f>
        <v>386.41589639154455</v>
      </c>
      <c r="C23" s="11"/>
      <c r="D23" s="2" t="s">
        <v>53</v>
      </c>
    </row>
    <row r="24" spans="2:6" x14ac:dyDescent="0.2">
      <c r="B24" s="11"/>
      <c r="C24" s="11"/>
    </row>
    <row r="25" spans="2:6" x14ac:dyDescent="0.2">
      <c r="B25" s="19" t="s">
        <v>17</v>
      </c>
    </row>
    <row r="26" spans="2:6" x14ac:dyDescent="0.2">
      <c r="B26" s="1"/>
    </row>
    <row r="27" spans="2:6" x14ac:dyDescent="0.2">
      <c r="B27" s="20" t="s">
        <v>21</v>
      </c>
    </row>
    <row r="28" spans="2:6" x14ac:dyDescent="0.2">
      <c r="B28" s="21" t="s">
        <v>22</v>
      </c>
      <c r="D28" s="2" t="s">
        <v>18</v>
      </c>
    </row>
    <row r="29" spans="2:6" x14ac:dyDescent="0.2">
      <c r="B29" s="25" t="s">
        <v>1</v>
      </c>
      <c r="D29" s="2" t="s">
        <v>19</v>
      </c>
    </row>
    <row r="30" spans="2:6" x14ac:dyDescent="0.2">
      <c r="B30" s="27" t="s">
        <v>23</v>
      </c>
      <c r="D30" s="2" t="s">
        <v>20</v>
      </c>
    </row>
    <row r="31" spans="2:6" x14ac:dyDescent="0.2">
      <c r="B31" s="24" t="s">
        <v>23</v>
      </c>
      <c r="D31" s="2" t="s">
        <v>54</v>
      </c>
    </row>
    <row r="32" spans="2:6" x14ac:dyDescent="0.2">
      <c r="D32" s="3"/>
    </row>
    <row r="33" spans="2:4" x14ac:dyDescent="0.2">
      <c r="B33" s="20" t="s">
        <v>24</v>
      </c>
      <c r="D33" s="3"/>
    </row>
    <row r="34" spans="2:4" x14ac:dyDescent="0.2">
      <c r="B34" s="14" t="s">
        <v>2</v>
      </c>
      <c r="D34" s="2" t="s">
        <v>55</v>
      </c>
    </row>
    <row r="35" spans="2:4" x14ac:dyDescent="0.2">
      <c r="B35" s="30" t="s">
        <v>25</v>
      </c>
      <c r="D35" s="2" t="s">
        <v>179</v>
      </c>
    </row>
    <row r="43" spans="2:4" x14ac:dyDescent="0.2">
      <c r="B43" s="4" t="s">
        <v>65</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639F-CFC7-4C9E-94ED-12122E3575CD}">
  <sheetPr>
    <tabColor rgb="FFFFFFCC"/>
  </sheetPr>
  <dimension ref="B2:R106"/>
  <sheetViews>
    <sheetView showGridLines="0" zoomScale="85" zoomScaleNormal="85" workbookViewId="0">
      <pane xSplit="6" ySplit="8" topLeftCell="G9" activePane="bottomRight" state="frozen"/>
      <selection activeCell="H13" sqref="H13"/>
      <selection pane="topRight" activeCell="H13" sqref="H13"/>
      <selection pane="bottomLeft" activeCell="H13" sqref="H13"/>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601</v>
      </c>
    </row>
    <row r="4" spans="2:18" x14ac:dyDescent="0.2">
      <c r="B4" s="19" t="s">
        <v>12</v>
      </c>
      <c r="C4" s="1"/>
      <c r="D4" s="1"/>
    </row>
    <row r="5" spans="2:18" x14ac:dyDescent="0.2">
      <c r="B5" s="2" t="s">
        <v>602</v>
      </c>
      <c r="C5" s="3"/>
      <c r="D5" s="3"/>
      <c r="H5" s="13"/>
    </row>
    <row r="6" spans="2:18" x14ac:dyDescent="0.2">
      <c r="C6" s="3"/>
      <c r="D6" s="3"/>
      <c r="H6"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41</v>
      </c>
    </row>
    <row r="12" spans="2:18" x14ac:dyDescent="0.2">
      <c r="B12" s="1" t="s">
        <v>67</v>
      </c>
    </row>
    <row r="13" spans="2:18" x14ac:dyDescent="0.2">
      <c r="B13" s="2" t="s">
        <v>90</v>
      </c>
      <c r="H13" s="97">
        <f>Parameters!H28</f>
        <v>-1.0999999999999999E-2</v>
      </c>
    </row>
    <row r="15" spans="2:18" x14ac:dyDescent="0.2">
      <c r="B15" s="19" t="s">
        <v>302</v>
      </c>
    </row>
    <row r="16" spans="2:18" x14ac:dyDescent="0.2">
      <c r="B16" s="95">
        <f>'Estimates for 2024'!B47</f>
        <v>3.2</v>
      </c>
      <c r="F16" s="2" t="s">
        <v>163</v>
      </c>
      <c r="L16" s="71"/>
      <c r="M16" s="26">
        <f>'Estimates for 2024'!M47</f>
        <v>215</v>
      </c>
      <c r="N16" s="71"/>
      <c r="O16" s="71"/>
      <c r="P16" s="71"/>
    </row>
    <row r="17" spans="2:16" x14ac:dyDescent="0.2">
      <c r="B17" s="95">
        <f>'Estimates for 2024'!B48</f>
        <v>7.7</v>
      </c>
      <c r="F17" s="2" t="s">
        <v>163</v>
      </c>
      <c r="L17" s="71"/>
      <c r="M17" s="26">
        <f>'Estimates for 2024'!M48</f>
        <v>1474.0789004867358</v>
      </c>
      <c r="N17" s="71"/>
      <c r="O17" s="71"/>
      <c r="P17" s="71"/>
    </row>
    <row r="18" spans="2:16" x14ac:dyDescent="0.2">
      <c r="B18" s="95">
        <f>'Estimates for 2024'!B49</f>
        <v>11</v>
      </c>
      <c r="F18" s="2" t="s">
        <v>163</v>
      </c>
      <c r="L18" s="71"/>
      <c r="M18" s="26">
        <f>'Estimates for 2024'!M49</f>
        <v>115</v>
      </c>
      <c r="N18" s="71"/>
      <c r="O18" s="71"/>
      <c r="P18" s="71"/>
    </row>
    <row r="19" spans="2:16" x14ac:dyDescent="0.2">
      <c r="B19" s="95">
        <f>'Estimates for 2024'!B50</f>
        <v>13.86</v>
      </c>
      <c r="F19" s="2" t="s">
        <v>163</v>
      </c>
      <c r="L19" s="71"/>
      <c r="M19" s="26">
        <f>'Estimates for 2024'!M50</f>
        <v>38.906666666666673</v>
      </c>
      <c r="N19" s="71"/>
      <c r="O19" s="71"/>
      <c r="P19" s="71"/>
    </row>
    <row r="20" spans="2:16" x14ac:dyDescent="0.2">
      <c r="B20" s="95">
        <f>'Estimates for 2024'!B51</f>
        <v>13.3</v>
      </c>
      <c r="F20" s="2" t="s">
        <v>163</v>
      </c>
      <c r="L20" s="71"/>
      <c r="M20" s="26">
        <f>'Estimates for 2024'!M51</f>
        <v>27</v>
      </c>
      <c r="N20" s="71"/>
      <c r="O20" s="71"/>
      <c r="P20" s="71"/>
    </row>
    <row r="21" spans="2:16" x14ac:dyDescent="0.2">
      <c r="B21" s="95">
        <f>'Estimates for 2024'!B52</f>
        <v>19</v>
      </c>
      <c r="F21" s="2" t="s">
        <v>163</v>
      </c>
      <c r="L21" s="71"/>
      <c r="M21" s="26">
        <f>'Estimates for 2024'!M52</f>
        <v>25.916666666666668</v>
      </c>
      <c r="N21" s="71"/>
      <c r="O21" s="71"/>
      <c r="P21" s="71"/>
    </row>
    <row r="22" spans="2:16" x14ac:dyDescent="0.2">
      <c r="B22" s="95">
        <f>'Estimates for 2024'!B53</f>
        <v>23.94</v>
      </c>
      <c r="F22" s="2" t="s">
        <v>163</v>
      </c>
      <c r="L22" s="71"/>
      <c r="M22" s="26">
        <f>'Estimates for 2024'!M53</f>
        <v>40</v>
      </c>
      <c r="N22" s="71"/>
      <c r="O22" s="71"/>
      <c r="P22" s="71"/>
    </row>
    <row r="23" spans="2:16" x14ac:dyDescent="0.2">
      <c r="B23" s="95">
        <f>'Estimates for 2024'!B54</f>
        <v>30.4</v>
      </c>
      <c r="F23" s="2" t="s">
        <v>163</v>
      </c>
      <c r="L23" s="71"/>
      <c r="M23" s="26">
        <f>'Estimates for 2024'!M54</f>
        <v>12.916666666666666</v>
      </c>
      <c r="N23" s="71"/>
      <c r="O23" s="71"/>
      <c r="P23" s="71"/>
    </row>
    <row r="24" spans="2:16" x14ac:dyDescent="0.2">
      <c r="B24" s="95">
        <f>'Estimates for 2024'!B55</f>
        <v>38</v>
      </c>
      <c r="F24" s="2" t="s">
        <v>163</v>
      </c>
      <c r="L24" s="71"/>
      <c r="M24" s="26">
        <f>'Estimates for 2024'!M55</f>
        <v>11</v>
      </c>
      <c r="N24" s="71"/>
      <c r="O24" s="71"/>
      <c r="P24" s="71"/>
    </row>
    <row r="25" spans="2:16" x14ac:dyDescent="0.2">
      <c r="B25" s="95">
        <f>'Estimates for 2024'!B56</f>
        <v>47.5</v>
      </c>
      <c r="F25" s="2" t="s">
        <v>163</v>
      </c>
      <c r="L25" s="71"/>
      <c r="M25" s="26">
        <f>'Estimates for 2024'!M56</f>
        <v>14</v>
      </c>
      <c r="N25" s="71"/>
      <c r="O25" s="71"/>
      <c r="P25" s="71"/>
    </row>
    <row r="26" spans="2:16" x14ac:dyDescent="0.2">
      <c r="B26" s="95">
        <f>'Estimates for 2024'!B57</f>
        <v>60.8</v>
      </c>
      <c r="F26" s="2" t="s">
        <v>163</v>
      </c>
      <c r="L26" s="71"/>
      <c r="M26" s="26">
        <f>'Estimates for 2024'!M57</f>
        <v>4</v>
      </c>
      <c r="N26" s="71"/>
      <c r="O26" s="71"/>
      <c r="P26" s="71"/>
    </row>
    <row r="27" spans="2:16" x14ac:dyDescent="0.2">
      <c r="B27" s="95">
        <f>'Estimates for 2024'!B58</f>
        <v>76</v>
      </c>
      <c r="F27" s="2" t="s">
        <v>163</v>
      </c>
      <c r="L27" s="71"/>
      <c r="M27" s="26">
        <f>'Estimates for 2024'!M58</f>
        <v>4</v>
      </c>
      <c r="N27" s="71"/>
      <c r="O27" s="71"/>
      <c r="P27" s="71"/>
    </row>
    <row r="28" spans="2:16" x14ac:dyDescent="0.2">
      <c r="B28" s="95">
        <f>'Estimates for 2024'!B59</f>
        <v>85.5</v>
      </c>
      <c r="F28" s="2" t="s">
        <v>163</v>
      </c>
      <c r="L28" s="71"/>
      <c r="M28" s="26">
        <f>'Estimates for 2024'!M59</f>
        <v>3</v>
      </c>
      <c r="N28" s="71"/>
      <c r="O28" s="71"/>
      <c r="P28" s="71"/>
    </row>
    <row r="29" spans="2:16" x14ac:dyDescent="0.2">
      <c r="B29" s="95">
        <f>'Estimates for 2024'!B60</f>
        <v>95</v>
      </c>
      <c r="F29" s="2" t="s">
        <v>163</v>
      </c>
      <c r="L29" s="71"/>
      <c r="M29" s="26">
        <f>'Estimates for 2024'!M60</f>
        <v>2</v>
      </c>
      <c r="N29" s="71"/>
      <c r="O29" s="71"/>
      <c r="P29" s="71"/>
    </row>
    <row r="30" spans="2:16" x14ac:dyDescent="0.2">
      <c r="B30" s="95">
        <f>'Estimates for 2024'!B61</f>
        <v>119.7</v>
      </c>
      <c r="F30" s="2" t="s">
        <v>163</v>
      </c>
      <c r="L30" s="71"/>
      <c r="M30" s="26">
        <f>'Estimates for 2024'!M61</f>
        <v>1</v>
      </c>
      <c r="N30" s="71"/>
      <c r="O30" s="71"/>
      <c r="P30" s="71"/>
    </row>
    <row r="31" spans="2:16" x14ac:dyDescent="0.2">
      <c r="B31" s="95">
        <f>'Estimates for 2024'!B62</f>
        <v>175</v>
      </c>
      <c r="F31" s="2" t="s">
        <v>163</v>
      </c>
      <c r="L31" s="71"/>
      <c r="M31" s="26">
        <f>'Estimates for 2024'!M62</f>
        <v>0</v>
      </c>
      <c r="N31" s="71"/>
      <c r="O31" s="71"/>
      <c r="P31" s="71"/>
    </row>
    <row r="32" spans="2:16" x14ac:dyDescent="0.2">
      <c r="B32" s="95">
        <f>'Estimates for 2024'!B63</f>
        <v>200</v>
      </c>
      <c r="F32" s="2" t="s">
        <v>163</v>
      </c>
      <c r="L32" s="71"/>
      <c r="M32" s="26">
        <f>'Estimates for 2024'!M63</f>
        <v>3</v>
      </c>
      <c r="N32" s="71"/>
      <c r="O32" s="71"/>
      <c r="P32" s="71"/>
    </row>
    <row r="34" spans="2:18" x14ac:dyDescent="0.2">
      <c r="B34" s="19" t="s">
        <v>296</v>
      </c>
    </row>
    <row r="35" spans="2:18" x14ac:dyDescent="0.2">
      <c r="B35" s="2" t="s">
        <v>439</v>
      </c>
      <c r="F35" s="2" t="s">
        <v>205</v>
      </c>
      <c r="L35" s="71"/>
      <c r="M35" s="26">
        <f>'Calculation cost base 2024'!M76</f>
        <v>966516.46614236105</v>
      </c>
      <c r="N35" s="71"/>
      <c r="O35" s="71"/>
      <c r="P35" s="71"/>
    </row>
    <row r="36" spans="2:18" x14ac:dyDescent="0.2">
      <c r="B36" s="2" t="s">
        <v>441</v>
      </c>
      <c r="F36" s="2" t="s">
        <v>205</v>
      </c>
      <c r="L36" s="71"/>
      <c r="M36" s="26">
        <f>'Overview corrections'!M36</f>
        <v>59350.68453885577</v>
      </c>
      <c r="N36" s="71"/>
      <c r="O36" s="71"/>
      <c r="P36" s="71"/>
    </row>
    <row r="37" spans="2:18" x14ac:dyDescent="0.2">
      <c r="B37" s="32" t="s">
        <v>388</v>
      </c>
      <c r="F37" s="2" t="s">
        <v>205</v>
      </c>
      <c r="L37" s="71"/>
      <c r="M37" s="26">
        <f>'Overview corrections'!M37</f>
        <v>6365.3392248225482</v>
      </c>
      <c r="N37" s="71"/>
      <c r="O37" s="71"/>
      <c r="P37" s="71"/>
    </row>
    <row r="38" spans="2:18" x14ac:dyDescent="0.2">
      <c r="B38" s="2" t="s">
        <v>403</v>
      </c>
      <c r="F38" s="2" t="s">
        <v>205</v>
      </c>
      <c r="L38" s="71"/>
      <c r="M38" s="26">
        <f>'Overview corrections'!M38</f>
        <v>-164161.80578310363</v>
      </c>
      <c r="N38" s="71"/>
      <c r="O38" s="71"/>
      <c r="P38" s="71"/>
    </row>
    <row r="40" spans="2:18" x14ac:dyDescent="0.2">
      <c r="B40" s="1" t="s">
        <v>303</v>
      </c>
    </row>
    <row r="41" spans="2:18" x14ac:dyDescent="0.2">
      <c r="B41" s="32" t="s">
        <v>292</v>
      </c>
      <c r="F41" s="2" t="s">
        <v>205</v>
      </c>
      <c r="L41" s="71"/>
      <c r="M41" s="85">
        <f>'Overview corrections'!M43</f>
        <v>-217598.35858108188</v>
      </c>
      <c r="N41" s="71"/>
      <c r="O41" s="71"/>
      <c r="P41" s="71"/>
      <c r="R41" s="2" t="s">
        <v>304</v>
      </c>
    </row>
    <row r="42" spans="2:18" x14ac:dyDescent="0.2">
      <c r="B42" s="2" t="s">
        <v>137</v>
      </c>
      <c r="F42" s="2" t="s">
        <v>133</v>
      </c>
      <c r="L42" s="26">
        <f>'Estimates for 2024'!L23</f>
        <v>7779312.9999999851</v>
      </c>
      <c r="M42" s="48"/>
      <c r="N42" s="48"/>
      <c r="O42" s="48"/>
      <c r="P42" s="48"/>
    </row>
    <row r="44" spans="2:18" x14ac:dyDescent="0.2">
      <c r="B44" s="1" t="s">
        <v>306</v>
      </c>
    </row>
    <row r="45" spans="2:18" x14ac:dyDescent="0.2">
      <c r="B45" s="2" t="s">
        <v>206</v>
      </c>
      <c r="F45" s="2" t="s">
        <v>205</v>
      </c>
      <c r="L45" s="71"/>
      <c r="M45" s="85">
        <f>'Overview corrections'!M44</f>
        <v>-118397.51612508438</v>
      </c>
      <c r="N45" s="71"/>
      <c r="O45" s="71"/>
      <c r="P45" s="71"/>
    </row>
    <row r="46" spans="2:18" x14ac:dyDescent="0.2">
      <c r="B46" s="2" t="s">
        <v>326</v>
      </c>
      <c r="F46" s="2" t="s">
        <v>88</v>
      </c>
      <c r="L46" s="48"/>
      <c r="M46" s="84">
        <f>'Estimates for 2024'!M17</f>
        <v>0.12</v>
      </c>
      <c r="N46" s="48"/>
      <c r="O46" s="48"/>
      <c r="P46" s="48"/>
    </row>
    <row r="48" spans="2:18" x14ac:dyDescent="0.2">
      <c r="B48" s="1" t="s">
        <v>216</v>
      </c>
    </row>
    <row r="49" spans="2:18" x14ac:dyDescent="0.2">
      <c r="B49" s="2" t="s">
        <v>308</v>
      </c>
      <c r="F49" s="2" t="s">
        <v>218</v>
      </c>
      <c r="L49" s="123">
        <f>'Electricity Production'!L34</f>
        <v>0.38343581143117444</v>
      </c>
      <c r="M49" s="48"/>
      <c r="N49" s="48"/>
      <c r="O49" s="48"/>
      <c r="P49" s="48"/>
    </row>
    <row r="51" spans="2:18" x14ac:dyDescent="0.2">
      <c r="B51" s="1" t="s">
        <v>316</v>
      </c>
    </row>
    <row r="52" spans="2:18" x14ac:dyDescent="0.2">
      <c r="B52" s="2" t="s">
        <v>453</v>
      </c>
      <c r="F52" s="2" t="s">
        <v>155</v>
      </c>
      <c r="L52" s="71"/>
      <c r="M52" s="92">
        <f>'Historical data'!M62</f>
        <v>40</v>
      </c>
      <c r="N52" s="71"/>
      <c r="O52" s="71"/>
      <c r="P52" s="71"/>
    </row>
    <row r="53" spans="2:18" x14ac:dyDescent="0.2">
      <c r="B53" s="2" t="s">
        <v>157</v>
      </c>
      <c r="F53" s="2" t="s">
        <v>155</v>
      </c>
      <c r="L53" s="71"/>
      <c r="M53" s="98">
        <f>'Historical data'!M58</f>
        <v>308.83379299885058</v>
      </c>
      <c r="N53" s="71"/>
      <c r="O53" s="71"/>
      <c r="P53" s="71"/>
    </row>
    <row r="54" spans="2:18" x14ac:dyDescent="0.2">
      <c r="B54" s="2" t="s">
        <v>158</v>
      </c>
      <c r="F54" s="2" t="s">
        <v>155</v>
      </c>
      <c r="L54" s="48"/>
      <c r="M54" s="98">
        <f>'Historical data'!M59</f>
        <v>191.6617702608896</v>
      </c>
      <c r="N54" s="71"/>
      <c r="O54" s="71"/>
      <c r="P54" s="71"/>
    </row>
    <row r="55" spans="2:18" x14ac:dyDescent="0.2">
      <c r="B55" s="2" t="s">
        <v>159</v>
      </c>
      <c r="F55" s="2" t="s">
        <v>155</v>
      </c>
      <c r="L55" s="48"/>
      <c r="M55" s="98">
        <f>'Historical data'!M60</f>
        <v>208.07476547780604</v>
      </c>
      <c r="N55" s="71"/>
      <c r="O55" s="71"/>
      <c r="P55" s="71"/>
    </row>
    <row r="57" spans="2:18" x14ac:dyDescent="0.2">
      <c r="B57" s="2" t="s">
        <v>299</v>
      </c>
      <c r="F57" s="2" t="s">
        <v>125</v>
      </c>
      <c r="L57" s="48"/>
      <c r="M57" s="98">
        <f>'Estimates for 2024'!L22</f>
        <v>16551729.997999959</v>
      </c>
      <c r="N57" s="71"/>
      <c r="O57" s="71"/>
      <c r="P57" s="71"/>
    </row>
    <row r="59" spans="2:18" s="8" customFormat="1" x14ac:dyDescent="0.2">
      <c r="B59" s="8" t="s">
        <v>307</v>
      </c>
    </row>
    <row r="61" spans="2:18" x14ac:dyDescent="0.2">
      <c r="B61" s="19" t="s">
        <v>310</v>
      </c>
    </row>
    <row r="62" spans="2:18" x14ac:dyDescent="0.2">
      <c r="B62" s="32" t="s">
        <v>469</v>
      </c>
      <c r="F62" s="2" t="s">
        <v>218</v>
      </c>
      <c r="L62" s="48"/>
      <c r="M62" s="94">
        <f>L49</f>
        <v>0.38343581143117444</v>
      </c>
      <c r="N62" s="48"/>
      <c r="O62" s="48"/>
      <c r="P62" s="48"/>
    </row>
    <row r="63" spans="2:18" x14ac:dyDescent="0.2">
      <c r="B63" s="2" t="s">
        <v>603</v>
      </c>
      <c r="F63" s="2" t="s">
        <v>218</v>
      </c>
      <c r="L63" s="48"/>
      <c r="M63" s="121">
        <f>M45/M57</f>
        <v>-7.153180733336699E-3</v>
      </c>
      <c r="N63" s="48"/>
      <c r="O63" s="48"/>
      <c r="P63" s="48"/>
    </row>
    <row r="64" spans="2:18" x14ac:dyDescent="0.2">
      <c r="B64" s="2" t="s">
        <v>604</v>
      </c>
      <c r="F64" s="2" t="s">
        <v>218</v>
      </c>
      <c r="L64" s="48"/>
      <c r="M64" s="121">
        <f>M41/L42</f>
        <v>-2.7971410660694883E-2</v>
      </c>
      <c r="N64" s="48"/>
      <c r="O64" s="48"/>
      <c r="P64" s="48"/>
      <c r="R64" s="2" t="s">
        <v>605</v>
      </c>
    </row>
    <row r="66" spans="2:16" x14ac:dyDescent="0.2">
      <c r="B66" s="1" t="s">
        <v>309</v>
      </c>
    </row>
    <row r="67" spans="2:16" x14ac:dyDescent="0.2">
      <c r="B67" s="2" t="s">
        <v>311</v>
      </c>
      <c r="F67" s="2" t="s">
        <v>218</v>
      </c>
      <c r="L67" s="48"/>
      <c r="M67" s="122">
        <f>SUM(M62:M64)/(1-M46)</f>
        <v>0.39580820458766236</v>
      </c>
      <c r="N67" s="48"/>
      <c r="O67" s="48"/>
      <c r="P67" s="48"/>
    </row>
    <row r="69" spans="2:16" s="8" customFormat="1" x14ac:dyDescent="0.2">
      <c r="B69" s="8" t="s">
        <v>312</v>
      </c>
    </row>
    <row r="71" spans="2:16" x14ac:dyDescent="0.2">
      <c r="B71" s="1" t="s">
        <v>296</v>
      </c>
    </row>
    <row r="72" spans="2:16" x14ac:dyDescent="0.2">
      <c r="B72" s="2" t="s">
        <v>440</v>
      </c>
      <c r="F72" s="2" t="s">
        <v>205</v>
      </c>
      <c r="L72" s="48"/>
      <c r="M72" s="27">
        <f>SUM(M35:M38)</f>
        <v>868070.68412293587</v>
      </c>
      <c r="N72" s="48"/>
      <c r="O72" s="48"/>
      <c r="P72" s="48"/>
    </row>
    <row r="73" spans="2:16" x14ac:dyDescent="0.2">
      <c r="B73" s="2" t="s">
        <v>444</v>
      </c>
      <c r="F73" s="2" t="s">
        <v>126</v>
      </c>
      <c r="L73" s="48"/>
      <c r="M73" s="27">
        <f>SUMPRODUCT(B16:B32,M16:M32)</f>
        <v>18840.837267081202</v>
      </c>
      <c r="N73" s="48"/>
      <c r="O73" s="48"/>
      <c r="P73" s="48"/>
    </row>
    <row r="74" spans="2:16" x14ac:dyDescent="0.2">
      <c r="B74" s="2" t="s">
        <v>313</v>
      </c>
      <c r="F74" s="2" t="s">
        <v>314</v>
      </c>
      <c r="L74" s="48"/>
      <c r="M74" s="118">
        <f>M72/M73/12</f>
        <v>3.8394909234369723</v>
      </c>
      <c r="N74" s="48"/>
      <c r="O74" s="48"/>
      <c r="P74" s="48"/>
    </row>
    <row r="76" spans="2:16" x14ac:dyDescent="0.2">
      <c r="B76" s="19" t="s">
        <v>223</v>
      </c>
    </row>
    <row r="77" spans="2:16" x14ac:dyDescent="0.2">
      <c r="B77" s="96">
        <f t="shared" ref="B77:B93" si="0">B16</f>
        <v>3.2</v>
      </c>
      <c r="F77" s="2" t="s">
        <v>224</v>
      </c>
      <c r="L77" s="48"/>
      <c r="M77" s="75">
        <f>$M$74*B77</f>
        <v>12.286370954998311</v>
      </c>
      <c r="N77" s="48"/>
      <c r="O77" s="48"/>
      <c r="P77" s="48"/>
    </row>
    <row r="78" spans="2:16" x14ac:dyDescent="0.2">
      <c r="B78" s="96">
        <f t="shared" si="0"/>
        <v>7.7</v>
      </c>
      <c r="F78" s="2" t="s">
        <v>224</v>
      </c>
      <c r="L78" s="48"/>
      <c r="M78" s="75">
        <f t="shared" ref="M78:M93" si="1">$M$74*B78</f>
        <v>29.564080110464687</v>
      </c>
      <c r="N78" s="48"/>
      <c r="O78" s="48"/>
      <c r="P78" s="48"/>
    </row>
    <row r="79" spans="2:16" x14ac:dyDescent="0.2">
      <c r="B79" s="96">
        <f t="shared" si="0"/>
        <v>11</v>
      </c>
      <c r="F79" s="2" t="s">
        <v>224</v>
      </c>
      <c r="L79" s="48"/>
      <c r="M79" s="75">
        <f t="shared" si="1"/>
        <v>42.234400157806697</v>
      </c>
      <c r="N79" s="48"/>
      <c r="O79" s="48"/>
      <c r="P79" s="48"/>
    </row>
    <row r="80" spans="2:16" x14ac:dyDescent="0.2">
      <c r="B80" s="96">
        <f t="shared" si="0"/>
        <v>13.86</v>
      </c>
      <c r="F80" s="2" t="s">
        <v>224</v>
      </c>
      <c r="L80" s="48"/>
      <c r="M80" s="75">
        <f t="shared" si="1"/>
        <v>53.215344198836434</v>
      </c>
      <c r="N80" s="48"/>
      <c r="O80" s="48"/>
      <c r="P80" s="48"/>
    </row>
    <row r="81" spans="2:16" x14ac:dyDescent="0.2">
      <c r="B81" s="96">
        <f t="shared" si="0"/>
        <v>13.3</v>
      </c>
      <c r="F81" s="2" t="s">
        <v>224</v>
      </c>
      <c r="L81" s="48"/>
      <c r="M81" s="75">
        <f t="shared" si="1"/>
        <v>51.065229281711737</v>
      </c>
      <c r="N81" s="48"/>
      <c r="O81" s="48"/>
      <c r="P81" s="48"/>
    </row>
    <row r="82" spans="2:16" x14ac:dyDescent="0.2">
      <c r="B82" s="96">
        <f t="shared" si="0"/>
        <v>19</v>
      </c>
      <c r="F82" s="2" t="s">
        <v>224</v>
      </c>
      <c r="L82" s="48"/>
      <c r="M82" s="75">
        <f t="shared" si="1"/>
        <v>72.950327545302471</v>
      </c>
      <c r="N82" s="48"/>
      <c r="O82" s="48"/>
      <c r="P82" s="48"/>
    </row>
    <row r="83" spans="2:16" x14ac:dyDescent="0.2">
      <c r="B83" s="96">
        <f t="shared" si="0"/>
        <v>23.94</v>
      </c>
      <c r="F83" s="2" t="s">
        <v>224</v>
      </c>
      <c r="L83" s="48"/>
      <c r="M83" s="75">
        <f t="shared" si="1"/>
        <v>91.917412707081127</v>
      </c>
      <c r="N83" s="48"/>
      <c r="O83" s="48"/>
      <c r="P83" s="48"/>
    </row>
    <row r="84" spans="2:16" x14ac:dyDescent="0.2">
      <c r="B84" s="96">
        <f t="shared" si="0"/>
        <v>30.4</v>
      </c>
      <c r="F84" s="2" t="s">
        <v>224</v>
      </c>
      <c r="L84" s="48"/>
      <c r="M84" s="75">
        <f t="shared" si="1"/>
        <v>116.72052407248395</v>
      </c>
      <c r="N84" s="48"/>
      <c r="O84" s="48"/>
      <c r="P84" s="48"/>
    </row>
    <row r="85" spans="2:16" x14ac:dyDescent="0.2">
      <c r="B85" s="96">
        <f t="shared" si="0"/>
        <v>38</v>
      </c>
      <c r="F85" s="2" t="s">
        <v>224</v>
      </c>
      <c r="L85" s="48"/>
      <c r="M85" s="75">
        <f t="shared" si="1"/>
        <v>145.90065509060494</v>
      </c>
      <c r="N85" s="48"/>
      <c r="O85" s="48"/>
      <c r="P85" s="48"/>
    </row>
    <row r="86" spans="2:16" x14ac:dyDescent="0.2">
      <c r="B86" s="96">
        <f t="shared" si="0"/>
        <v>47.5</v>
      </c>
      <c r="F86" s="2" t="s">
        <v>224</v>
      </c>
      <c r="L86" s="48"/>
      <c r="M86" s="75">
        <f t="shared" si="1"/>
        <v>182.37581886325617</v>
      </c>
      <c r="N86" s="48"/>
      <c r="O86" s="48"/>
      <c r="P86" s="48"/>
    </row>
    <row r="87" spans="2:16" x14ac:dyDescent="0.2">
      <c r="B87" s="96">
        <f t="shared" si="0"/>
        <v>60.8</v>
      </c>
      <c r="F87" s="2" t="s">
        <v>224</v>
      </c>
      <c r="L87" s="48"/>
      <c r="M87" s="75">
        <f t="shared" si="1"/>
        <v>233.44104814496791</v>
      </c>
      <c r="N87" s="48"/>
      <c r="O87" s="48"/>
      <c r="P87" s="48"/>
    </row>
    <row r="88" spans="2:16" x14ac:dyDescent="0.2">
      <c r="B88" s="96">
        <f t="shared" si="0"/>
        <v>76</v>
      </c>
      <c r="F88" s="2" t="s">
        <v>224</v>
      </c>
      <c r="L88" s="48"/>
      <c r="M88" s="75">
        <f t="shared" si="1"/>
        <v>291.80131018120989</v>
      </c>
      <c r="N88" s="48"/>
      <c r="O88" s="48"/>
      <c r="P88" s="48"/>
    </row>
    <row r="89" spans="2:16" x14ac:dyDescent="0.2">
      <c r="B89" s="96">
        <f t="shared" si="0"/>
        <v>85.5</v>
      </c>
      <c r="F89" s="2" t="s">
        <v>224</v>
      </c>
      <c r="L89" s="48"/>
      <c r="M89" s="75">
        <f t="shared" si="1"/>
        <v>328.27647395386111</v>
      </c>
      <c r="N89" s="48"/>
      <c r="O89" s="48"/>
      <c r="P89" s="48"/>
    </row>
    <row r="90" spans="2:16" x14ac:dyDescent="0.2">
      <c r="B90" s="96">
        <f t="shared" si="0"/>
        <v>95</v>
      </c>
      <c r="F90" s="2" t="s">
        <v>224</v>
      </c>
      <c r="L90" s="48"/>
      <c r="M90" s="75">
        <f t="shared" si="1"/>
        <v>364.75163772651234</v>
      </c>
      <c r="N90" s="48"/>
      <c r="O90" s="48"/>
      <c r="P90" s="48"/>
    </row>
    <row r="91" spans="2:16" x14ac:dyDescent="0.2">
      <c r="B91" s="96">
        <f t="shared" si="0"/>
        <v>119.7</v>
      </c>
      <c r="F91" s="2" t="s">
        <v>224</v>
      </c>
      <c r="L91" s="48"/>
      <c r="M91" s="75">
        <f t="shared" si="1"/>
        <v>459.5870635354056</v>
      </c>
      <c r="N91" s="48"/>
      <c r="O91" s="48"/>
      <c r="P91" s="48"/>
    </row>
    <row r="92" spans="2:16" x14ac:dyDescent="0.2">
      <c r="B92" s="96">
        <f t="shared" si="0"/>
        <v>175</v>
      </c>
      <c r="F92" s="2" t="s">
        <v>224</v>
      </c>
      <c r="L92" s="48"/>
      <c r="M92" s="75">
        <f t="shared" si="1"/>
        <v>671.91091160147016</v>
      </c>
      <c r="N92" s="48"/>
      <c r="O92" s="48"/>
      <c r="P92" s="48"/>
    </row>
    <row r="93" spans="2:16" x14ac:dyDescent="0.2">
      <c r="B93" s="96">
        <f t="shared" si="0"/>
        <v>200</v>
      </c>
      <c r="F93" s="2" t="s">
        <v>224</v>
      </c>
      <c r="L93" s="48"/>
      <c r="M93" s="75">
        <f t="shared" si="1"/>
        <v>767.89818468739441</v>
      </c>
      <c r="N93" s="48"/>
      <c r="O93" s="48"/>
      <c r="P93" s="48"/>
    </row>
    <row r="95" spans="2:16" s="8" customFormat="1" x14ac:dyDescent="0.2">
      <c r="B95" s="8" t="s">
        <v>315</v>
      </c>
    </row>
    <row r="97" spans="2:18" x14ac:dyDescent="0.2">
      <c r="B97" s="1" t="s">
        <v>249</v>
      </c>
    </row>
    <row r="98" spans="2:18" x14ac:dyDescent="0.2">
      <c r="B98" s="2" t="s">
        <v>238</v>
      </c>
      <c r="F98" s="2" t="s">
        <v>205</v>
      </c>
      <c r="L98" s="48"/>
      <c r="M98" s="99">
        <f>M52</f>
        <v>40</v>
      </c>
      <c r="N98" s="48"/>
      <c r="O98" s="48"/>
      <c r="P98" s="48"/>
      <c r="R98" s="2" t="s">
        <v>454</v>
      </c>
    </row>
    <row r="100" spans="2:18" x14ac:dyDescent="0.2">
      <c r="B100" s="1" t="s">
        <v>317</v>
      </c>
    </row>
    <row r="101" spans="2:18" x14ac:dyDescent="0.2">
      <c r="B101" s="2" t="s">
        <v>157</v>
      </c>
      <c r="F101" s="2" t="s">
        <v>205</v>
      </c>
      <c r="L101" s="48"/>
      <c r="M101" s="99">
        <f>M53*(1+$H$13)</f>
        <v>305.43662127586322</v>
      </c>
      <c r="N101" s="48"/>
      <c r="O101" s="48"/>
      <c r="P101" s="48"/>
    </row>
    <row r="102" spans="2:18" x14ac:dyDescent="0.2">
      <c r="B102" s="2" t="s">
        <v>158</v>
      </c>
      <c r="F102" s="2" t="s">
        <v>205</v>
      </c>
      <c r="L102" s="48"/>
      <c r="M102" s="99">
        <f>M54*(1+$H$13)</f>
        <v>189.55349078801981</v>
      </c>
      <c r="N102" s="48"/>
      <c r="O102" s="48"/>
      <c r="P102" s="48"/>
    </row>
    <row r="103" spans="2:18" x14ac:dyDescent="0.2">
      <c r="B103" s="2" t="s">
        <v>159</v>
      </c>
      <c r="F103" s="2" t="s">
        <v>205</v>
      </c>
      <c r="L103" s="48"/>
      <c r="M103" s="99">
        <f>M55*(1+$H$13)</f>
        <v>205.78594305755018</v>
      </c>
      <c r="N103" s="48"/>
      <c r="O103" s="48"/>
      <c r="P103" s="48"/>
    </row>
    <row r="106" spans="2:18" x14ac:dyDescent="0.2">
      <c r="B106" s="4" t="s">
        <v>65</v>
      </c>
    </row>
  </sheetData>
  <phoneticPr fontId="3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22EE-A6D3-47C7-9085-5594E8BBDA3A}">
  <sheetPr>
    <tabColor rgb="FFFFFFCC"/>
  </sheetPr>
  <dimension ref="B2:R43"/>
  <sheetViews>
    <sheetView showGridLines="0" zoomScale="85" zoomScaleNormal="85" workbookViewId="0">
      <pane xSplit="6" ySplit="8" topLeftCell="G9" activePane="bottomRight" state="frozen"/>
      <selection activeCell="H13" sqref="H13"/>
      <selection pane="topRight" activeCell="H13" sqref="H13"/>
      <selection pane="bottomLeft" activeCell="H13" sqref="H13"/>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607</v>
      </c>
    </row>
    <row r="4" spans="2:18" x14ac:dyDescent="0.2">
      <c r="B4" s="19" t="s">
        <v>12</v>
      </c>
      <c r="C4" s="1"/>
      <c r="D4" s="1"/>
    </row>
    <row r="5" spans="2:18" x14ac:dyDescent="0.2">
      <c r="B5" s="2" t="s">
        <v>608</v>
      </c>
      <c r="C5" s="3"/>
      <c r="D5" s="3"/>
      <c r="H5"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41</v>
      </c>
    </row>
    <row r="12" spans="2:18" x14ac:dyDescent="0.2">
      <c r="B12" s="19" t="s">
        <v>318</v>
      </c>
    </row>
    <row r="13" spans="2:18" x14ac:dyDescent="0.2">
      <c r="B13" s="2" t="s">
        <v>319</v>
      </c>
      <c r="F13" s="2" t="s">
        <v>127</v>
      </c>
      <c r="L13" s="48"/>
      <c r="M13" s="48"/>
      <c r="N13" s="26">
        <f>'Estimates for 2024'!N14</f>
        <v>197952.55799999996</v>
      </c>
      <c r="O13" s="48"/>
      <c r="P13" s="48"/>
    </row>
    <row r="14" spans="2:18" x14ac:dyDescent="0.2">
      <c r="B14" s="2" t="s">
        <v>148</v>
      </c>
      <c r="F14" s="2" t="s">
        <v>149</v>
      </c>
      <c r="L14" s="48"/>
      <c r="M14" s="48"/>
      <c r="N14" s="98">
        <f>'Estimates for 2024'!N40</f>
        <v>4.511265293942107</v>
      </c>
      <c r="O14" s="48"/>
      <c r="P14" s="48"/>
    </row>
    <row r="16" spans="2:18" x14ac:dyDescent="0.2">
      <c r="B16" s="1" t="s">
        <v>296</v>
      </c>
    </row>
    <row r="17" spans="2:16" x14ac:dyDescent="0.2">
      <c r="B17" s="2" t="s">
        <v>439</v>
      </c>
      <c r="F17" s="2" t="s">
        <v>205</v>
      </c>
      <c r="L17" s="48"/>
      <c r="M17" s="48"/>
      <c r="N17" s="129">
        <f>'Calculation cost base 2024'!N76</f>
        <v>840589.30855228577</v>
      </c>
      <c r="O17" s="48"/>
      <c r="P17" s="48"/>
    </row>
    <row r="18" spans="2:16" x14ac:dyDescent="0.2">
      <c r="B18" s="2" t="s">
        <v>441</v>
      </c>
      <c r="F18" s="2" t="s">
        <v>205</v>
      </c>
      <c r="L18" s="48"/>
      <c r="M18" s="48"/>
      <c r="N18" s="129">
        <f>'Overview corrections'!N36</f>
        <v>34882.565998733189</v>
      </c>
      <c r="O18" s="48"/>
      <c r="P18" s="48"/>
    </row>
    <row r="19" spans="2:16" x14ac:dyDescent="0.2">
      <c r="B19" s="32" t="s">
        <v>388</v>
      </c>
      <c r="F19" s="2" t="s">
        <v>205</v>
      </c>
      <c r="L19" s="48"/>
      <c r="M19" s="48"/>
      <c r="N19" s="129">
        <f>'Overview corrections'!N37</f>
        <v>-29354.710855463785</v>
      </c>
      <c r="O19" s="48"/>
      <c r="P19" s="48"/>
    </row>
    <row r="20" spans="2:16" x14ac:dyDescent="0.2">
      <c r="B20" s="2" t="s">
        <v>403</v>
      </c>
      <c r="F20" s="2" t="s">
        <v>205</v>
      </c>
      <c r="L20" s="48"/>
      <c r="M20" s="48"/>
      <c r="N20" s="129">
        <f>'Overview corrections'!N38</f>
        <v>-70823.014531242166</v>
      </c>
      <c r="O20" s="48"/>
      <c r="P20" s="48"/>
    </row>
    <row r="21" spans="2:16" x14ac:dyDescent="0.2">
      <c r="B21" s="2" t="s">
        <v>207</v>
      </c>
      <c r="F21" s="2" t="s">
        <v>205</v>
      </c>
      <c r="L21" s="48"/>
      <c r="M21" s="48"/>
      <c r="N21" s="129">
        <f>'Overview corrections'!N39</f>
        <v>-43482.879442117541</v>
      </c>
      <c r="O21" s="48"/>
      <c r="P21" s="48"/>
    </row>
    <row r="23" spans="2:16" x14ac:dyDescent="0.2">
      <c r="B23" s="1" t="s">
        <v>320</v>
      </c>
    </row>
    <row r="24" spans="2:16" x14ac:dyDescent="0.2">
      <c r="B24" s="2" t="s">
        <v>321</v>
      </c>
      <c r="F24" s="2" t="s">
        <v>218</v>
      </c>
      <c r="L24" s="48"/>
      <c r="M24" s="48"/>
      <c r="N24" s="123">
        <f>'Electricity Distribution'!M67</f>
        <v>0.39580820458766236</v>
      </c>
      <c r="O24" s="48"/>
      <c r="P24" s="48"/>
    </row>
    <row r="25" spans="2:16" x14ac:dyDescent="0.2">
      <c r="B25" s="2" t="s">
        <v>322</v>
      </c>
      <c r="F25" s="2" t="s">
        <v>224</v>
      </c>
      <c r="L25" s="48"/>
      <c r="M25" s="48"/>
      <c r="N25" s="26">
        <f>'Electricity Distribution'!M89</f>
        <v>328.27647395386111</v>
      </c>
      <c r="O25" s="48"/>
      <c r="P25" s="48"/>
    </row>
    <row r="28" spans="2:16" s="8" customFormat="1" x14ac:dyDescent="0.2">
      <c r="B28" s="8" t="s">
        <v>329</v>
      </c>
    </row>
    <row r="30" spans="2:16" x14ac:dyDescent="0.2">
      <c r="B30" s="1" t="s">
        <v>296</v>
      </c>
    </row>
    <row r="31" spans="2:16" x14ac:dyDescent="0.2">
      <c r="B31" s="2" t="s">
        <v>440</v>
      </c>
      <c r="F31" s="2" t="s">
        <v>205</v>
      </c>
      <c r="L31" s="48"/>
      <c r="M31" s="48"/>
      <c r="N31" s="27">
        <f>SUM(N17:N21)</f>
        <v>731811.26972219546</v>
      </c>
      <c r="O31" s="48"/>
      <c r="P31" s="48"/>
    </row>
    <row r="33" spans="2:16" x14ac:dyDescent="0.2">
      <c r="B33" s="19" t="s">
        <v>323</v>
      </c>
    </row>
    <row r="34" spans="2:16" x14ac:dyDescent="0.2">
      <c r="B34" s="2" t="s">
        <v>446</v>
      </c>
      <c r="F34" s="2" t="s">
        <v>246</v>
      </c>
      <c r="L34" s="48"/>
      <c r="M34" s="48"/>
      <c r="N34" s="121">
        <f>(N25*12)/N13</f>
        <v>1.9900312111381425E-2</v>
      </c>
      <c r="O34" s="48"/>
      <c r="P34" s="48"/>
    </row>
    <row r="35" spans="2:16" x14ac:dyDescent="0.2">
      <c r="B35" s="2" t="s">
        <v>445</v>
      </c>
      <c r="F35" s="2" t="s">
        <v>246</v>
      </c>
      <c r="L35" s="48"/>
      <c r="M35" s="48"/>
      <c r="N35" s="121">
        <f>N24*N14</f>
        <v>1.7855958164138583</v>
      </c>
      <c r="O35" s="48"/>
      <c r="P35" s="48"/>
    </row>
    <row r="36" spans="2:16" x14ac:dyDescent="0.2">
      <c r="B36" s="2" t="s">
        <v>724</v>
      </c>
      <c r="F36" s="2" t="s">
        <v>205</v>
      </c>
      <c r="L36" s="48"/>
      <c r="M36" s="48"/>
      <c r="N36" s="126">
        <f>N34*N13+N35*N13</f>
        <v>357402.57710066787</v>
      </c>
      <c r="O36" s="48"/>
      <c r="P36" s="48"/>
    </row>
    <row r="37" spans="2:16" x14ac:dyDescent="0.2">
      <c r="N37" s="116"/>
    </row>
    <row r="38" spans="2:16" x14ac:dyDescent="0.2">
      <c r="B38" s="1" t="s">
        <v>324</v>
      </c>
      <c r="N38" s="116"/>
    </row>
    <row r="39" spans="2:16" x14ac:dyDescent="0.2">
      <c r="B39" s="2" t="s">
        <v>325</v>
      </c>
      <c r="F39" s="2" t="s">
        <v>246</v>
      </c>
      <c r="L39" s="48"/>
      <c r="M39" s="48"/>
      <c r="N39" s="124">
        <f>N31/N13</f>
        <v>3.6969023139483532</v>
      </c>
      <c r="O39" s="48"/>
      <c r="P39" s="48"/>
    </row>
    <row r="40" spans="2:16" x14ac:dyDescent="0.2">
      <c r="B40" s="2" t="s">
        <v>245</v>
      </c>
      <c r="F40" s="2" t="s">
        <v>246</v>
      </c>
      <c r="L40" s="48"/>
      <c r="M40" s="48"/>
      <c r="N40" s="124">
        <f>N39+N34+N35</f>
        <v>5.5023984424735932</v>
      </c>
      <c r="O40" s="48"/>
      <c r="P40" s="48"/>
    </row>
    <row r="42" spans="2:16" x14ac:dyDescent="0.2">
      <c r="P42" s="115"/>
    </row>
    <row r="43" spans="2:16" x14ac:dyDescent="0.2">
      <c r="B43" s="4" t="s">
        <v>65</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C0A7-95C3-46E2-BA28-90A836436359}">
  <sheetPr>
    <tabColor rgb="FFFFFFCC"/>
  </sheetPr>
  <dimension ref="B2:R77"/>
  <sheetViews>
    <sheetView showGridLines="0" zoomScale="85" zoomScaleNormal="85" workbookViewId="0">
      <pane xSplit="6" ySplit="8" topLeftCell="G9" activePane="bottomRight" state="frozen"/>
      <selection activeCell="U34" sqref="U34"/>
      <selection pane="topRight" activeCell="U34" sqref="U34"/>
      <selection pane="bottomLeft" activeCell="U34" sqref="U34"/>
      <selection pane="bottomRight" activeCell="G9" sqref="G9"/>
    </sheetView>
  </sheetViews>
  <sheetFormatPr defaultColWidth="9.140625" defaultRowHeight="12.75" x14ac:dyDescent="0.2"/>
  <cols>
    <col min="1" max="1" width="4.5703125" style="2" customWidth="1"/>
    <col min="2" max="2" width="64.28515625" style="2" customWidth="1"/>
    <col min="3" max="5" width="4.5703125" style="2" customWidth="1"/>
    <col min="6" max="6" width="15.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30.7109375" style="2" customWidth="1"/>
    <col min="19" max="19" width="2.7109375" style="2" customWidth="1"/>
    <col min="20" max="29" width="12.5703125" style="2" customWidth="1"/>
    <col min="30" max="32" width="2.7109375" style="2" customWidth="1"/>
    <col min="33" max="47" width="13.7109375" style="2" customWidth="1"/>
    <col min="48" max="16384" width="9.140625" style="2"/>
  </cols>
  <sheetData>
    <row r="2" spans="2:18" s="12" customFormat="1" ht="18" x14ac:dyDescent="0.2">
      <c r="B2" s="12" t="s">
        <v>609</v>
      </c>
    </row>
    <row r="4" spans="2:18" x14ac:dyDescent="0.2">
      <c r="B4" s="19" t="s">
        <v>12</v>
      </c>
      <c r="C4" s="1"/>
      <c r="D4" s="1"/>
    </row>
    <row r="5" spans="2:18" x14ac:dyDescent="0.2">
      <c r="B5" s="2" t="s">
        <v>610</v>
      </c>
      <c r="C5" s="3"/>
      <c r="D5" s="3"/>
      <c r="H5" s="13"/>
    </row>
    <row r="7" spans="2:18" s="8" customFormat="1" ht="12.75" customHeight="1" x14ac:dyDescent="0.2">
      <c r="B7" s="8" t="s">
        <v>103</v>
      </c>
      <c r="F7" s="8" t="s">
        <v>104</v>
      </c>
      <c r="H7" s="8" t="s">
        <v>37</v>
      </c>
      <c r="J7" s="8" t="s">
        <v>38</v>
      </c>
      <c r="L7" s="8" t="s">
        <v>257</v>
      </c>
      <c r="M7" s="8" t="s">
        <v>73</v>
      </c>
      <c r="N7" s="8" t="s">
        <v>74</v>
      </c>
      <c r="O7" s="8" t="s">
        <v>75</v>
      </c>
      <c r="P7" s="8" t="s">
        <v>76</v>
      </c>
      <c r="R7" s="8" t="s">
        <v>39</v>
      </c>
    </row>
    <row r="10" spans="2:18" s="8" customFormat="1" x14ac:dyDescent="0.2">
      <c r="B10" s="8" t="s">
        <v>41</v>
      </c>
    </row>
    <row r="12" spans="2:18" x14ac:dyDescent="0.2">
      <c r="B12" s="1" t="s">
        <v>67</v>
      </c>
    </row>
    <row r="13" spans="2:18" x14ac:dyDescent="0.2">
      <c r="B13" s="2" t="s">
        <v>90</v>
      </c>
      <c r="F13" s="2" t="s">
        <v>88</v>
      </c>
      <c r="H13" s="84">
        <f>Parameters!H28</f>
        <v>-1.0999999999999999E-2</v>
      </c>
    </row>
    <row r="15" spans="2:18" x14ac:dyDescent="0.2">
      <c r="B15" s="19" t="s">
        <v>216</v>
      </c>
    </row>
    <row r="16" spans="2:18" x14ac:dyDescent="0.2">
      <c r="B16" s="2" t="s">
        <v>245</v>
      </c>
      <c r="F16" s="2" t="s">
        <v>246</v>
      </c>
      <c r="L16" s="48"/>
      <c r="M16" s="48"/>
      <c r="N16" s="123">
        <f>'Water Production'!N40</f>
        <v>5.5023984424735932</v>
      </c>
      <c r="O16" s="48"/>
      <c r="P16" s="48"/>
    </row>
    <row r="18" spans="2:16" x14ac:dyDescent="0.2">
      <c r="B18" s="1" t="s">
        <v>306</v>
      </c>
    </row>
    <row r="19" spans="2:16" x14ac:dyDescent="0.2">
      <c r="B19" s="2" t="s">
        <v>326</v>
      </c>
      <c r="F19" s="2" t="s">
        <v>88</v>
      </c>
      <c r="L19" s="48"/>
      <c r="M19" s="48"/>
      <c r="N19" s="48"/>
      <c r="O19" s="97">
        <f>'Estimates for 2024'!O17</f>
        <v>0.22</v>
      </c>
      <c r="P19" s="48"/>
    </row>
    <row r="20" spans="2:16" x14ac:dyDescent="0.2">
      <c r="B20" s="2" t="s">
        <v>447</v>
      </c>
      <c r="F20" s="2" t="s">
        <v>205</v>
      </c>
      <c r="L20" s="48"/>
      <c r="M20" s="48"/>
      <c r="N20" s="48"/>
      <c r="O20" s="26">
        <f>'Overview corrections'!O44</f>
        <v>190818.1150114706</v>
      </c>
      <c r="P20" s="48"/>
    </row>
    <row r="22" spans="2:16" x14ac:dyDescent="0.2">
      <c r="B22" s="1" t="s">
        <v>296</v>
      </c>
    </row>
    <row r="23" spans="2:16" x14ac:dyDescent="0.2">
      <c r="B23" s="2" t="s">
        <v>293</v>
      </c>
      <c r="F23" s="2" t="s">
        <v>205</v>
      </c>
      <c r="L23" s="48"/>
      <c r="M23" s="48"/>
      <c r="N23" s="48"/>
      <c r="O23" s="26">
        <f>'Calculation cost base 2024'!O76</f>
        <v>1227024.9785200479</v>
      </c>
      <c r="P23" s="26">
        <f>'Calculation cost base 2024'!P76</f>
        <v>11478.75431062296</v>
      </c>
    </row>
    <row r="24" spans="2:16" x14ac:dyDescent="0.2">
      <c r="B24" s="2" t="s">
        <v>441</v>
      </c>
      <c r="F24" s="2" t="s">
        <v>205</v>
      </c>
      <c r="L24" s="48"/>
      <c r="M24" s="48"/>
      <c r="N24" s="48"/>
      <c r="O24" s="26">
        <f>'Overview corrections'!O36</f>
        <v>59262.988265172622</v>
      </c>
      <c r="P24" s="26">
        <f>'Overview corrections'!P36</f>
        <v>1210.5603158897227</v>
      </c>
    </row>
    <row r="25" spans="2:16" x14ac:dyDescent="0.2">
      <c r="B25" s="32" t="s">
        <v>388</v>
      </c>
      <c r="F25" s="2" t="s">
        <v>205</v>
      </c>
      <c r="L25" s="48"/>
      <c r="M25" s="48"/>
      <c r="N25" s="48"/>
      <c r="O25" s="26">
        <f>'Overview corrections'!O37</f>
        <v>4239.5938507465135</v>
      </c>
      <c r="P25" s="26">
        <f>'Overview corrections'!P37</f>
        <v>-12318.093757467785</v>
      </c>
    </row>
    <row r="26" spans="2:16" x14ac:dyDescent="0.2">
      <c r="B26" s="2" t="s">
        <v>403</v>
      </c>
      <c r="F26" s="2" t="s">
        <v>205</v>
      </c>
      <c r="L26" s="48"/>
      <c r="M26" s="48"/>
      <c r="N26" s="48"/>
      <c r="O26" s="26">
        <f>'Overview corrections'!O38</f>
        <v>25678.855541445715</v>
      </c>
      <c r="P26" s="26">
        <f>'Overview corrections'!P38</f>
        <v>8207.7448921626055</v>
      </c>
    </row>
    <row r="27" spans="2:16" x14ac:dyDescent="0.2">
      <c r="L27" s="20"/>
      <c r="M27" s="20"/>
      <c r="N27" s="20"/>
      <c r="O27" s="20"/>
      <c r="P27" s="20"/>
    </row>
    <row r="28" spans="2:16" x14ac:dyDescent="0.2">
      <c r="B28" s="1" t="s">
        <v>327</v>
      </c>
    </row>
    <row r="29" spans="2:16" x14ac:dyDescent="0.2">
      <c r="B29" s="20" t="s">
        <v>36</v>
      </c>
      <c r="C29" s="20"/>
      <c r="D29" s="20"/>
      <c r="E29" s="20"/>
      <c r="F29" s="20" t="s">
        <v>124</v>
      </c>
      <c r="N29" s="20" t="s">
        <v>127</v>
      </c>
      <c r="O29" s="20" t="s">
        <v>128</v>
      </c>
      <c r="P29" s="20" t="s">
        <v>127</v>
      </c>
    </row>
    <row r="30" spans="2:16" x14ac:dyDescent="0.2">
      <c r="B30" s="2" t="s">
        <v>449</v>
      </c>
      <c r="F30" s="20" t="s">
        <v>124</v>
      </c>
      <c r="L30" s="48"/>
      <c r="M30" s="48"/>
      <c r="N30" s="26">
        <f>'Estimates for 2024'!N14</f>
        <v>197952.55799999996</v>
      </c>
      <c r="O30" s="26">
        <f>'Estimates for 2024'!O68</f>
        <v>1149.8493807187922</v>
      </c>
      <c r="P30" s="26">
        <f>'Estimates for 2024'!P27</f>
        <v>1979.52558</v>
      </c>
    </row>
    <row r="32" spans="2:16" x14ac:dyDescent="0.2">
      <c r="B32" s="19" t="s">
        <v>333</v>
      </c>
    </row>
    <row r="33" spans="2:16" x14ac:dyDescent="0.2">
      <c r="B33" s="2" t="s">
        <v>334</v>
      </c>
      <c r="F33" s="2" t="s">
        <v>155</v>
      </c>
      <c r="L33" s="48"/>
      <c r="M33" s="48"/>
      <c r="N33" s="48"/>
      <c r="O33" s="92">
        <f>'Historical data'!O55</f>
        <v>275.97597387358206</v>
      </c>
      <c r="P33" s="48"/>
    </row>
    <row r="34" spans="2:16" x14ac:dyDescent="0.2">
      <c r="B34" s="2" t="s">
        <v>335</v>
      </c>
      <c r="F34" s="2" t="s">
        <v>155</v>
      </c>
      <c r="L34" s="48"/>
      <c r="M34" s="48"/>
      <c r="N34" s="48"/>
      <c r="O34" s="92">
        <f>'Historical data'!O56</f>
        <v>191.6617702608896</v>
      </c>
      <c r="P34" s="48"/>
    </row>
    <row r="35" spans="2:16" x14ac:dyDescent="0.2">
      <c r="B35" s="2" t="s">
        <v>238</v>
      </c>
      <c r="F35" s="2" t="s">
        <v>155</v>
      </c>
      <c r="L35" s="48"/>
      <c r="M35" s="48"/>
      <c r="N35" s="48"/>
      <c r="O35" s="92">
        <f>'Historical data'!O62</f>
        <v>40</v>
      </c>
      <c r="P35" s="48"/>
    </row>
    <row r="37" spans="2:16" s="8" customFormat="1" x14ac:dyDescent="0.2">
      <c r="B37" s="8" t="s">
        <v>328</v>
      </c>
    </row>
    <row r="39" spans="2:16" x14ac:dyDescent="0.2">
      <c r="B39" s="19" t="s">
        <v>611</v>
      </c>
    </row>
    <row r="40" spans="2:16" x14ac:dyDescent="0.2">
      <c r="B40" s="2" t="s">
        <v>549</v>
      </c>
      <c r="F40" s="2" t="s">
        <v>246</v>
      </c>
      <c r="L40" s="48"/>
      <c r="M40" s="48"/>
      <c r="N40" s="123">
        <f>N16</f>
        <v>5.5023984424735932</v>
      </c>
      <c r="O40" s="130"/>
      <c r="P40" s="48"/>
    </row>
    <row r="41" spans="2:16" x14ac:dyDescent="0.2">
      <c r="B41" s="2" t="s">
        <v>550</v>
      </c>
      <c r="F41" s="2" t="s">
        <v>246</v>
      </c>
      <c r="L41" s="48"/>
      <c r="M41" s="48"/>
      <c r="N41" s="130"/>
      <c r="O41" s="121">
        <f>O20/N30</f>
        <v>0.96395882396968391</v>
      </c>
      <c r="P41" s="48"/>
    </row>
    <row r="43" spans="2:16" x14ac:dyDescent="0.2">
      <c r="B43" s="19" t="s">
        <v>309</v>
      </c>
    </row>
    <row r="44" spans="2:16" x14ac:dyDescent="0.2">
      <c r="B44" s="2" t="s">
        <v>247</v>
      </c>
      <c r="F44" s="2" t="s">
        <v>246</v>
      </c>
      <c r="L44" s="48"/>
      <c r="M44" s="48"/>
      <c r="N44" s="48"/>
      <c r="O44" s="73">
        <f>(N40+O41)/(1-O19)</f>
        <v>8.2902016236452258</v>
      </c>
      <c r="P44" s="48"/>
    </row>
    <row r="46" spans="2:16" s="8" customFormat="1" x14ac:dyDescent="0.2">
      <c r="B46" s="8" t="s">
        <v>330</v>
      </c>
    </row>
    <row r="48" spans="2:16" x14ac:dyDescent="0.2">
      <c r="B48" s="1" t="s">
        <v>248</v>
      </c>
    </row>
    <row r="49" spans="2:18" x14ac:dyDescent="0.2">
      <c r="B49" s="2" t="s">
        <v>440</v>
      </c>
      <c r="F49" s="2" t="s">
        <v>205</v>
      </c>
      <c r="L49" s="48"/>
      <c r="M49" s="48"/>
      <c r="N49" s="48"/>
      <c r="O49" s="27">
        <f>SUM(O23:O26)</f>
        <v>1316206.4161774127</v>
      </c>
      <c r="P49" s="48"/>
    </row>
    <row r="50" spans="2:18" x14ac:dyDescent="0.2">
      <c r="B50" s="2" t="s">
        <v>331</v>
      </c>
      <c r="F50" s="2" t="s">
        <v>224</v>
      </c>
      <c r="L50" s="48"/>
      <c r="M50" s="48"/>
      <c r="N50" s="48"/>
      <c r="O50" s="75">
        <f>O49/O30/12</f>
        <v>95.389770046420324</v>
      </c>
      <c r="P50" s="48"/>
    </row>
    <row r="52" spans="2:18" x14ac:dyDescent="0.2">
      <c r="B52" s="1" t="s">
        <v>249</v>
      </c>
    </row>
    <row r="53" spans="2:18" x14ac:dyDescent="0.2">
      <c r="B53" s="2" t="s">
        <v>238</v>
      </c>
      <c r="F53" s="2" t="s">
        <v>205</v>
      </c>
      <c r="L53" s="48"/>
      <c r="M53" s="48"/>
      <c r="N53" s="48"/>
      <c r="O53" s="75">
        <f>O35</f>
        <v>40</v>
      </c>
      <c r="P53" s="48"/>
      <c r="R53" s="2" t="s">
        <v>241</v>
      </c>
    </row>
    <row r="55" spans="2:18" x14ac:dyDescent="0.2">
      <c r="B55" s="1" t="s">
        <v>250</v>
      </c>
    </row>
    <row r="56" spans="2:18" x14ac:dyDescent="0.2">
      <c r="B56" s="2" t="s">
        <v>251</v>
      </c>
      <c r="F56" s="2" t="s">
        <v>205</v>
      </c>
      <c r="L56" s="48"/>
      <c r="M56" s="48"/>
      <c r="N56" s="48"/>
      <c r="O56" s="75">
        <f>O33*(1+$H$13)</f>
        <v>272.94023816097268</v>
      </c>
      <c r="P56" s="48"/>
    </row>
    <row r="57" spans="2:18" x14ac:dyDescent="0.2">
      <c r="B57" s="2" t="s">
        <v>252</v>
      </c>
      <c r="F57" s="2" t="s">
        <v>205</v>
      </c>
      <c r="L57" s="48"/>
      <c r="M57" s="48"/>
      <c r="N57" s="48"/>
      <c r="O57" s="75">
        <f>O34*(1+$H$13)</f>
        <v>189.55349078801981</v>
      </c>
      <c r="P57" s="48"/>
    </row>
    <row r="59" spans="2:18" s="8" customFormat="1" x14ac:dyDescent="0.2">
      <c r="B59" s="8" t="s">
        <v>612</v>
      </c>
    </row>
    <row r="61" spans="2:18" x14ac:dyDescent="0.2">
      <c r="B61" s="1" t="s">
        <v>253</v>
      </c>
    </row>
    <row r="62" spans="2:18" x14ac:dyDescent="0.2">
      <c r="B62" s="2" t="s">
        <v>245</v>
      </c>
      <c r="F62" s="2" t="s">
        <v>246</v>
      </c>
      <c r="L62" s="48"/>
      <c r="M62" s="48"/>
      <c r="N62" s="94">
        <f>N16</f>
        <v>5.5023984424735932</v>
      </c>
      <c r="O62" s="48"/>
      <c r="P62" s="48"/>
    </row>
    <row r="63" spans="2:18" x14ac:dyDescent="0.2">
      <c r="B63" s="2" t="s">
        <v>440</v>
      </c>
      <c r="F63" s="2" t="s">
        <v>205</v>
      </c>
      <c r="L63" s="48"/>
      <c r="M63" s="48"/>
      <c r="N63" s="48"/>
      <c r="O63" s="48"/>
      <c r="P63" s="126">
        <f>SUM(P23:P26)</f>
        <v>8578.9657612075043</v>
      </c>
    </row>
    <row r="64" spans="2:18" x14ac:dyDescent="0.2">
      <c r="B64" s="2" t="s">
        <v>613</v>
      </c>
      <c r="F64" s="2" t="s">
        <v>246</v>
      </c>
      <c r="L64" s="48"/>
      <c r="M64" s="48"/>
      <c r="N64" s="48"/>
      <c r="O64" s="48"/>
      <c r="P64" s="125">
        <f>P63/P30</f>
        <v>4.3338494070925337</v>
      </c>
    </row>
    <row r="65" spans="2:16" x14ac:dyDescent="0.2">
      <c r="B65" s="2" t="s">
        <v>332</v>
      </c>
      <c r="F65" s="2" t="s">
        <v>246</v>
      </c>
      <c r="L65" s="48"/>
      <c r="M65" s="48"/>
      <c r="N65" s="48"/>
      <c r="O65" s="48"/>
      <c r="P65" s="124">
        <f>N62+P64</f>
        <v>9.8362478495661279</v>
      </c>
    </row>
    <row r="68" spans="2:16" x14ac:dyDescent="0.2">
      <c r="B68" s="4" t="s">
        <v>65</v>
      </c>
    </row>
    <row r="77" spans="2:16" x14ac:dyDescent="0.2">
      <c r="B77" s="32"/>
    </row>
  </sheetData>
  <phoneticPr fontId="31"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AD3-F2E6-405E-97AE-10DC7D5C3661}">
  <sheetPr>
    <tabColor rgb="FFCCFFFF"/>
  </sheetPr>
  <dimension ref="B2:AB93"/>
  <sheetViews>
    <sheetView showGridLines="0" zoomScale="85" zoomScaleNormal="85" workbookViewId="0"/>
  </sheetViews>
  <sheetFormatPr defaultRowHeight="12.75" x14ac:dyDescent="0.2"/>
  <cols>
    <col min="1" max="1" width="9.140625" style="67"/>
    <col min="2" max="2" width="4.5703125" style="67" customWidth="1"/>
    <col min="3" max="3" width="52.5703125" style="67" customWidth="1"/>
    <col min="4" max="4" width="19.7109375" style="67" customWidth="1"/>
    <col min="5" max="6" width="14" style="67" customWidth="1"/>
    <col min="7" max="7" width="5.5703125" style="67" customWidth="1"/>
    <col min="8" max="8" width="20.140625" style="67" customWidth="1"/>
    <col min="9" max="9" width="4.5703125" style="67" customWidth="1"/>
    <col min="10" max="10" width="9.140625" style="67"/>
    <col min="11" max="11" width="10.28515625" style="67" bestFit="1" customWidth="1"/>
    <col min="12" max="16384" width="9.140625" style="67"/>
  </cols>
  <sheetData>
    <row r="2" spans="2:7" s="7" customFormat="1" ht="18" x14ac:dyDescent="0.2">
      <c r="C2" s="7" t="s">
        <v>615</v>
      </c>
    </row>
    <row r="3" spans="2:7" x14ac:dyDescent="0.2">
      <c r="B3" s="2"/>
      <c r="C3" s="2"/>
      <c r="D3" s="2"/>
      <c r="E3" s="2"/>
      <c r="F3" s="2"/>
      <c r="G3" s="2"/>
    </row>
    <row r="4" spans="2:7" x14ac:dyDescent="0.2">
      <c r="B4" s="2"/>
      <c r="C4" s="19" t="s">
        <v>103</v>
      </c>
      <c r="D4" s="2"/>
      <c r="E4" s="2"/>
      <c r="F4" s="2"/>
      <c r="G4" s="2"/>
    </row>
    <row r="5" spans="2:7" x14ac:dyDescent="0.2">
      <c r="B5" s="2"/>
      <c r="C5" s="2" t="s">
        <v>649</v>
      </c>
      <c r="D5" s="2"/>
      <c r="E5" s="13"/>
      <c r="F5" s="2"/>
      <c r="G5" s="2"/>
    </row>
    <row r="6" spans="2:7" x14ac:dyDescent="0.2">
      <c r="B6" s="2"/>
      <c r="C6" s="2"/>
      <c r="D6" s="2"/>
      <c r="E6" s="2"/>
      <c r="F6" s="2"/>
      <c r="G6" s="2"/>
    </row>
    <row r="7" spans="2:7" s="8" customFormat="1" x14ac:dyDescent="0.2">
      <c r="C7" s="8" t="s">
        <v>616</v>
      </c>
      <c r="D7" s="8" t="s">
        <v>36</v>
      </c>
    </row>
    <row r="9" spans="2:7" x14ac:dyDescent="0.2">
      <c r="C9" s="1" t="s">
        <v>617</v>
      </c>
      <c r="D9" s="67" t="s">
        <v>650</v>
      </c>
      <c r="E9" s="131">
        <f>Result!H14</f>
        <v>0.24319538905379626</v>
      </c>
    </row>
    <row r="10" spans="2:7" x14ac:dyDescent="0.2">
      <c r="C10" s="1"/>
    </row>
    <row r="11" spans="2:7" x14ac:dyDescent="0.2">
      <c r="B11" s="132"/>
      <c r="C11" s="133"/>
      <c r="D11" s="133"/>
      <c r="E11" s="133"/>
      <c r="F11" s="134"/>
    </row>
    <row r="12" spans="2:7" s="8" customFormat="1" x14ac:dyDescent="0.2">
      <c r="B12" s="135"/>
      <c r="C12" s="8" t="s">
        <v>675</v>
      </c>
      <c r="D12" s="8" t="s">
        <v>36</v>
      </c>
      <c r="F12" s="136"/>
    </row>
    <row r="13" spans="2:7" x14ac:dyDescent="0.2">
      <c r="B13" s="137"/>
      <c r="F13" s="138"/>
    </row>
    <row r="14" spans="2:7" x14ac:dyDescent="0.2">
      <c r="B14" s="137"/>
      <c r="C14" s="1" t="s">
        <v>618</v>
      </c>
      <c r="D14" s="67" t="s">
        <v>650</v>
      </c>
      <c r="E14" s="131">
        <f>Result!H19</f>
        <v>0.39580820458766236</v>
      </c>
      <c r="F14" s="138"/>
    </row>
    <row r="15" spans="2:7" x14ac:dyDescent="0.2">
      <c r="B15" s="137"/>
      <c r="F15" s="138"/>
    </row>
    <row r="16" spans="2:7" x14ac:dyDescent="0.2">
      <c r="B16" s="137"/>
      <c r="C16" s="1" t="s">
        <v>619</v>
      </c>
      <c r="F16" s="138"/>
    </row>
    <row r="17" spans="2:28" x14ac:dyDescent="0.2">
      <c r="B17" s="137"/>
      <c r="C17" s="2" t="s">
        <v>620</v>
      </c>
      <c r="D17" s="2" t="s">
        <v>651</v>
      </c>
      <c r="E17" s="139">
        <f>'Electricity Distribution'!M74</f>
        <v>3.8394909234369723</v>
      </c>
      <c r="F17" s="138"/>
    </row>
    <row r="18" spans="2:28" x14ac:dyDescent="0.2">
      <c r="B18" s="137"/>
      <c r="C18" s="2" t="s">
        <v>621</v>
      </c>
      <c r="F18" s="138"/>
    </row>
    <row r="19" spans="2:28" x14ac:dyDescent="0.2">
      <c r="B19" s="137"/>
      <c r="C19" s="2" t="s">
        <v>622</v>
      </c>
      <c r="D19" s="2" t="s">
        <v>651</v>
      </c>
      <c r="E19" s="140">
        <f>Result!H22</f>
        <v>12.286370954998311</v>
      </c>
      <c r="F19" s="141"/>
      <c r="G19" s="2"/>
      <c r="I19" s="2"/>
      <c r="J19" s="2"/>
      <c r="K19" s="2"/>
      <c r="L19" s="2"/>
      <c r="M19" s="2"/>
      <c r="N19" s="2"/>
      <c r="O19" s="2"/>
      <c r="P19" s="2"/>
      <c r="Q19" s="2"/>
      <c r="R19" s="2"/>
      <c r="S19" s="2"/>
      <c r="T19" s="2"/>
      <c r="U19" s="2"/>
      <c r="V19" s="2"/>
      <c r="W19" s="2"/>
      <c r="X19" s="2"/>
      <c r="Y19" s="2"/>
      <c r="Z19" s="2"/>
      <c r="AA19" s="2"/>
      <c r="AB19" s="2"/>
    </row>
    <row r="20" spans="2:28" x14ac:dyDescent="0.2">
      <c r="B20" s="137"/>
      <c r="C20" s="2" t="s">
        <v>623</v>
      </c>
      <c r="D20" s="2" t="s">
        <v>651</v>
      </c>
      <c r="E20" s="140">
        <f>Result!H23</f>
        <v>29.564080110464687</v>
      </c>
      <c r="F20" s="141"/>
      <c r="G20" s="2"/>
      <c r="I20" s="2"/>
      <c r="J20" s="2"/>
      <c r="K20" s="2"/>
      <c r="L20" s="2"/>
      <c r="M20" s="2"/>
      <c r="N20" s="2"/>
      <c r="O20" s="2"/>
      <c r="P20" s="2"/>
      <c r="Q20" s="2"/>
      <c r="R20" s="2"/>
      <c r="S20" s="2"/>
      <c r="T20" s="2"/>
      <c r="U20" s="2"/>
      <c r="V20" s="2"/>
      <c r="W20" s="2"/>
      <c r="X20" s="2"/>
      <c r="Y20" s="2"/>
      <c r="Z20" s="2"/>
      <c r="AA20" s="2"/>
      <c r="AB20" s="2"/>
    </row>
    <row r="21" spans="2:28" x14ac:dyDescent="0.2">
      <c r="B21" s="137"/>
      <c r="C21" s="2" t="s">
        <v>624</v>
      </c>
      <c r="D21" s="2" t="s">
        <v>651</v>
      </c>
      <c r="E21" s="140">
        <f>Result!H24</f>
        <v>42.234400157806697</v>
      </c>
      <c r="F21" s="141"/>
      <c r="G21" s="2"/>
      <c r="I21" s="2"/>
      <c r="J21" s="2"/>
      <c r="K21" s="2"/>
      <c r="L21" s="2"/>
      <c r="M21" s="2"/>
      <c r="N21" s="2"/>
      <c r="O21" s="2"/>
      <c r="P21" s="2"/>
      <c r="Q21" s="2"/>
      <c r="R21" s="2"/>
      <c r="S21" s="2"/>
      <c r="T21" s="2"/>
      <c r="U21" s="2"/>
      <c r="V21" s="2"/>
      <c r="W21" s="2"/>
      <c r="X21" s="2"/>
      <c r="Y21" s="2"/>
      <c r="Z21" s="2"/>
      <c r="AA21" s="2"/>
      <c r="AB21" s="2"/>
    </row>
    <row r="22" spans="2:28" x14ac:dyDescent="0.2">
      <c r="B22" s="137"/>
      <c r="C22" s="2" t="s">
        <v>625</v>
      </c>
      <c r="D22" s="2" t="s">
        <v>651</v>
      </c>
      <c r="E22" s="140">
        <f>Result!H25</f>
        <v>53.215344198836434</v>
      </c>
      <c r="F22" s="141"/>
      <c r="G22" s="2"/>
      <c r="I22" s="2"/>
      <c r="J22" s="2"/>
      <c r="K22" s="2"/>
      <c r="L22" s="2"/>
      <c r="M22" s="2"/>
      <c r="N22" s="2"/>
      <c r="O22" s="2"/>
      <c r="P22" s="2"/>
      <c r="Q22" s="2"/>
      <c r="R22" s="2"/>
      <c r="S22" s="2"/>
      <c r="T22" s="2"/>
      <c r="U22" s="2"/>
      <c r="V22" s="2"/>
      <c r="W22" s="2"/>
      <c r="X22" s="2"/>
      <c r="Y22" s="2"/>
      <c r="Z22" s="2"/>
      <c r="AA22" s="2"/>
      <c r="AB22" s="2"/>
    </row>
    <row r="23" spans="2:28" x14ac:dyDescent="0.2">
      <c r="B23" s="137"/>
      <c r="C23" s="2" t="s">
        <v>626</v>
      </c>
      <c r="D23" s="2" t="s">
        <v>651</v>
      </c>
      <c r="E23" s="140">
        <f>Result!H26</f>
        <v>51.065229281711737</v>
      </c>
      <c r="F23" s="141"/>
      <c r="G23" s="2"/>
      <c r="I23" s="2"/>
      <c r="J23" s="2"/>
      <c r="K23" s="2"/>
      <c r="L23" s="2"/>
      <c r="M23" s="2"/>
      <c r="N23" s="2"/>
      <c r="O23" s="2"/>
      <c r="P23" s="2"/>
      <c r="Q23" s="2"/>
      <c r="R23" s="2"/>
      <c r="S23" s="2"/>
      <c r="T23" s="2"/>
      <c r="U23" s="2"/>
      <c r="V23" s="2"/>
      <c r="W23" s="2"/>
      <c r="X23" s="2"/>
      <c r="Y23" s="2"/>
      <c r="Z23" s="2"/>
      <c r="AA23" s="2"/>
      <c r="AB23" s="2"/>
    </row>
    <row r="24" spans="2:28" x14ac:dyDescent="0.2">
      <c r="B24" s="137"/>
      <c r="C24" s="2" t="s">
        <v>627</v>
      </c>
      <c r="D24" s="2" t="s">
        <v>651</v>
      </c>
      <c r="E24" s="140">
        <f>Result!H27</f>
        <v>72.950327545302471</v>
      </c>
      <c r="F24" s="141"/>
      <c r="G24" s="2"/>
      <c r="I24" s="2"/>
      <c r="J24" s="2"/>
      <c r="K24" s="2"/>
      <c r="L24" s="2"/>
      <c r="M24" s="2"/>
      <c r="N24" s="2"/>
      <c r="O24" s="2"/>
      <c r="P24" s="2"/>
      <c r="Q24" s="2"/>
      <c r="R24" s="2"/>
      <c r="S24" s="2"/>
      <c r="T24" s="2"/>
      <c r="U24" s="2"/>
      <c r="V24" s="2"/>
      <c r="W24" s="2"/>
      <c r="X24" s="2"/>
      <c r="Y24" s="2"/>
      <c r="Z24" s="2"/>
      <c r="AA24" s="2"/>
      <c r="AB24" s="2"/>
    </row>
    <row r="25" spans="2:28" x14ac:dyDescent="0.2">
      <c r="B25" s="137"/>
      <c r="C25" s="2" t="s">
        <v>628</v>
      </c>
      <c r="D25" s="2" t="s">
        <v>651</v>
      </c>
      <c r="E25" s="140">
        <f>Result!H28</f>
        <v>91.917412707081127</v>
      </c>
      <c r="F25" s="141"/>
      <c r="G25" s="2"/>
      <c r="I25" s="2"/>
      <c r="J25" s="2"/>
      <c r="K25" s="2"/>
      <c r="L25" s="2"/>
      <c r="M25" s="2"/>
      <c r="N25" s="2"/>
      <c r="O25" s="2"/>
      <c r="P25" s="2"/>
      <c r="Q25" s="2"/>
      <c r="R25" s="2"/>
      <c r="S25" s="2"/>
      <c r="T25" s="2"/>
      <c r="U25" s="2"/>
      <c r="V25" s="2"/>
      <c r="W25" s="2"/>
      <c r="X25" s="2"/>
      <c r="Y25" s="2"/>
      <c r="Z25" s="2"/>
      <c r="AA25" s="2"/>
      <c r="AB25" s="2"/>
    </row>
    <row r="26" spans="2:28" x14ac:dyDescent="0.2">
      <c r="B26" s="137"/>
      <c r="C26" s="2" t="s">
        <v>629</v>
      </c>
      <c r="D26" s="2" t="s">
        <v>651</v>
      </c>
      <c r="E26" s="140">
        <f>Result!H29</f>
        <v>116.72052407248395</v>
      </c>
      <c r="F26" s="141"/>
      <c r="G26" s="2"/>
      <c r="I26" s="2"/>
      <c r="J26" s="2"/>
      <c r="K26" s="2"/>
      <c r="L26" s="2"/>
      <c r="M26" s="2"/>
      <c r="N26" s="2"/>
      <c r="O26" s="2"/>
      <c r="P26" s="2"/>
      <c r="Q26" s="2"/>
      <c r="R26" s="2"/>
      <c r="S26" s="2"/>
      <c r="T26" s="2"/>
      <c r="U26" s="2"/>
      <c r="V26" s="2"/>
      <c r="W26" s="2"/>
      <c r="X26" s="2"/>
      <c r="Y26" s="2"/>
      <c r="Z26" s="2"/>
      <c r="AA26" s="2"/>
      <c r="AB26" s="2"/>
    </row>
    <row r="27" spans="2:28" x14ac:dyDescent="0.2">
      <c r="B27" s="137"/>
      <c r="C27" s="2" t="s">
        <v>630</v>
      </c>
      <c r="D27" s="2" t="s">
        <v>651</v>
      </c>
      <c r="E27" s="140">
        <f>Result!H30</f>
        <v>145.90065509060494</v>
      </c>
      <c r="F27" s="141"/>
      <c r="G27" s="2"/>
      <c r="I27" s="2"/>
      <c r="J27" s="2"/>
      <c r="K27" s="2"/>
      <c r="L27" s="2"/>
      <c r="M27" s="2"/>
      <c r="N27" s="2"/>
      <c r="O27" s="2"/>
      <c r="P27" s="2"/>
      <c r="Q27" s="2"/>
      <c r="R27" s="2"/>
      <c r="S27" s="2"/>
      <c r="T27" s="2"/>
      <c r="U27" s="2"/>
      <c r="V27" s="2"/>
      <c r="W27" s="2"/>
      <c r="X27" s="2"/>
      <c r="Y27" s="2"/>
      <c r="Z27" s="2"/>
      <c r="AA27" s="2"/>
      <c r="AB27" s="2"/>
    </row>
    <row r="28" spans="2:28" x14ac:dyDescent="0.2">
      <c r="B28" s="137"/>
      <c r="C28" s="2" t="s">
        <v>631</v>
      </c>
      <c r="D28" s="2" t="s">
        <v>651</v>
      </c>
      <c r="E28" s="140">
        <f>Result!H31</f>
        <v>182.37581886325617</v>
      </c>
      <c r="F28" s="141"/>
      <c r="G28" s="2"/>
      <c r="I28" s="2"/>
      <c r="J28" s="2"/>
      <c r="K28" s="2"/>
      <c r="L28" s="2"/>
      <c r="M28" s="2"/>
      <c r="N28" s="2"/>
      <c r="O28" s="2"/>
      <c r="P28" s="2"/>
      <c r="Q28" s="2"/>
      <c r="R28" s="2"/>
      <c r="S28" s="2"/>
      <c r="T28" s="2"/>
      <c r="U28" s="2"/>
      <c r="V28" s="2"/>
      <c r="W28" s="2"/>
      <c r="X28" s="2"/>
      <c r="Y28" s="2"/>
      <c r="Z28" s="2"/>
      <c r="AA28" s="2"/>
      <c r="AB28" s="2"/>
    </row>
    <row r="29" spans="2:28" x14ac:dyDescent="0.2">
      <c r="B29" s="137"/>
      <c r="C29" s="2" t="s">
        <v>632</v>
      </c>
      <c r="D29" s="2" t="s">
        <v>651</v>
      </c>
      <c r="E29" s="140">
        <f>Result!H32</f>
        <v>233.44104814496791</v>
      </c>
      <c r="F29" s="141"/>
      <c r="G29" s="2"/>
      <c r="I29" s="2"/>
      <c r="J29" s="2"/>
      <c r="K29" s="2"/>
      <c r="L29" s="2"/>
      <c r="M29" s="2"/>
      <c r="N29" s="2"/>
      <c r="O29" s="2"/>
      <c r="P29" s="2"/>
      <c r="Q29" s="2"/>
      <c r="R29" s="2"/>
      <c r="S29" s="2"/>
      <c r="T29" s="2"/>
      <c r="U29" s="2"/>
      <c r="V29" s="2"/>
      <c r="W29" s="2"/>
      <c r="X29" s="2"/>
      <c r="Y29" s="2"/>
      <c r="Z29" s="2"/>
      <c r="AA29" s="2"/>
      <c r="AB29" s="2"/>
    </row>
    <row r="30" spans="2:28" x14ac:dyDescent="0.2">
      <c r="B30" s="137"/>
      <c r="C30" s="2" t="s">
        <v>633</v>
      </c>
      <c r="D30" s="2" t="s">
        <v>651</v>
      </c>
      <c r="E30" s="140">
        <f>Result!H33</f>
        <v>291.80131018120989</v>
      </c>
      <c r="F30" s="141"/>
      <c r="G30" s="2"/>
      <c r="I30" s="2"/>
      <c r="J30" s="2"/>
      <c r="K30" s="2"/>
      <c r="L30" s="2"/>
      <c r="M30" s="2"/>
      <c r="N30" s="2"/>
      <c r="O30" s="2"/>
      <c r="P30" s="2"/>
      <c r="Q30" s="2"/>
      <c r="R30" s="2"/>
      <c r="S30" s="2"/>
      <c r="T30" s="2"/>
      <c r="U30" s="2"/>
      <c r="V30" s="2"/>
      <c r="W30" s="2"/>
      <c r="X30" s="2"/>
      <c r="Y30" s="2"/>
      <c r="Z30" s="2"/>
      <c r="AA30" s="2"/>
      <c r="AB30" s="2"/>
    </row>
    <row r="31" spans="2:28" x14ac:dyDescent="0.2">
      <c r="B31" s="137"/>
      <c r="C31" s="2" t="s">
        <v>634</v>
      </c>
      <c r="D31" s="2" t="s">
        <v>651</v>
      </c>
      <c r="E31" s="140">
        <f>Result!H34</f>
        <v>328.27647395386111</v>
      </c>
      <c r="F31" s="141"/>
      <c r="G31" s="2"/>
      <c r="I31" s="2"/>
      <c r="J31" s="2"/>
      <c r="K31" s="2"/>
      <c r="L31" s="2"/>
      <c r="M31" s="2"/>
      <c r="N31" s="2"/>
      <c r="O31" s="2"/>
      <c r="P31" s="2"/>
      <c r="Q31" s="2"/>
      <c r="R31" s="2"/>
      <c r="S31" s="2"/>
      <c r="T31" s="2"/>
      <c r="U31" s="2"/>
      <c r="V31" s="2"/>
      <c r="W31" s="2"/>
      <c r="X31" s="2"/>
      <c r="Y31" s="2"/>
      <c r="Z31" s="2"/>
      <c r="AA31" s="2"/>
      <c r="AB31" s="2"/>
    </row>
    <row r="32" spans="2:28" x14ac:dyDescent="0.2">
      <c r="B32" s="137"/>
      <c r="C32" s="2" t="s">
        <v>635</v>
      </c>
      <c r="D32" s="2" t="s">
        <v>651</v>
      </c>
      <c r="E32" s="140">
        <f>Result!H35</f>
        <v>364.75163772651234</v>
      </c>
      <c r="F32" s="141"/>
      <c r="G32" s="2"/>
      <c r="I32" s="2"/>
      <c r="J32" s="2"/>
      <c r="K32" s="2"/>
      <c r="L32" s="2"/>
      <c r="M32" s="2"/>
      <c r="N32" s="2"/>
      <c r="O32" s="2"/>
      <c r="P32" s="2"/>
      <c r="Q32" s="2"/>
      <c r="R32" s="2"/>
      <c r="S32" s="2"/>
      <c r="T32" s="2"/>
      <c r="U32" s="2"/>
      <c r="V32" s="2"/>
      <c r="W32" s="2"/>
      <c r="X32" s="2"/>
      <c r="Y32" s="2"/>
      <c r="Z32" s="2"/>
      <c r="AA32" s="2"/>
      <c r="AB32" s="2"/>
    </row>
    <row r="33" spans="2:28" x14ac:dyDescent="0.2">
      <c r="B33" s="137"/>
      <c r="C33" s="2" t="s">
        <v>636</v>
      </c>
      <c r="D33" s="2" t="s">
        <v>651</v>
      </c>
      <c r="E33" s="140">
        <f>Result!H36</f>
        <v>459.5870635354056</v>
      </c>
      <c r="F33" s="141"/>
      <c r="G33" s="2"/>
      <c r="I33" s="2"/>
      <c r="J33" s="2"/>
      <c r="K33" s="2"/>
      <c r="L33" s="2"/>
      <c r="M33" s="2"/>
      <c r="N33" s="2"/>
      <c r="O33" s="2"/>
      <c r="P33" s="2"/>
      <c r="Q33" s="2"/>
      <c r="R33" s="2"/>
      <c r="S33" s="2"/>
      <c r="T33" s="2"/>
      <c r="U33" s="2"/>
      <c r="V33" s="2"/>
      <c r="W33" s="2"/>
      <c r="X33" s="2"/>
      <c r="Y33" s="2"/>
      <c r="Z33" s="2"/>
      <c r="AA33" s="2"/>
      <c r="AB33" s="2"/>
    </row>
    <row r="34" spans="2:28" x14ac:dyDescent="0.2">
      <c r="B34" s="137"/>
      <c r="C34" s="2" t="s">
        <v>637</v>
      </c>
      <c r="D34" s="2" t="s">
        <v>651</v>
      </c>
      <c r="E34" s="140">
        <f>Result!H37</f>
        <v>671.91091160147016</v>
      </c>
      <c r="F34" s="141"/>
      <c r="G34" s="2"/>
      <c r="I34" s="2"/>
      <c r="J34" s="2"/>
      <c r="K34" s="2"/>
      <c r="L34" s="2"/>
      <c r="M34" s="2"/>
      <c r="N34" s="2"/>
      <c r="O34" s="2"/>
      <c r="P34" s="2"/>
      <c r="Q34" s="2"/>
      <c r="R34" s="2"/>
      <c r="S34" s="2"/>
      <c r="T34" s="2"/>
      <c r="U34" s="2"/>
      <c r="V34" s="2"/>
      <c r="W34" s="2"/>
      <c r="X34" s="2"/>
      <c r="Y34" s="2"/>
      <c r="Z34" s="2"/>
      <c r="AA34" s="2"/>
      <c r="AB34" s="2"/>
    </row>
    <row r="35" spans="2:28" x14ac:dyDescent="0.2">
      <c r="B35" s="137"/>
      <c r="C35" s="2" t="s">
        <v>693</v>
      </c>
      <c r="D35" s="2" t="s">
        <v>651</v>
      </c>
      <c r="E35" s="140">
        <f>Result!H38</f>
        <v>767.89818468739441</v>
      </c>
      <c r="F35" s="141"/>
      <c r="G35" s="2"/>
      <c r="I35" s="2"/>
      <c r="J35" s="2"/>
      <c r="K35" s="2"/>
      <c r="L35" s="2"/>
      <c r="M35" s="2"/>
      <c r="N35" s="2"/>
      <c r="O35" s="2"/>
      <c r="P35" s="2"/>
      <c r="Q35" s="2"/>
      <c r="R35" s="2"/>
      <c r="S35" s="2"/>
      <c r="T35" s="2"/>
      <c r="U35" s="2"/>
      <c r="V35" s="2"/>
      <c r="W35" s="2"/>
      <c r="X35" s="2"/>
      <c r="Y35" s="2"/>
      <c r="Z35" s="2"/>
      <c r="AA35" s="2"/>
      <c r="AB35" s="2"/>
    </row>
    <row r="36" spans="2:28" x14ac:dyDescent="0.2">
      <c r="B36" s="137"/>
      <c r="C36" s="2"/>
      <c r="D36" s="2"/>
      <c r="E36" s="2"/>
      <c r="F36" s="141"/>
      <c r="G36" s="2"/>
      <c r="I36" s="2"/>
      <c r="J36" s="2"/>
      <c r="K36" s="2"/>
      <c r="L36" s="2"/>
      <c r="M36" s="2"/>
      <c r="N36" s="2"/>
      <c r="O36" s="2"/>
      <c r="P36" s="2"/>
      <c r="Q36" s="2"/>
      <c r="R36" s="2"/>
      <c r="S36" s="2"/>
      <c r="T36" s="2"/>
      <c r="U36" s="2"/>
      <c r="V36" s="2"/>
      <c r="W36" s="2"/>
      <c r="X36" s="2"/>
      <c r="Y36" s="2"/>
      <c r="Z36" s="2"/>
      <c r="AA36" s="2"/>
      <c r="AB36" s="2"/>
    </row>
    <row r="37" spans="2:28" x14ac:dyDescent="0.2">
      <c r="B37" s="137"/>
      <c r="C37" s="1" t="s">
        <v>638</v>
      </c>
      <c r="D37" s="2"/>
      <c r="E37" s="2"/>
      <c r="F37" s="141"/>
      <c r="G37" s="2"/>
      <c r="I37" s="2"/>
      <c r="J37" s="2"/>
      <c r="K37" s="2"/>
      <c r="L37" s="2"/>
      <c r="M37" s="2"/>
      <c r="N37" s="2"/>
      <c r="O37" s="2"/>
      <c r="P37" s="2"/>
      <c r="Q37" s="2"/>
      <c r="R37" s="2"/>
      <c r="S37" s="2"/>
      <c r="T37" s="2"/>
      <c r="U37" s="2"/>
      <c r="V37" s="2"/>
      <c r="W37" s="2"/>
      <c r="X37" s="2"/>
      <c r="Y37" s="2"/>
      <c r="Z37" s="2"/>
      <c r="AA37" s="2"/>
      <c r="AB37" s="2"/>
    </row>
    <row r="38" spans="2:28" x14ac:dyDescent="0.2">
      <c r="B38" s="137"/>
      <c r="C38" s="2" t="s">
        <v>238</v>
      </c>
      <c r="D38" s="2" t="s">
        <v>205</v>
      </c>
      <c r="E38" s="140">
        <f>Result!H41</f>
        <v>40</v>
      </c>
      <c r="F38" s="141"/>
      <c r="G38" s="2"/>
      <c r="I38" s="2"/>
      <c r="J38" s="2"/>
      <c r="K38" s="2"/>
      <c r="L38" s="2"/>
      <c r="M38" s="2"/>
      <c r="N38" s="2"/>
      <c r="O38" s="2"/>
      <c r="P38" s="2"/>
      <c r="Q38" s="2"/>
      <c r="R38" s="2"/>
      <c r="S38" s="2"/>
      <c r="T38" s="2"/>
      <c r="U38" s="2"/>
      <c r="V38" s="2"/>
      <c r="W38" s="2"/>
      <c r="X38" s="2"/>
      <c r="Y38" s="2"/>
      <c r="Z38" s="2"/>
      <c r="AA38" s="2"/>
      <c r="AB38" s="2"/>
    </row>
    <row r="39" spans="2:28" x14ac:dyDescent="0.2">
      <c r="B39" s="137"/>
      <c r="C39" s="2" t="s">
        <v>240</v>
      </c>
      <c r="D39" s="2" t="s">
        <v>205</v>
      </c>
      <c r="E39" s="140">
        <f>Result!H44</f>
        <v>305.43662127586322</v>
      </c>
      <c r="F39" s="141"/>
      <c r="G39" s="2"/>
      <c r="I39" s="2"/>
      <c r="J39" s="2"/>
      <c r="K39" s="2"/>
      <c r="L39" s="2"/>
      <c r="M39" s="2"/>
      <c r="N39" s="2"/>
      <c r="O39" s="2"/>
      <c r="P39" s="2"/>
      <c r="Q39" s="2"/>
      <c r="R39" s="2"/>
      <c r="S39" s="2"/>
      <c r="T39" s="2"/>
      <c r="U39" s="2"/>
      <c r="V39" s="2"/>
      <c r="W39" s="2"/>
      <c r="X39" s="2"/>
      <c r="Y39" s="2"/>
      <c r="Z39" s="2"/>
      <c r="AA39" s="2"/>
      <c r="AB39" s="2"/>
    </row>
    <row r="40" spans="2:28" x14ac:dyDescent="0.2">
      <c r="B40" s="137"/>
      <c r="C40" s="2"/>
      <c r="D40" s="2"/>
      <c r="E40" s="2"/>
      <c r="F40" s="141"/>
      <c r="G40" s="2"/>
      <c r="I40" s="2"/>
      <c r="J40" s="2"/>
      <c r="K40" s="2"/>
      <c r="L40" s="2"/>
      <c r="M40" s="2"/>
      <c r="N40" s="2"/>
      <c r="O40" s="2"/>
      <c r="P40" s="2"/>
      <c r="Q40" s="2"/>
      <c r="R40" s="2"/>
      <c r="S40" s="2"/>
      <c r="T40" s="2"/>
      <c r="U40" s="2"/>
      <c r="V40" s="2"/>
      <c r="W40" s="2"/>
      <c r="X40" s="2"/>
      <c r="Y40" s="2"/>
      <c r="Z40" s="2"/>
      <c r="AA40" s="2"/>
      <c r="AB40" s="2"/>
    </row>
    <row r="41" spans="2:28" s="2" customFormat="1" x14ac:dyDescent="0.2">
      <c r="B41" s="142"/>
      <c r="C41" s="1" t="s">
        <v>639</v>
      </c>
      <c r="F41" s="141"/>
    </row>
    <row r="42" spans="2:28" x14ac:dyDescent="0.2">
      <c r="B42" s="137"/>
      <c r="C42" s="2" t="s">
        <v>158</v>
      </c>
      <c r="D42" s="2" t="s">
        <v>205</v>
      </c>
      <c r="E42" s="140">
        <f>Result!H45</f>
        <v>189.55349078801981</v>
      </c>
      <c r="F42" s="141"/>
      <c r="G42" s="2"/>
      <c r="I42" s="2"/>
      <c r="J42" s="2"/>
      <c r="K42" s="2"/>
      <c r="L42" s="2"/>
      <c r="M42" s="2"/>
      <c r="N42" s="2"/>
      <c r="O42" s="2"/>
      <c r="P42" s="2"/>
      <c r="Q42" s="2"/>
      <c r="R42" s="2"/>
      <c r="S42" s="2"/>
      <c r="T42" s="2"/>
      <c r="U42" s="2"/>
      <c r="V42" s="2"/>
      <c r="W42" s="2"/>
      <c r="X42" s="2"/>
      <c r="Y42" s="2"/>
      <c r="Z42" s="2"/>
      <c r="AA42" s="2"/>
      <c r="AB42" s="2"/>
    </row>
    <row r="43" spans="2:28" x14ac:dyDescent="0.2">
      <c r="B43" s="137"/>
      <c r="C43" s="2" t="s">
        <v>159</v>
      </c>
      <c r="D43" s="2" t="s">
        <v>205</v>
      </c>
      <c r="E43" s="140">
        <f>Result!H46</f>
        <v>205.78594305755018</v>
      </c>
      <c r="F43" s="141"/>
      <c r="G43" s="2"/>
      <c r="I43" s="2"/>
      <c r="J43" s="2"/>
      <c r="K43" s="2"/>
      <c r="L43" s="2"/>
      <c r="M43" s="2"/>
      <c r="N43" s="2"/>
      <c r="O43" s="2"/>
      <c r="P43" s="2"/>
      <c r="Q43" s="2"/>
      <c r="R43" s="2"/>
      <c r="S43" s="2"/>
      <c r="T43" s="2"/>
      <c r="U43" s="2"/>
      <c r="V43" s="2"/>
      <c r="W43" s="2"/>
      <c r="X43" s="2"/>
      <c r="Y43" s="2"/>
      <c r="Z43" s="2"/>
      <c r="AA43" s="2"/>
      <c r="AB43" s="2"/>
    </row>
    <row r="44" spans="2:28" x14ac:dyDescent="0.2">
      <c r="B44" s="143"/>
      <c r="C44" s="144"/>
      <c r="D44" s="144"/>
      <c r="E44" s="144"/>
      <c r="F44" s="145"/>
      <c r="G44" s="2"/>
      <c r="I44" s="2"/>
      <c r="J44" s="2"/>
      <c r="K44" s="2"/>
      <c r="L44" s="2"/>
      <c r="M44" s="2"/>
      <c r="N44" s="2"/>
      <c r="O44" s="2"/>
      <c r="P44" s="2"/>
      <c r="Q44" s="2"/>
      <c r="R44" s="2"/>
      <c r="S44" s="2"/>
      <c r="T44" s="2"/>
      <c r="U44" s="2"/>
      <c r="V44" s="2"/>
      <c r="W44" s="2"/>
      <c r="X44" s="2"/>
      <c r="Y44" s="2"/>
      <c r="Z44" s="2"/>
      <c r="AA44" s="2"/>
      <c r="AB44" s="2"/>
    </row>
    <row r="45" spans="2:28" x14ac:dyDescent="0.2">
      <c r="C45" s="2"/>
      <c r="D45" s="2"/>
      <c r="E45" s="2"/>
      <c r="F45" s="2"/>
      <c r="G45" s="2"/>
      <c r="I45" s="2"/>
      <c r="J45" s="2"/>
      <c r="K45" s="2"/>
      <c r="L45" s="2"/>
      <c r="M45" s="2"/>
      <c r="N45" s="2"/>
      <c r="O45" s="2"/>
      <c r="P45" s="2"/>
      <c r="Q45" s="2"/>
      <c r="R45" s="2"/>
      <c r="S45" s="2"/>
      <c r="T45" s="2"/>
      <c r="U45" s="2"/>
      <c r="V45" s="2"/>
      <c r="W45" s="2"/>
      <c r="X45" s="2"/>
      <c r="Y45" s="2"/>
      <c r="Z45" s="2"/>
      <c r="AA45" s="2"/>
      <c r="AB45" s="2"/>
    </row>
    <row r="46" spans="2:28" x14ac:dyDescent="0.2">
      <c r="B46" s="132"/>
      <c r="C46" s="146"/>
      <c r="D46" s="146"/>
      <c r="E46" s="146"/>
      <c r="F46" s="146"/>
      <c r="G46" s="147"/>
      <c r="I46" s="2"/>
      <c r="J46" s="2"/>
      <c r="K46" s="2"/>
      <c r="L46" s="2"/>
      <c r="M46" s="2"/>
      <c r="N46" s="2"/>
      <c r="O46" s="2"/>
      <c r="P46" s="2"/>
      <c r="Q46" s="2"/>
      <c r="R46" s="2"/>
      <c r="S46" s="2"/>
      <c r="T46" s="2"/>
      <c r="U46" s="2"/>
      <c r="V46" s="2"/>
      <c r="W46" s="2"/>
      <c r="X46" s="2"/>
      <c r="Y46" s="2"/>
      <c r="Z46" s="2"/>
      <c r="AA46" s="2"/>
      <c r="AB46" s="2"/>
    </row>
    <row r="47" spans="2:28" s="8" customFormat="1" x14ac:dyDescent="0.2">
      <c r="B47" s="135"/>
      <c r="C47" s="8" t="s">
        <v>692</v>
      </c>
      <c r="D47" s="8" t="s">
        <v>36</v>
      </c>
      <c r="G47" s="136"/>
    </row>
    <row r="48" spans="2:28" s="2" customFormat="1" x14ac:dyDescent="0.2">
      <c r="B48" s="142"/>
      <c r="G48" s="141"/>
    </row>
    <row r="49" spans="2:28" x14ac:dyDescent="0.2">
      <c r="B49" s="137"/>
      <c r="C49" s="1" t="s">
        <v>67</v>
      </c>
      <c r="D49" s="2"/>
      <c r="E49" s="2"/>
      <c r="F49" s="2"/>
      <c r="G49" s="141"/>
      <c r="I49" s="2"/>
      <c r="J49" s="2"/>
      <c r="K49" s="2"/>
      <c r="L49" s="2"/>
      <c r="M49" s="2"/>
      <c r="N49" s="2"/>
      <c r="O49" s="2"/>
      <c r="P49" s="2"/>
      <c r="Q49" s="2"/>
      <c r="R49" s="2"/>
      <c r="S49" s="2"/>
      <c r="T49" s="2"/>
      <c r="U49" s="2"/>
      <c r="V49" s="2"/>
      <c r="W49" s="2"/>
      <c r="X49" s="2"/>
      <c r="Y49" s="2"/>
      <c r="Z49" s="2"/>
      <c r="AA49" s="2"/>
      <c r="AB49" s="2"/>
    </row>
    <row r="50" spans="2:28" x14ac:dyDescent="0.2">
      <c r="B50" s="137"/>
      <c r="C50" s="2" t="s">
        <v>677</v>
      </c>
      <c r="D50" s="2" t="s">
        <v>88</v>
      </c>
      <c r="E50" s="148">
        <f>Parameters!H40</f>
        <v>6.4600000000000005E-2</v>
      </c>
      <c r="F50" s="2"/>
      <c r="G50" s="141"/>
      <c r="I50" s="2"/>
      <c r="J50" s="2"/>
      <c r="K50" s="2"/>
      <c r="L50" s="2"/>
      <c r="M50" s="2"/>
      <c r="N50" s="2"/>
      <c r="O50" s="2"/>
      <c r="P50" s="2"/>
      <c r="Q50" s="2"/>
      <c r="R50" s="2"/>
      <c r="S50" s="2"/>
      <c r="T50" s="2"/>
      <c r="U50" s="2"/>
      <c r="V50" s="2"/>
      <c r="W50" s="2"/>
      <c r="X50" s="2"/>
      <c r="Y50" s="2"/>
      <c r="Z50" s="2"/>
      <c r="AA50" s="2"/>
      <c r="AB50" s="2"/>
    </row>
    <row r="51" spans="2:28" x14ac:dyDescent="0.2">
      <c r="B51" s="137"/>
      <c r="C51" s="2" t="s">
        <v>678</v>
      </c>
      <c r="D51" s="2" t="s">
        <v>88</v>
      </c>
      <c r="E51" s="148">
        <f>Parameters!H41</f>
        <v>5.7200000000000001E-2</v>
      </c>
      <c r="F51" s="2"/>
      <c r="G51" s="141"/>
      <c r="I51" s="2"/>
      <c r="J51" s="2"/>
      <c r="K51" s="2"/>
      <c r="L51" s="2"/>
      <c r="M51" s="2"/>
      <c r="N51" s="2"/>
      <c r="O51" s="2"/>
      <c r="P51" s="2"/>
      <c r="Q51" s="2"/>
      <c r="R51" s="2"/>
      <c r="S51" s="2"/>
      <c r="T51" s="2"/>
      <c r="U51" s="2"/>
      <c r="V51" s="2"/>
      <c r="W51" s="2"/>
      <c r="X51" s="2"/>
      <c r="Y51" s="2"/>
      <c r="Z51" s="2"/>
      <c r="AA51" s="2"/>
      <c r="AB51" s="2"/>
    </row>
    <row r="52" spans="2:28" x14ac:dyDescent="0.2">
      <c r="B52" s="137"/>
      <c r="C52" s="2" t="s">
        <v>679</v>
      </c>
      <c r="D52" s="2" t="s">
        <v>88</v>
      </c>
      <c r="E52" s="148">
        <f>Parameters!H42</f>
        <v>6.3799999999999996E-2</v>
      </c>
      <c r="F52" s="2"/>
      <c r="G52" s="141"/>
      <c r="I52" s="2"/>
      <c r="J52" s="2"/>
      <c r="K52" s="2"/>
      <c r="L52" s="2"/>
      <c r="M52" s="2"/>
      <c r="N52" s="2"/>
      <c r="O52" s="2"/>
      <c r="P52" s="2"/>
      <c r="Q52" s="2"/>
      <c r="R52" s="2"/>
      <c r="S52" s="2"/>
      <c r="T52" s="2"/>
      <c r="U52" s="2"/>
      <c r="V52" s="2"/>
      <c r="W52" s="2"/>
      <c r="X52" s="2"/>
      <c r="Y52" s="2"/>
      <c r="Z52" s="2"/>
      <c r="AA52" s="2"/>
      <c r="AB52" s="2"/>
    </row>
    <row r="53" spans="2:28" x14ac:dyDescent="0.2">
      <c r="B53" s="137"/>
      <c r="C53" s="2" t="s">
        <v>87</v>
      </c>
      <c r="D53" s="2" t="s">
        <v>88</v>
      </c>
      <c r="E53" s="148">
        <f>Parameters!H27</f>
        <v>6.4000000000000001E-2</v>
      </c>
      <c r="F53" s="2"/>
      <c r="G53" s="141"/>
      <c r="I53" s="2"/>
      <c r="J53" s="2"/>
      <c r="K53" s="2"/>
      <c r="L53" s="2"/>
      <c r="M53" s="2"/>
      <c r="N53" s="2"/>
      <c r="O53" s="2"/>
      <c r="P53" s="2"/>
      <c r="Q53" s="2"/>
      <c r="R53" s="2"/>
      <c r="S53" s="2"/>
      <c r="T53" s="2"/>
      <c r="U53" s="2"/>
      <c r="V53" s="2"/>
      <c r="W53" s="2"/>
      <c r="X53" s="2"/>
      <c r="Y53" s="2"/>
      <c r="Z53" s="2"/>
      <c r="AA53" s="2"/>
      <c r="AB53" s="2"/>
    </row>
    <row r="54" spans="2:28" x14ac:dyDescent="0.2">
      <c r="B54" s="137"/>
      <c r="C54" s="2" t="s">
        <v>90</v>
      </c>
      <c r="D54" s="2" t="s">
        <v>88</v>
      </c>
      <c r="E54" s="148">
        <f>Parameters!H28</f>
        <v>-1.0999999999999999E-2</v>
      </c>
      <c r="F54" s="2"/>
      <c r="G54" s="141"/>
      <c r="I54" s="2"/>
      <c r="J54" s="2"/>
      <c r="K54" s="2"/>
      <c r="L54" s="2"/>
      <c r="M54" s="2"/>
      <c r="N54" s="2"/>
      <c r="O54" s="2"/>
      <c r="P54" s="2"/>
      <c r="Q54" s="2"/>
      <c r="R54" s="2"/>
      <c r="S54" s="2"/>
      <c r="T54" s="2"/>
      <c r="U54" s="2"/>
      <c r="V54" s="2"/>
      <c r="W54" s="2"/>
      <c r="X54" s="2"/>
      <c r="Y54" s="2"/>
      <c r="Z54" s="2"/>
      <c r="AA54" s="2"/>
      <c r="AB54" s="2"/>
    </row>
    <row r="55" spans="2:28" x14ac:dyDescent="0.2">
      <c r="B55" s="137"/>
      <c r="C55" s="2" t="s">
        <v>640</v>
      </c>
      <c r="D55" s="2" t="s">
        <v>88</v>
      </c>
      <c r="E55" s="148">
        <f>Parameters!H46</f>
        <v>0.5</v>
      </c>
      <c r="F55" s="2"/>
      <c r="G55" s="141"/>
      <c r="I55" s="2"/>
      <c r="J55" s="2"/>
      <c r="K55" s="2"/>
      <c r="L55" s="2"/>
      <c r="M55" s="2"/>
      <c r="N55" s="2"/>
      <c r="O55" s="2"/>
      <c r="P55" s="2"/>
      <c r="Q55" s="2"/>
      <c r="R55" s="2"/>
      <c r="S55" s="2"/>
      <c r="T55" s="2"/>
      <c r="U55" s="2"/>
      <c r="V55" s="2"/>
      <c r="W55" s="2"/>
      <c r="X55" s="2"/>
      <c r="Y55" s="2"/>
      <c r="Z55" s="2"/>
      <c r="AA55" s="2"/>
      <c r="AB55" s="2"/>
    </row>
    <row r="56" spans="2:28" x14ac:dyDescent="0.2">
      <c r="B56" s="137"/>
      <c r="C56" s="2" t="s">
        <v>94</v>
      </c>
      <c r="D56" s="2" t="s">
        <v>88</v>
      </c>
      <c r="E56" s="148">
        <f>Parameters!H32</f>
        <v>0.03</v>
      </c>
      <c r="F56" s="2"/>
      <c r="G56" s="141"/>
      <c r="I56" s="2"/>
      <c r="J56" s="2"/>
      <c r="K56" s="2"/>
      <c r="L56" s="2"/>
      <c r="M56" s="2"/>
      <c r="N56" s="2"/>
      <c r="O56" s="2"/>
      <c r="P56" s="2"/>
      <c r="Q56" s="2"/>
      <c r="R56" s="2"/>
      <c r="S56" s="2"/>
      <c r="T56" s="2"/>
      <c r="U56" s="2"/>
      <c r="V56" s="2"/>
      <c r="W56" s="2"/>
      <c r="X56" s="2"/>
      <c r="Y56" s="2"/>
      <c r="Z56" s="2"/>
      <c r="AA56" s="2"/>
      <c r="AB56" s="2"/>
    </row>
    <row r="57" spans="2:28" ht="12" customHeight="1" x14ac:dyDescent="0.2">
      <c r="B57" s="137"/>
      <c r="D57" s="2"/>
      <c r="G57" s="141"/>
      <c r="I57" s="2"/>
      <c r="J57" s="2"/>
      <c r="K57" s="2"/>
      <c r="L57" s="2"/>
      <c r="M57" s="2"/>
      <c r="N57" s="2"/>
      <c r="O57" s="2"/>
      <c r="P57" s="2"/>
      <c r="Q57" s="2"/>
      <c r="R57" s="2"/>
      <c r="S57" s="2"/>
      <c r="T57" s="2"/>
      <c r="U57" s="2"/>
      <c r="V57" s="2"/>
      <c r="W57" s="2"/>
      <c r="X57" s="2"/>
      <c r="Y57" s="2"/>
      <c r="Z57" s="2"/>
      <c r="AA57" s="2"/>
      <c r="AB57" s="2"/>
    </row>
    <row r="58" spans="2:28" ht="25.5" x14ac:dyDescent="0.2">
      <c r="B58" s="137"/>
      <c r="C58" s="1" t="s">
        <v>669</v>
      </c>
      <c r="D58" s="149"/>
      <c r="E58" s="150" t="s">
        <v>257</v>
      </c>
      <c r="F58" s="150" t="s">
        <v>73</v>
      </c>
      <c r="G58" s="141"/>
      <c r="I58" s="2"/>
      <c r="J58" s="2"/>
      <c r="K58" s="2"/>
      <c r="L58" s="2"/>
      <c r="M58" s="2"/>
      <c r="N58" s="2"/>
      <c r="O58" s="2"/>
      <c r="P58" s="2"/>
      <c r="Q58" s="2"/>
      <c r="R58" s="2"/>
      <c r="S58" s="2"/>
      <c r="T58" s="2"/>
      <c r="U58" s="2"/>
      <c r="V58" s="2"/>
      <c r="W58" s="2"/>
      <c r="X58" s="2"/>
      <c r="Y58" s="2"/>
      <c r="Z58" s="2"/>
      <c r="AA58" s="2"/>
      <c r="AB58" s="2"/>
    </row>
    <row r="59" spans="2:28" x14ac:dyDescent="0.2">
      <c r="B59" s="137"/>
      <c r="C59" s="2" t="s">
        <v>442</v>
      </c>
      <c r="D59" s="2" t="s">
        <v>108</v>
      </c>
      <c r="E59" s="151">
        <f>'Historical data'!L14</f>
        <v>2007361.6478045504</v>
      </c>
      <c r="F59" s="151">
        <f>'Historical data'!M14</f>
        <v>1040667.8730083217</v>
      </c>
      <c r="G59" s="141"/>
      <c r="I59" s="2"/>
      <c r="J59" s="2"/>
      <c r="K59" s="2"/>
      <c r="L59" s="2"/>
      <c r="M59" s="2"/>
      <c r="N59" s="2"/>
      <c r="O59" s="2"/>
      <c r="P59" s="2"/>
      <c r="Q59" s="2"/>
      <c r="R59" s="2"/>
      <c r="S59" s="2"/>
      <c r="T59" s="2"/>
      <c r="U59" s="2"/>
      <c r="V59" s="2"/>
      <c r="W59" s="2"/>
      <c r="X59" s="2"/>
      <c r="Y59" s="2"/>
      <c r="Z59" s="2"/>
      <c r="AA59" s="2"/>
      <c r="AB59" s="2"/>
    </row>
    <row r="60" spans="2:28" x14ac:dyDescent="0.2">
      <c r="B60" s="137"/>
      <c r="C60" s="2" t="s">
        <v>110</v>
      </c>
      <c r="D60" s="2" t="s">
        <v>108</v>
      </c>
      <c r="E60" s="151">
        <f>'Historical data'!L15</f>
        <v>2926.1146092557124</v>
      </c>
      <c r="F60" s="151">
        <f>'Historical data'!M15</f>
        <v>439515.27092647104</v>
      </c>
      <c r="G60" s="141"/>
      <c r="I60" s="2"/>
      <c r="J60" s="2"/>
      <c r="K60" s="2"/>
      <c r="L60" s="2"/>
      <c r="M60" s="2"/>
      <c r="N60" s="2"/>
      <c r="O60" s="2"/>
      <c r="P60" s="2"/>
      <c r="Q60" s="2"/>
      <c r="R60" s="2"/>
      <c r="S60" s="2"/>
      <c r="T60" s="2"/>
      <c r="U60" s="2"/>
      <c r="V60" s="2"/>
      <c r="W60" s="2"/>
      <c r="X60" s="2"/>
      <c r="Y60" s="2"/>
      <c r="Z60" s="2"/>
      <c r="AA60" s="2"/>
      <c r="AB60" s="2"/>
    </row>
    <row r="61" spans="2:28" x14ac:dyDescent="0.2">
      <c r="B61" s="137"/>
      <c r="C61" s="2" t="s">
        <v>670</v>
      </c>
      <c r="D61" s="2" t="s">
        <v>114</v>
      </c>
      <c r="E61" s="151">
        <f>'Historical data'!L21</f>
        <v>2807790.6419269913</v>
      </c>
      <c r="F61" s="151">
        <f>'Historical data'!M21</f>
        <v>2099727.8190321838</v>
      </c>
      <c r="G61" s="141"/>
      <c r="I61" s="2"/>
      <c r="J61" s="2"/>
      <c r="K61" s="2"/>
      <c r="L61" s="2"/>
      <c r="M61" s="2"/>
      <c r="N61" s="2"/>
      <c r="O61" s="2"/>
      <c r="P61" s="2"/>
      <c r="Q61" s="2"/>
      <c r="R61" s="2"/>
      <c r="S61" s="2"/>
      <c r="T61" s="2"/>
      <c r="U61" s="2"/>
      <c r="V61" s="2"/>
      <c r="W61" s="2"/>
      <c r="X61" s="2"/>
      <c r="Y61" s="2"/>
      <c r="Z61" s="2"/>
      <c r="AA61" s="2"/>
      <c r="AB61" s="2"/>
    </row>
    <row r="62" spans="2:28" x14ac:dyDescent="0.2">
      <c r="B62" s="137"/>
      <c r="C62" s="2" t="s">
        <v>671</v>
      </c>
      <c r="D62" s="2" t="s">
        <v>114</v>
      </c>
      <c r="E62" s="151">
        <f>'Historical data'!L22</f>
        <v>369335.68785139988</v>
      </c>
      <c r="F62" s="151">
        <f>'Historical data'!M22</f>
        <v>198076.97728293162</v>
      </c>
      <c r="G62" s="141"/>
      <c r="I62" s="2"/>
      <c r="J62" s="2"/>
      <c r="K62" s="2"/>
      <c r="L62" s="2"/>
      <c r="M62" s="2"/>
      <c r="N62" s="2"/>
      <c r="O62" s="2"/>
      <c r="P62" s="2"/>
      <c r="Q62" s="2"/>
      <c r="R62" s="2"/>
      <c r="S62" s="2"/>
      <c r="T62" s="2"/>
      <c r="U62" s="2"/>
      <c r="V62" s="2"/>
      <c r="W62" s="2"/>
      <c r="X62" s="2"/>
      <c r="Y62" s="2"/>
      <c r="Z62" s="2"/>
      <c r="AA62" s="2"/>
      <c r="AB62" s="2"/>
    </row>
    <row r="63" spans="2:28" x14ac:dyDescent="0.2">
      <c r="B63" s="137"/>
      <c r="C63" s="2"/>
      <c r="D63" s="2"/>
      <c r="E63" s="2"/>
      <c r="F63" s="2"/>
      <c r="G63" s="141"/>
      <c r="I63" s="2"/>
      <c r="J63" s="2"/>
      <c r="K63" s="2"/>
      <c r="L63" s="2"/>
      <c r="M63" s="2"/>
      <c r="N63" s="2"/>
      <c r="O63" s="2"/>
      <c r="P63" s="2"/>
      <c r="Q63" s="2"/>
      <c r="R63" s="2"/>
      <c r="S63" s="2"/>
      <c r="T63" s="2"/>
      <c r="U63" s="2"/>
      <c r="V63" s="2"/>
      <c r="W63" s="2"/>
      <c r="X63" s="2"/>
      <c r="Y63" s="2"/>
      <c r="Z63" s="2"/>
      <c r="AA63" s="2"/>
      <c r="AB63" s="2"/>
    </row>
    <row r="64" spans="2:28" x14ac:dyDescent="0.2">
      <c r="B64" s="137"/>
      <c r="C64" s="1" t="s">
        <v>661</v>
      </c>
      <c r="D64" s="2"/>
      <c r="E64" s="2"/>
      <c r="F64" s="2"/>
      <c r="G64" s="141"/>
      <c r="I64" s="2"/>
      <c r="J64" s="2"/>
      <c r="K64" s="2"/>
      <c r="L64" s="2"/>
      <c r="M64" s="2"/>
      <c r="N64" s="2"/>
      <c r="O64" s="2"/>
      <c r="P64" s="2"/>
      <c r="Q64" s="2"/>
      <c r="R64" s="2"/>
      <c r="S64" s="2"/>
      <c r="T64" s="2"/>
      <c r="U64" s="2"/>
      <c r="V64" s="2"/>
      <c r="W64" s="2"/>
      <c r="X64" s="2"/>
      <c r="Y64" s="2"/>
      <c r="Z64" s="2"/>
      <c r="AA64" s="2"/>
      <c r="AB64" s="2"/>
    </row>
    <row r="65" spans="2:28" x14ac:dyDescent="0.2">
      <c r="B65" s="137"/>
      <c r="C65" s="67" t="s">
        <v>729</v>
      </c>
      <c r="D65" s="2" t="s">
        <v>114</v>
      </c>
      <c r="E65" s="151">
        <f>'Major occurrences'!L52</f>
        <v>147382.57311481124</v>
      </c>
      <c r="F65" s="2"/>
      <c r="G65" s="141"/>
      <c r="I65" s="2"/>
      <c r="J65" s="2"/>
      <c r="K65" s="2"/>
      <c r="L65" s="2"/>
      <c r="M65" s="2"/>
      <c r="N65" s="2"/>
      <c r="O65" s="2"/>
      <c r="P65" s="2"/>
      <c r="Q65" s="2"/>
      <c r="R65" s="2"/>
      <c r="S65" s="2"/>
      <c r="T65" s="2"/>
      <c r="U65" s="2"/>
      <c r="V65" s="2"/>
      <c r="W65" s="2"/>
      <c r="X65" s="2"/>
      <c r="Y65" s="2"/>
      <c r="Z65" s="2"/>
      <c r="AA65" s="2"/>
      <c r="AB65" s="2"/>
    </row>
    <row r="66" spans="2:28" x14ac:dyDescent="0.2">
      <c r="B66" s="137"/>
      <c r="C66" s="2"/>
      <c r="D66" s="2"/>
      <c r="E66" s="2"/>
      <c r="F66" s="2"/>
      <c r="G66" s="141"/>
      <c r="I66" s="2"/>
      <c r="J66" s="2"/>
      <c r="K66" s="2"/>
      <c r="L66" s="2"/>
      <c r="M66" s="2"/>
      <c r="N66" s="2"/>
      <c r="O66" s="2"/>
      <c r="P66" s="2"/>
      <c r="Q66" s="2"/>
      <c r="R66" s="2"/>
      <c r="S66" s="2"/>
      <c r="T66" s="2"/>
      <c r="U66" s="2"/>
      <c r="V66" s="2"/>
      <c r="W66" s="2"/>
      <c r="X66" s="2"/>
      <c r="Y66" s="2"/>
      <c r="Z66" s="2"/>
      <c r="AA66" s="2"/>
      <c r="AB66" s="2"/>
    </row>
    <row r="67" spans="2:28" x14ac:dyDescent="0.2">
      <c r="B67" s="137"/>
      <c r="C67" s="1" t="s">
        <v>204</v>
      </c>
      <c r="D67" s="2"/>
      <c r="G67" s="138"/>
      <c r="K67" s="152"/>
    </row>
    <row r="68" spans="2:28" x14ac:dyDescent="0.2">
      <c r="B68" s="137"/>
      <c r="C68" s="2" t="s">
        <v>672</v>
      </c>
      <c r="D68" s="2" t="s">
        <v>205</v>
      </c>
      <c r="E68" s="151">
        <f>'Overview corrections'!L37</f>
        <v>185471.93721429058</v>
      </c>
      <c r="F68" s="151">
        <f>'Overview corrections'!M37</f>
        <v>6365.3392248225482</v>
      </c>
      <c r="G68" s="138"/>
    </row>
    <row r="69" spans="2:28" x14ac:dyDescent="0.2">
      <c r="B69" s="137"/>
      <c r="C69" s="2" t="s">
        <v>673</v>
      </c>
      <c r="D69" s="2" t="s">
        <v>205</v>
      </c>
      <c r="E69" s="151">
        <f>'Overview corrections'!L38</f>
        <v>110859.13597080897</v>
      </c>
      <c r="F69" s="151">
        <f>'Overview corrections'!M38</f>
        <v>-164161.80578310363</v>
      </c>
      <c r="G69" s="138"/>
    </row>
    <row r="70" spans="2:28" x14ac:dyDescent="0.2">
      <c r="B70" s="137"/>
      <c r="C70" s="2" t="s">
        <v>206</v>
      </c>
      <c r="D70" s="2" t="s">
        <v>205</v>
      </c>
      <c r="F70" s="151">
        <f>'Overview corrections'!M44</f>
        <v>-118397.51612508438</v>
      </c>
      <c r="G70" s="138"/>
    </row>
    <row r="71" spans="2:28" x14ac:dyDescent="0.2">
      <c r="B71" s="137"/>
      <c r="C71" s="2" t="s">
        <v>561</v>
      </c>
      <c r="D71" s="2" t="s">
        <v>205</v>
      </c>
      <c r="E71" s="151">
        <f>'Overview corrections'!L35</f>
        <v>430068.55439853587</v>
      </c>
      <c r="G71" s="138"/>
    </row>
    <row r="72" spans="2:28" x14ac:dyDescent="0.2">
      <c r="B72" s="137"/>
      <c r="C72" s="2" t="s">
        <v>292</v>
      </c>
      <c r="D72" s="2" t="s">
        <v>205</v>
      </c>
      <c r="F72" s="151">
        <f>'Overview corrections'!M43</f>
        <v>-217598.35858108188</v>
      </c>
      <c r="G72" s="138"/>
    </row>
    <row r="73" spans="2:28" x14ac:dyDescent="0.2">
      <c r="B73" s="137"/>
      <c r="C73" s="119" t="s">
        <v>533</v>
      </c>
      <c r="D73" s="2" t="s">
        <v>205</v>
      </c>
      <c r="E73" s="151">
        <f>'Overview corrections'!L40</f>
        <v>349266.70783299999</v>
      </c>
      <c r="G73" s="138"/>
    </row>
    <row r="74" spans="2:28" x14ac:dyDescent="0.2">
      <c r="B74" s="137"/>
      <c r="C74" s="1"/>
      <c r="D74" s="2"/>
      <c r="E74" s="2"/>
      <c r="F74" s="2"/>
      <c r="G74" s="141"/>
    </row>
    <row r="75" spans="2:28" x14ac:dyDescent="0.2">
      <c r="B75" s="137"/>
      <c r="C75" s="1" t="s">
        <v>683</v>
      </c>
      <c r="D75" s="2"/>
      <c r="E75" s="2"/>
      <c r="F75" s="2"/>
      <c r="G75" s="141"/>
      <c r="I75" s="2"/>
      <c r="J75" s="2"/>
    </row>
    <row r="76" spans="2:28" x14ac:dyDescent="0.2">
      <c r="B76" s="137"/>
      <c r="C76" s="67" t="s">
        <v>684</v>
      </c>
      <c r="D76" s="2" t="s">
        <v>205</v>
      </c>
      <c r="E76" s="151">
        <f>'Calculation cost base 2024'!L76</f>
        <v>2830364.3503505941</v>
      </c>
      <c r="F76" s="151">
        <f>'Calculation cost base 2024'!M76</f>
        <v>966516.46614236105</v>
      </c>
      <c r="G76" s="138"/>
    </row>
    <row r="77" spans="2:28" x14ac:dyDescent="0.2">
      <c r="B77" s="137"/>
      <c r="C77" s="67" t="s">
        <v>641</v>
      </c>
      <c r="D77" s="2" t="s">
        <v>288</v>
      </c>
      <c r="E77" s="153">
        <f>'Calculation cost base 2024'!L71</f>
        <v>2.6161065362456073E-2</v>
      </c>
      <c r="F77" s="153">
        <f>'Calculation cost base 2024'!M71</f>
        <v>25.310497736553295</v>
      </c>
      <c r="G77" s="138"/>
      <c r="J77" s="2"/>
    </row>
    <row r="78" spans="2:28" x14ac:dyDescent="0.2">
      <c r="B78" s="137"/>
      <c r="C78" s="67" t="s">
        <v>685</v>
      </c>
      <c r="D78" s="2" t="s">
        <v>205</v>
      </c>
      <c r="E78" s="151">
        <f>'Electricity Production'!L29</f>
        <v>4025304.4163769903</v>
      </c>
      <c r="F78" s="151">
        <f>'Electricity Distribution'!M72</f>
        <v>868070.68412293587</v>
      </c>
      <c r="G78" s="138"/>
    </row>
    <row r="79" spans="2:28" x14ac:dyDescent="0.2">
      <c r="B79" s="137"/>
      <c r="G79" s="138"/>
    </row>
    <row r="80" spans="2:28" x14ac:dyDescent="0.2">
      <c r="B80" s="137"/>
      <c r="C80" s="154" t="s">
        <v>689</v>
      </c>
      <c r="G80" s="138"/>
    </row>
    <row r="81" spans="2:7" x14ac:dyDescent="0.2">
      <c r="B81" s="137"/>
      <c r="C81" s="2" t="s">
        <v>642</v>
      </c>
      <c r="D81" s="2" t="s">
        <v>125</v>
      </c>
      <c r="E81" s="151">
        <f>'Estimates for 2024'!L22</f>
        <v>16551729.997999959</v>
      </c>
      <c r="G81" s="138"/>
    </row>
    <row r="82" spans="2:7" x14ac:dyDescent="0.2">
      <c r="B82" s="137"/>
      <c r="C82" s="2" t="s">
        <v>643</v>
      </c>
      <c r="D82" s="2" t="s">
        <v>125</v>
      </c>
      <c r="E82" s="151">
        <f>'Estimates for 2024'!L20</f>
        <v>7999999.9999999702</v>
      </c>
      <c r="G82" s="138"/>
    </row>
    <row r="83" spans="2:7" x14ac:dyDescent="0.2">
      <c r="B83" s="137"/>
      <c r="C83" s="2" t="s">
        <v>644</v>
      </c>
      <c r="D83" s="2" t="s">
        <v>125</v>
      </c>
      <c r="E83" s="151">
        <f>'Estimates for 2024'!L21</f>
        <v>8551729.9979999885</v>
      </c>
      <c r="G83" s="138"/>
    </row>
    <row r="84" spans="2:7" x14ac:dyDescent="0.2">
      <c r="B84" s="137"/>
      <c r="C84" s="2" t="s">
        <v>645</v>
      </c>
      <c r="D84" s="2" t="s">
        <v>646</v>
      </c>
      <c r="E84" s="153">
        <f>'Estimates for 2024'!L35</f>
        <v>0.27626522408947457</v>
      </c>
      <c r="G84" s="138"/>
    </row>
    <row r="85" spans="2:7" x14ac:dyDescent="0.2">
      <c r="B85" s="137"/>
      <c r="C85" s="2" t="s">
        <v>647</v>
      </c>
      <c r="D85" s="2" t="s">
        <v>144</v>
      </c>
      <c r="E85" s="155">
        <f>'Historical data'!H31</f>
        <v>0.98250869816863085</v>
      </c>
      <c r="G85" s="138"/>
    </row>
    <row r="86" spans="2:7" x14ac:dyDescent="0.2">
      <c r="B86" s="137"/>
      <c r="C86" s="2"/>
      <c r="D86" s="2"/>
      <c r="E86" s="156"/>
      <c r="G86" s="138"/>
    </row>
    <row r="87" spans="2:7" x14ac:dyDescent="0.2">
      <c r="B87" s="137"/>
      <c r="C87" s="2" t="s">
        <v>690</v>
      </c>
      <c r="D87" s="2" t="s">
        <v>88</v>
      </c>
      <c r="F87" s="157">
        <f>'Estimates for 2024'!M17</f>
        <v>0.12</v>
      </c>
      <c r="G87" s="138"/>
    </row>
    <row r="88" spans="2:7" x14ac:dyDescent="0.2">
      <c r="B88" s="137"/>
      <c r="C88" s="2" t="s">
        <v>691</v>
      </c>
      <c r="D88" s="2" t="s">
        <v>126</v>
      </c>
      <c r="F88" s="151">
        <f>'Estimates for 2024'!M65</f>
        <v>18840.837267081202</v>
      </c>
      <c r="G88" s="138"/>
    </row>
    <row r="89" spans="2:7" x14ac:dyDescent="0.2">
      <c r="B89" s="137"/>
      <c r="G89" s="138"/>
    </row>
    <row r="90" spans="2:7" x14ac:dyDescent="0.2">
      <c r="B90" s="137"/>
      <c r="G90" s="138"/>
    </row>
    <row r="91" spans="2:7" x14ac:dyDescent="0.2">
      <c r="B91" s="137"/>
      <c r="C91" s="67" t="s">
        <v>648</v>
      </c>
      <c r="G91" s="138"/>
    </row>
    <row r="92" spans="2:7" x14ac:dyDescent="0.2">
      <c r="B92" s="137"/>
      <c r="G92" s="138"/>
    </row>
    <row r="93" spans="2:7" x14ac:dyDescent="0.2">
      <c r="B93" s="143"/>
      <c r="C93" s="158"/>
      <c r="D93" s="158"/>
      <c r="E93" s="158"/>
      <c r="F93" s="158"/>
      <c r="G93" s="159"/>
    </row>
  </sheetData>
  <phoneticPr fontId="31"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468C9-1105-4652-A659-6B0449E3C922}">
  <sheetPr>
    <tabColor rgb="FFCCFFFF"/>
  </sheetPr>
  <dimension ref="B2:AB75"/>
  <sheetViews>
    <sheetView showGridLines="0" zoomScale="85" zoomScaleNormal="85" workbookViewId="0"/>
  </sheetViews>
  <sheetFormatPr defaultRowHeight="12.75" x14ac:dyDescent="0.2"/>
  <cols>
    <col min="1" max="1" width="9.140625" style="67"/>
    <col min="2" max="2" width="4.85546875" style="67" customWidth="1"/>
    <col min="3" max="3" width="59.140625" style="67" customWidth="1"/>
    <col min="4" max="4" width="20.140625" style="67" customWidth="1"/>
    <col min="5" max="7" width="14.42578125" style="67" customWidth="1"/>
    <col min="8" max="8" width="5" style="67" customWidth="1"/>
    <col min="9" max="16384" width="9.140625" style="67"/>
  </cols>
  <sheetData>
    <row r="2" spans="2:8" s="7" customFormat="1" ht="18" x14ac:dyDescent="0.2">
      <c r="C2" s="7" t="s">
        <v>652</v>
      </c>
    </row>
    <row r="3" spans="2:8" x14ac:dyDescent="0.2">
      <c r="B3" s="2"/>
      <c r="C3" s="2"/>
      <c r="D3" s="2"/>
      <c r="E3" s="2"/>
      <c r="F3" s="2"/>
      <c r="G3" s="2"/>
    </row>
    <row r="4" spans="2:8" x14ac:dyDescent="0.2">
      <c r="C4" s="19" t="s">
        <v>103</v>
      </c>
      <c r="D4" s="2"/>
      <c r="E4" s="2"/>
      <c r="F4" s="2"/>
      <c r="G4" s="2"/>
      <c r="H4" s="2"/>
    </row>
    <row r="5" spans="2:8" x14ac:dyDescent="0.2">
      <c r="C5" s="2" t="s">
        <v>649</v>
      </c>
      <c r="D5" s="2"/>
      <c r="E5" s="13"/>
      <c r="F5" s="2"/>
      <c r="G5" s="2"/>
      <c r="H5" s="2"/>
    </row>
    <row r="6" spans="2:8" x14ac:dyDescent="0.2">
      <c r="B6" s="2"/>
      <c r="C6" s="2"/>
      <c r="D6" s="2"/>
      <c r="E6" s="2"/>
      <c r="F6" s="2"/>
      <c r="G6" s="2"/>
      <c r="H6" s="2"/>
    </row>
    <row r="7" spans="2:8" s="8" customFormat="1" x14ac:dyDescent="0.2">
      <c r="C7" s="8" t="s">
        <v>616</v>
      </c>
      <c r="D7" s="8" t="s">
        <v>36</v>
      </c>
    </row>
    <row r="9" spans="2:8" x14ac:dyDescent="0.2">
      <c r="C9" s="1" t="s">
        <v>653</v>
      </c>
      <c r="D9" s="67" t="s">
        <v>667</v>
      </c>
      <c r="E9" s="131">
        <f>Result!H51</f>
        <v>5.5023984424735932</v>
      </c>
    </row>
    <row r="10" spans="2:8" x14ac:dyDescent="0.2">
      <c r="C10" s="1"/>
    </row>
    <row r="11" spans="2:8" x14ac:dyDescent="0.2">
      <c r="B11" s="132"/>
      <c r="C11" s="133"/>
      <c r="D11" s="133"/>
      <c r="E11" s="133"/>
      <c r="F11" s="134"/>
    </row>
    <row r="12" spans="2:8" s="8" customFormat="1" x14ac:dyDescent="0.2">
      <c r="B12" s="135"/>
      <c r="C12" s="8" t="s">
        <v>675</v>
      </c>
      <c r="D12" s="8" t="s">
        <v>36</v>
      </c>
      <c r="F12" s="136"/>
    </row>
    <row r="13" spans="2:8" x14ac:dyDescent="0.2">
      <c r="B13" s="137"/>
      <c r="F13" s="138"/>
    </row>
    <row r="14" spans="2:8" x14ac:dyDescent="0.2">
      <c r="B14" s="137"/>
      <c r="C14" s="1" t="s">
        <v>654</v>
      </c>
      <c r="D14" s="67" t="s">
        <v>667</v>
      </c>
      <c r="E14" s="131">
        <f>Result!H54</f>
        <v>8.2902016236452258</v>
      </c>
      <c r="F14" s="138"/>
    </row>
    <row r="15" spans="2:8" x14ac:dyDescent="0.2">
      <c r="B15" s="137"/>
      <c r="F15" s="138"/>
    </row>
    <row r="16" spans="2:8" x14ac:dyDescent="0.2">
      <c r="B16" s="137"/>
      <c r="C16" s="1" t="s">
        <v>655</v>
      </c>
      <c r="D16" s="67" t="s">
        <v>668</v>
      </c>
      <c r="E16" s="139">
        <f>Result!H57</f>
        <v>95.389770046420324</v>
      </c>
      <c r="F16" s="138"/>
    </row>
    <row r="17" spans="2:10" x14ac:dyDescent="0.2">
      <c r="B17" s="137"/>
      <c r="C17" s="2"/>
      <c r="D17" s="2"/>
      <c r="E17" s="2"/>
      <c r="F17" s="141"/>
      <c r="G17" s="2"/>
      <c r="H17" s="2"/>
      <c r="I17" s="2"/>
      <c r="J17" s="2"/>
    </row>
    <row r="18" spans="2:10" x14ac:dyDescent="0.2">
      <c r="B18" s="137"/>
      <c r="C18" s="1" t="s">
        <v>656</v>
      </c>
      <c r="D18" s="2"/>
      <c r="E18" s="2"/>
      <c r="F18" s="141"/>
      <c r="G18" s="2"/>
      <c r="H18" s="2"/>
      <c r="I18" s="2"/>
      <c r="J18" s="2"/>
    </row>
    <row r="19" spans="2:10" x14ac:dyDescent="0.2">
      <c r="B19" s="137"/>
      <c r="C19" s="2" t="s">
        <v>238</v>
      </c>
      <c r="D19" s="2" t="s">
        <v>205</v>
      </c>
      <c r="E19" s="140">
        <f>Result!H60</f>
        <v>40</v>
      </c>
      <c r="F19" s="141"/>
      <c r="G19" s="2"/>
      <c r="H19" s="2"/>
      <c r="I19" s="2"/>
      <c r="J19" s="2"/>
    </row>
    <row r="20" spans="2:10" x14ac:dyDescent="0.2">
      <c r="B20" s="137"/>
      <c r="C20" s="2" t="s">
        <v>251</v>
      </c>
      <c r="D20" s="2" t="s">
        <v>205</v>
      </c>
      <c r="E20" s="140">
        <f>Result!H63</f>
        <v>272.94023816097268</v>
      </c>
      <c r="F20" s="141"/>
      <c r="G20" s="2"/>
      <c r="H20" s="2"/>
      <c r="I20" s="2"/>
      <c r="J20" s="2"/>
    </row>
    <row r="21" spans="2:10" x14ac:dyDescent="0.2">
      <c r="B21" s="137"/>
      <c r="C21" s="2" t="s">
        <v>252</v>
      </c>
      <c r="D21" s="2" t="s">
        <v>205</v>
      </c>
      <c r="E21" s="140">
        <f>Result!H64</f>
        <v>189.55349078801981</v>
      </c>
      <c r="F21" s="141"/>
      <c r="G21" s="2"/>
      <c r="H21" s="2"/>
      <c r="I21" s="2"/>
      <c r="J21" s="2"/>
    </row>
    <row r="22" spans="2:10" x14ac:dyDescent="0.2">
      <c r="B22" s="142"/>
      <c r="C22" s="2"/>
      <c r="D22" s="2"/>
      <c r="E22" s="2"/>
      <c r="F22" s="141"/>
      <c r="G22" s="2"/>
      <c r="H22" s="2"/>
      <c r="I22" s="2"/>
      <c r="J22" s="2"/>
    </row>
    <row r="23" spans="2:10" x14ac:dyDescent="0.2">
      <c r="B23" s="137"/>
      <c r="C23" s="1" t="s">
        <v>253</v>
      </c>
      <c r="D23" s="2"/>
      <c r="E23" s="2"/>
      <c r="F23" s="141"/>
      <c r="G23" s="2"/>
      <c r="H23" s="2"/>
      <c r="I23" s="2"/>
      <c r="J23" s="2"/>
    </row>
    <row r="24" spans="2:10" x14ac:dyDescent="0.2">
      <c r="B24" s="137"/>
      <c r="C24" s="2" t="s">
        <v>657</v>
      </c>
      <c r="D24" s="67" t="s">
        <v>667</v>
      </c>
      <c r="E24" s="160">
        <f>Result!H67</f>
        <v>9.8362478495661279</v>
      </c>
      <c r="F24" s="141"/>
      <c r="G24" s="2"/>
      <c r="H24" s="2"/>
      <c r="I24" s="2"/>
      <c r="J24" s="2"/>
    </row>
    <row r="25" spans="2:10" x14ac:dyDescent="0.2">
      <c r="B25" s="143"/>
      <c r="C25" s="144"/>
      <c r="D25" s="144"/>
      <c r="E25" s="144"/>
      <c r="F25" s="145"/>
      <c r="G25" s="2"/>
      <c r="H25" s="2"/>
      <c r="I25" s="2"/>
      <c r="J25" s="2"/>
    </row>
    <row r="26" spans="2:10" x14ac:dyDescent="0.2">
      <c r="C26" s="2"/>
      <c r="D26" s="2"/>
      <c r="E26" s="2"/>
      <c r="F26" s="2"/>
      <c r="G26" s="2"/>
      <c r="H26" s="2"/>
      <c r="I26" s="2"/>
      <c r="J26" s="2"/>
    </row>
    <row r="27" spans="2:10" x14ac:dyDescent="0.2">
      <c r="B27" s="132"/>
      <c r="C27" s="146"/>
      <c r="D27" s="146"/>
      <c r="E27" s="146"/>
      <c r="F27" s="146"/>
      <c r="G27" s="146"/>
      <c r="H27" s="147"/>
      <c r="I27" s="2"/>
      <c r="J27" s="2"/>
    </row>
    <row r="28" spans="2:10" s="8" customFormat="1" x14ac:dyDescent="0.2">
      <c r="B28" s="135"/>
      <c r="C28" s="8" t="s">
        <v>676</v>
      </c>
      <c r="D28" s="8" t="s">
        <v>36</v>
      </c>
      <c r="H28" s="136"/>
    </row>
    <row r="29" spans="2:10" x14ac:dyDescent="0.2">
      <c r="B29" s="142"/>
      <c r="C29" s="2"/>
      <c r="D29" s="2"/>
      <c r="E29" s="2"/>
      <c r="F29" s="2"/>
      <c r="G29" s="2"/>
      <c r="H29" s="141"/>
      <c r="I29" s="2"/>
      <c r="J29" s="2"/>
    </row>
    <row r="30" spans="2:10" x14ac:dyDescent="0.2">
      <c r="B30" s="137"/>
      <c r="C30" s="1" t="s">
        <v>67</v>
      </c>
      <c r="D30" s="2"/>
      <c r="E30" s="2"/>
      <c r="F30" s="2"/>
      <c r="G30" s="2"/>
      <c r="H30" s="141"/>
      <c r="I30" s="2"/>
      <c r="J30" s="2"/>
    </row>
    <row r="31" spans="2:10" x14ac:dyDescent="0.2">
      <c r="B31" s="137"/>
      <c r="C31" s="2" t="s">
        <v>677</v>
      </c>
      <c r="D31" s="2" t="s">
        <v>88</v>
      </c>
      <c r="E31" s="148">
        <f>Parameters!H40</f>
        <v>6.4600000000000005E-2</v>
      </c>
      <c r="F31" s="2"/>
      <c r="G31" s="2"/>
      <c r="H31" s="141"/>
      <c r="I31" s="2"/>
      <c r="J31" s="2"/>
    </row>
    <row r="32" spans="2:10" x14ac:dyDescent="0.2">
      <c r="B32" s="137"/>
      <c r="C32" s="2" t="s">
        <v>678</v>
      </c>
      <c r="D32" s="2" t="s">
        <v>88</v>
      </c>
      <c r="E32" s="148">
        <f>Parameters!H41</f>
        <v>5.7200000000000001E-2</v>
      </c>
      <c r="F32" s="2"/>
      <c r="G32" s="2"/>
      <c r="H32" s="141"/>
      <c r="I32" s="2"/>
      <c r="J32" s="2"/>
    </row>
    <row r="33" spans="2:28" x14ac:dyDescent="0.2">
      <c r="B33" s="137"/>
      <c r="C33" s="2" t="s">
        <v>679</v>
      </c>
      <c r="D33" s="2" t="s">
        <v>88</v>
      </c>
      <c r="E33" s="148">
        <f>Parameters!H42</f>
        <v>6.3799999999999996E-2</v>
      </c>
      <c r="F33" s="2"/>
      <c r="G33" s="2"/>
      <c r="H33" s="141"/>
      <c r="I33" s="2"/>
      <c r="J33" s="2"/>
    </row>
    <row r="34" spans="2:28" x14ac:dyDescent="0.2">
      <c r="B34" s="137"/>
      <c r="C34" s="2" t="s">
        <v>87</v>
      </c>
      <c r="D34" s="2" t="s">
        <v>88</v>
      </c>
      <c r="E34" s="148">
        <f>Parameters!H27</f>
        <v>6.4000000000000001E-2</v>
      </c>
      <c r="F34" s="2"/>
      <c r="G34" s="2"/>
      <c r="H34" s="141"/>
      <c r="I34" s="2"/>
      <c r="J34" s="2"/>
    </row>
    <row r="35" spans="2:28" x14ac:dyDescent="0.2">
      <c r="B35" s="137"/>
      <c r="C35" s="2" t="s">
        <v>90</v>
      </c>
      <c r="D35" s="2" t="s">
        <v>88</v>
      </c>
      <c r="E35" s="148">
        <f>Parameters!H28</f>
        <v>-1.0999999999999999E-2</v>
      </c>
      <c r="F35" s="2"/>
      <c r="G35" s="2"/>
      <c r="H35" s="141"/>
      <c r="I35" s="2"/>
      <c r="J35" s="2"/>
    </row>
    <row r="36" spans="2:28" x14ac:dyDescent="0.2">
      <c r="B36" s="137"/>
      <c r="C36" s="2" t="s">
        <v>94</v>
      </c>
      <c r="D36" s="2" t="s">
        <v>88</v>
      </c>
      <c r="E36" s="148">
        <f>Parameters!H32</f>
        <v>0.03</v>
      </c>
      <c r="F36" s="2"/>
      <c r="G36" s="2"/>
      <c r="H36" s="141"/>
      <c r="I36" s="2"/>
      <c r="J36" s="2"/>
    </row>
    <row r="37" spans="2:28" x14ac:dyDescent="0.2">
      <c r="B37" s="137"/>
      <c r="C37" s="2" t="s">
        <v>680</v>
      </c>
      <c r="D37" s="2" t="s">
        <v>88</v>
      </c>
      <c r="E37" s="148">
        <f>'Estimates for 2024'!P28</f>
        <v>1.2820512820512822E-2</v>
      </c>
      <c r="F37" s="2"/>
      <c r="G37" s="2"/>
      <c r="H37" s="141"/>
      <c r="I37" s="2"/>
      <c r="J37" s="2"/>
    </row>
    <row r="38" spans="2:28" x14ac:dyDescent="0.2">
      <c r="B38" s="137"/>
      <c r="C38" s="2" t="s">
        <v>658</v>
      </c>
      <c r="D38" s="2" t="s">
        <v>88</v>
      </c>
      <c r="E38" s="148">
        <f>Parameters!H46</f>
        <v>0.5</v>
      </c>
      <c r="F38" s="2"/>
      <c r="H38" s="141"/>
      <c r="I38" s="2"/>
      <c r="J38" s="2"/>
      <c r="K38" s="2"/>
      <c r="L38" s="2"/>
      <c r="M38" s="2"/>
      <c r="N38" s="2"/>
      <c r="O38" s="2"/>
      <c r="P38" s="2"/>
      <c r="Q38" s="2"/>
      <c r="R38" s="2"/>
      <c r="S38" s="2"/>
      <c r="T38" s="2"/>
      <c r="U38" s="2"/>
      <c r="V38" s="2"/>
      <c r="W38" s="2"/>
      <c r="X38" s="2"/>
      <c r="Y38" s="2"/>
      <c r="Z38" s="2"/>
      <c r="AA38" s="2"/>
      <c r="AB38" s="2"/>
    </row>
    <row r="39" spans="2:28" x14ac:dyDescent="0.2">
      <c r="B39" s="137"/>
      <c r="D39" s="2"/>
      <c r="H39" s="141"/>
      <c r="I39" s="2"/>
      <c r="J39" s="2"/>
    </row>
    <row r="40" spans="2:28" ht="25.5" customHeight="1" x14ac:dyDescent="0.2">
      <c r="B40" s="137"/>
      <c r="C40" s="1" t="s">
        <v>669</v>
      </c>
      <c r="D40" s="149"/>
      <c r="E40" s="150" t="s">
        <v>659</v>
      </c>
      <c r="F40" s="150" t="s">
        <v>660</v>
      </c>
      <c r="G40" s="150" t="s">
        <v>76</v>
      </c>
      <c r="H40" s="141"/>
      <c r="I40" s="2"/>
      <c r="J40" s="2"/>
    </row>
    <row r="41" spans="2:28" x14ac:dyDescent="0.2">
      <c r="B41" s="137"/>
      <c r="C41" s="2" t="s">
        <v>442</v>
      </c>
      <c r="D41" s="2" t="s">
        <v>108</v>
      </c>
      <c r="E41" s="151">
        <f>'Calculation cost base 2024'!N37</f>
        <v>594864.90738965385</v>
      </c>
      <c r="F41" s="151">
        <f>'Calculation cost base 2024'!O37</f>
        <v>835612.60997955757</v>
      </c>
      <c r="G41" s="151">
        <f>'Calculation cost base 2024'!P37</f>
        <v>10852.111817916333</v>
      </c>
      <c r="H41" s="141"/>
      <c r="I41" s="2"/>
      <c r="J41" s="2"/>
    </row>
    <row r="42" spans="2:28" x14ac:dyDescent="0.2">
      <c r="B42" s="137"/>
      <c r="C42" s="2" t="s">
        <v>110</v>
      </c>
      <c r="D42" s="2" t="s">
        <v>108</v>
      </c>
      <c r="E42" s="151">
        <f>'Calculation cost base 2024'!N38</f>
        <v>-838.2788484082314</v>
      </c>
      <c r="F42" s="151">
        <f>'Calculation cost base 2024'!O38</f>
        <v>68899.524295852229</v>
      </c>
      <c r="G42" s="151">
        <f>'Calculation cost base 2024'!P38</f>
        <v>894.79901682924981</v>
      </c>
      <c r="H42" s="141"/>
      <c r="I42" s="2"/>
      <c r="J42" s="2"/>
    </row>
    <row r="43" spans="2:28" x14ac:dyDescent="0.2">
      <c r="B43" s="137"/>
      <c r="C43" s="2" t="s">
        <v>670</v>
      </c>
      <c r="D43" s="2" t="s">
        <v>114</v>
      </c>
      <c r="E43" s="151">
        <f>'Calculation cost base 2024'!N35</f>
        <v>1364182.3299102224</v>
      </c>
      <c r="F43" s="151">
        <f>'Calculation cost base 2024'!O35</f>
        <v>2790336.3850366506</v>
      </c>
      <c r="G43" s="151">
        <f>'Calculation cost base 2024'!P35</f>
        <v>37214.206466885793</v>
      </c>
      <c r="H43" s="141"/>
      <c r="I43" s="2"/>
      <c r="J43" s="2"/>
    </row>
    <row r="44" spans="2:28" x14ac:dyDescent="0.2">
      <c r="B44" s="137"/>
      <c r="C44" s="2" t="s">
        <v>671</v>
      </c>
      <c r="D44" s="2" t="s">
        <v>114</v>
      </c>
      <c r="E44" s="151">
        <f>'Calculation cost base 2024'!N36</f>
        <v>122271.43611731179</v>
      </c>
      <c r="F44" s="151">
        <f>'Calculation cost base 2024'!O36</f>
        <v>192035.96793402289</v>
      </c>
      <c r="G44" s="151">
        <f>'Calculation cost base 2024'!P36</f>
        <v>2680.7275048510401</v>
      </c>
      <c r="H44" s="141"/>
      <c r="I44" s="2"/>
      <c r="J44" s="2"/>
    </row>
    <row r="45" spans="2:28" x14ac:dyDescent="0.2">
      <c r="B45" s="137"/>
      <c r="C45" s="2"/>
      <c r="D45" s="2"/>
      <c r="E45" s="2"/>
      <c r="F45" s="2"/>
      <c r="G45" s="2"/>
      <c r="H45" s="141"/>
      <c r="I45" s="2"/>
      <c r="J45" s="2"/>
    </row>
    <row r="46" spans="2:28" x14ac:dyDescent="0.2">
      <c r="B46" s="137"/>
      <c r="C46" s="1" t="s">
        <v>661</v>
      </c>
      <c r="D46" s="2"/>
      <c r="E46" s="2"/>
      <c r="F46" s="2"/>
      <c r="H46" s="141"/>
      <c r="I46" s="2"/>
      <c r="J46" s="2"/>
    </row>
    <row r="47" spans="2:28" x14ac:dyDescent="0.2">
      <c r="B47" s="137"/>
      <c r="C47" s="67" t="s">
        <v>681</v>
      </c>
      <c r="D47" s="67" t="s">
        <v>205</v>
      </c>
      <c r="E47" s="2"/>
      <c r="F47" s="151">
        <f>'Capital cost correction'!O32</f>
        <v>552593.9795834719</v>
      </c>
      <c r="H47" s="141"/>
      <c r="I47" s="2"/>
      <c r="J47" s="2"/>
    </row>
    <row r="48" spans="2:28" x14ac:dyDescent="0.2">
      <c r="B48" s="137"/>
      <c r="C48" s="67" t="s">
        <v>682</v>
      </c>
      <c r="D48" s="67" t="s">
        <v>205</v>
      </c>
      <c r="E48" s="2"/>
      <c r="F48" s="151">
        <f>'Capital cost correction'!O33</f>
        <v>37320.24144946337</v>
      </c>
      <c r="H48" s="141"/>
      <c r="I48" s="2"/>
      <c r="J48" s="2"/>
    </row>
    <row r="49" spans="2:10" x14ac:dyDescent="0.2">
      <c r="B49" s="137"/>
      <c r="H49" s="141"/>
      <c r="I49" s="2"/>
      <c r="J49" s="2"/>
    </row>
    <row r="50" spans="2:10" x14ac:dyDescent="0.2">
      <c r="B50" s="137"/>
      <c r="C50" s="1" t="s">
        <v>204</v>
      </c>
      <c r="D50" s="2"/>
      <c r="H50" s="138"/>
    </row>
    <row r="51" spans="2:10" x14ac:dyDescent="0.2">
      <c r="B51" s="137"/>
      <c r="C51" s="2" t="s">
        <v>672</v>
      </c>
      <c r="D51" s="67" t="s">
        <v>205</v>
      </c>
      <c r="E51" s="151">
        <f>'Overview corrections'!N37</f>
        <v>-29354.710855463785</v>
      </c>
      <c r="F51" s="151">
        <f>'Overview corrections'!O37</f>
        <v>4239.5938507465135</v>
      </c>
      <c r="G51" s="151">
        <f>'Overview corrections'!P37</f>
        <v>-12318.093757467785</v>
      </c>
      <c r="H51" s="138"/>
    </row>
    <row r="52" spans="2:10" x14ac:dyDescent="0.2">
      <c r="B52" s="137"/>
      <c r="C52" s="2" t="s">
        <v>673</v>
      </c>
      <c r="D52" s="67" t="s">
        <v>205</v>
      </c>
      <c r="E52" s="151">
        <f>'Overview corrections'!N38</f>
        <v>-70823.014531242166</v>
      </c>
      <c r="F52" s="151">
        <f>'Overview corrections'!O38</f>
        <v>25678.855541445715</v>
      </c>
      <c r="G52" s="151">
        <f>'Overview corrections'!P38</f>
        <v>8207.7448921626055</v>
      </c>
      <c r="H52" s="138"/>
    </row>
    <row r="53" spans="2:10" x14ac:dyDescent="0.2">
      <c r="B53" s="137"/>
      <c r="C53" s="2" t="s">
        <v>206</v>
      </c>
      <c r="D53" s="67" t="s">
        <v>205</v>
      </c>
      <c r="F53" s="151">
        <f>'Profit Sharing 2022'!O67</f>
        <v>179864.37459842642</v>
      </c>
      <c r="H53" s="138"/>
    </row>
    <row r="54" spans="2:10" x14ac:dyDescent="0.2">
      <c r="B54" s="137"/>
      <c r="C54" s="2" t="s">
        <v>674</v>
      </c>
      <c r="D54" s="67" t="s">
        <v>205</v>
      </c>
      <c r="E54" s="151">
        <f>'Energy cost correction 2023'!N27</f>
        <v>-42216.387807881103</v>
      </c>
      <c r="H54" s="138"/>
    </row>
    <row r="55" spans="2:10" x14ac:dyDescent="0.2">
      <c r="B55" s="137"/>
      <c r="H55" s="138"/>
    </row>
    <row r="56" spans="2:10" x14ac:dyDescent="0.2">
      <c r="B56" s="137"/>
      <c r="C56" s="1" t="s">
        <v>683</v>
      </c>
      <c r="D56" s="2"/>
      <c r="E56" s="2"/>
      <c r="F56" s="2"/>
      <c r="H56" s="141"/>
      <c r="J56" s="2"/>
    </row>
    <row r="57" spans="2:10" x14ac:dyDescent="0.2">
      <c r="B57" s="137"/>
      <c r="C57" s="67" t="s">
        <v>684</v>
      </c>
      <c r="D57" s="2" t="s">
        <v>205</v>
      </c>
      <c r="E57" s="151">
        <f>'Calculation cost base 2024'!N69</f>
        <v>755480.47888693179</v>
      </c>
      <c r="F57" s="151">
        <f>'Calculation cost base 2024'!O69</f>
        <v>674414.50767331733</v>
      </c>
      <c r="G57" s="151">
        <f>'Calculation cost base 2024'!P69</f>
        <v>9553.0878223043801</v>
      </c>
      <c r="H57" s="138"/>
    </row>
    <row r="58" spans="2:10" x14ac:dyDescent="0.2">
      <c r="B58" s="137"/>
      <c r="C58" s="67" t="s">
        <v>641</v>
      </c>
      <c r="D58" s="2" t="s">
        <v>288</v>
      </c>
      <c r="E58" s="170">
        <f>'Calculation cost base 2024'!N71</f>
        <v>0.4299455916369313</v>
      </c>
      <c r="F58" s="170">
        <f>'Calculation cost base 2024'!O72</f>
        <v>256.55970581620693</v>
      </c>
      <c r="G58" s="170">
        <f>'Calculation cost base 2024'!P71</f>
        <v>0.97279191932370968</v>
      </c>
      <c r="H58" s="138"/>
      <c r="J58" s="2"/>
    </row>
    <row r="59" spans="2:10" x14ac:dyDescent="0.2">
      <c r="B59" s="137"/>
      <c r="C59" s="67" t="s">
        <v>662</v>
      </c>
      <c r="D59" s="2" t="s">
        <v>288</v>
      </c>
      <c r="F59" s="170">
        <f>'Calculation cost base 2024'!O73</f>
        <v>638.40609323957256</v>
      </c>
      <c r="H59" s="138"/>
    </row>
    <row r="60" spans="2:10" x14ac:dyDescent="0.2">
      <c r="B60" s="137"/>
      <c r="C60" s="67" t="s">
        <v>685</v>
      </c>
      <c r="D60" s="2" t="s">
        <v>205</v>
      </c>
      <c r="E60" s="151">
        <f>'Water Production'!N31</f>
        <v>731811.26972219546</v>
      </c>
      <c r="F60" s="151">
        <f>'Water Distribution'!O49</f>
        <v>1316206.4161774127</v>
      </c>
      <c r="G60" s="151">
        <f>'Water Distribution'!P63</f>
        <v>8578.9657612075043</v>
      </c>
      <c r="H60" s="138"/>
    </row>
    <row r="61" spans="2:10" x14ac:dyDescent="0.2">
      <c r="B61" s="137"/>
      <c r="C61" s="2" t="s">
        <v>663</v>
      </c>
      <c r="D61" s="2" t="s">
        <v>205</v>
      </c>
      <c r="E61" s="151">
        <f>'Water Production'!N36</f>
        <v>357402.57710066787</v>
      </c>
      <c r="F61" s="2"/>
      <c r="G61" s="2"/>
      <c r="H61" s="141"/>
    </row>
    <row r="62" spans="2:10" x14ac:dyDescent="0.2">
      <c r="B62" s="137"/>
      <c r="H62" s="138"/>
    </row>
    <row r="63" spans="2:10" x14ac:dyDescent="0.2">
      <c r="B63" s="137"/>
      <c r="C63" s="154" t="s">
        <v>686</v>
      </c>
      <c r="H63" s="138"/>
    </row>
    <row r="64" spans="2:10" x14ac:dyDescent="0.2">
      <c r="B64" s="137"/>
      <c r="C64" s="2" t="s">
        <v>642</v>
      </c>
      <c r="D64" s="2" t="s">
        <v>127</v>
      </c>
      <c r="E64" s="151">
        <f>'Estimates for 2024'!N14</f>
        <v>197952.55799999996</v>
      </c>
      <c r="H64" s="138"/>
    </row>
    <row r="65" spans="2:8" x14ac:dyDescent="0.2">
      <c r="B65" s="137"/>
      <c r="C65" s="2" t="s">
        <v>664</v>
      </c>
      <c r="D65" s="2" t="s">
        <v>127</v>
      </c>
      <c r="E65" s="161"/>
      <c r="G65" s="151">
        <f>'Estimates for 2024'!P27</f>
        <v>1979.52558</v>
      </c>
      <c r="H65" s="138"/>
    </row>
    <row r="66" spans="2:8" x14ac:dyDescent="0.2">
      <c r="B66" s="137"/>
      <c r="C66" s="2" t="s">
        <v>665</v>
      </c>
      <c r="D66" s="2" t="s">
        <v>149</v>
      </c>
      <c r="E66" s="153">
        <f>'Estimates for 2024'!N40</f>
        <v>4.511265293942107</v>
      </c>
      <c r="G66" s="161"/>
      <c r="H66" s="138"/>
    </row>
    <row r="67" spans="2:8" x14ac:dyDescent="0.2">
      <c r="B67" s="137"/>
      <c r="C67" s="2" t="s">
        <v>666</v>
      </c>
      <c r="D67" s="2" t="s">
        <v>126</v>
      </c>
      <c r="E67" s="162">
        <f>'Estimates for 2024'!B59</f>
        <v>85.5</v>
      </c>
      <c r="G67" s="161"/>
      <c r="H67" s="138"/>
    </row>
    <row r="68" spans="2:8" s="165" customFormat="1" x14ac:dyDescent="0.2">
      <c r="B68" s="163"/>
      <c r="C68" s="93"/>
      <c r="D68" s="93"/>
      <c r="E68" s="164"/>
      <c r="G68" s="161"/>
      <c r="H68" s="166"/>
    </row>
    <row r="69" spans="2:8" x14ac:dyDescent="0.2">
      <c r="B69" s="137"/>
      <c r="C69" s="2" t="s">
        <v>687</v>
      </c>
      <c r="D69" s="2" t="s">
        <v>88</v>
      </c>
      <c r="F69" s="157">
        <f>'Estimates for 2024'!O17</f>
        <v>0.22</v>
      </c>
      <c r="H69" s="138"/>
    </row>
    <row r="70" spans="2:8" x14ac:dyDescent="0.2">
      <c r="B70" s="137"/>
      <c r="C70" s="2" t="s">
        <v>688</v>
      </c>
      <c r="D70" s="2" t="s">
        <v>163</v>
      </c>
      <c r="F70" s="151">
        <f>'Estimates for 2024'!O68</f>
        <v>1149.8493807187922</v>
      </c>
      <c r="H70" s="138"/>
    </row>
    <row r="71" spans="2:8" x14ac:dyDescent="0.2">
      <c r="B71" s="137"/>
      <c r="C71" s="2"/>
      <c r="D71" s="2"/>
      <c r="H71" s="138"/>
    </row>
    <row r="72" spans="2:8" x14ac:dyDescent="0.2">
      <c r="B72" s="137"/>
      <c r="H72" s="138"/>
    </row>
    <row r="73" spans="2:8" x14ac:dyDescent="0.2">
      <c r="B73" s="137"/>
      <c r="C73" s="67" t="s">
        <v>648</v>
      </c>
      <c r="H73" s="138"/>
    </row>
    <row r="74" spans="2:8" x14ac:dyDescent="0.2">
      <c r="B74" s="137"/>
      <c r="H74" s="138"/>
    </row>
    <row r="75" spans="2:8" x14ac:dyDescent="0.2">
      <c r="B75" s="143"/>
      <c r="C75" s="158"/>
      <c r="D75" s="158"/>
      <c r="E75" s="158"/>
      <c r="F75" s="158"/>
      <c r="G75" s="158"/>
      <c r="H75" s="15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I55"/>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5.140625" style="2" customWidth="1"/>
    <col min="4" max="4" width="110.42578125" style="2" customWidth="1"/>
    <col min="5" max="5" width="39" style="2" customWidth="1"/>
    <col min="6" max="6" width="40.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2:9" s="7" customFormat="1" ht="18" x14ac:dyDescent="0.2">
      <c r="B2" s="7" t="s">
        <v>27</v>
      </c>
    </row>
    <row r="5" spans="2:9" s="8" customFormat="1" x14ac:dyDescent="0.2">
      <c r="B5" s="8" t="s">
        <v>28</v>
      </c>
    </row>
    <row r="7" spans="2:9" x14ac:dyDescent="0.2">
      <c r="B7" s="4" t="s">
        <v>59</v>
      </c>
    </row>
    <row r="8" spans="2:9" x14ac:dyDescent="0.2">
      <c r="B8" s="4" t="s">
        <v>29</v>
      </c>
    </row>
    <row r="9" spans="2:9" x14ac:dyDescent="0.2">
      <c r="B9" s="4"/>
    </row>
    <row r="10" spans="2:9" x14ac:dyDescent="0.2">
      <c r="B10" s="31" t="s">
        <v>30</v>
      </c>
      <c r="C10" s="31" t="s">
        <v>31</v>
      </c>
      <c r="D10" s="31" t="s">
        <v>32</v>
      </c>
      <c r="E10" s="31" t="s">
        <v>66</v>
      </c>
      <c r="F10" s="31" t="s">
        <v>56</v>
      </c>
      <c r="G10" s="31" t="s">
        <v>7</v>
      </c>
      <c r="I10" s="18"/>
    </row>
    <row r="11" spans="2:9" x14ac:dyDescent="0.2">
      <c r="B11" s="15"/>
      <c r="C11" s="15" t="s">
        <v>33</v>
      </c>
      <c r="D11" s="15" t="s">
        <v>34</v>
      </c>
      <c r="E11" s="15" t="s">
        <v>45</v>
      </c>
      <c r="F11" s="15" t="s">
        <v>35</v>
      </c>
      <c r="G11" s="15"/>
    </row>
    <row r="12" spans="2:9" x14ac:dyDescent="0.2">
      <c r="B12" s="6">
        <v>1</v>
      </c>
      <c r="C12" s="6" t="s">
        <v>180</v>
      </c>
      <c r="D12" s="6"/>
      <c r="E12" s="70" t="s">
        <v>181</v>
      </c>
      <c r="F12" s="6"/>
      <c r="G12" s="6"/>
    </row>
    <row r="13" spans="2:9" x14ac:dyDescent="0.2">
      <c r="B13" s="6">
        <v>2</v>
      </c>
      <c r="C13" s="6" t="s">
        <v>84</v>
      </c>
      <c r="D13" s="6"/>
      <c r="E13" s="70" t="s">
        <v>182</v>
      </c>
      <c r="F13" s="6"/>
      <c r="G13" s="6"/>
    </row>
    <row r="14" spans="2:9" x14ac:dyDescent="0.2">
      <c r="B14" s="6">
        <v>3</v>
      </c>
      <c r="C14" s="6" t="s">
        <v>95</v>
      </c>
      <c r="D14" s="6"/>
      <c r="E14" s="70" t="s">
        <v>183</v>
      </c>
      <c r="F14" s="6"/>
      <c r="G14" s="6"/>
    </row>
    <row r="15" spans="2:9" x14ac:dyDescent="0.2">
      <c r="B15" s="6">
        <v>4</v>
      </c>
      <c r="C15" s="6" t="s">
        <v>337</v>
      </c>
      <c r="D15" s="6" t="s">
        <v>576</v>
      </c>
      <c r="E15" s="127" t="s">
        <v>575</v>
      </c>
      <c r="F15" s="6"/>
      <c r="G15" s="6"/>
    </row>
    <row r="16" spans="2:9" x14ac:dyDescent="0.2">
      <c r="B16" s="6">
        <v>5</v>
      </c>
      <c r="C16" s="6" t="s">
        <v>92</v>
      </c>
      <c r="D16" s="6" t="s">
        <v>184</v>
      </c>
      <c r="E16" s="70" t="s">
        <v>185</v>
      </c>
      <c r="F16" s="6"/>
      <c r="G16" s="6"/>
    </row>
    <row r="17" spans="2:7" x14ac:dyDescent="0.2">
      <c r="B17" s="6">
        <v>6</v>
      </c>
      <c r="C17" s="6" t="s">
        <v>577</v>
      </c>
      <c r="D17" s="6" t="s">
        <v>579</v>
      </c>
      <c r="E17" s="127" t="s">
        <v>578</v>
      </c>
      <c r="F17" s="6"/>
      <c r="G17" s="6"/>
    </row>
    <row r="18" spans="2:7" x14ac:dyDescent="0.2">
      <c r="B18" s="6">
        <v>7</v>
      </c>
      <c r="C18" s="6" t="s">
        <v>584</v>
      </c>
      <c r="D18" s="6" t="s">
        <v>587</v>
      </c>
      <c r="E18" s="70" t="s">
        <v>200</v>
      </c>
      <c r="F18" s="6"/>
      <c r="G18" s="6"/>
    </row>
    <row r="19" spans="2:7" x14ac:dyDescent="0.2">
      <c r="B19" s="6">
        <v>8</v>
      </c>
      <c r="C19" s="6" t="s">
        <v>583</v>
      </c>
      <c r="D19" s="6" t="s">
        <v>588</v>
      </c>
      <c r="E19" s="127" t="s">
        <v>585</v>
      </c>
      <c r="F19" s="6"/>
      <c r="G19" s="6"/>
    </row>
    <row r="20" spans="2:7" x14ac:dyDescent="0.2">
      <c r="B20" s="6">
        <v>9</v>
      </c>
      <c r="C20" s="6" t="s">
        <v>581</v>
      </c>
      <c r="D20" s="6" t="s">
        <v>508</v>
      </c>
      <c r="E20" s="70" t="s">
        <v>199</v>
      </c>
      <c r="F20" s="6"/>
      <c r="G20" s="6"/>
    </row>
    <row r="21" spans="2:7" x14ac:dyDescent="0.2">
      <c r="B21" s="6">
        <v>10</v>
      </c>
      <c r="C21" s="6" t="s">
        <v>582</v>
      </c>
      <c r="D21" s="6" t="s">
        <v>586</v>
      </c>
      <c r="E21" s="127" t="s">
        <v>580</v>
      </c>
      <c r="F21" s="6"/>
      <c r="G21" s="6"/>
    </row>
    <row r="22" spans="2:7" x14ac:dyDescent="0.2">
      <c r="B22" s="6">
        <v>11</v>
      </c>
      <c r="C22" s="6" t="s">
        <v>186</v>
      </c>
      <c r="D22" s="6" t="s">
        <v>505</v>
      </c>
      <c r="E22" s="6"/>
      <c r="F22" s="6"/>
      <c r="G22" s="6"/>
    </row>
    <row r="23" spans="2:7" x14ac:dyDescent="0.2">
      <c r="B23" s="6">
        <v>12</v>
      </c>
      <c r="C23" s="6" t="s">
        <v>187</v>
      </c>
      <c r="D23" s="6" t="s">
        <v>506</v>
      </c>
      <c r="E23" s="6"/>
      <c r="F23" s="6"/>
      <c r="G23" s="6"/>
    </row>
    <row r="24" spans="2:7" x14ac:dyDescent="0.2">
      <c r="B24" s="6">
        <v>13</v>
      </c>
      <c r="C24" s="6" t="s">
        <v>196</v>
      </c>
      <c r="D24" s="6" t="s">
        <v>503</v>
      </c>
      <c r="E24" s="6"/>
      <c r="F24" s="6"/>
      <c r="G24" s="6"/>
    </row>
    <row r="25" spans="2:7" x14ac:dyDescent="0.2">
      <c r="B25" s="6">
        <v>14</v>
      </c>
      <c r="C25" s="6" t="s">
        <v>121</v>
      </c>
      <c r="D25" s="9" t="s">
        <v>614</v>
      </c>
      <c r="E25" s="6"/>
      <c r="F25" s="6"/>
      <c r="G25" s="6"/>
    </row>
    <row r="26" spans="2:7" x14ac:dyDescent="0.2">
      <c r="B26" s="6">
        <v>15</v>
      </c>
      <c r="C26" s="6" t="s">
        <v>188</v>
      </c>
      <c r="D26" s="6" t="s">
        <v>540</v>
      </c>
      <c r="E26" s="6" t="s">
        <v>502</v>
      </c>
      <c r="F26" s="6"/>
      <c r="G26" s="6"/>
    </row>
    <row r="27" spans="2:7" x14ac:dyDescent="0.2">
      <c r="B27" s="6">
        <v>16</v>
      </c>
      <c r="C27" s="6" t="s">
        <v>189</v>
      </c>
      <c r="D27" s="6" t="s">
        <v>507</v>
      </c>
      <c r="E27" s="6" t="s">
        <v>502</v>
      </c>
      <c r="F27" s="6"/>
      <c r="G27" s="6"/>
    </row>
    <row r="28" spans="2:7" x14ac:dyDescent="0.2">
      <c r="B28" s="6">
        <v>17</v>
      </c>
      <c r="C28" s="6" t="s">
        <v>190</v>
      </c>
      <c r="D28" s="6" t="s">
        <v>191</v>
      </c>
      <c r="E28" s="6" t="s">
        <v>502</v>
      </c>
      <c r="F28" s="6"/>
      <c r="G28" s="6"/>
    </row>
    <row r="29" spans="2:7" x14ac:dyDescent="0.2">
      <c r="B29" s="6">
        <v>18</v>
      </c>
      <c r="C29" s="6" t="s">
        <v>515</v>
      </c>
      <c r="D29" s="6" t="s">
        <v>517</v>
      </c>
      <c r="E29" s="6" t="s">
        <v>502</v>
      </c>
      <c r="F29" s="6"/>
      <c r="G29" s="6"/>
    </row>
    <row r="30" spans="2:7" x14ac:dyDescent="0.2">
      <c r="B30" s="6">
        <v>19</v>
      </c>
      <c r="C30" s="6" t="s">
        <v>192</v>
      </c>
      <c r="D30" s="6" t="s">
        <v>193</v>
      </c>
      <c r="E30" s="6" t="s">
        <v>502</v>
      </c>
      <c r="F30" s="6"/>
      <c r="G30" s="6"/>
    </row>
    <row r="31" spans="2:7" x14ac:dyDescent="0.2">
      <c r="B31" s="6">
        <v>20</v>
      </c>
      <c r="C31" s="6" t="s">
        <v>194</v>
      </c>
      <c r="D31" s="6" t="s">
        <v>195</v>
      </c>
      <c r="E31" s="6" t="s">
        <v>502</v>
      </c>
      <c r="F31" s="6"/>
      <c r="G31" s="6"/>
    </row>
    <row r="32" spans="2:7" x14ac:dyDescent="0.2">
      <c r="B32" s="6">
        <v>21</v>
      </c>
      <c r="C32" s="6" t="s">
        <v>516</v>
      </c>
      <c r="D32" s="6" t="s">
        <v>518</v>
      </c>
      <c r="E32" s="6" t="s">
        <v>502</v>
      </c>
      <c r="F32" s="6"/>
      <c r="G32" s="6"/>
    </row>
    <row r="33" spans="2:7" x14ac:dyDescent="0.2">
      <c r="B33" s="6">
        <v>22</v>
      </c>
      <c r="C33" s="6" t="s">
        <v>527</v>
      </c>
      <c r="D33" s="6" t="s">
        <v>528</v>
      </c>
      <c r="E33" s="6" t="s">
        <v>502</v>
      </c>
      <c r="F33" s="6"/>
      <c r="G33" s="6"/>
    </row>
    <row r="34" spans="2:7" x14ac:dyDescent="0.2">
      <c r="B34" s="6">
        <v>23</v>
      </c>
      <c r="C34" s="6" t="s">
        <v>134</v>
      </c>
      <c r="D34" s="6" t="s">
        <v>524</v>
      </c>
      <c r="E34" s="6" t="s">
        <v>504</v>
      </c>
      <c r="F34" s="6"/>
      <c r="G34" s="6"/>
    </row>
    <row r="35" spans="2:7" x14ac:dyDescent="0.2">
      <c r="B35" s="6">
        <v>24</v>
      </c>
      <c r="C35" s="2" t="s">
        <v>532</v>
      </c>
      <c r="D35" s="6" t="s">
        <v>573</v>
      </c>
      <c r="E35" s="6" t="s">
        <v>574</v>
      </c>
      <c r="F35" s="6"/>
      <c r="G35" s="6"/>
    </row>
    <row r="36" spans="2:7" x14ac:dyDescent="0.2">
      <c r="B36" s="6">
        <v>25</v>
      </c>
      <c r="C36" s="6" t="s">
        <v>147</v>
      </c>
      <c r="D36" s="6" t="s">
        <v>521</v>
      </c>
      <c r="E36" s="6" t="s">
        <v>504</v>
      </c>
      <c r="F36" s="6"/>
      <c r="G36" s="6"/>
    </row>
    <row r="37" spans="2:7" x14ac:dyDescent="0.2">
      <c r="B37" s="6">
        <v>26</v>
      </c>
      <c r="C37" s="6" t="s">
        <v>197</v>
      </c>
      <c r="D37" s="6" t="s">
        <v>522</v>
      </c>
      <c r="E37" s="6" t="s">
        <v>504</v>
      </c>
      <c r="F37" s="6"/>
      <c r="G37" s="6"/>
    </row>
    <row r="38" spans="2:7" x14ac:dyDescent="0.2">
      <c r="B38" s="6">
        <v>27</v>
      </c>
      <c r="C38" s="6" t="s">
        <v>198</v>
      </c>
      <c r="D38" s="6" t="s">
        <v>523</v>
      </c>
      <c r="E38" s="6" t="s">
        <v>504</v>
      </c>
      <c r="F38" s="6"/>
      <c r="G38" s="6"/>
    </row>
    <row r="39" spans="2:7" x14ac:dyDescent="0.2">
      <c r="B39" s="6">
        <v>28</v>
      </c>
      <c r="C39" s="6" t="s">
        <v>164</v>
      </c>
      <c r="D39" s="6" t="s">
        <v>514</v>
      </c>
      <c r="E39" s="6" t="s">
        <v>502</v>
      </c>
      <c r="F39" s="6"/>
      <c r="G39" s="6"/>
    </row>
    <row r="40" spans="2:7" x14ac:dyDescent="0.2">
      <c r="B40" s="6">
        <v>29</v>
      </c>
      <c r="C40" s="6" t="s">
        <v>170</v>
      </c>
      <c r="D40" s="6" t="s">
        <v>519</v>
      </c>
      <c r="E40" s="6" t="s">
        <v>504</v>
      </c>
      <c r="F40" s="6"/>
      <c r="G40" s="6"/>
    </row>
    <row r="41" spans="2:7" x14ac:dyDescent="0.2">
      <c r="B41" s="6">
        <v>30</v>
      </c>
      <c r="C41" s="6" t="s">
        <v>542</v>
      </c>
      <c r="D41" s="6" t="s">
        <v>541</v>
      </c>
      <c r="E41" s="6" t="s">
        <v>504</v>
      </c>
      <c r="F41" s="6"/>
      <c r="G41" s="6"/>
    </row>
    <row r="42" spans="2:7" x14ac:dyDescent="0.2">
      <c r="B42" s="6">
        <v>31</v>
      </c>
      <c r="C42" s="6" t="s">
        <v>178</v>
      </c>
      <c r="D42" s="6" t="s">
        <v>520</v>
      </c>
      <c r="E42" s="6" t="s">
        <v>504</v>
      </c>
      <c r="F42" s="6"/>
      <c r="G42" s="6"/>
    </row>
    <row r="43" spans="2:7" x14ac:dyDescent="0.2">
      <c r="B43" s="6">
        <v>32</v>
      </c>
      <c r="C43" s="6" t="s">
        <v>201</v>
      </c>
      <c r="D43" s="6" t="s">
        <v>202</v>
      </c>
      <c r="E43" s="6"/>
      <c r="F43" s="6"/>
      <c r="G43" s="6"/>
    </row>
    <row r="46" spans="2:7" s="8" customFormat="1" x14ac:dyDescent="0.2">
      <c r="B46" s="8" t="s">
        <v>60</v>
      </c>
    </row>
    <row r="48" spans="2:7" x14ac:dyDescent="0.2">
      <c r="B48" s="20" t="s">
        <v>61</v>
      </c>
    </row>
    <row r="49" spans="2:2" x14ac:dyDescent="0.2">
      <c r="B49" s="20" t="s">
        <v>57</v>
      </c>
    </row>
    <row r="50" spans="2:2" x14ac:dyDescent="0.2">
      <c r="B50" s="20"/>
    </row>
    <row r="55" spans="2:2" x14ac:dyDescent="0.2">
      <c r="B55" s="4" t="s">
        <v>65</v>
      </c>
    </row>
  </sheetData>
  <hyperlinks>
    <hyperlink ref="E12" r:id="rId1" location="/CBS/nl/dataset/84046NED/table" xr:uid="{B6E013E3-D49D-4230-9F8E-B05E3BE70F5A}"/>
    <hyperlink ref="E13" r:id="rId2" xr:uid="{81681D7D-E0D5-4EF7-B11B-7F24912F5EFE}"/>
    <hyperlink ref="E14" r:id="rId3" xr:uid="{AC37700C-DD87-479B-BA84-D36F077F5901}"/>
    <hyperlink ref="E16" r:id="rId4" xr:uid="{86A29317-2A05-42E0-8CB5-07FC063BC221}"/>
    <hyperlink ref="E18" r:id="rId5" xr:uid="{8017D5EB-8886-4757-8BFF-CED8A5F4B235}"/>
    <hyperlink ref="E15" r:id="rId6" display="https://www.acm.nl/nl/publicaties/wacc-elektriciteit-en-drinkwater-caribisch-nederland-2020-2022" xr:uid="{9E53D4B3-00F5-4CC1-B5F7-29923A1216B4}"/>
    <hyperlink ref="E17" r:id="rId7" display="https://www.acm.nl/nl/publicaties/methodebesluit-elektriciteit-en-drinkwater-caribisch-nederland-2020-2025" xr:uid="{DA3071CA-E4D4-41E0-BA34-903F74FDC40D}"/>
    <hyperlink ref="E21" r:id="rId8" display="https://www.acm.nl/nl/publicaties/beschikking-variabel-tarief-elektriciteit-1-juli-2023-st-eustatius" xr:uid="{5C4319A0-6B70-46B2-BB31-0F4D8489F16F}"/>
    <hyperlink ref="E19" r:id="rId9" display="https://www.acm.nl/nl/publicaties/beschikking-variabel-tarief-elektriciteit-1-juli-2022-st-eustatius-caribisch-nederland" xr:uid="{CDB62F5B-C008-40A0-8074-C74E4CF21A61}"/>
  </hyperlinks>
  <pageMargins left="0.75" right="0.75" top="1" bottom="1" header="0.5" footer="0.5"/>
  <pageSetup paperSize="9" orientation="portrait" r:id="rId1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L67"/>
  <sheetViews>
    <sheetView showGridLines="0" zoomScale="85" zoomScaleNormal="85" workbookViewId="0">
      <pane xSplit="6" ySplit="9" topLeftCell="G10" activePane="bottomRight" state="frozen"/>
      <selection activeCell="O39" sqref="O39"/>
      <selection pane="topRight" activeCell="O39" sqref="O39"/>
      <selection pane="bottomLeft" activeCell="O39" sqref="O39"/>
      <selection pane="bottomRight" activeCell="G10" sqref="G10"/>
    </sheetView>
  </sheetViews>
  <sheetFormatPr defaultColWidth="9.140625" defaultRowHeight="12.75" x14ac:dyDescent="0.2"/>
  <cols>
    <col min="1" max="1" width="5.7109375" style="2" customWidth="1"/>
    <col min="2" max="2" width="62.28515625" style="2" customWidth="1"/>
    <col min="3" max="5" width="5.7109375" style="2" customWidth="1"/>
    <col min="6" max="6" width="24.28515625" style="2" customWidth="1"/>
    <col min="7" max="7" width="2.7109375" style="2" customWidth="1"/>
    <col min="8" max="8" width="15.5703125" style="2" customWidth="1"/>
    <col min="9" max="9" width="2.7109375" style="2" customWidth="1"/>
    <col min="10" max="10" width="28.7109375" style="2" customWidth="1"/>
    <col min="11" max="11" width="2.7109375" style="2" customWidth="1"/>
    <col min="12" max="12" width="51.28515625" style="2" customWidth="1"/>
    <col min="13" max="21" width="12.5703125" style="2" customWidth="1"/>
    <col min="22" max="24" width="2.7109375" style="2" customWidth="1"/>
    <col min="25" max="25" width="30.85546875" style="2" customWidth="1"/>
    <col min="26" max="39" width="13.7109375" style="2" customWidth="1"/>
    <col min="40" max="16384" width="9.140625" style="2"/>
  </cols>
  <sheetData>
    <row r="2" spans="2:12" s="12" customFormat="1" ht="18" x14ac:dyDescent="0.2">
      <c r="B2" s="12" t="s">
        <v>22</v>
      </c>
    </row>
    <row r="4" spans="2:12" x14ac:dyDescent="0.2">
      <c r="B4" s="19" t="s">
        <v>12</v>
      </c>
      <c r="C4" s="1"/>
      <c r="D4" s="1"/>
    </row>
    <row r="5" spans="2:12" x14ac:dyDescent="0.2">
      <c r="B5" s="2" t="s">
        <v>589</v>
      </c>
      <c r="C5" s="3"/>
      <c r="D5" s="3"/>
      <c r="H5" s="13"/>
    </row>
    <row r="6" spans="2:12" x14ac:dyDescent="0.2">
      <c r="C6" s="3"/>
      <c r="D6" s="3"/>
      <c r="H6" s="13"/>
    </row>
    <row r="8" spans="2:12" s="8" customFormat="1" x14ac:dyDescent="0.2">
      <c r="B8" s="8" t="s">
        <v>12</v>
      </c>
      <c r="F8" s="8" t="s">
        <v>36</v>
      </c>
      <c r="H8" s="8" t="s">
        <v>37</v>
      </c>
      <c r="J8" s="8" t="s">
        <v>215</v>
      </c>
      <c r="L8" s="8" t="s">
        <v>39</v>
      </c>
    </row>
    <row r="11" spans="2:12" s="8" customFormat="1" x14ac:dyDescent="0.2">
      <c r="B11" s="8" t="s">
        <v>255</v>
      </c>
    </row>
    <row r="13" spans="2:12" ht="12.75" customHeight="1" x14ac:dyDescent="0.2">
      <c r="B13" s="1" t="s">
        <v>216</v>
      </c>
    </row>
    <row r="14" spans="2:12" ht="12.75" customHeight="1" x14ac:dyDescent="0.2">
      <c r="B14" s="2" t="s">
        <v>217</v>
      </c>
      <c r="F14" s="2" t="s">
        <v>218</v>
      </c>
      <c r="H14" s="73">
        <f>'Electricity Production'!L32</f>
        <v>0.24319538905379626</v>
      </c>
      <c r="J14" s="2" t="s">
        <v>222</v>
      </c>
    </row>
    <row r="15" spans="2:12" ht="12.75" customHeight="1" x14ac:dyDescent="0.2">
      <c r="B15" s="2" t="s">
        <v>300</v>
      </c>
      <c r="H15" s="73">
        <f>'Electricity Production'!L33</f>
        <v>0.14024042237737816</v>
      </c>
    </row>
    <row r="16" spans="2:12" ht="12.75" customHeight="1" x14ac:dyDescent="0.2">
      <c r="B16" s="2" t="s">
        <v>219</v>
      </c>
      <c r="F16" s="2" t="s">
        <v>218</v>
      </c>
      <c r="H16" s="73">
        <f>'Electricity Production'!L34</f>
        <v>0.38343581143117444</v>
      </c>
      <c r="J16" s="2" t="s">
        <v>222</v>
      </c>
    </row>
    <row r="18" spans="2:10" x14ac:dyDescent="0.2">
      <c r="B18" s="1" t="s">
        <v>220</v>
      </c>
    </row>
    <row r="19" spans="2:10" ht="12.75" customHeight="1" x14ac:dyDescent="0.2">
      <c r="B19" s="2" t="s">
        <v>220</v>
      </c>
      <c r="F19" s="2" t="s">
        <v>218</v>
      </c>
      <c r="H19" s="73">
        <f>'Electricity Distribution'!M67</f>
        <v>0.39580820458766236</v>
      </c>
      <c r="J19" s="2" t="s">
        <v>221</v>
      </c>
    </row>
    <row r="20" spans="2:10" x14ac:dyDescent="0.2">
      <c r="B20" s="5"/>
    </row>
    <row r="21" spans="2:10" x14ac:dyDescent="0.2">
      <c r="B21" s="19" t="s">
        <v>223</v>
      </c>
    </row>
    <row r="22" spans="2:10" x14ac:dyDescent="0.2">
      <c r="B22" s="16" t="s">
        <v>225</v>
      </c>
      <c r="F22" s="2" t="s">
        <v>224</v>
      </c>
      <c r="H22" s="75">
        <f>'Electricity Distribution'!M77</f>
        <v>12.286370954998311</v>
      </c>
      <c r="J22" s="2" t="s">
        <v>222</v>
      </c>
    </row>
    <row r="23" spans="2:10" x14ac:dyDescent="0.2">
      <c r="B23" s="16" t="s">
        <v>226</v>
      </c>
      <c r="F23" s="2" t="s">
        <v>224</v>
      </c>
      <c r="H23" s="75">
        <f>'Electricity Distribution'!M78</f>
        <v>29.564080110464687</v>
      </c>
      <c r="J23" s="2" t="s">
        <v>222</v>
      </c>
    </row>
    <row r="24" spans="2:10" x14ac:dyDescent="0.2">
      <c r="B24" s="16" t="s">
        <v>230</v>
      </c>
      <c r="F24" s="2" t="s">
        <v>224</v>
      </c>
      <c r="H24" s="75">
        <f>'Electricity Distribution'!M79</f>
        <v>42.234400157806697</v>
      </c>
      <c r="J24" s="2" t="s">
        <v>222</v>
      </c>
    </row>
    <row r="25" spans="2:10" x14ac:dyDescent="0.2">
      <c r="B25" s="16" t="s">
        <v>233</v>
      </c>
      <c r="F25" s="2" t="s">
        <v>224</v>
      </c>
      <c r="H25" s="75">
        <f>'Electricity Distribution'!M80</f>
        <v>53.215344198836434</v>
      </c>
      <c r="J25" s="2" t="s">
        <v>222</v>
      </c>
    </row>
    <row r="26" spans="2:10" x14ac:dyDescent="0.2">
      <c r="B26" s="16" t="s">
        <v>227</v>
      </c>
      <c r="F26" s="2" t="s">
        <v>224</v>
      </c>
      <c r="H26" s="75">
        <f>'Electricity Distribution'!M81</f>
        <v>51.065229281711737</v>
      </c>
      <c r="J26" s="2" t="s">
        <v>222</v>
      </c>
    </row>
    <row r="27" spans="2:10" x14ac:dyDescent="0.2">
      <c r="B27" s="16" t="s">
        <v>231</v>
      </c>
      <c r="F27" s="2" t="s">
        <v>224</v>
      </c>
      <c r="H27" s="75">
        <f>'Electricity Distribution'!M82</f>
        <v>72.950327545302471</v>
      </c>
      <c r="J27" s="2" t="s">
        <v>222</v>
      </c>
    </row>
    <row r="28" spans="2:10" x14ac:dyDescent="0.2">
      <c r="B28" s="16" t="s">
        <v>234</v>
      </c>
      <c r="F28" s="2" t="s">
        <v>224</v>
      </c>
      <c r="H28" s="75">
        <f>'Electricity Distribution'!M83</f>
        <v>91.917412707081127</v>
      </c>
      <c r="J28" s="2" t="s">
        <v>222</v>
      </c>
    </row>
    <row r="29" spans="2:10" x14ac:dyDescent="0.2">
      <c r="B29" s="16" t="s">
        <v>228</v>
      </c>
      <c r="F29" s="2" t="s">
        <v>224</v>
      </c>
      <c r="H29" s="75">
        <f>'Electricity Distribution'!M84</f>
        <v>116.72052407248395</v>
      </c>
      <c r="J29" s="2" t="s">
        <v>222</v>
      </c>
    </row>
    <row r="30" spans="2:10" x14ac:dyDescent="0.2">
      <c r="B30" s="16" t="s">
        <v>229</v>
      </c>
      <c r="F30" s="2" t="s">
        <v>224</v>
      </c>
      <c r="H30" s="75">
        <f>'Electricity Distribution'!M85</f>
        <v>145.90065509060494</v>
      </c>
      <c r="J30" s="2" t="s">
        <v>222</v>
      </c>
    </row>
    <row r="31" spans="2:10" x14ac:dyDescent="0.2">
      <c r="B31" s="16" t="s">
        <v>232</v>
      </c>
      <c r="F31" s="2" t="s">
        <v>224</v>
      </c>
      <c r="H31" s="75">
        <f>'Electricity Distribution'!M86</f>
        <v>182.37581886325617</v>
      </c>
      <c r="J31" s="2" t="s">
        <v>222</v>
      </c>
    </row>
    <row r="32" spans="2:10" x14ac:dyDescent="0.2">
      <c r="B32" s="76" t="s">
        <v>235</v>
      </c>
      <c r="F32" s="2" t="s">
        <v>224</v>
      </c>
      <c r="H32" s="75">
        <f>'Electricity Distribution'!M87</f>
        <v>233.44104814496791</v>
      </c>
      <c r="J32" s="2" t="s">
        <v>222</v>
      </c>
    </row>
    <row r="33" spans="2:12" x14ac:dyDescent="0.2">
      <c r="B33" s="76" t="s">
        <v>244</v>
      </c>
      <c r="F33" s="2" t="s">
        <v>224</v>
      </c>
      <c r="H33" s="75">
        <f>'Electricity Distribution'!M88</f>
        <v>291.80131018120989</v>
      </c>
      <c r="J33" s="2" t="s">
        <v>222</v>
      </c>
    </row>
    <row r="34" spans="2:12" x14ac:dyDescent="0.2">
      <c r="B34" s="76" t="s">
        <v>236</v>
      </c>
      <c r="F34" s="2" t="s">
        <v>224</v>
      </c>
      <c r="H34" s="75">
        <f>'Electricity Distribution'!M89</f>
        <v>328.27647395386111</v>
      </c>
      <c r="J34" s="2" t="s">
        <v>222</v>
      </c>
    </row>
    <row r="35" spans="2:12" x14ac:dyDescent="0.2">
      <c r="B35" s="76" t="s">
        <v>243</v>
      </c>
      <c r="F35" s="2" t="s">
        <v>224</v>
      </c>
      <c r="H35" s="75">
        <f>'Electricity Distribution'!M90</f>
        <v>364.75163772651234</v>
      </c>
      <c r="J35" s="2" t="s">
        <v>222</v>
      </c>
    </row>
    <row r="36" spans="2:12" x14ac:dyDescent="0.2">
      <c r="B36" s="76" t="s">
        <v>237</v>
      </c>
      <c r="F36" s="2" t="s">
        <v>224</v>
      </c>
      <c r="H36" s="75">
        <f>'Electricity Distribution'!M91</f>
        <v>459.5870635354056</v>
      </c>
      <c r="J36" s="2" t="s">
        <v>222</v>
      </c>
    </row>
    <row r="37" spans="2:12" x14ac:dyDescent="0.2">
      <c r="B37" s="76" t="s">
        <v>242</v>
      </c>
      <c r="F37" s="2" t="s">
        <v>224</v>
      </c>
      <c r="H37" s="75">
        <f>'Electricity Distribution'!M92</f>
        <v>671.91091160147016</v>
      </c>
      <c r="J37" s="2" t="s">
        <v>222</v>
      </c>
    </row>
    <row r="38" spans="2:12" x14ac:dyDescent="0.2">
      <c r="B38" s="76" t="s">
        <v>490</v>
      </c>
      <c r="F38" s="2" t="s">
        <v>224</v>
      </c>
      <c r="H38" s="75">
        <f>'Electricity Distribution'!M93</f>
        <v>767.89818468739441</v>
      </c>
      <c r="J38" s="2" t="s">
        <v>222</v>
      </c>
    </row>
    <row r="40" spans="2:12" x14ac:dyDescent="0.2">
      <c r="B40" s="19" t="s">
        <v>238</v>
      </c>
    </row>
    <row r="41" spans="2:12" x14ac:dyDescent="0.2">
      <c r="B41" s="2" t="s">
        <v>238</v>
      </c>
      <c r="F41" s="2" t="s">
        <v>205</v>
      </c>
      <c r="H41" s="75">
        <f>'Electricity Distribution'!M98</f>
        <v>40</v>
      </c>
      <c r="J41" s="2" t="s">
        <v>222</v>
      </c>
      <c r="L41" s="2" t="s">
        <v>241</v>
      </c>
    </row>
    <row r="43" spans="2:12" x14ac:dyDescent="0.2">
      <c r="B43" s="1" t="s">
        <v>239</v>
      </c>
    </row>
    <row r="44" spans="2:12" x14ac:dyDescent="0.2">
      <c r="B44" s="2" t="s">
        <v>240</v>
      </c>
      <c r="F44" s="2" t="s">
        <v>205</v>
      </c>
      <c r="H44" s="75">
        <f>'Electricity Distribution'!M101</f>
        <v>305.43662127586322</v>
      </c>
      <c r="J44" s="2" t="s">
        <v>222</v>
      </c>
    </row>
    <row r="45" spans="2:12" x14ac:dyDescent="0.2">
      <c r="B45" s="2" t="s">
        <v>158</v>
      </c>
      <c r="F45" s="2" t="s">
        <v>205</v>
      </c>
      <c r="H45" s="75">
        <f>'Electricity Distribution'!M102</f>
        <v>189.55349078801981</v>
      </c>
      <c r="J45" s="2" t="s">
        <v>222</v>
      </c>
    </row>
    <row r="46" spans="2:12" x14ac:dyDescent="0.2">
      <c r="B46" s="2" t="s">
        <v>159</v>
      </c>
      <c r="F46" s="2" t="s">
        <v>205</v>
      </c>
      <c r="H46" s="75">
        <f>'Electricity Distribution'!M103</f>
        <v>205.78594305755018</v>
      </c>
      <c r="J46" s="2" t="s">
        <v>222</v>
      </c>
    </row>
    <row r="48" spans="2:12" s="8" customFormat="1" x14ac:dyDescent="0.2">
      <c r="B48" s="8" t="s">
        <v>256</v>
      </c>
    </row>
    <row r="50" spans="2:12" x14ac:dyDescent="0.2">
      <c r="B50" s="1" t="s">
        <v>216</v>
      </c>
    </row>
    <row r="51" spans="2:12" x14ac:dyDescent="0.2">
      <c r="B51" s="2" t="s">
        <v>245</v>
      </c>
      <c r="F51" s="2" t="s">
        <v>246</v>
      </c>
      <c r="H51" s="77">
        <f>'Water Production'!N40</f>
        <v>5.5023984424735932</v>
      </c>
      <c r="J51" s="2" t="s">
        <v>222</v>
      </c>
    </row>
    <row r="53" spans="2:12" x14ac:dyDescent="0.2">
      <c r="B53" s="1" t="s">
        <v>220</v>
      </c>
    </row>
    <row r="54" spans="2:12" x14ac:dyDescent="0.2">
      <c r="B54" s="2" t="s">
        <v>247</v>
      </c>
      <c r="F54" s="2" t="s">
        <v>246</v>
      </c>
      <c r="H54" s="73">
        <f>'Water Distribution'!O44</f>
        <v>8.2902016236452258</v>
      </c>
      <c r="J54" s="2" t="s">
        <v>222</v>
      </c>
    </row>
    <row r="56" spans="2:12" x14ac:dyDescent="0.2">
      <c r="B56" s="1" t="s">
        <v>248</v>
      </c>
    </row>
    <row r="57" spans="2:12" x14ac:dyDescent="0.2">
      <c r="B57" s="2" t="s">
        <v>248</v>
      </c>
      <c r="F57" s="2" t="s">
        <v>224</v>
      </c>
      <c r="H57" s="78">
        <f>'Water Distribution'!O50</f>
        <v>95.389770046420324</v>
      </c>
      <c r="J57" s="2" t="s">
        <v>222</v>
      </c>
    </row>
    <row r="59" spans="2:12" x14ac:dyDescent="0.2">
      <c r="B59" s="1" t="s">
        <v>249</v>
      </c>
    </row>
    <row r="60" spans="2:12" x14ac:dyDescent="0.2">
      <c r="B60" s="2" t="s">
        <v>238</v>
      </c>
      <c r="F60" s="2" t="s">
        <v>205</v>
      </c>
      <c r="H60" s="79">
        <f>'Water Distribution'!O53</f>
        <v>40</v>
      </c>
      <c r="J60" s="2" t="s">
        <v>222</v>
      </c>
      <c r="L60" s="2" t="s">
        <v>241</v>
      </c>
    </row>
    <row r="62" spans="2:12" x14ac:dyDescent="0.2">
      <c r="B62" s="1" t="s">
        <v>250</v>
      </c>
    </row>
    <row r="63" spans="2:12" x14ac:dyDescent="0.2">
      <c r="B63" s="2" t="s">
        <v>251</v>
      </c>
      <c r="F63" s="2" t="s">
        <v>205</v>
      </c>
      <c r="H63" s="79">
        <f>'Water Distribution'!O56</f>
        <v>272.94023816097268</v>
      </c>
      <c r="J63" s="2" t="s">
        <v>222</v>
      </c>
    </row>
    <row r="64" spans="2:12" x14ac:dyDescent="0.2">
      <c r="B64" s="2" t="s">
        <v>252</v>
      </c>
      <c r="F64" s="2" t="s">
        <v>205</v>
      </c>
      <c r="H64" s="79">
        <f>'Water Distribution'!O57</f>
        <v>189.55349078801981</v>
      </c>
      <c r="J64" s="2" t="s">
        <v>222</v>
      </c>
    </row>
    <row r="66" spans="2:10" x14ac:dyDescent="0.2">
      <c r="B66" s="1" t="s">
        <v>253</v>
      </c>
    </row>
    <row r="67" spans="2:10" x14ac:dyDescent="0.2">
      <c r="B67" s="2" t="s">
        <v>254</v>
      </c>
      <c r="F67" s="2" t="s">
        <v>246</v>
      </c>
      <c r="H67" s="128">
        <f>'Water Distribution'!P65</f>
        <v>9.8362478495661279</v>
      </c>
      <c r="J67" s="2" t="s">
        <v>222</v>
      </c>
    </row>
  </sheetData>
  <phoneticPr fontId="31" type="noConversion"/>
  <pageMargins left="0.7" right="0.7" top="0.75" bottom="0.75" header="0.3" footer="0.3"/>
  <pageSetup paperSize="9" orientation="portrait" r:id="rId1"/>
  <ignoredErrors>
    <ignoredError sqref="B22:B31 B34 B36 B32 B33 B37:B38 B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election activeCell="L54" sqref="L54"/>
    </sheetView>
  </sheetViews>
  <sheetFormatPr defaultColWidth="9.140625" defaultRowHeight="12.75" x14ac:dyDescent="0.2"/>
  <cols>
    <col min="1" max="16384" width="9.140625" style="14"/>
  </cols>
  <sheetData>
    <row r="2" spans="2:2" x14ac:dyDescent="0.2">
      <c r="B2" s="33" t="s">
        <v>203</v>
      </c>
    </row>
    <row r="3" spans="2:2" x14ac:dyDescent="0.2">
      <c r="B3" s="33"/>
    </row>
    <row r="7" spans="2:2" x14ac:dyDescent="0.2">
      <c r="B7" s="33"/>
    </row>
    <row r="8" spans="2:2" x14ac:dyDescent="0.2">
      <c r="B8" s="3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N49"/>
  <sheetViews>
    <sheetView showGridLines="0" zoomScale="85" zoomScaleNormal="85" workbookViewId="0">
      <pane xSplit="6" ySplit="14" topLeftCell="G15" activePane="bottomRight" state="frozen"/>
      <selection activeCell="R6" sqref="R6"/>
      <selection pane="topRight" activeCell="R6" sqref="R6"/>
      <selection pane="bottomLeft" activeCell="R6" sqref="R6"/>
      <selection pane="bottomRight" activeCell="G15" sqref="G15"/>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59.42578125" style="2" customWidth="1"/>
    <col min="13" max="13" width="2.7109375" style="2" customWidth="1"/>
    <col min="14" max="14" width="47" style="2" customWidth="1"/>
    <col min="15" max="15" width="2.7109375" style="2" customWidth="1"/>
    <col min="16" max="30" width="13.7109375" style="2" customWidth="1"/>
    <col min="31" max="16384" width="9.140625" style="2"/>
  </cols>
  <sheetData>
    <row r="2" spans="2:14" s="12" customFormat="1" ht="18" x14ac:dyDescent="0.2">
      <c r="B2" s="12" t="s">
        <v>67</v>
      </c>
    </row>
    <row r="4" spans="2:14" x14ac:dyDescent="0.2">
      <c r="B4" s="19" t="s">
        <v>68</v>
      </c>
      <c r="C4" s="1"/>
      <c r="D4" s="1"/>
    </row>
    <row r="5" spans="2:14" x14ac:dyDescent="0.2">
      <c r="B5" s="2" t="s">
        <v>552</v>
      </c>
      <c r="H5" s="13"/>
    </row>
    <row r="6" spans="2:14" x14ac:dyDescent="0.2">
      <c r="H6" s="13"/>
    </row>
    <row r="7" spans="2:14" x14ac:dyDescent="0.2">
      <c r="B7" s="20" t="s">
        <v>69</v>
      </c>
      <c r="H7" s="13"/>
    </row>
    <row r="8" spans="2:14" x14ac:dyDescent="0.2">
      <c r="B8" s="2" t="s">
        <v>70</v>
      </c>
    </row>
    <row r="9" spans="2:14" x14ac:dyDescent="0.2">
      <c r="B9" s="2" t="s">
        <v>71</v>
      </c>
    </row>
    <row r="11" spans="2:14" x14ac:dyDescent="0.2">
      <c r="B11" s="4" t="s">
        <v>551</v>
      </c>
    </row>
    <row r="13" spans="2:14" s="8" customFormat="1" x14ac:dyDescent="0.2">
      <c r="B13" s="8" t="s">
        <v>12</v>
      </c>
      <c r="F13" s="8" t="s">
        <v>36</v>
      </c>
      <c r="H13" s="8" t="s">
        <v>37</v>
      </c>
      <c r="J13" s="8" t="s">
        <v>38</v>
      </c>
      <c r="L13" s="8" t="s">
        <v>40</v>
      </c>
      <c r="N13" s="8" t="s">
        <v>39</v>
      </c>
    </row>
    <row r="16" spans="2:14" s="8" customFormat="1" x14ac:dyDescent="0.2">
      <c r="B16" s="8" t="s">
        <v>77</v>
      </c>
    </row>
    <row r="18" spans="2:14" x14ac:dyDescent="0.2">
      <c r="B18" s="1" t="s">
        <v>78</v>
      </c>
    </row>
    <row r="19" spans="2:14" x14ac:dyDescent="0.2">
      <c r="B19" s="2" t="s">
        <v>79</v>
      </c>
      <c r="F19" s="2" t="s">
        <v>553</v>
      </c>
      <c r="H19" s="35">
        <v>98.82</v>
      </c>
      <c r="L19" s="2" t="s">
        <v>80</v>
      </c>
    </row>
    <row r="20" spans="2:14" x14ac:dyDescent="0.2">
      <c r="B20" s="2" t="s">
        <v>81</v>
      </c>
      <c r="F20" s="2" t="s">
        <v>553</v>
      </c>
      <c r="H20" s="35">
        <v>101.21</v>
      </c>
    </row>
    <row r="21" spans="2:14" x14ac:dyDescent="0.2">
      <c r="B21" s="2" t="s">
        <v>82</v>
      </c>
      <c r="F21" s="2" t="s">
        <v>553</v>
      </c>
      <c r="H21" s="35">
        <v>110.34</v>
      </c>
    </row>
    <row r="23" spans="2:14" x14ac:dyDescent="0.2">
      <c r="B23" s="2" t="s">
        <v>83</v>
      </c>
      <c r="F23" s="2" t="s">
        <v>553</v>
      </c>
      <c r="H23" s="35">
        <v>101.21</v>
      </c>
      <c r="L23" s="2" t="s">
        <v>84</v>
      </c>
    </row>
    <row r="24" spans="2:14" x14ac:dyDescent="0.2">
      <c r="B24" s="2" t="s">
        <v>85</v>
      </c>
      <c r="F24" s="2" t="s">
        <v>553</v>
      </c>
      <c r="H24" s="36">
        <f>H23*(H20/H19)</f>
        <v>103.65780307630034</v>
      </c>
    </row>
    <row r="26" spans="2:14" x14ac:dyDescent="0.2">
      <c r="B26" s="1" t="s">
        <v>86</v>
      </c>
    </row>
    <row r="27" spans="2:14" x14ac:dyDescent="0.2">
      <c r="B27" s="2" t="s">
        <v>87</v>
      </c>
      <c r="F27" s="2" t="s">
        <v>88</v>
      </c>
      <c r="H27" s="37">
        <f>ROUND(H21/H24-1,3)</f>
        <v>6.4000000000000001E-2</v>
      </c>
      <c r="N27" s="2" t="s">
        <v>89</v>
      </c>
    </row>
    <row r="28" spans="2:14" x14ac:dyDescent="0.2">
      <c r="B28" s="2" t="s">
        <v>90</v>
      </c>
      <c r="F28" s="2" t="s">
        <v>88</v>
      </c>
      <c r="H28" s="38">
        <v>-1.0999999999999999E-2</v>
      </c>
      <c r="L28" s="2" t="s">
        <v>180</v>
      </c>
    </row>
    <row r="30" spans="2:14" s="39" customFormat="1" x14ac:dyDescent="0.2">
      <c r="B30" s="39" t="s">
        <v>93</v>
      </c>
    </row>
    <row r="32" spans="2:14" x14ac:dyDescent="0.2">
      <c r="B32" s="2" t="s">
        <v>94</v>
      </c>
      <c r="F32" s="2" t="s">
        <v>88</v>
      </c>
      <c r="H32" s="38">
        <v>0.03</v>
      </c>
      <c r="L32" s="2" t="s">
        <v>95</v>
      </c>
    </row>
    <row r="34" spans="2:14" x14ac:dyDescent="0.2">
      <c r="B34" s="2" t="s">
        <v>96</v>
      </c>
      <c r="F34" s="2" t="s">
        <v>88</v>
      </c>
      <c r="H34" s="37">
        <f>((1+$H$32)^2)-1</f>
        <v>6.0899999999999954E-2</v>
      </c>
    </row>
    <row r="35" spans="2:14" x14ac:dyDescent="0.2">
      <c r="B35" s="2" t="s">
        <v>97</v>
      </c>
      <c r="F35" s="2" t="s">
        <v>88</v>
      </c>
      <c r="H35" s="37">
        <f>(1+$H$32)-1</f>
        <v>3.0000000000000027E-2</v>
      </c>
    </row>
    <row r="37" spans="2:14" s="8" customFormat="1" x14ac:dyDescent="0.2">
      <c r="B37" s="8" t="s">
        <v>91</v>
      </c>
    </row>
    <row r="39" spans="2:14" x14ac:dyDescent="0.2">
      <c r="B39" s="2" t="s">
        <v>336</v>
      </c>
      <c r="H39" s="38">
        <v>5.9700000000000003E-2</v>
      </c>
      <c r="L39" s="2" t="s">
        <v>337</v>
      </c>
    </row>
    <row r="40" spans="2:14" x14ac:dyDescent="0.2">
      <c r="B40" s="2" t="s">
        <v>434</v>
      </c>
      <c r="F40" s="2" t="s">
        <v>88</v>
      </c>
      <c r="H40" s="38">
        <v>6.4600000000000005E-2</v>
      </c>
      <c r="J40" s="100"/>
      <c r="L40" s="2" t="s">
        <v>92</v>
      </c>
    </row>
    <row r="41" spans="2:14" x14ac:dyDescent="0.2">
      <c r="B41" s="2" t="s">
        <v>435</v>
      </c>
      <c r="F41" s="2" t="s">
        <v>88</v>
      </c>
      <c r="H41" s="38">
        <v>5.7200000000000001E-2</v>
      </c>
      <c r="J41" s="100"/>
      <c r="L41" s="2" t="s">
        <v>92</v>
      </c>
    </row>
    <row r="42" spans="2:14" x14ac:dyDescent="0.2">
      <c r="B42" s="2" t="s">
        <v>436</v>
      </c>
      <c r="F42" s="2" t="s">
        <v>88</v>
      </c>
      <c r="H42" s="38">
        <v>6.3799999999999996E-2</v>
      </c>
      <c r="J42" s="100"/>
      <c r="L42" s="2" t="s">
        <v>92</v>
      </c>
    </row>
    <row r="44" spans="2:14" s="8" customFormat="1" x14ac:dyDescent="0.2">
      <c r="B44" s="8" t="s">
        <v>501</v>
      </c>
    </row>
    <row r="46" spans="2:14" x14ac:dyDescent="0.2">
      <c r="B46" s="2" t="s">
        <v>501</v>
      </c>
      <c r="F46" s="2" t="s">
        <v>88</v>
      </c>
      <c r="H46" s="40">
        <v>0.5</v>
      </c>
      <c r="L46" s="2" t="s">
        <v>493</v>
      </c>
      <c r="N46" s="18"/>
    </row>
    <row r="49" spans="2:2" x14ac:dyDescent="0.2">
      <c r="B49" s="4" t="s">
        <v>65</v>
      </c>
    </row>
  </sheetData>
  <phoneticPr fontId="3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E7D0-41A9-48CA-B566-7241761DC35D}">
  <sheetPr>
    <tabColor rgb="FFE1FFE1"/>
  </sheetPr>
  <dimension ref="A2:T65"/>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40.140625" style="2" customWidth="1"/>
    <col min="19" max="19" width="5.570312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460</v>
      </c>
    </row>
    <row r="4" spans="2:20" x14ac:dyDescent="0.2">
      <c r="B4" s="1" t="s">
        <v>102</v>
      </c>
      <c r="C4" s="1"/>
      <c r="D4" s="1"/>
    </row>
    <row r="5" spans="2:20" x14ac:dyDescent="0.2">
      <c r="B5" s="2" t="s">
        <v>554</v>
      </c>
      <c r="D5" s="3"/>
      <c r="H5" s="13"/>
    </row>
    <row r="6" spans="2:20" x14ac:dyDescent="0.2">
      <c r="D6" s="3"/>
      <c r="H6" s="13"/>
    </row>
    <row r="8" spans="2:20" s="8" customFormat="1" x14ac:dyDescent="0.2">
      <c r="B8" s="8" t="s">
        <v>103</v>
      </c>
      <c r="F8" s="8" t="s">
        <v>104</v>
      </c>
      <c r="H8" s="8" t="s">
        <v>105</v>
      </c>
      <c r="J8" s="8" t="s">
        <v>106</v>
      </c>
      <c r="L8" s="8" t="s">
        <v>72</v>
      </c>
      <c r="M8" s="8" t="s">
        <v>73</v>
      </c>
      <c r="N8" s="8" t="s">
        <v>74</v>
      </c>
      <c r="O8" s="8" t="s">
        <v>75</v>
      </c>
      <c r="P8" s="8" t="s">
        <v>76</v>
      </c>
      <c r="R8" s="8" t="s">
        <v>40</v>
      </c>
      <c r="T8" s="8" t="s">
        <v>39</v>
      </c>
    </row>
    <row r="11" spans="2:20" s="8" customFormat="1" x14ac:dyDescent="0.2">
      <c r="B11" s="8" t="s">
        <v>525</v>
      </c>
    </row>
    <row r="13" spans="2:20" x14ac:dyDescent="0.2">
      <c r="B13" s="111" t="s">
        <v>107</v>
      </c>
    </row>
    <row r="14" spans="2:20" x14ac:dyDescent="0.2">
      <c r="B14" s="2" t="s">
        <v>510</v>
      </c>
      <c r="F14" s="2" t="s">
        <v>108</v>
      </c>
      <c r="J14" s="41">
        <f>SUM(L14:P14)</f>
        <v>4489359.1499999994</v>
      </c>
      <c r="L14" s="42">
        <v>2007361.6478045504</v>
      </c>
      <c r="M14" s="42">
        <v>1040667.8730083217</v>
      </c>
      <c r="N14" s="42">
        <v>594864.90738965385</v>
      </c>
      <c r="O14" s="42">
        <v>846464.72179747385</v>
      </c>
      <c r="P14" s="43"/>
      <c r="Q14" s="13"/>
      <c r="R14" s="2" t="s">
        <v>109</v>
      </c>
    </row>
    <row r="15" spans="2:20" x14ac:dyDescent="0.2">
      <c r="B15" s="2" t="s">
        <v>110</v>
      </c>
      <c r="F15" s="2" t="s">
        <v>108</v>
      </c>
      <c r="J15" s="41">
        <f>SUM(L15:P15)</f>
        <v>511397.42999999993</v>
      </c>
      <c r="L15" s="42">
        <v>2926.1146092557124</v>
      </c>
      <c r="M15" s="42">
        <v>439515.27092647104</v>
      </c>
      <c r="N15" s="42">
        <v>-838.2788484082314</v>
      </c>
      <c r="O15" s="42">
        <v>69794.323312681474</v>
      </c>
      <c r="P15" s="43"/>
      <c r="Q15" s="13"/>
      <c r="R15" s="2" t="s">
        <v>111</v>
      </c>
    </row>
    <row r="16" spans="2:20" x14ac:dyDescent="0.2">
      <c r="Q16" s="13"/>
    </row>
    <row r="17" spans="2:20" x14ac:dyDescent="0.2">
      <c r="B17" s="2" t="s">
        <v>509</v>
      </c>
      <c r="F17" s="2" t="s">
        <v>108</v>
      </c>
      <c r="J17" s="41">
        <f>SUM(L17:P17)</f>
        <v>4489359.1499999994</v>
      </c>
      <c r="L17" s="42">
        <v>2007361.6478045504</v>
      </c>
      <c r="M17" s="42">
        <v>1040667.8730083217</v>
      </c>
      <c r="N17" s="42">
        <v>594864.90738965385</v>
      </c>
      <c r="O17" s="42">
        <v>846464.72179747385</v>
      </c>
      <c r="P17" s="43"/>
      <c r="Q17" s="13"/>
      <c r="R17" s="2" t="s">
        <v>512</v>
      </c>
    </row>
    <row r="18" spans="2:20" x14ac:dyDescent="0.2">
      <c r="B18" s="2" t="s">
        <v>511</v>
      </c>
      <c r="F18" s="2" t="s">
        <v>108</v>
      </c>
      <c r="J18" s="41">
        <f>SUM(L18:P18)</f>
        <v>511397.42999999993</v>
      </c>
      <c r="L18" s="42">
        <v>2926.1146092557124</v>
      </c>
      <c r="M18" s="42">
        <v>439515.27092647104</v>
      </c>
      <c r="N18" s="42">
        <v>-838.2788484082314</v>
      </c>
      <c r="O18" s="42">
        <v>69794.323312681474</v>
      </c>
      <c r="P18" s="43"/>
      <c r="Q18" s="13"/>
      <c r="R18" s="2" t="s">
        <v>513</v>
      </c>
    </row>
    <row r="19" spans="2:20" x14ac:dyDescent="0.2">
      <c r="Q19" s="13"/>
      <c r="R19" s="13"/>
    </row>
    <row r="20" spans="2:20" x14ac:dyDescent="0.2">
      <c r="B20" s="111" t="s">
        <v>112</v>
      </c>
      <c r="J20" s="44"/>
      <c r="L20" s="13"/>
      <c r="M20" s="13"/>
      <c r="N20" s="13"/>
      <c r="O20" s="13"/>
      <c r="P20" s="45"/>
      <c r="Q20" s="13"/>
      <c r="R20" s="13"/>
    </row>
    <row r="21" spans="2:20" x14ac:dyDescent="0.2">
      <c r="B21" s="2" t="s">
        <v>113</v>
      </c>
      <c r="F21" s="2" t="s">
        <v>114</v>
      </c>
      <c r="J21" s="41">
        <f>SUM(L21:P21)</f>
        <v>9099251.3823729344</v>
      </c>
      <c r="L21" s="42">
        <v>2807790.6419269913</v>
      </c>
      <c r="M21" s="42">
        <v>2099727.8190321838</v>
      </c>
      <c r="N21" s="42">
        <v>1364182.3299102224</v>
      </c>
      <c r="O21" s="42">
        <v>2826574.5199072561</v>
      </c>
      <c r="P21" s="42">
        <v>976.07159627994554</v>
      </c>
      <c r="Q21" s="13"/>
      <c r="R21" s="2" t="s">
        <v>115</v>
      </c>
      <c r="T21" s="2" t="s">
        <v>116</v>
      </c>
    </row>
    <row r="22" spans="2:20" x14ac:dyDescent="0.2">
      <c r="B22" s="2" t="s">
        <v>117</v>
      </c>
      <c r="F22" s="2" t="s">
        <v>114</v>
      </c>
      <c r="J22" s="41">
        <f>SUM(L22:P22)</f>
        <v>884400.79669051722</v>
      </c>
      <c r="L22" s="42">
        <v>369335.68785139988</v>
      </c>
      <c r="M22" s="42">
        <v>198076.97728293162</v>
      </c>
      <c r="N22" s="42">
        <v>122271.43611731179</v>
      </c>
      <c r="O22" s="42">
        <v>194529.94154355564</v>
      </c>
      <c r="P22" s="42">
        <v>186.75389531827514</v>
      </c>
      <c r="Q22" s="13"/>
      <c r="R22" s="2" t="s">
        <v>118</v>
      </c>
      <c r="T22" s="2" t="s">
        <v>119</v>
      </c>
    </row>
    <row r="24" spans="2:20" x14ac:dyDescent="0.2">
      <c r="B24" s="1" t="s">
        <v>457</v>
      </c>
    </row>
    <row r="25" spans="2:20" x14ac:dyDescent="0.2">
      <c r="B25" s="2" t="s">
        <v>98</v>
      </c>
      <c r="F25" s="2" t="s">
        <v>88</v>
      </c>
      <c r="L25" s="40">
        <v>0.19410125059831115</v>
      </c>
      <c r="M25" s="40">
        <v>0.27580884597893079</v>
      </c>
      <c r="N25" s="40">
        <v>0.12889013723645187</v>
      </c>
      <c r="O25" s="40">
        <v>0.30232576550308171</v>
      </c>
      <c r="P25" s="40">
        <v>0.30232576550308171</v>
      </c>
      <c r="R25" s="2" t="s">
        <v>581</v>
      </c>
      <c r="T25" s="2" t="s">
        <v>99</v>
      </c>
    </row>
    <row r="26" spans="2:20" x14ac:dyDescent="0.2">
      <c r="B26" s="2" t="s">
        <v>100</v>
      </c>
      <c r="F26" s="2" t="s">
        <v>88</v>
      </c>
      <c r="L26" s="40">
        <v>0</v>
      </c>
      <c r="M26" s="40">
        <v>0.5</v>
      </c>
      <c r="N26" s="40">
        <v>0</v>
      </c>
      <c r="O26" s="40">
        <v>0.5</v>
      </c>
      <c r="P26" s="40">
        <v>0.5</v>
      </c>
      <c r="R26" s="2" t="s">
        <v>582</v>
      </c>
      <c r="T26" s="2" t="s">
        <v>101</v>
      </c>
    </row>
    <row r="28" spans="2:20" x14ac:dyDescent="0.2">
      <c r="B28" s="1" t="s">
        <v>143</v>
      </c>
    </row>
    <row r="29" spans="2:20" x14ac:dyDescent="0.2">
      <c r="B29" s="119" t="s">
        <v>143</v>
      </c>
      <c r="F29" s="2" t="s">
        <v>530</v>
      </c>
      <c r="H29" s="53">
        <v>3.7191999999999998</v>
      </c>
      <c r="R29" s="2" t="s">
        <v>532</v>
      </c>
    </row>
    <row r="30" spans="2:20" x14ac:dyDescent="0.2">
      <c r="B30" s="119" t="s">
        <v>531</v>
      </c>
      <c r="H30" s="53">
        <v>3.78541178</v>
      </c>
    </row>
    <row r="31" spans="2:20" x14ac:dyDescent="0.2">
      <c r="B31" s="2" t="s">
        <v>143</v>
      </c>
      <c r="F31" s="2" t="s">
        <v>144</v>
      </c>
      <c r="H31" s="74">
        <f>H29/H30</f>
        <v>0.98250869816863085</v>
      </c>
      <c r="N31" s="18"/>
    </row>
    <row r="33" spans="1:20" s="8" customFormat="1" ht="12.75" customHeight="1" x14ac:dyDescent="0.2">
      <c r="B33" s="8" t="s">
        <v>458</v>
      </c>
    </row>
    <row r="34" spans="1:20" ht="12.75" customHeight="1" x14ac:dyDescent="0.2"/>
    <row r="35" spans="1:20" ht="12.75" customHeight="1" x14ac:dyDescent="0.2">
      <c r="B35" s="19" t="s">
        <v>123</v>
      </c>
    </row>
    <row r="36" spans="1:20" s="20" customFormat="1" ht="12.75" customHeight="1" x14ac:dyDescent="0.2">
      <c r="A36" s="2"/>
      <c r="B36" s="20" t="s">
        <v>36</v>
      </c>
      <c r="F36" s="20" t="s">
        <v>124</v>
      </c>
      <c r="L36" s="20" t="s">
        <v>125</v>
      </c>
      <c r="M36" s="20" t="s">
        <v>126</v>
      </c>
      <c r="N36" s="20" t="s">
        <v>127</v>
      </c>
      <c r="O36" s="20" t="s">
        <v>128</v>
      </c>
      <c r="P36" s="20" t="s">
        <v>127</v>
      </c>
    </row>
    <row r="37" spans="1:20" ht="12.75" customHeight="1" x14ac:dyDescent="0.2">
      <c r="B37" s="2" t="s">
        <v>129</v>
      </c>
      <c r="F37" s="2" t="s">
        <v>124</v>
      </c>
      <c r="L37" s="42">
        <v>16328808</v>
      </c>
      <c r="M37" s="42">
        <v>18218.78</v>
      </c>
      <c r="N37" s="42">
        <v>187656</v>
      </c>
      <c r="O37" s="42">
        <v>1036.1666666666667</v>
      </c>
      <c r="P37" s="42">
        <v>6147.1999999999989</v>
      </c>
      <c r="R37" s="2" t="s">
        <v>130</v>
      </c>
      <c r="T37" s="2" t="s">
        <v>567</v>
      </c>
    </row>
    <row r="38" spans="1:20" ht="12.75" customHeight="1" x14ac:dyDescent="0.2">
      <c r="B38" s="2" t="s">
        <v>564</v>
      </c>
      <c r="F38" s="2" t="s">
        <v>125</v>
      </c>
      <c r="L38" s="35">
        <v>656374</v>
      </c>
      <c r="M38" s="48"/>
      <c r="N38" s="48"/>
      <c r="O38" s="48"/>
      <c r="P38" s="48"/>
      <c r="R38" s="2" t="s">
        <v>566</v>
      </c>
    </row>
    <row r="39" spans="1:20" ht="12.75" customHeight="1" x14ac:dyDescent="0.2">
      <c r="B39" s="2" t="s">
        <v>565</v>
      </c>
      <c r="F39" s="2" t="s">
        <v>125</v>
      </c>
      <c r="L39" s="36">
        <f>L37-L38</f>
        <v>15672434</v>
      </c>
      <c r="M39" s="48"/>
      <c r="N39" s="48"/>
      <c r="O39" s="48"/>
      <c r="P39" s="48"/>
      <c r="T39" s="2" t="s">
        <v>568</v>
      </c>
    </row>
    <row r="40" spans="1:20" ht="12.75" customHeight="1" x14ac:dyDescent="0.2"/>
    <row r="41" spans="1:20" ht="12.75" customHeight="1" x14ac:dyDescent="0.2">
      <c r="B41" s="2" t="s">
        <v>348</v>
      </c>
      <c r="F41" s="2" t="s">
        <v>88</v>
      </c>
      <c r="L41" s="60"/>
      <c r="M41" s="113">
        <v>9.6593510378510203E-2</v>
      </c>
      <c r="N41" s="60"/>
      <c r="O41" s="113">
        <v>0.39205620923391699</v>
      </c>
      <c r="P41" s="60"/>
      <c r="R41" s="2" t="s">
        <v>526</v>
      </c>
    </row>
    <row r="42" spans="1:20" ht="12.75" customHeight="1" x14ac:dyDescent="0.2">
      <c r="L42" s="13"/>
      <c r="M42" s="13"/>
      <c r="N42" s="13"/>
      <c r="O42" s="13"/>
      <c r="R42" s="13"/>
      <c r="T42" s="13"/>
    </row>
    <row r="43" spans="1:20" ht="12.75" customHeight="1" x14ac:dyDescent="0.2">
      <c r="B43" s="1" t="s">
        <v>161</v>
      </c>
      <c r="L43" s="13"/>
      <c r="M43" s="13"/>
      <c r="N43" s="13"/>
      <c r="O43" s="63"/>
      <c r="R43" s="13"/>
      <c r="T43" s="13"/>
    </row>
    <row r="44" spans="1:20" ht="12.75" customHeight="1" x14ac:dyDescent="0.2">
      <c r="B44" s="2" t="s">
        <v>162</v>
      </c>
      <c r="F44" s="2" t="s">
        <v>163</v>
      </c>
      <c r="H44" s="13"/>
      <c r="L44" s="60"/>
      <c r="M44" s="60"/>
      <c r="N44" s="62"/>
      <c r="O44" s="42">
        <v>189</v>
      </c>
      <c r="P44" s="62"/>
      <c r="R44" s="2" t="s">
        <v>555</v>
      </c>
      <c r="T44" s="13"/>
    </row>
    <row r="45" spans="1:20" ht="12.75" customHeight="1" x14ac:dyDescent="0.2">
      <c r="B45" s="2" t="s">
        <v>165</v>
      </c>
      <c r="F45" s="2" t="s">
        <v>108</v>
      </c>
      <c r="H45" s="13"/>
      <c r="L45" s="60"/>
      <c r="M45" s="60"/>
      <c r="N45" s="61"/>
      <c r="O45" s="35">
        <v>259.37591529472002</v>
      </c>
      <c r="P45" s="62"/>
      <c r="R45" s="2" t="s">
        <v>166</v>
      </c>
      <c r="T45" s="2" t="s">
        <v>167</v>
      </c>
    </row>
    <row r="46" spans="1:20" ht="12.75" customHeight="1" x14ac:dyDescent="0.2">
      <c r="B46" s="2" t="s">
        <v>168</v>
      </c>
      <c r="F46" s="2" t="s">
        <v>108</v>
      </c>
      <c r="H46" s="13"/>
      <c r="L46" s="48"/>
      <c r="M46" s="48"/>
      <c r="N46" s="62"/>
      <c r="O46" s="64">
        <f>O45*O44</f>
        <v>49022.047990702085</v>
      </c>
      <c r="P46" s="62"/>
      <c r="R46" s="13"/>
      <c r="T46" s="2" t="s">
        <v>169</v>
      </c>
    </row>
    <row r="48" spans="1:20" x14ac:dyDescent="0.2">
      <c r="B48" s="1" t="s">
        <v>461</v>
      </c>
      <c r="T48" s="18"/>
    </row>
    <row r="49" spans="2:20" x14ac:dyDescent="0.2">
      <c r="B49" s="2" t="s">
        <v>349</v>
      </c>
      <c r="F49" s="2" t="s">
        <v>127</v>
      </c>
      <c r="O49" s="102">
        <v>185627.12899999999</v>
      </c>
      <c r="P49" s="60"/>
      <c r="R49" s="2" t="s">
        <v>194</v>
      </c>
      <c r="T49" s="13"/>
    </row>
    <row r="50" spans="2:20" x14ac:dyDescent="0.2">
      <c r="B50" s="2" t="s">
        <v>350</v>
      </c>
      <c r="F50" s="2" t="s">
        <v>88</v>
      </c>
      <c r="O50" s="60"/>
      <c r="P50" s="103">
        <f>P37/(O49+P37)</f>
        <v>3.2054342372382902E-2</v>
      </c>
    </row>
    <row r="52" spans="2:20" s="8" customFormat="1" ht="12.75" customHeight="1" x14ac:dyDescent="0.2">
      <c r="B52" s="8" t="s">
        <v>459</v>
      </c>
      <c r="L52" s="59"/>
      <c r="N52" s="59"/>
    </row>
    <row r="53" spans="2:20" ht="12.75" customHeight="1" x14ac:dyDescent="0.2">
      <c r="L53" s="13"/>
      <c r="N53" s="13"/>
    </row>
    <row r="54" spans="2:20" ht="12.75" customHeight="1" x14ac:dyDescent="0.2">
      <c r="B54" s="1" t="s">
        <v>153</v>
      </c>
      <c r="H54" s="13"/>
      <c r="L54" s="13"/>
      <c r="N54" s="13"/>
    </row>
    <row r="55" spans="2:20" ht="12.75" customHeight="1" x14ac:dyDescent="0.2">
      <c r="B55" s="2" t="s">
        <v>154</v>
      </c>
      <c r="F55" s="2" t="s">
        <v>155</v>
      </c>
      <c r="L55" s="48"/>
      <c r="M55" s="48"/>
      <c r="N55" s="48"/>
      <c r="O55" s="35">
        <v>275.97597387358206</v>
      </c>
      <c r="P55" s="48"/>
      <c r="R55" s="2" t="s">
        <v>590</v>
      </c>
    </row>
    <row r="56" spans="2:20" ht="12.75" customHeight="1" x14ac:dyDescent="0.2">
      <c r="B56" s="2" t="s">
        <v>156</v>
      </c>
      <c r="F56" s="2" t="s">
        <v>155</v>
      </c>
      <c r="L56" s="48"/>
      <c r="M56" s="48"/>
      <c r="N56" s="48"/>
      <c r="O56" s="35">
        <v>191.6617702608896</v>
      </c>
      <c r="P56" s="48"/>
      <c r="R56" s="2" t="s">
        <v>591</v>
      </c>
    </row>
    <row r="57" spans="2:20" x14ac:dyDescent="0.2">
      <c r="H57" s="13"/>
      <c r="N57" s="13"/>
      <c r="R57" s="13"/>
    </row>
    <row r="58" spans="2:20" ht="12.75" customHeight="1" x14ac:dyDescent="0.2">
      <c r="B58" s="2" t="s">
        <v>157</v>
      </c>
      <c r="F58" s="2" t="s">
        <v>155</v>
      </c>
      <c r="L58" s="48"/>
      <c r="M58" s="35">
        <v>308.83379299885058</v>
      </c>
      <c r="N58" s="48"/>
      <c r="O58" s="48"/>
      <c r="P58" s="48"/>
      <c r="R58" s="2" t="s">
        <v>592</v>
      </c>
    </row>
    <row r="59" spans="2:20" ht="12.75" customHeight="1" x14ac:dyDescent="0.2">
      <c r="B59" s="2" t="s">
        <v>158</v>
      </c>
      <c r="F59" s="2" t="s">
        <v>155</v>
      </c>
      <c r="L59" s="48"/>
      <c r="M59" s="35">
        <v>191.6617702608896</v>
      </c>
      <c r="N59" s="48"/>
      <c r="O59" s="48"/>
      <c r="P59" s="48"/>
      <c r="R59" s="2" t="s">
        <v>593</v>
      </c>
    </row>
    <row r="60" spans="2:20" ht="12.75" customHeight="1" x14ac:dyDescent="0.2">
      <c r="B60" s="2" t="s">
        <v>159</v>
      </c>
      <c r="F60" s="2" t="s">
        <v>155</v>
      </c>
      <c r="L60" s="48"/>
      <c r="M60" s="35">
        <v>208.07476547780604</v>
      </c>
      <c r="N60" s="48"/>
      <c r="O60" s="48"/>
      <c r="P60" s="48"/>
      <c r="R60" s="2" t="s">
        <v>594</v>
      </c>
    </row>
    <row r="61" spans="2:20" ht="12.75" customHeight="1" x14ac:dyDescent="0.2">
      <c r="N61" s="13"/>
      <c r="R61" s="13"/>
    </row>
    <row r="62" spans="2:20" ht="12.75" customHeight="1" x14ac:dyDescent="0.2">
      <c r="B62" s="2" t="s">
        <v>160</v>
      </c>
      <c r="F62" s="2" t="s">
        <v>155</v>
      </c>
      <c r="L62" s="48"/>
      <c r="M62" s="35">
        <v>40</v>
      </c>
      <c r="N62" s="48"/>
      <c r="O62" s="35">
        <v>40</v>
      </c>
      <c r="P62" s="48"/>
      <c r="R62" s="2" t="s">
        <v>595</v>
      </c>
    </row>
    <row r="65" spans="2:2" x14ac:dyDescent="0.2">
      <c r="B65" s="4" t="s">
        <v>65</v>
      </c>
    </row>
  </sheetData>
  <phoneticPr fontId="3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B561-8F95-4A6A-B3A7-F07857E0C764}">
  <sheetPr>
    <tabColor rgb="FFE1FFE1"/>
  </sheetPr>
  <dimension ref="A2:T78"/>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x14ac:dyDescent="0.2"/>
  <cols>
    <col min="1" max="1" width="4"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58.57031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468</v>
      </c>
    </row>
    <row r="4" spans="2:20" x14ac:dyDescent="0.2">
      <c r="B4" s="1" t="s">
        <v>102</v>
      </c>
      <c r="C4" s="1"/>
      <c r="D4" s="1"/>
    </row>
    <row r="5" spans="2:20" x14ac:dyDescent="0.2">
      <c r="B5" s="2" t="s">
        <v>556</v>
      </c>
      <c r="C5" s="3"/>
      <c r="D5" s="3"/>
      <c r="H5" s="13"/>
    </row>
    <row r="6" spans="2:20" x14ac:dyDescent="0.2">
      <c r="C6" s="3"/>
      <c r="D6" s="3"/>
      <c r="H6" s="13"/>
    </row>
    <row r="8" spans="2:20" s="8" customFormat="1" x14ac:dyDescent="0.2">
      <c r="B8" s="8" t="s">
        <v>103</v>
      </c>
      <c r="F8" s="8" t="s">
        <v>104</v>
      </c>
      <c r="H8" s="8" t="s">
        <v>105</v>
      </c>
      <c r="J8" s="8" t="s">
        <v>106</v>
      </c>
      <c r="L8" s="8" t="s">
        <v>72</v>
      </c>
      <c r="M8" s="8" t="s">
        <v>73</v>
      </c>
      <c r="N8" s="8" t="s">
        <v>74</v>
      </c>
      <c r="O8" s="8" t="s">
        <v>75</v>
      </c>
      <c r="P8" s="8" t="s">
        <v>76</v>
      </c>
      <c r="R8" s="8" t="s">
        <v>40</v>
      </c>
      <c r="T8" s="8" t="s">
        <v>39</v>
      </c>
    </row>
    <row r="11" spans="2:20" s="8" customFormat="1" x14ac:dyDescent="0.2">
      <c r="B11" s="8" t="s">
        <v>351</v>
      </c>
    </row>
    <row r="13" spans="2:20" ht="12.75" customHeight="1" x14ac:dyDescent="0.2">
      <c r="B13" s="54" t="s">
        <v>145</v>
      </c>
      <c r="C13" s="34"/>
      <c r="D13" s="34"/>
      <c r="E13" s="34"/>
      <c r="R13" s="13"/>
      <c r="T13" s="13"/>
    </row>
    <row r="14" spans="2:20" ht="12.75" customHeight="1" x14ac:dyDescent="0.2">
      <c r="B14" s="2" t="s">
        <v>146</v>
      </c>
      <c r="F14" s="2" t="s">
        <v>127</v>
      </c>
      <c r="L14" s="10"/>
      <c r="M14" s="55"/>
      <c r="N14" s="42">
        <v>197952.55799999996</v>
      </c>
      <c r="O14" s="46"/>
      <c r="P14" s="10"/>
      <c r="R14" s="2" t="s">
        <v>147</v>
      </c>
      <c r="T14" s="13"/>
    </row>
    <row r="15" spans="2:20" ht="12.75" customHeight="1" x14ac:dyDescent="0.2">
      <c r="B15" s="34"/>
      <c r="C15" s="34"/>
      <c r="D15" s="34"/>
      <c r="E15" s="34"/>
      <c r="F15" s="34"/>
      <c r="G15" s="34"/>
      <c r="M15" s="13"/>
      <c r="N15" s="13"/>
      <c r="O15" s="13"/>
      <c r="R15" s="13"/>
      <c r="T15" s="13"/>
    </row>
    <row r="16" spans="2:20" ht="12.75" customHeight="1" x14ac:dyDescent="0.2">
      <c r="B16" s="1" t="s">
        <v>150</v>
      </c>
      <c r="M16" s="13"/>
      <c r="N16" s="13"/>
      <c r="O16" s="13"/>
      <c r="R16" s="13"/>
      <c r="T16" s="13"/>
    </row>
    <row r="17" spans="1:20" ht="12.75" customHeight="1" x14ac:dyDescent="0.2">
      <c r="B17" s="2" t="s">
        <v>151</v>
      </c>
      <c r="F17" s="2" t="s">
        <v>88</v>
      </c>
      <c r="L17" s="48"/>
      <c r="M17" s="56">
        <v>0.12</v>
      </c>
      <c r="N17" s="57"/>
      <c r="O17" s="56">
        <v>0.22</v>
      </c>
      <c r="P17" s="58"/>
      <c r="R17" s="2" t="s">
        <v>152</v>
      </c>
      <c r="T17" s="13"/>
    </row>
    <row r="18" spans="1:20" x14ac:dyDescent="0.2">
      <c r="B18" s="1"/>
    </row>
    <row r="19" spans="1:20" ht="12.75" customHeight="1" x14ac:dyDescent="0.2">
      <c r="B19" s="1" t="s">
        <v>131</v>
      </c>
      <c r="R19" s="13"/>
    </row>
    <row r="20" spans="1:20" ht="12.75" customHeight="1" x14ac:dyDescent="0.2">
      <c r="B20" s="2" t="s">
        <v>132</v>
      </c>
      <c r="F20" s="2" t="s">
        <v>133</v>
      </c>
      <c r="L20" s="42">
        <v>7999999.9999999702</v>
      </c>
      <c r="M20" s="48"/>
      <c r="N20" s="48"/>
      <c r="O20" s="48"/>
      <c r="P20" s="48"/>
      <c r="R20" s="2" t="s">
        <v>134</v>
      </c>
    </row>
    <row r="21" spans="1:20" ht="12.75" customHeight="1" x14ac:dyDescent="0.2">
      <c r="B21" s="2" t="s">
        <v>135</v>
      </c>
      <c r="F21" s="2" t="s">
        <v>133</v>
      </c>
      <c r="L21" s="42">
        <v>8551729.9979999885</v>
      </c>
      <c r="M21" s="48"/>
      <c r="N21" s="48"/>
      <c r="O21" s="48"/>
      <c r="P21" s="48"/>
      <c r="R21" s="2" t="s">
        <v>134</v>
      </c>
    </row>
    <row r="22" spans="1:20" ht="12.75" customHeight="1" x14ac:dyDescent="0.2">
      <c r="B22" s="2" t="s">
        <v>136</v>
      </c>
      <c r="F22" s="2" t="s">
        <v>133</v>
      </c>
      <c r="L22" s="41">
        <f>L20+L21</f>
        <v>16551729.997999959</v>
      </c>
      <c r="M22" s="48"/>
      <c r="N22" s="48"/>
      <c r="O22" s="48"/>
      <c r="P22" s="48"/>
      <c r="R22" s="13"/>
    </row>
    <row r="23" spans="1:20" ht="12.75" customHeight="1" x14ac:dyDescent="0.2">
      <c r="B23" s="2" t="s">
        <v>137</v>
      </c>
      <c r="F23" s="2" t="s">
        <v>133</v>
      </c>
      <c r="L23" s="49">
        <v>7779312.9999999851</v>
      </c>
      <c r="M23" s="48"/>
      <c r="N23" s="48"/>
      <c r="O23" s="48"/>
      <c r="P23" s="48"/>
      <c r="R23" s="2" t="s">
        <v>134</v>
      </c>
    </row>
    <row r="24" spans="1:20" ht="12.75" customHeight="1" x14ac:dyDescent="0.2">
      <c r="B24" s="2" t="s">
        <v>138</v>
      </c>
      <c r="F24" s="2" t="s">
        <v>88</v>
      </c>
      <c r="L24" s="50">
        <f>L21/L22</f>
        <v>0.51666683778875944</v>
      </c>
      <c r="M24" s="48"/>
      <c r="N24" s="48"/>
      <c r="O24" s="48"/>
      <c r="P24" s="48"/>
      <c r="R24" s="13"/>
    </row>
    <row r="25" spans="1:20" ht="12.75" customHeight="1" x14ac:dyDescent="0.2"/>
    <row r="26" spans="1:20" ht="12.75" customHeight="1" x14ac:dyDescent="0.2">
      <c r="B26" s="1" t="s">
        <v>462</v>
      </c>
      <c r="R26" s="13"/>
      <c r="T26" s="13"/>
    </row>
    <row r="27" spans="1:20" ht="12.75" customHeight="1" x14ac:dyDescent="0.2">
      <c r="B27" s="2" t="s">
        <v>463</v>
      </c>
      <c r="F27" s="2" t="s">
        <v>127</v>
      </c>
      <c r="L27" s="10"/>
      <c r="M27" s="10"/>
      <c r="N27" s="10"/>
      <c r="O27" s="10"/>
      <c r="P27" s="42">
        <v>1979.52558</v>
      </c>
      <c r="R27" s="13"/>
      <c r="T27" s="13"/>
    </row>
    <row r="28" spans="1:20" s="20" customFormat="1" ht="12.75" customHeight="1" x14ac:dyDescent="0.2">
      <c r="A28" s="2"/>
      <c r="B28" s="2" t="s">
        <v>464</v>
      </c>
      <c r="C28" s="2"/>
      <c r="D28" s="2"/>
      <c r="E28" s="2"/>
      <c r="F28" s="2" t="s">
        <v>88</v>
      </c>
      <c r="L28" s="65"/>
      <c r="M28" s="65"/>
      <c r="N28" s="65"/>
      <c r="O28" s="65"/>
      <c r="P28" s="114">
        <f>P27/(N14*(1-O17))</f>
        <v>1.2820512820512822E-2</v>
      </c>
      <c r="R28" s="2" t="s">
        <v>170</v>
      </c>
      <c r="T28" s="66"/>
    </row>
    <row r="29" spans="1:20" ht="12.75" customHeight="1" x14ac:dyDescent="0.2">
      <c r="R29" s="13"/>
      <c r="T29" s="13"/>
    </row>
    <row r="30" spans="1:20" s="8" customFormat="1" ht="12.75" customHeight="1" x14ac:dyDescent="0.2">
      <c r="B30" s="8" t="s">
        <v>497</v>
      </c>
      <c r="R30" s="59"/>
      <c r="T30" s="59"/>
    </row>
    <row r="31" spans="1:20" ht="12.75" customHeight="1" x14ac:dyDescent="0.2">
      <c r="R31" s="13"/>
      <c r="T31" s="13"/>
    </row>
    <row r="32" spans="1:20" ht="12.75" customHeight="1" x14ac:dyDescent="0.2">
      <c r="B32" s="1" t="s">
        <v>456</v>
      </c>
    </row>
    <row r="33" spans="2:20" ht="12.75" customHeight="1" x14ac:dyDescent="0.2">
      <c r="B33" s="2" t="s">
        <v>467</v>
      </c>
      <c r="F33" s="2" t="s">
        <v>139</v>
      </c>
      <c r="L33" s="51">
        <v>3046562</v>
      </c>
      <c r="M33" s="48"/>
      <c r="N33" s="48"/>
      <c r="O33" s="48"/>
      <c r="P33" s="48"/>
      <c r="R33" s="2" t="s">
        <v>140</v>
      </c>
    </row>
    <row r="34" spans="2:20" ht="12.75" customHeight="1" x14ac:dyDescent="0.2">
      <c r="B34" s="2" t="s">
        <v>466</v>
      </c>
      <c r="F34" s="2" t="s">
        <v>133</v>
      </c>
      <c r="L34" s="51">
        <v>11027671</v>
      </c>
      <c r="M34" s="48"/>
      <c r="N34" s="48"/>
      <c r="O34" s="48"/>
      <c r="P34" s="48"/>
      <c r="R34" s="2" t="s">
        <v>141</v>
      </c>
    </row>
    <row r="35" spans="2:20" ht="12.75" customHeight="1" x14ac:dyDescent="0.2">
      <c r="B35" s="2" t="s">
        <v>297</v>
      </c>
      <c r="F35" s="2" t="s">
        <v>142</v>
      </c>
      <c r="L35" s="52">
        <f>L33/L34</f>
        <v>0.27626522408947457</v>
      </c>
      <c r="M35" s="48"/>
      <c r="N35" s="48"/>
      <c r="O35" s="48"/>
      <c r="P35" s="48"/>
      <c r="R35" s="13"/>
    </row>
    <row r="36" spans="2:20" ht="12.75" customHeight="1" x14ac:dyDescent="0.2">
      <c r="R36" s="13"/>
    </row>
    <row r="37" spans="2:20" ht="12.75" customHeight="1" x14ac:dyDescent="0.2">
      <c r="B37" s="1" t="s">
        <v>498</v>
      </c>
      <c r="R37" s="13"/>
    </row>
    <row r="38" spans="2:20" ht="12.75" customHeight="1" x14ac:dyDescent="0.2">
      <c r="B38" s="2" t="s">
        <v>499</v>
      </c>
      <c r="F38" s="2" t="s">
        <v>127</v>
      </c>
      <c r="L38" s="10"/>
      <c r="M38" s="55"/>
      <c r="N38" s="26">
        <f>'Historical data'!N37</f>
        <v>187656</v>
      </c>
      <c r="O38" s="46"/>
      <c r="P38" s="10"/>
      <c r="R38" s="13"/>
    </row>
    <row r="39" spans="2:20" ht="12.75" customHeight="1" x14ac:dyDescent="0.2">
      <c r="B39" s="2" t="s">
        <v>500</v>
      </c>
      <c r="F39" s="2" t="s">
        <v>125</v>
      </c>
      <c r="L39" s="10"/>
      <c r="M39" s="55"/>
      <c r="N39" s="42">
        <v>846566</v>
      </c>
      <c r="O39" s="46"/>
      <c r="P39" s="10"/>
      <c r="R39" s="2" t="s">
        <v>543</v>
      </c>
      <c r="T39" s="2" t="s">
        <v>544</v>
      </c>
    </row>
    <row r="40" spans="2:20" ht="12.75" customHeight="1" x14ac:dyDescent="0.2">
      <c r="B40" s="2" t="s">
        <v>148</v>
      </c>
      <c r="F40" s="2" t="s">
        <v>149</v>
      </c>
      <c r="L40" s="10"/>
      <c r="M40" s="55"/>
      <c r="N40" s="36">
        <f>N39/N38</f>
        <v>4.511265293942107</v>
      </c>
      <c r="O40" s="46"/>
      <c r="P40" s="10"/>
      <c r="T40" s="13"/>
    </row>
    <row r="41" spans="2:20" ht="12.75" customHeight="1" x14ac:dyDescent="0.2">
      <c r="B41" s="1"/>
      <c r="R41" s="13"/>
    </row>
    <row r="42" spans="2:20" s="8" customFormat="1" ht="12.75" customHeight="1" x14ac:dyDescent="0.2">
      <c r="B42" s="8" t="s">
        <v>171</v>
      </c>
      <c r="R42" s="59"/>
      <c r="T42" s="59"/>
    </row>
    <row r="43" spans="2:20" ht="12.75" customHeight="1" x14ac:dyDescent="0.2">
      <c r="R43" s="13"/>
      <c r="T43" s="13"/>
    </row>
    <row r="44" spans="2:20" ht="12.75" customHeight="1" x14ac:dyDescent="0.2">
      <c r="B44" s="4" t="s">
        <v>172</v>
      </c>
      <c r="R44" s="13"/>
      <c r="T44" s="13"/>
    </row>
    <row r="45" spans="2:20" ht="12.75" customHeight="1" x14ac:dyDescent="0.2">
      <c r="B45" s="4"/>
      <c r="R45" s="13"/>
      <c r="T45" s="13"/>
    </row>
    <row r="46" spans="2:20" ht="12.75" customHeight="1" x14ac:dyDescent="0.2">
      <c r="B46" s="1" t="s">
        <v>173</v>
      </c>
      <c r="M46" s="1" t="s">
        <v>174</v>
      </c>
      <c r="R46" s="13"/>
      <c r="T46" s="13"/>
    </row>
    <row r="47" spans="2:20" ht="12.75" customHeight="1" x14ac:dyDescent="0.2">
      <c r="B47" s="69">
        <v>3.2</v>
      </c>
      <c r="F47" s="2" t="s">
        <v>163</v>
      </c>
      <c r="L47" s="65"/>
      <c r="M47" s="42">
        <v>215</v>
      </c>
      <c r="N47" s="65"/>
      <c r="O47" s="65"/>
      <c r="P47" s="65"/>
      <c r="R47" s="2" t="s">
        <v>545</v>
      </c>
      <c r="T47" s="119" t="s">
        <v>546</v>
      </c>
    </row>
    <row r="48" spans="2:20" ht="12.75" customHeight="1" x14ac:dyDescent="0.2">
      <c r="B48" s="69">
        <v>7.7</v>
      </c>
      <c r="F48" s="2" t="s">
        <v>163</v>
      </c>
      <c r="L48" s="65"/>
      <c r="M48" s="42">
        <v>1474.0789004867358</v>
      </c>
      <c r="N48" s="65"/>
      <c r="O48" s="65"/>
      <c r="P48" s="65"/>
      <c r="R48" s="13"/>
    </row>
    <row r="49" spans="2:18" ht="12.75" customHeight="1" x14ac:dyDescent="0.2">
      <c r="B49" s="69">
        <v>11</v>
      </c>
      <c r="F49" s="2" t="s">
        <v>163</v>
      </c>
      <c r="L49" s="65"/>
      <c r="M49" s="42">
        <v>115</v>
      </c>
      <c r="N49" s="65"/>
      <c r="O49" s="65"/>
      <c r="P49" s="65"/>
      <c r="R49" s="13"/>
    </row>
    <row r="50" spans="2:18" ht="12.75" customHeight="1" x14ac:dyDescent="0.2">
      <c r="B50" s="69">
        <v>13.86</v>
      </c>
      <c r="F50" s="2" t="s">
        <v>163</v>
      </c>
      <c r="L50" s="65"/>
      <c r="M50" s="42">
        <v>38.906666666666673</v>
      </c>
      <c r="N50" s="65"/>
      <c r="O50" s="65"/>
      <c r="P50" s="65"/>
      <c r="R50" s="13"/>
    </row>
    <row r="51" spans="2:18" ht="12.75" customHeight="1" x14ac:dyDescent="0.2">
      <c r="B51" s="69">
        <v>13.3</v>
      </c>
      <c r="F51" s="2" t="s">
        <v>163</v>
      </c>
      <c r="L51" s="65"/>
      <c r="M51" s="42">
        <v>27</v>
      </c>
      <c r="N51" s="65"/>
      <c r="O51" s="65"/>
      <c r="P51" s="65"/>
      <c r="R51" s="13"/>
    </row>
    <row r="52" spans="2:18" ht="12.75" customHeight="1" x14ac:dyDescent="0.2">
      <c r="B52" s="69">
        <v>19</v>
      </c>
      <c r="F52" s="2" t="s">
        <v>163</v>
      </c>
      <c r="L52" s="65"/>
      <c r="M52" s="42">
        <v>25.916666666666668</v>
      </c>
      <c r="N52" s="65"/>
      <c r="O52" s="65"/>
      <c r="P52" s="65"/>
      <c r="R52" s="13"/>
    </row>
    <row r="53" spans="2:18" ht="12.75" customHeight="1" x14ac:dyDescent="0.2">
      <c r="B53" s="69">
        <v>23.94</v>
      </c>
      <c r="F53" s="2" t="s">
        <v>163</v>
      </c>
      <c r="L53" s="65"/>
      <c r="M53" s="42">
        <v>40</v>
      </c>
      <c r="N53" s="65"/>
      <c r="O53" s="65"/>
      <c r="P53" s="65"/>
      <c r="R53" s="13"/>
    </row>
    <row r="54" spans="2:18" ht="12.75" customHeight="1" x14ac:dyDescent="0.2">
      <c r="B54" s="69">
        <v>30.4</v>
      </c>
      <c r="F54" s="2" t="s">
        <v>163</v>
      </c>
      <c r="L54" s="65"/>
      <c r="M54" s="42">
        <v>12.916666666666666</v>
      </c>
      <c r="N54" s="65"/>
      <c r="O54" s="65"/>
      <c r="P54" s="65"/>
      <c r="R54" s="13"/>
    </row>
    <row r="55" spans="2:18" ht="12.75" customHeight="1" x14ac:dyDescent="0.2">
      <c r="B55" s="69">
        <v>38</v>
      </c>
      <c r="F55" s="2" t="s">
        <v>163</v>
      </c>
      <c r="L55" s="65"/>
      <c r="M55" s="42">
        <v>11</v>
      </c>
      <c r="N55" s="65"/>
      <c r="O55" s="65"/>
      <c r="P55" s="65"/>
      <c r="R55" s="13"/>
    </row>
    <row r="56" spans="2:18" ht="12.75" customHeight="1" x14ac:dyDescent="0.2">
      <c r="B56" s="69">
        <v>47.5</v>
      </c>
      <c r="F56" s="2" t="s">
        <v>163</v>
      </c>
      <c r="L56" s="65"/>
      <c r="M56" s="42">
        <v>14</v>
      </c>
      <c r="N56" s="65"/>
      <c r="O56" s="65"/>
      <c r="P56" s="65"/>
      <c r="R56" s="13"/>
    </row>
    <row r="57" spans="2:18" ht="12.75" customHeight="1" x14ac:dyDescent="0.2">
      <c r="B57" s="69">
        <v>60.8</v>
      </c>
      <c r="F57" s="2" t="s">
        <v>163</v>
      </c>
      <c r="L57" s="65"/>
      <c r="M57" s="42">
        <v>4</v>
      </c>
      <c r="N57" s="65"/>
      <c r="O57" s="65"/>
      <c r="P57" s="65"/>
      <c r="R57" s="13"/>
    </row>
    <row r="58" spans="2:18" ht="12.75" customHeight="1" x14ac:dyDescent="0.2">
      <c r="B58" s="69">
        <v>76</v>
      </c>
      <c r="F58" s="2" t="s">
        <v>163</v>
      </c>
      <c r="L58" s="65"/>
      <c r="M58" s="42">
        <v>4</v>
      </c>
      <c r="N58" s="65"/>
      <c r="O58" s="65"/>
      <c r="P58" s="65"/>
      <c r="R58" s="13"/>
    </row>
    <row r="59" spans="2:18" ht="12.75" customHeight="1" x14ac:dyDescent="0.2">
      <c r="B59" s="69">
        <v>85.5</v>
      </c>
      <c r="F59" s="2" t="s">
        <v>163</v>
      </c>
      <c r="L59" s="65"/>
      <c r="M59" s="42">
        <v>3</v>
      </c>
      <c r="N59" s="65"/>
      <c r="O59" s="65"/>
      <c r="P59" s="65"/>
      <c r="R59" s="13"/>
    </row>
    <row r="60" spans="2:18" ht="12.75" customHeight="1" x14ac:dyDescent="0.2">
      <c r="B60" s="69">
        <v>95</v>
      </c>
      <c r="F60" s="2" t="s">
        <v>163</v>
      </c>
      <c r="L60" s="65"/>
      <c r="M60" s="42">
        <v>2</v>
      </c>
      <c r="N60" s="65"/>
      <c r="O60" s="65"/>
      <c r="P60" s="65"/>
      <c r="R60" s="13"/>
    </row>
    <row r="61" spans="2:18" ht="12.75" customHeight="1" x14ac:dyDescent="0.2">
      <c r="B61" s="69">
        <v>119.7</v>
      </c>
      <c r="F61" s="2" t="s">
        <v>163</v>
      </c>
      <c r="L61" s="65"/>
      <c r="M61" s="42">
        <v>1</v>
      </c>
      <c r="N61" s="65"/>
      <c r="O61" s="65"/>
      <c r="P61" s="65"/>
      <c r="R61" s="13"/>
    </row>
    <row r="62" spans="2:18" ht="12.75" customHeight="1" x14ac:dyDescent="0.2">
      <c r="B62" s="69">
        <v>175</v>
      </c>
      <c r="F62" s="2" t="s">
        <v>163</v>
      </c>
      <c r="L62" s="65"/>
      <c r="M62" s="42">
        <v>0</v>
      </c>
      <c r="N62" s="65"/>
      <c r="O62" s="65"/>
      <c r="P62" s="65"/>
      <c r="R62" s="13"/>
    </row>
    <row r="63" spans="2:18" ht="12.75" customHeight="1" x14ac:dyDescent="0.2">
      <c r="B63" s="69">
        <v>200</v>
      </c>
      <c r="F63" s="2" t="s">
        <v>163</v>
      </c>
      <c r="L63" s="65"/>
      <c r="M63" s="42">
        <v>3</v>
      </c>
      <c r="N63" s="65"/>
      <c r="O63" s="65"/>
      <c r="P63" s="65"/>
      <c r="R63" s="13"/>
    </row>
    <row r="64" spans="2:18" ht="12.75" customHeight="1" x14ac:dyDescent="0.2">
      <c r="R64" s="13"/>
    </row>
    <row r="65" spans="2:20" ht="12.75" customHeight="1" x14ac:dyDescent="0.2">
      <c r="B65" s="2" t="s">
        <v>175</v>
      </c>
      <c r="F65" s="2" t="s">
        <v>126</v>
      </c>
      <c r="L65" s="65"/>
      <c r="M65" s="41">
        <f>SUMPRODUCT(B47:B63,M47:M63)</f>
        <v>18840.837267081202</v>
      </c>
      <c r="N65" s="65"/>
      <c r="O65" s="65"/>
      <c r="P65" s="65"/>
      <c r="R65" s="13"/>
    </row>
    <row r="66" spans="2:20" ht="12.75" customHeight="1" x14ac:dyDescent="0.2">
      <c r="R66" s="13"/>
    </row>
    <row r="67" spans="2:20" ht="12.75" customHeight="1" x14ac:dyDescent="0.2">
      <c r="B67" s="1" t="s">
        <v>176</v>
      </c>
      <c r="R67" s="13"/>
    </row>
    <row r="68" spans="2:20" ht="12.75" customHeight="1" x14ac:dyDescent="0.2">
      <c r="B68" s="2" t="s">
        <v>177</v>
      </c>
      <c r="F68" s="2" t="s">
        <v>163</v>
      </c>
      <c r="L68" s="65"/>
      <c r="M68" s="65"/>
      <c r="N68" s="65"/>
      <c r="O68" s="42">
        <v>1149.8493807187922</v>
      </c>
      <c r="P68" s="65"/>
      <c r="R68" s="2" t="s">
        <v>178</v>
      </c>
    </row>
    <row r="69" spans="2:20" ht="11.25" customHeight="1" x14ac:dyDescent="0.2"/>
    <row r="71" spans="2:20" x14ac:dyDescent="0.2">
      <c r="B71" s="4" t="s">
        <v>65</v>
      </c>
    </row>
    <row r="73" spans="2:20" ht="12.75" customHeight="1" x14ac:dyDescent="0.2">
      <c r="R73" s="13"/>
      <c r="T73" s="13"/>
    </row>
    <row r="74" spans="2:20" ht="12.75" customHeight="1" x14ac:dyDescent="0.2">
      <c r="R74" s="13"/>
      <c r="T74" s="13"/>
    </row>
    <row r="75" spans="2:20" ht="12.75" customHeight="1" x14ac:dyDescent="0.2">
      <c r="B75" s="67"/>
      <c r="F75" s="67"/>
      <c r="H75" s="68"/>
      <c r="R75" s="13"/>
      <c r="T75" s="13"/>
    </row>
    <row r="78" spans="2:20" x14ac:dyDescent="0.2">
      <c r="B78" s="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3DDC-7D0F-4935-9BA6-2AD2237794BC}">
  <sheetPr>
    <tabColor rgb="FFE1FFE1"/>
  </sheetPr>
  <dimension ref="B2:T55"/>
  <sheetViews>
    <sheetView showGridLines="0" zoomScale="85" zoomScaleNormal="85" workbookViewId="0">
      <pane xSplit="6" ySplit="15" topLeftCell="G16" activePane="bottomRight" state="frozen"/>
      <selection activeCell="O39" sqref="O39"/>
      <selection pane="topRight" activeCell="O39" sqref="O39"/>
      <selection pane="bottomLeft" activeCell="O39" sqref="O39"/>
      <selection pane="bottomRight" activeCell="G16" sqref="G16"/>
    </sheetView>
  </sheetViews>
  <sheetFormatPr defaultColWidth="9.140625" defaultRowHeight="12.75" x14ac:dyDescent="0.2"/>
  <cols>
    <col min="1" max="1" width="4" style="2" customWidth="1"/>
    <col min="2" max="2" width="50.71093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21.7109375" style="2" customWidth="1"/>
    <col min="17" max="17" width="2.7109375" style="2" customWidth="1"/>
    <col min="18" max="18" width="58.57031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12" customFormat="1" ht="18" x14ac:dyDescent="0.2">
      <c r="B2" s="12" t="s">
        <v>719</v>
      </c>
    </row>
    <row r="4" spans="2:20" x14ac:dyDescent="0.2">
      <c r="B4" s="19" t="s">
        <v>12</v>
      </c>
      <c r="C4" s="1"/>
      <c r="D4" s="1"/>
    </row>
    <row r="5" spans="2:20" x14ac:dyDescent="0.2">
      <c r="B5" s="2" t="s">
        <v>721</v>
      </c>
      <c r="H5" s="13"/>
    </row>
    <row r="6" spans="2:20" x14ac:dyDescent="0.2">
      <c r="B6" s="2" t="s">
        <v>733</v>
      </c>
      <c r="H6" s="13"/>
    </row>
    <row r="7" spans="2:20" x14ac:dyDescent="0.2">
      <c r="B7" s="2" t="s">
        <v>734</v>
      </c>
      <c r="H7" s="13"/>
    </row>
    <row r="8" spans="2:20" x14ac:dyDescent="0.2">
      <c r="B8" s="2" t="s">
        <v>720</v>
      </c>
      <c r="H8" s="13"/>
    </row>
    <row r="9" spans="2:20" x14ac:dyDescent="0.2">
      <c r="H9" s="13"/>
    </row>
    <row r="10" spans="2:20" x14ac:dyDescent="0.2">
      <c r="B10" s="20" t="s">
        <v>694</v>
      </c>
      <c r="H10" s="13"/>
    </row>
    <row r="11" spans="2:20" x14ac:dyDescent="0.2">
      <c r="B11" s="4" t="s">
        <v>726</v>
      </c>
    </row>
    <row r="12" spans="2:20" x14ac:dyDescent="0.2">
      <c r="B12" s="4" t="s">
        <v>725</v>
      </c>
    </row>
    <row r="14" spans="2:20" s="8" customFormat="1" x14ac:dyDescent="0.2">
      <c r="B14" s="8" t="s">
        <v>103</v>
      </c>
      <c r="F14" s="8" t="s">
        <v>104</v>
      </c>
      <c r="H14" s="8" t="s">
        <v>105</v>
      </c>
      <c r="J14" s="8" t="s">
        <v>106</v>
      </c>
      <c r="L14" s="8" t="s">
        <v>72</v>
      </c>
      <c r="M14" s="8" t="s">
        <v>73</v>
      </c>
      <c r="N14" s="8" t="s">
        <v>74</v>
      </c>
      <c r="O14" s="8" t="s">
        <v>75</v>
      </c>
      <c r="P14" s="8" t="s">
        <v>76</v>
      </c>
      <c r="R14" s="8" t="s">
        <v>40</v>
      </c>
      <c r="T14" s="8" t="s">
        <v>39</v>
      </c>
    </row>
    <row r="17" spans="2:18" s="8" customFormat="1" x14ac:dyDescent="0.2">
      <c r="B17" s="8" t="s">
        <v>1</v>
      </c>
    </row>
    <row r="19" spans="2:18" x14ac:dyDescent="0.2">
      <c r="B19" s="2" t="s">
        <v>695</v>
      </c>
      <c r="F19" s="2" t="s">
        <v>88</v>
      </c>
      <c r="L19" s="97">
        <f>Parameters!H40</f>
        <v>6.4600000000000005E-2</v>
      </c>
    </row>
    <row r="21" spans="2:18" x14ac:dyDescent="0.2">
      <c r="B21" s="19" t="s">
        <v>696</v>
      </c>
    </row>
    <row r="22" spans="2:18" x14ac:dyDescent="0.2">
      <c r="B22" s="2" t="s">
        <v>697</v>
      </c>
      <c r="F22" s="2" t="s">
        <v>114</v>
      </c>
      <c r="L22" s="25">
        <v>10910300</v>
      </c>
      <c r="R22" s="2" t="s">
        <v>722</v>
      </c>
    </row>
    <row r="23" spans="2:18" x14ac:dyDescent="0.2">
      <c r="B23" s="2" t="s">
        <v>698</v>
      </c>
      <c r="F23" s="2" t="s">
        <v>114</v>
      </c>
      <c r="L23" s="25">
        <v>10100000</v>
      </c>
      <c r="R23" s="2" t="s">
        <v>722</v>
      </c>
    </row>
    <row r="24" spans="2:18" x14ac:dyDescent="0.2">
      <c r="B24" s="2" t="s">
        <v>699</v>
      </c>
      <c r="F24" s="2" t="s">
        <v>114</v>
      </c>
      <c r="L24" s="27">
        <f>L22-L23</f>
        <v>810300</v>
      </c>
    </row>
    <row r="25" spans="2:18" x14ac:dyDescent="0.2">
      <c r="B25" s="2" t="s">
        <v>700</v>
      </c>
      <c r="L25" s="167">
        <v>45383</v>
      </c>
      <c r="R25" s="2" t="s">
        <v>722</v>
      </c>
    </row>
    <row r="26" spans="2:18" x14ac:dyDescent="0.2">
      <c r="B26" s="2" t="s">
        <v>701</v>
      </c>
      <c r="F26" s="2" t="s">
        <v>88</v>
      </c>
      <c r="L26" s="168">
        <v>7.0000000000000007E-2</v>
      </c>
      <c r="R26" s="2" t="s">
        <v>722</v>
      </c>
    </row>
    <row r="28" spans="2:18" x14ac:dyDescent="0.2">
      <c r="B28" s="1" t="s">
        <v>702</v>
      </c>
    </row>
    <row r="29" spans="2:18" x14ac:dyDescent="0.2">
      <c r="B29" s="2" t="s">
        <v>703</v>
      </c>
      <c r="L29" s="25">
        <v>650000</v>
      </c>
      <c r="R29" s="2" t="s">
        <v>722</v>
      </c>
    </row>
    <row r="30" spans="2:18" x14ac:dyDescent="0.2">
      <c r="B30" s="2" t="s">
        <v>704</v>
      </c>
      <c r="L30" s="167">
        <v>45108</v>
      </c>
      <c r="R30" s="2" t="s">
        <v>727</v>
      </c>
    </row>
    <row r="31" spans="2:18" x14ac:dyDescent="0.2">
      <c r="B31" s="2" t="s">
        <v>701</v>
      </c>
      <c r="F31" s="2" t="s">
        <v>88</v>
      </c>
      <c r="L31" s="169">
        <f>1/25</f>
        <v>0.04</v>
      </c>
      <c r="R31" s="2" t="s">
        <v>728</v>
      </c>
    </row>
    <row r="33" spans="2:12" s="8" customFormat="1" x14ac:dyDescent="0.2">
      <c r="B33" s="8" t="s">
        <v>732</v>
      </c>
    </row>
    <row r="35" spans="2:12" x14ac:dyDescent="0.2">
      <c r="B35" s="1" t="s">
        <v>705</v>
      </c>
    </row>
    <row r="36" spans="2:12" x14ac:dyDescent="0.2">
      <c r="B36" s="2" t="s">
        <v>706</v>
      </c>
      <c r="F36" s="2" t="s">
        <v>114</v>
      </c>
      <c r="L36" s="27">
        <f>L24*L26</f>
        <v>56721.000000000007</v>
      </c>
    </row>
    <row r="37" spans="2:12" x14ac:dyDescent="0.2">
      <c r="B37" s="2" t="s">
        <v>707</v>
      </c>
      <c r="F37" s="2" t="s">
        <v>114</v>
      </c>
      <c r="L37" s="27">
        <f>((DATE(2025,1,1)-L25)/365.25)*L36</f>
        <v>42705.749486652981</v>
      </c>
    </row>
    <row r="38" spans="2:12" x14ac:dyDescent="0.2">
      <c r="B38" s="2" t="s">
        <v>708</v>
      </c>
      <c r="F38" s="2" t="s">
        <v>114</v>
      </c>
      <c r="L38" s="27">
        <f>L24-L37</f>
        <v>767594.25051334698</v>
      </c>
    </row>
    <row r="39" spans="2:12" x14ac:dyDescent="0.2">
      <c r="B39" s="2" t="s">
        <v>709</v>
      </c>
      <c r="F39" s="2" t="s">
        <v>114</v>
      </c>
      <c r="L39" s="27">
        <f>AVERAGE(L24,L38)</f>
        <v>788947.12525667343</v>
      </c>
    </row>
    <row r="40" spans="2:12" x14ac:dyDescent="0.2">
      <c r="B40" s="2" t="s">
        <v>710</v>
      </c>
      <c r="F40" s="2" t="s">
        <v>711</v>
      </c>
      <c r="L40" s="27">
        <f>((DATE(2025,1,1)-L25)/365.25)*12</f>
        <v>9.0349075975359341</v>
      </c>
    </row>
    <row r="41" spans="2:12" x14ac:dyDescent="0.2">
      <c r="B41" s="2" t="s">
        <v>712</v>
      </c>
      <c r="F41" s="2" t="s">
        <v>114</v>
      </c>
      <c r="L41" s="27">
        <f>L39*(L40/12)</f>
        <v>594005.36466963775</v>
      </c>
    </row>
    <row r="42" spans="2:12" x14ac:dyDescent="0.2">
      <c r="B42" s="2" t="s">
        <v>713</v>
      </c>
      <c r="F42" s="2" t="s">
        <v>114</v>
      </c>
      <c r="L42" s="27">
        <f>L41*L19+L37</f>
        <v>81078.496044311585</v>
      </c>
    </row>
    <row r="44" spans="2:12" x14ac:dyDescent="0.2">
      <c r="B44" s="1" t="s">
        <v>714</v>
      </c>
    </row>
    <row r="45" spans="2:12" x14ac:dyDescent="0.2">
      <c r="B45" s="2" t="s">
        <v>706</v>
      </c>
      <c r="F45" s="2" t="s">
        <v>114</v>
      </c>
      <c r="L45" s="27">
        <f>L29*L31</f>
        <v>26000</v>
      </c>
    </row>
    <row r="46" spans="2:12" x14ac:dyDescent="0.2">
      <c r="B46" s="2" t="s">
        <v>715</v>
      </c>
      <c r="F46" s="2" t="s">
        <v>114</v>
      </c>
      <c r="L46" s="27">
        <f>((DATE(2024,1,1)-L30)/365.25)*L45</f>
        <v>13097.878165639971</v>
      </c>
    </row>
    <row r="47" spans="2:12" x14ac:dyDescent="0.2">
      <c r="B47" s="2" t="s">
        <v>716</v>
      </c>
      <c r="F47" s="2" t="s">
        <v>114</v>
      </c>
      <c r="L47" s="27">
        <f>L29-L46</f>
        <v>636902.12183436006</v>
      </c>
    </row>
    <row r="48" spans="2:12" x14ac:dyDescent="0.2">
      <c r="B48" s="2" t="s">
        <v>717</v>
      </c>
      <c r="F48" s="2" t="s">
        <v>114</v>
      </c>
      <c r="L48" s="27">
        <f>L47-L45</f>
        <v>610902.12183436006</v>
      </c>
    </row>
    <row r="49" spans="2:18" x14ac:dyDescent="0.2">
      <c r="B49" s="2" t="s">
        <v>709</v>
      </c>
      <c r="F49" s="2" t="s">
        <v>114</v>
      </c>
      <c r="L49" s="27">
        <f>AVERAGE(L48,L47)</f>
        <v>623902.12183436006</v>
      </c>
    </row>
    <row r="50" spans="2:18" x14ac:dyDescent="0.2">
      <c r="B50" s="2" t="s">
        <v>718</v>
      </c>
      <c r="F50" s="2" t="s">
        <v>114</v>
      </c>
      <c r="L50" s="27">
        <f>L49*L19+L45</f>
        <v>66304.077070499654</v>
      </c>
    </row>
    <row r="52" spans="2:18" x14ac:dyDescent="0.2">
      <c r="B52" s="2" t="s">
        <v>730</v>
      </c>
      <c r="F52" s="2" t="s">
        <v>114</v>
      </c>
      <c r="L52" s="21">
        <f>L50+L42</f>
        <v>147382.57311481124</v>
      </c>
      <c r="R52" s="2" t="s">
        <v>723</v>
      </c>
    </row>
    <row r="55" spans="2:18" x14ac:dyDescent="0.2">
      <c r="B55" s="4" t="s">
        <v>65</v>
      </c>
    </row>
  </sheetData>
  <phoneticPr fontId="3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2.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4.xml><?xml version="1.0" encoding="utf-8"?>
<ds:datastoreItem xmlns:ds="http://schemas.openxmlformats.org/officeDocument/2006/customXml" ds:itemID="{29821432-9D6D-4FB8-B669-75517133F5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24</vt:i4>
      </vt:variant>
    </vt:vector>
  </HeadingPairs>
  <TitlesOfParts>
    <vt:vector size="24" baseType="lpstr">
      <vt:lpstr>Cover sheet</vt:lpstr>
      <vt:lpstr>Explanation</vt:lpstr>
      <vt:lpstr>Sources and specifics</vt:lpstr>
      <vt:lpstr>Result</vt:lpstr>
      <vt:lpstr>Input --&gt;</vt:lpstr>
      <vt:lpstr>Parameters</vt:lpstr>
      <vt:lpstr>Historical data</vt:lpstr>
      <vt:lpstr>Estimates for 2024</vt:lpstr>
      <vt:lpstr>Major occurrences</vt:lpstr>
      <vt:lpstr>Data on corrections</vt:lpstr>
      <vt:lpstr>Calculations corrections --&gt;</vt:lpstr>
      <vt:lpstr>Volume-effect 2022</vt:lpstr>
      <vt:lpstr>Profit Sharing 2022</vt:lpstr>
      <vt:lpstr>Energy cost correction 2023</vt:lpstr>
      <vt:lpstr>Capital cost correction</vt:lpstr>
      <vt:lpstr>Overview corrections</vt:lpstr>
      <vt:lpstr>Calculations tariffs --&gt;</vt:lpstr>
      <vt:lpstr>Calculation cost base 2024</vt:lpstr>
      <vt:lpstr>Electricity Production</vt:lpstr>
      <vt:lpstr>Electricity Distribution</vt:lpstr>
      <vt:lpstr>Water Production</vt:lpstr>
      <vt:lpstr>Water Distribution</vt:lpstr>
      <vt:lpstr>Dictum&amp;Bijlage 1 Electricity EN</vt:lpstr>
      <vt:lpstr>Dictum&amp;Bijlage 1 Water 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2023-12-20T09:04:01Z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