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239B3EC4-DEDC-4921-95D3-3F31440A7A55}" xr6:coauthVersionLast="47" xr6:coauthVersionMax="47" xr10:uidLastSave="{00000000-0000-0000-0000-000000000000}"/>
  <bookViews>
    <workbookView xWindow="-120" yWindow="-120" windowWidth="29040" windowHeight="17640" xr2:uid="{00000000-000D-0000-FFFF-FFFF00000000}"/>
  </bookViews>
  <sheets>
    <sheet name="Cover sheet" sheetId="9" r:id="rId1"/>
    <sheet name="Explanation" sheetId="10" r:id="rId2"/>
    <sheet name="Sources and specifics" sheetId="11" r:id="rId3"/>
    <sheet name="Result" sheetId="21" r:id="rId4"/>
    <sheet name="Input --&gt;" sheetId="13" r:id="rId5"/>
    <sheet name="Parameters" sheetId="18" r:id="rId6"/>
    <sheet name="Historical data" sheetId="25" r:id="rId7"/>
    <sheet name="Estimates for 2024" sheetId="26" r:id="rId8"/>
    <sheet name="Data for corrections" sheetId="27" r:id="rId9"/>
    <sheet name="Calculation corrections--&gt;" sheetId="30" r:id="rId10"/>
    <sheet name="Profit Sharing 2022" sheetId="32" r:id="rId11"/>
    <sheet name="Volume-effect 2022" sheetId="31" r:id="rId12"/>
    <sheet name="Overview corrections" sheetId="33" r:id="rId13"/>
    <sheet name="Calculation tariffs&gt;" sheetId="15" r:id="rId14"/>
    <sheet name="Calculation income level" sheetId="22" r:id="rId15"/>
    <sheet name="Calculation production" sheetId="28" r:id="rId16"/>
    <sheet name="Calculation distribution" sheetId="29" r:id="rId17"/>
    <sheet name="Dictum" sheetId="34"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34" l="1"/>
  <c r="I20" i="34"/>
  <c r="I21" i="34"/>
  <c r="I22" i="34"/>
  <c r="I23" i="34"/>
  <c r="I24" i="34"/>
  <c r="I25" i="34"/>
  <c r="I26" i="34"/>
  <c r="I27" i="34"/>
  <c r="I28" i="34"/>
  <c r="I29" i="34"/>
  <c r="I30" i="34"/>
  <c r="I31" i="34"/>
  <c r="I32" i="34"/>
  <c r="I33" i="34"/>
  <c r="I34" i="34"/>
  <c r="I18" i="34"/>
  <c r="J84" i="34"/>
  <c r="J83" i="34"/>
  <c r="I81" i="34"/>
  <c r="I80" i="34"/>
  <c r="I79" i="34"/>
  <c r="I78" i="34"/>
  <c r="I77" i="34"/>
  <c r="I76" i="34"/>
  <c r="J73" i="34"/>
  <c r="I72" i="34"/>
  <c r="J71" i="34"/>
  <c r="I70" i="34"/>
  <c r="J70" i="34"/>
  <c r="J69" i="34"/>
  <c r="I69" i="34"/>
  <c r="J66" i="34"/>
  <c r="I66" i="34"/>
  <c r="J63" i="34"/>
  <c r="I63" i="34"/>
  <c r="J62" i="34"/>
  <c r="I62" i="34"/>
  <c r="J61" i="34"/>
  <c r="I61" i="34"/>
  <c r="I58" i="34"/>
  <c r="J58" i="34"/>
  <c r="J57" i="34"/>
  <c r="I57" i="34"/>
  <c r="I54" i="34"/>
  <c r="I53" i="34"/>
  <c r="I52" i="34"/>
  <c r="I50" i="34"/>
  <c r="I49" i="34"/>
  <c r="I41" i="34"/>
  <c r="I42" i="34"/>
  <c r="I40" i="34"/>
  <c r="I37" i="34"/>
  <c r="I17" i="34"/>
  <c r="I14" i="34"/>
  <c r="I9" i="34"/>
  <c r="M22" i="33" l="1"/>
  <c r="L22" i="33"/>
  <c r="M21" i="33"/>
  <c r="L21" i="33"/>
  <c r="B26" i="21" l="1"/>
  <c r="B27" i="21"/>
  <c r="B28" i="21"/>
  <c r="B29" i="21"/>
  <c r="B30" i="21"/>
  <c r="B31" i="21"/>
  <c r="B32" i="21"/>
  <c r="B33" i="21"/>
  <c r="B34" i="21"/>
  <c r="B35" i="21"/>
  <c r="B36" i="21"/>
  <c r="B37" i="21"/>
  <c r="B38" i="21"/>
  <c r="B39" i="21"/>
  <c r="B40" i="21"/>
  <c r="B41" i="21"/>
  <c r="B25" i="21"/>
  <c r="H47" i="25" l="1"/>
  <c r="M18" i="33"/>
  <c r="L17" i="33"/>
  <c r="M35" i="32"/>
  <c r="M34" i="32"/>
  <c r="L32" i="32"/>
  <c r="L31" i="32"/>
  <c r="M28" i="32"/>
  <c r="M40" i="32" s="1"/>
  <c r="L28" i="32"/>
  <c r="M23" i="32"/>
  <c r="M24" i="32"/>
  <c r="L24" i="32"/>
  <c r="L23" i="32"/>
  <c r="M21" i="32"/>
  <c r="M22" i="32"/>
  <c r="L22" i="32"/>
  <c r="L21" i="32"/>
  <c r="M17" i="32"/>
  <c r="M18" i="32"/>
  <c r="L18" i="32"/>
  <c r="L17" i="32"/>
  <c r="H14" i="32"/>
  <c r="H13" i="32"/>
  <c r="M20" i="31"/>
  <c r="M18" i="31"/>
  <c r="M25" i="31" s="1"/>
  <c r="L18" i="31"/>
  <c r="L25" i="31" s="1"/>
  <c r="M17" i="31"/>
  <c r="L17" i="31"/>
  <c r="M13" i="31"/>
  <c r="L13" i="31"/>
  <c r="L33" i="32" l="1"/>
  <c r="L40" i="32"/>
  <c r="L44" i="32"/>
  <c r="M44" i="32"/>
  <c r="M43" i="32"/>
  <c r="M45" i="32" s="1"/>
  <c r="M48" i="32" s="1"/>
  <c r="M49" i="32" s="1"/>
  <c r="L43" i="32"/>
  <c r="L45" i="32" s="1"/>
  <c r="L48" i="32" s="1"/>
  <c r="L49" i="32" s="1"/>
  <c r="M26" i="31"/>
  <c r="L26" i="31"/>
  <c r="M53" i="32" l="1"/>
  <c r="M54" i="32"/>
  <c r="M55" i="32"/>
  <c r="M57" i="32" l="1"/>
  <c r="M23" i="33" s="1"/>
  <c r="L93" i="29" l="1"/>
  <c r="H44" i="21" s="1"/>
  <c r="L54" i="29"/>
  <c r="L55" i="29"/>
  <c r="L53" i="29"/>
  <c r="L50" i="29"/>
  <c r="L49" i="29"/>
  <c r="L48" i="29"/>
  <c r="L47" i="29"/>
  <c r="L46" i="29"/>
  <c r="L45" i="29"/>
  <c r="L44" i="29"/>
  <c r="L43" i="29"/>
  <c r="L42" i="29"/>
  <c r="L41" i="29"/>
  <c r="L40" i="29"/>
  <c r="L39" i="29"/>
  <c r="L38" i="29"/>
  <c r="L37" i="29"/>
  <c r="L36" i="29"/>
  <c r="L35" i="29"/>
  <c r="L34" i="29"/>
  <c r="B35" i="29"/>
  <c r="B75" i="29" s="1"/>
  <c r="B36" i="29"/>
  <c r="B76" i="29" s="1"/>
  <c r="B37" i="29"/>
  <c r="B77" i="29" s="1"/>
  <c r="B38" i="29"/>
  <c r="B78" i="29" s="1"/>
  <c r="B39" i="29"/>
  <c r="B79" i="29" s="1"/>
  <c r="B40" i="29"/>
  <c r="B80" i="29" s="1"/>
  <c r="B41" i="29"/>
  <c r="B81" i="29" s="1"/>
  <c r="B42" i="29"/>
  <c r="B82" i="29" s="1"/>
  <c r="B43" i="29"/>
  <c r="B44" i="29"/>
  <c r="B84" i="29" s="1"/>
  <c r="B45" i="29"/>
  <c r="B85" i="29" s="1"/>
  <c r="B46" i="29"/>
  <c r="B86" i="29" s="1"/>
  <c r="B47" i="29"/>
  <c r="B48" i="29"/>
  <c r="B88" i="29" s="1"/>
  <c r="B49" i="29"/>
  <c r="B89" i="29" s="1"/>
  <c r="B50" i="29"/>
  <c r="B90" i="29" s="1"/>
  <c r="B34" i="29"/>
  <c r="B74" i="29" s="1"/>
  <c r="L30" i="29"/>
  <c r="H17" i="29"/>
  <c r="L23" i="28"/>
  <c r="M33" i="22"/>
  <c r="L33" i="22"/>
  <c r="L29" i="22"/>
  <c r="M29" i="22"/>
  <c r="M28" i="22"/>
  <c r="L28" i="22"/>
  <c r="L26" i="22"/>
  <c r="M26" i="22"/>
  <c r="M25" i="22"/>
  <c r="L25" i="22"/>
  <c r="L24" i="22"/>
  <c r="M24" i="22"/>
  <c r="M23" i="22"/>
  <c r="L23" i="22"/>
  <c r="M20" i="22"/>
  <c r="L20" i="22"/>
  <c r="H19" i="22"/>
  <c r="H41" i="18"/>
  <c r="H14" i="33" s="1"/>
  <c r="M33" i="33" s="1"/>
  <c r="L27" i="29" s="1"/>
  <c r="H40" i="18"/>
  <c r="H13" i="33" s="1"/>
  <c r="B87" i="29"/>
  <c r="B83" i="29"/>
  <c r="M45" i="26"/>
  <c r="M34" i="22" s="1"/>
  <c r="L25" i="28"/>
  <c r="L16" i="26"/>
  <c r="L17" i="26" s="1"/>
  <c r="L24" i="28" s="1"/>
  <c r="J20" i="25"/>
  <c r="J19" i="25"/>
  <c r="J16" i="25"/>
  <c r="J15" i="25"/>
  <c r="H24" i="18"/>
  <c r="H27" i="18" s="1"/>
  <c r="H18" i="22" s="1"/>
  <c r="L28" i="33" l="1"/>
  <c r="L20" i="28" s="1"/>
  <c r="M34" i="33"/>
  <c r="L31" i="29" s="1"/>
  <c r="L60" i="29" s="1"/>
  <c r="M30" i="33"/>
  <c r="L22" i="29" s="1"/>
  <c r="M29" i="33"/>
  <c r="L21" i="29" s="1"/>
  <c r="L29" i="33"/>
  <c r="L18" i="28" s="1"/>
  <c r="L30" i="33"/>
  <c r="L19" i="28" s="1"/>
  <c r="L98" i="29"/>
  <c r="H49" i="21" s="1"/>
  <c r="L25" i="29"/>
  <c r="L65" i="29" s="1"/>
  <c r="L35" i="28"/>
  <c r="H14" i="21" s="1"/>
  <c r="L26" i="28"/>
  <c r="L34" i="22"/>
  <c r="L44" i="22"/>
  <c r="L96" i="29"/>
  <c r="H47" i="21" s="1"/>
  <c r="L97" i="29"/>
  <c r="H48" i="21" s="1"/>
  <c r="L71" i="29"/>
  <c r="M44" i="22"/>
  <c r="L39" i="22"/>
  <c r="M39" i="22"/>
  <c r="L40" i="22"/>
  <c r="M40" i="22"/>
  <c r="L61" i="29" l="1"/>
  <c r="M46" i="22"/>
  <c r="L46" i="22"/>
  <c r="L47" i="22" s="1"/>
  <c r="L45" i="22"/>
  <c r="M45" i="22"/>
  <c r="M41" i="22"/>
  <c r="L41" i="22"/>
  <c r="M47" i="22" l="1"/>
  <c r="M51" i="22" s="1"/>
  <c r="L50" i="22"/>
  <c r="L51" i="22"/>
  <c r="M50" i="22"/>
  <c r="L56" i="22" l="1"/>
  <c r="L17" i="28" s="1"/>
  <c r="L31" i="28" s="1"/>
  <c r="L34" i="28" s="1"/>
  <c r="M56" i="22"/>
  <c r="B28" i="10"/>
  <c r="J56" i="22" l="1"/>
  <c r="L20" i="29"/>
  <c r="L70" i="29" s="1"/>
  <c r="L72" i="29" s="1"/>
  <c r="L64" i="29"/>
  <c r="L66" i="29" s="1"/>
  <c r="L36" i="28"/>
  <c r="H13" i="21"/>
  <c r="B16" i="10"/>
  <c r="B23" i="10" s="1"/>
  <c r="H23" i="21" l="1"/>
  <c r="L90" i="29"/>
  <c r="H41" i="21" s="1"/>
  <c r="L89" i="29"/>
  <c r="H40" i="21" s="1"/>
  <c r="L85" i="29"/>
  <c r="H36" i="21" s="1"/>
  <c r="L81" i="29"/>
  <c r="H32" i="21" s="1"/>
  <c r="L77" i="29"/>
  <c r="H28" i="21" s="1"/>
  <c r="L88" i="29"/>
  <c r="H39" i="21" s="1"/>
  <c r="L84" i="29"/>
  <c r="H35" i="21" s="1"/>
  <c r="L80" i="29"/>
  <c r="H31" i="21" s="1"/>
  <c r="L76" i="29"/>
  <c r="H27" i="21" s="1"/>
  <c r="L87" i="29"/>
  <c r="H38" i="21" s="1"/>
  <c r="L83" i="29"/>
  <c r="H34" i="21" s="1"/>
  <c r="L79" i="29"/>
  <c r="H30" i="21" s="1"/>
  <c r="L75" i="29"/>
  <c r="H26" i="21" s="1"/>
  <c r="L86" i="29"/>
  <c r="H37" i="21" s="1"/>
  <c r="L82" i="29"/>
  <c r="H33" i="21" s="1"/>
  <c r="L78" i="29"/>
  <c r="H29" i="21" s="1"/>
  <c r="L74" i="29"/>
  <c r="H25" i="21" s="1"/>
  <c r="H15" i="21"/>
  <c r="L26" i="29"/>
  <c r="L62" i="29" s="1"/>
  <c r="B17" i="10"/>
  <c r="L67" i="29" l="1"/>
  <c r="H20" i="21" s="1"/>
  <c r="B18" i="10"/>
  <c r="B2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2"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L30" authorId="0" shapeId="0" xr:uid="{7A39CF16-AA41-46C9-9269-5667383CC1BB}">
      <text>
        <r>
          <rPr>
            <sz val="9"/>
            <color indexed="81"/>
            <rFont val="Tahoma"/>
            <family val="2"/>
          </rPr>
          <t xml:space="preserve">Electricity produced by the solar park in September 2022 was manually adjusted in the KPI Report, based on comments in an e-mail sent by SEC on October 12 2023
</t>
        </r>
      </text>
    </comment>
    <comment ref="H45" authorId="0" shapeId="0" xr:uid="{18ABBA4B-66D7-4CC0-AC21-C721D7C886C3}">
      <text>
        <r>
          <rPr>
            <sz val="10"/>
            <color theme="1"/>
            <rFont val="Arial"/>
            <family val="2"/>
          </rPr>
          <t xml:space="preserve">This is the total price divided by total amount of gallons purchased. This differs slightly from the stated fuel price on the invoice.
</t>
        </r>
      </text>
    </comment>
  </commentList>
</comments>
</file>

<file path=xl/sharedStrings.xml><?xml version="1.0" encoding="utf-8"?>
<sst xmlns="http://schemas.openxmlformats.org/spreadsheetml/2006/main" count="948" uniqueCount="456">
  <si>
    <t>Disclaimer</t>
  </si>
  <si>
    <t>Data</t>
  </si>
  <si>
    <t>Input --&gt;</t>
  </si>
  <si>
    <t>About this file</t>
  </si>
  <si>
    <t>Case number</t>
  </si>
  <si>
    <t>File 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</si>
  <si>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</si>
  <si>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</si>
  <si>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</si>
  <si>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</si>
  <si>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</si>
  <si>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</si>
  <si>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</si>
  <si>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</si>
  <si>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</si>
  <si>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</si>
  <si>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Use in specific cases:</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</si>
  <si>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</si>
  <si>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</si>
  <si>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</si>
  <si>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</si>
  <si>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</si>
  <si>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</si>
  <si>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</si>
  <si>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</si>
  <si>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</si>
  <si>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</si>
  <si>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</si>
  <si>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</si>
  <si>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</si>
  <si>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Shortened name</t>
  </si>
  <si>
    <t>External file name</t>
  </si>
  <si>
    <t>As referred to in Source column</t>
  </si>
  <si>
    <t>Exact file name</t>
  </si>
  <si>
    <t>Unit</t>
  </si>
  <si>
    <t>Constant</t>
  </si>
  <si>
    <t>Row total</t>
  </si>
  <si>
    <t>Remarks</t>
  </si>
  <si>
    <t>Source</t>
  </si>
  <si>
    <t>Cover sheet</t>
  </si>
  <si>
    <t>Belongs to decision(s):</t>
  </si>
  <si>
    <t>Reference number of decision(s)</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</si>
  <si>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</si>
  <si>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</si>
  <si>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</si>
  <si>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Legend for the cell and sheet colors</t>
  </si>
  <si>
    <t>Value that is taken from another sheet or cell without calculation</t>
  </si>
  <si>
    <t>Result/calculated value that is used in another sheet</t>
  </si>
  <si>
    <t>Input or calculation that is not yet up-to-date or work in progress</t>
  </si>
  <si>
    <t>This color is only used in requests for information: the recipient of the request for data must enter data into these cells</t>
  </si>
  <si>
    <t>Cell borders can be used to indicate that a certain cell contains input, but that this input is generated automatically, for example, through a macro  (please do not enter data manually)</t>
  </si>
  <si>
    <t>Gray numbers represent the result of a check calculation; this is not a result that is used in other calculations.</t>
  </si>
  <si>
    <t>Sheet that is not yet up-to-date/work in progress</t>
  </si>
  <si>
    <t xml:space="preserve">Empty sheet used for indexing </t>
  </si>
  <si>
    <t xml:space="preserve">If ACM does use cell or range references, macros, or other more complex functions in Excel, these will be explained on this sheet. </t>
  </si>
  <si>
    <t>Relationship to other calculation files</t>
  </si>
  <si>
    <t>in the overview below, ACM lists the sources that are used for data and calculations in this file.</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</si>
  <si>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</si>
  <si>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</si>
  <si>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</si>
  <si>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When published, doe this file contain business-confidential information? (y/n)</t>
  </si>
  <si>
    <t>This calculation is developed in the standardized format used by the Energy Department of ACM (based on version 5, june 2021)</t>
  </si>
  <si>
    <t>[ END OF SHEET ]</t>
  </si>
  <si>
    <t>Standardized sheets with general information about this file</t>
  </si>
  <si>
    <t>This sheet seperates different types of sheets and is intentionally left blank</t>
  </si>
  <si>
    <t>ACM/23/181661</t>
  </si>
  <si>
    <t>Explanatory notes</t>
  </si>
  <si>
    <t>This document contains the calculation of the electricity tariffs of Saba Electric (hereafter: SEC). These tariffs are based on an estimation of the costs of SEC in 2024 and the profit sharing results of 2022.</t>
  </si>
  <si>
    <t>ACM estimates the costs of 2024 based on the costs of 2022 as can be found in the annual account of SEC.</t>
  </si>
  <si>
    <t>No</t>
  </si>
  <si>
    <t>Additional information on this source</t>
  </si>
  <si>
    <t>Date received, email, file location</t>
  </si>
  <si>
    <t>CPI CBS</t>
  </si>
  <si>
    <t>Caribisch Nederland; consumentenprijsindex (CPI) 2017=100</t>
  </si>
  <si>
    <t>https://opendata.cbs.nl/statline/#/CBS/nl/dataset/84046NED/table?fromstatweb</t>
  </si>
  <si>
    <t>CBS data on CPI for 2020, corrected for COVID-19 impact</t>
  </si>
  <si>
    <t>https://www.cbs.nl/nl-nl/maatwerk/2021/45/cpi-caribisch-nederland-exclusief-covid-19-toeslagen</t>
  </si>
  <si>
    <t>Wettelijke rente CNL</t>
  </si>
  <si>
    <t>https://wetten.overheid.nl/BWBR0030649/2011-11-18</t>
  </si>
  <si>
    <t>ACM WACC decision 2023-2025</t>
  </si>
  <si>
    <t>Besluit WACC Caribisch Nederland 2023-2025</t>
  </si>
  <si>
    <t>https://www.acm.nl/nl/publicaties/wacc-elektriciteit-en-drinkwater-caribisch-nederland-2023-2025</t>
  </si>
  <si>
    <t>kVA overview</t>
  </si>
  <si>
    <t>Overview analysis ACM; analysis based on "overview"</t>
  </si>
  <si>
    <t>https://www.acm.nl/nl/publicaties/beschikking-productieprijs-elektriciteit-2022-saba-sec-caribisch-nederland</t>
  </si>
  <si>
    <t>Correspondence SEC to ACM</t>
  </si>
  <si>
    <t>OPEX-model 2024</t>
  </si>
  <si>
    <t>RAB-model 2024</t>
  </si>
  <si>
    <t>ACM Projected data 2024</t>
  </si>
  <si>
    <t>Fuel model 2024</t>
  </si>
  <si>
    <t>Tariff Decision SEC 2023</t>
  </si>
  <si>
    <t>Berekening tarieven SEC 2023</t>
  </si>
  <si>
    <t>Fuel model SEC t.b.v. tarieven 2024</t>
  </si>
  <si>
    <t xml:space="preserve">Description </t>
  </si>
  <si>
    <t xml:space="preserve">Unit </t>
  </si>
  <si>
    <t>Electricity production</t>
  </si>
  <si>
    <t>Electricity distribution</t>
  </si>
  <si>
    <t xml:space="preserve">Constant </t>
  </si>
  <si>
    <t>Production price</t>
  </si>
  <si>
    <t>Production price excl fuel</t>
  </si>
  <si>
    <t>USD/kWh</t>
  </si>
  <si>
    <t>Fuel component</t>
  </si>
  <si>
    <t xml:space="preserve">Production price incl. fuel </t>
  </si>
  <si>
    <t xml:space="preserve">Variable distribution tariff </t>
  </si>
  <si>
    <t>Variable distribution tariff</t>
  </si>
  <si>
    <t>Fixed distribution tariff per kVA category</t>
  </si>
  <si>
    <t>Income per kVA per month</t>
  </si>
  <si>
    <t>Tariff for reconnection</t>
  </si>
  <si>
    <t>USD, pl 2023</t>
  </si>
  <si>
    <t>The reconnection fee is set fixed at USD 25.</t>
  </si>
  <si>
    <t>Tariff for connection</t>
  </si>
  <si>
    <t>Standard tariff 3.2 kVA</t>
  </si>
  <si>
    <t>Standard tariff 7.7 kVA</t>
  </si>
  <si>
    <t>Tariff per meter for trenchwork</t>
  </si>
  <si>
    <t xml:space="preserve">Electricity production </t>
  </si>
  <si>
    <t>Comments</t>
  </si>
  <si>
    <t>Parameters</t>
  </si>
  <si>
    <t>Description data</t>
  </si>
  <si>
    <t xml:space="preserve">The development of the CPI of Q3 year T and Q3 year T-1 will be used as the estimated inflation for the year T+1. The estimated inflation is rounded to one decimal. </t>
  </si>
  <si>
    <t>As of the development of the CPI between Q3 2017 and Q3 2018, the 2017 = 100 serie is used. Before this, the 2010 = 100 serie has been used.</t>
  </si>
  <si>
    <t xml:space="preserve">CPI </t>
  </si>
  <si>
    <t>Parameters CPI calculation - COVID-subsidies 2020</t>
  </si>
  <si>
    <t>Original CPI 2020 Q3</t>
  </si>
  <si>
    <t>Original CPI 2021 Q3</t>
  </si>
  <si>
    <t>Original CPI 2022 Q3</t>
  </si>
  <si>
    <t>Alternative CPI (constructed) 2021 Q3</t>
  </si>
  <si>
    <t>Estimated inflation parameters</t>
  </si>
  <si>
    <t>%</t>
  </si>
  <si>
    <t>Estimated inflation 2023</t>
  </si>
  <si>
    <t>Covid subsidies stopped in January 2022; the estimation of the inflation for 2023 is no longer influenced by subsidies.</t>
  </si>
  <si>
    <t xml:space="preserve">WACC </t>
  </si>
  <si>
    <t>Legal interest rate (to be used for the time-value of tariff corrections)</t>
  </si>
  <si>
    <t>Wettelijke rente CNL ('legal fixed interest rate')</t>
  </si>
  <si>
    <t>WACC 2024</t>
  </si>
  <si>
    <t>Variable part of operational costs 2022</t>
  </si>
  <si>
    <t>Variable part of capital costs 2022</t>
  </si>
  <si>
    <t xml:space="preserve">Description data </t>
  </si>
  <si>
    <t>ACM has determined the operational costs and other income, by using the annual account and division keys provided by SEC.</t>
  </si>
  <si>
    <t>Input from the OPEX-model</t>
  </si>
  <si>
    <t>Input from the RAB-model</t>
  </si>
  <si>
    <t>USD</t>
  </si>
  <si>
    <t>RAB-value does not relate to any price level due to the use of a nominal WACC.</t>
  </si>
  <si>
    <t>Depreciation does not relate to any price level due to the use of a nominal WACC.</t>
  </si>
  <si>
    <t>OPEX-model 2024, sheet "Output", row 14</t>
  </si>
  <si>
    <t>OPEX-model 2024, sheet "Output", row 17</t>
  </si>
  <si>
    <t>RAB-model 2024, sheet "Output", row 24</t>
  </si>
  <si>
    <t>RAB-model 2024, sheet "Output", row 37</t>
  </si>
  <si>
    <t>Operational costs (excl fuel) 2022</t>
  </si>
  <si>
    <t>USD, pl 2022</t>
  </si>
  <si>
    <t>Other income 2022</t>
  </si>
  <si>
    <t>RAB-value ultimo 2022</t>
  </si>
  <si>
    <t>Depreciation 2022</t>
  </si>
  <si>
    <t>ACM has determined the RAB, by calculating the value of the Initial RAB (up until 2015) and the RAB of new investments in 2016, 2017, 2018, 2019, 2020, 2021 and 2022.</t>
  </si>
  <si>
    <t>Data on volumes and tariffs</t>
  </si>
  <si>
    <t>Realized volumes</t>
  </si>
  <si>
    <t>(see column)</t>
  </si>
  <si>
    <t>kWh</t>
  </si>
  <si>
    <t>kVA</t>
  </si>
  <si>
    <t xml:space="preserve">kWh </t>
  </si>
  <si>
    <t>liters/kWh</t>
  </si>
  <si>
    <t>Most recent fuel price</t>
  </si>
  <si>
    <t>USD/US gallons</t>
  </si>
  <si>
    <t>US gallon to liter</t>
  </si>
  <si>
    <t>USD/liter</t>
  </si>
  <si>
    <t>The most recent invoice uses "gallons" as a unit for fuel. This fuel price has been converted from a price per gallon to a price per liter.</t>
  </si>
  <si>
    <t>Estimated distribution data</t>
  </si>
  <si>
    <t>Tariffs associated with connection activities</t>
  </si>
  <si>
    <t xml:space="preserve">Tariff per meter for trenchwork, if applicable </t>
  </si>
  <si>
    <t>Reconnection tariff</t>
  </si>
  <si>
    <t xml:space="preserve">Tariff categories and Volumes </t>
  </si>
  <si>
    <t>The tariff category is determined by the kVA</t>
  </si>
  <si>
    <t>#</t>
  </si>
  <si>
    <t>Most recent fuel price per liter</t>
  </si>
  <si>
    <t>Most recent fuel price per gallon</t>
  </si>
  <si>
    <t>Data on corrections</t>
  </si>
  <si>
    <t>Corrections as calculated in fuel model</t>
  </si>
  <si>
    <t>Fuel cost correction</t>
  </si>
  <si>
    <t>Fuel model, sheet "Fuel cost correction", row 21</t>
  </si>
  <si>
    <t>Fuel model, sheet "Fuel component correction", row 26</t>
  </si>
  <si>
    <t>Relevant data</t>
  </si>
  <si>
    <t>Estimated costs</t>
  </si>
  <si>
    <t>Volume</t>
  </si>
  <si>
    <t>Calculation fixed-variable costs</t>
  </si>
  <si>
    <t>Fixed/variable operational costs</t>
  </si>
  <si>
    <t>Fixed/variable RAB</t>
  </si>
  <si>
    <t>Capital costs (RAB * WACC + depreciation)</t>
  </si>
  <si>
    <t>USD / #</t>
  </si>
  <si>
    <t>Calculation fixed costs</t>
  </si>
  <si>
    <t>Estimated volume 2024</t>
  </si>
  <si>
    <t xml:space="preserve">Neccesary input parameters </t>
  </si>
  <si>
    <t>Income level before corrections</t>
  </si>
  <si>
    <t>Calculation of tariffs</t>
  </si>
  <si>
    <t>Production price excl. fuel</t>
  </si>
  <si>
    <t>Data on production</t>
  </si>
  <si>
    <t xml:space="preserve">Production price incl fuel </t>
  </si>
  <si>
    <t>Expected number of connections per kVA</t>
  </si>
  <si>
    <t>New connection tariff</t>
  </si>
  <si>
    <t>Corrections per kWh</t>
  </si>
  <si>
    <t>Variable distribution tariff before fuel correction</t>
  </si>
  <si>
    <t>Fuel component correction</t>
  </si>
  <si>
    <t>Fuel component correction per kWh</t>
  </si>
  <si>
    <t>Division by 12 to calculate the income per month.</t>
  </si>
  <si>
    <t>USD/kWh, pl 2024</t>
  </si>
  <si>
    <t>USD, pl 2024</t>
  </si>
  <si>
    <t>Column "Remarks" explains which correction will be included in which tariff. As the fuel component correction is calculated every six months, this correction will only be added to the variable usage tariff for the upcoming six months.</t>
  </si>
  <si>
    <t>Description results</t>
  </si>
  <si>
    <t>Column "Remarks" explains which correction will be included in which tariff.</t>
  </si>
  <si>
    <t>This sheet calculates the distribution tariffs for 2024</t>
  </si>
  <si>
    <t xml:space="preserve">Description calculation </t>
  </si>
  <si>
    <t>In the tariff model 2023 these were two separate sheets</t>
  </si>
  <si>
    <t>Compounded legal fixed interest rate over 2022 - 2024</t>
  </si>
  <si>
    <t>Compounded legal fixed interest rate over 2023 - 2024</t>
  </si>
  <si>
    <t>Estimated inflation 2024</t>
  </si>
  <si>
    <t>Tariff decision SEC 2023, sheet "Tariffs distribution"; row 39</t>
  </si>
  <si>
    <t>Tariff decision SEC 2023, sheet "Tariffs distribution"; row 40</t>
  </si>
  <si>
    <t>Tariff decision SEC 2023, sheet "Tariffs distribution"; row 41</t>
  </si>
  <si>
    <t>Tariff decision SEC 2023, sheet "Tariffs distribution"; row 36</t>
  </si>
  <si>
    <t>Volume-effect 2022</t>
  </si>
  <si>
    <t>Profit sharing: regular costs 2022</t>
  </si>
  <si>
    <t>Profit sharing: network losses 2022</t>
  </si>
  <si>
    <t>Fuel component correction May-October 2023</t>
  </si>
  <si>
    <t>Volume-effect correction of 2022 will be applied to the production price resp. fixed usage tariff in 2024.</t>
  </si>
  <si>
    <t>Profit sharing correction for regular costs in 2022 will be applied to the production price resp. fixed usage tariff in 2024.</t>
  </si>
  <si>
    <t>Fuel cost correction 2022 will be applied to the production price in 2024.</t>
  </si>
  <si>
    <t>Estimated fuel efficiency 2024</t>
  </si>
  <si>
    <t>Estimated share production with fuel 2024</t>
  </si>
  <si>
    <t>Estimated total production 2024</t>
  </si>
  <si>
    <t>Income level for production price 2024</t>
  </si>
  <si>
    <t>Realized volume 2022</t>
  </si>
  <si>
    <t>Fuel cost correction 2022</t>
  </si>
  <si>
    <t>The income level before corrections is equal to the expected costs in 2024 including a reasonable return (WACC).</t>
  </si>
  <si>
    <t>Estimated fixed operational costs 2022</t>
  </si>
  <si>
    <t>Estimated variable operational costs 2022</t>
  </si>
  <si>
    <t>Estimated variable operational costs 2022 per unit</t>
  </si>
  <si>
    <t>USD, pl 2022 / #</t>
  </si>
  <si>
    <t>Estimated fixed capital costs 2022</t>
  </si>
  <si>
    <t>Estimated variable capital costs 2022</t>
  </si>
  <si>
    <t>Estimated variable capital costs 2022 per unit</t>
  </si>
  <si>
    <t>USD, pl 2024 / #</t>
  </si>
  <si>
    <t>Total estimated fixed costs 2024</t>
  </si>
  <si>
    <t>Total estimated variable costs 2024 per unit</t>
  </si>
  <si>
    <t>Income level and corrections for tariffs 2024</t>
  </si>
  <si>
    <t>Income level 2024 before corrections</t>
  </si>
  <si>
    <t>Fuel component correction will be applied to the variable usage tariff in the first half of 2024.</t>
  </si>
  <si>
    <t>Expected network losses 2024</t>
  </si>
  <si>
    <t>Expected sales 1st half of 2024</t>
  </si>
  <si>
    <t>Income level for fixed usage tariff 2024</t>
  </si>
  <si>
    <t>Total expected kVA connected to the network in 2024</t>
  </si>
  <si>
    <t>Profit sharing correction for network losses in 2022 will be applied to the variable usage tariff in 2024.</t>
  </si>
  <si>
    <t>Corrections apply to January-December 2023. The fuel correction will be added only to the variable distribution tariff for January-June 2024.</t>
  </si>
  <si>
    <t>Income for 2024</t>
  </si>
  <si>
    <t>Estimated production data for 2024</t>
  </si>
  <si>
    <t>Estimated production by solar 2024</t>
  </si>
  <si>
    <t>Estimated production by fuel 2024</t>
  </si>
  <si>
    <t>Estimated own consumption powerplant 2024</t>
  </si>
  <si>
    <t>Estimated share of production with fuel 2024</t>
  </si>
  <si>
    <t>Estimated network losses 2024</t>
  </si>
  <si>
    <t>KPI Report 2022, sheet "KFP Monthly"; row 14</t>
  </si>
  <si>
    <t>Estimated fuel efficiency (based on realization 2022)</t>
  </si>
  <si>
    <t>Tariff for new connection in 2023</t>
  </si>
  <si>
    <t>Estimated number of connections per kVA in 2024</t>
  </si>
  <si>
    <t>Total estimated volume 2024</t>
  </si>
  <si>
    <t>Tariffs production electricity 2024</t>
  </si>
  <si>
    <t>Tariffs SEC 2024</t>
  </si>
  <si>
    <t>This sheet displays the outcome of the tariff calculations</t>
  </si>
  <si>
    <t>Applicable period</t>
  </si>
  <si>
    <t>2024 whole year</t>
  </si>
  <si>
    <t>January - June 2024</t>
  </si>
  <si>
    <t>Tariffs distribution electricity 2024</t>
  </si>
  <si>
    <t>WACC 2022</t>
  </si>
  <si>
    <t>WACC 2024 - Electricity production</t>
  </si>
  <si>
    <t>WACC 2024 - Electricity distribution</t>
  </si>
  <si>
    <t>ACM WACC decision 2020-2022</t>
  </si>
  <si>
    <t>Allocation key fixed/variable costs</t>
  </si>
  <si>
    <t>Cost data 2022</t>
  </si>
  <si>
    <t>Historical data</t>
  </si>
  <si>
    <t>Volumes data 2022</t>
  </si>
  <si>
    <t>Profit Sharing</t>
  </si>
  <si>
    <t>Profit sharing percentage</t>
  </si>
  <si>
    <t>Estimated production and distribution data</t>
  </si>
  <si>
    <t>Realized network losses 2022</t>
  </si>
  <si>
    <t>This sheet imports the necessary data for corrections to the tariffs</t>
  </si>
  <si>
    <t>This includes corrections calculated elsewhere and data needed for corrections calculated in this model</t>
  </si>
  <si>
    <t>Corrections calculated in other models</t>
  </si>
  <si>
    <t>Lost subsidy income</t>
  </si>
  <si>
    <t>Estimates from tariff model 2022</t>
  </si>
  <si>
    <t>Total estimated fixed costs 2022</t>
  </si>
  <si>
    <t>Total estimated variable costs 2022 per unit</t>
  </si>
  <si>
    <t>Estimated fixed/variable costs</t>
  </si>
  <si>
    <t>Estimated volume</t>
  </si>
  <si>
    <t>Estimated volume tariffs 2022</t>
  </si>
  <si>
    <t>Production price 2022</t>
  </si>
  <si>
    <t>Production price incl fuel (Jan-Jun 2022)</t>
  </si>
  <si>
    <t>USD/kWh, pl 2022</t>
  </si>
  <si>
    <t>Production price incl fuel (Jul-Dec 2022)</t>
  </si>
  <si>
    <t>Tariff model 2022-1, sheet 'Data on volumes and tariffs', row 28</t>
  </si>
  <si>
    <t>Tariff model 2022-1, sheet 'Calculation Production', row 37</t>
  </si>
  <si>
    <t>Tariff model 2022-2, sheet 'Result', row 36</t>
  </si>
  <si>
    <t>Input volumes</t>
  </si>
  <si>
    <t>Data for volume-effect correction</t>
  </si>
  <si>
    <t>Calculation volume-effect correction 2022</t>
  </si>
  <si>
    <t>Estimation fixed costs 2022</t>
  </si>
  <si>
    <t>Total estimated fixed costs for 2022</t>
  </si>
  <si>
    <t>Estimated volume 2022</t>
  </si>
  <si>
    <t>Calculation coverage of fixed costs 2022</t>
  </si>
  <si>
    <t>Realized income to cover fixed costs 2022</t>
  </si>
  <si>
    <t>Volume-effect correction 2022</t>
  </si>
  <si>
    <t>Total lost subsidy income as a result of rising volumes in 2022</t>
  </si>
  <si>
    <t>Negative amount indicates an overcoverage of fixed costs in 2022, which will be substracted from the income in 2024.</t>
  </si>
  <si>
    <t>Profit sharing-percentage</t>
  </si>
  <si>
    <t>Estimated fixed costs 2022</t>
  </si>
  <si>
    <t>Realized costs 2022</t>
  </si>
  <si>
    <t>Data for profit sharing</t>
  </si>
  <si>
    <t>Input for network losses</t>
  </si>
  <si>
    <t>Production price incl fuel Jan-June 2022</t>
  </si>
  <si>
    <t>Production price incl fuel July-Dec 2022</t>
  </si>
  <si>
    <t>Average production price incl fuel 2022</t>
  </si>
  <si>
    <t>Estimated network losses 2022</t>
  </si>
  <si>
    <t>Calculation profit sharing for regular costs</t>
  </si>
  <si>
    <t>Estimated costs for 2022</t>
  </si>
  <si>
    <t>Total estimated costs for 2022 adjusted for realized volume</t>
  </si>
  <si>
    <t>Realized costs for 2022</t>
  </si>
  <si>
    <t>Capital cost 2022 (RAB*WACC+ depreciation)</t>
  </si>
  <si>
    <t>Net operational costs 2022 (incl bad debt, excl fuel)</t>
  </si>
  <si>
    <t>Total realized costs for 2022</t>
  </si>
  <si>
    <t>Profit sharing</t>
  </si>
  <si>
    <t>Realized profit (loss) over 2022 for profit sharing</t>
  </si>
  <si>
    <t>Profit sharing correction 2022</t>
  </si>
  <si>
    <t>Calculation proft sharing correction for network losses</t>
  </si>
  <si>
    <t>Estimated costs of network losses 2022</t>
  </si>
  <si>
    <t>Realized costs of network losses 2022</t>
  </si>
  <si>
    <t>Realized profit (loss) over network losses 2022</t>
  </si>
  <si>
    <t>Profit sharing add-on for network losses 2022</t>
  </si>
  <si>
    <t>ACM method decision 2020-2025</t>
  </si>
  <si>
    <t>Overview corrections</t>
  </si>
  <si>
    <t>Input</t>
  </si>
  <si>
    <t>Corrections caluclated in other models</t>
  </si>
  <si>
    <t>Fuel component correction May - October 2023</t>
  </si>
  <si>
    <t>Corrections calculated in this model</t>
  </si>
  <si>
    <t>Corrections in price level 2024</t>
  </si>
  <si>
    <t>Corrections to income level</t>
  </si>
  <si>
    <t>Corrections to variable distribution tariff</t>
  </si>
  <si>
    <t>Input for production price</t>
  </si>
  <si>
    <t>Input distribution tariffs</t>
  </si>
  <si>
    <t>ACM assumes the sales to be evenly distributed within 2024.</t>
  </si>
  <si>
    <t>Network losses</t>
  </si>
  <si>
    <t>ACM projected data 2024</t>
  </si>
  <si>
    <t>Alternative CPI (constructed) 2020 Q3</t>
  </si>
  <si>
    <t>Tariff model 2022-1, sheet 'Fixed-variable costs', row 46</t>
  </si>
  <si>
    <t>Tariff model 2022-1, sheet 'Fixed-variable costs', row 47</t>
  </si>
  <si>
    <t>Analysis ACM lost subsidy income</t>
  </si>
  <si>
    <t>Berekening tarieven SEC 2024</t>
  </si>
  <si>
    <t>Beschikking productieprijs elektriciteit 2024 SEC
Beschikking distributietarieven elektriciteit 2024 SEC</t>
  </si>
  <si>
    <t>Besluit WACC Caribisch Nederland 2020-2022</t>
  </si>
  <si>
    <t>WACC elektriciteit en drinkwater Caribisch Nederland 2020-2022 | ACM.nl</t>
  </si>
  <si>
    <t>Methodebesluit Caribisch Nederland 2020-2025 (Engels)</t>
  </si>
  <si>
    <t>Methodebesluit elektriciteit en drinkwater Caribisch Nederland 2020-2025 | ACM.nl</t>
  </si>
  <si>
    <t>Berekening tarieven SEC 2022</t>
  </si>
  <si>
    <t>https://www.acm.nl/nl/publicaties/beschikking-productieprijs-elektriciteit-2023-saba-sec</t>
  </si>
  <si>
    <t>Sent by SEC to ACM on August 23 2023</t>
  </si>
  <si>
    <t>RAB-model SEC t.b.v. tarieven 2024</t>
  </si>
  <si>
    <t>OPEX-model SEC t.b.v. tarieven 2024</t>
  </si>
  <si>
    <t>KPI Report 2022</t>
  </si>
  <si>
    <t>Key Performance Indicators Report 2022</t>
  </si>
  <si>
    <t>Royal Petroleum invoice no. 29296-29319</t>
  </si>
  <si>
    <t>Fuel price_10122023103335</t>
  </si>
  <si>
    <t>Data for May and June is from the revised production estimate sheet, data for the other months is from ACM projected data.</t>
  </si>
  <si>
    <t>KVA projection 2024, column M</t>
  </si>
  <si>
    <t>KVA projection 2024</t>
  </si>
  <si>
    <t>Revised production estimate; ACM projected data</t>
  </si>
  <si>
    <t>Revised production estimate</t>
  </si>
  <si>
    <t>Production Estimate Solar_Diesel 2023 2024 Rev1</t>
  </si>
  <si>
    <t>In the tariff decisions of 2022, a distribution of 50/50 was assumed for production throughout the year.</t>
  </si>
  <si>
    <t>Tariff model 2022-1, Sheet 'Data on volumes and tariffs', cell L19 and M61</t>
  </si>
  <si>
    <t>Tariff Model 2022-1</t>
  </si>
  <si>
    <t>Tariff Model 2022-2</t>
  </si>
  <si>
    <t>https://www.acm.nl/nl/publicaties/beschikking-variabel-tarief-elektriciteit-1-juli-2022-saba-caribisch-nederland</t>
  </si>
  <si>
    <t>Berekening variabel gebruikstarief elektriciteit SEC per 1 juli 2022</t>
  </si>
  <si>
    <t>Costs divided into a fixed and variable part using the percentages as set in the production price and distribution tariffs decisions for 2023, confirmed by SEC.</t>
  </si>
  <si>
    <t>Last update input CBS: October 18, 2023.</t>
  </si>
  <si>
    <t>Can change monthly</t>
  </si>
  <si>
    <t>Sent by SEC to ACM on October 12 2023</t>
  </si>
  <si>
    <t>Sent by SEC to ACM on October 12 2024</t>
  </si>
  <si>
    <t>On this sheet the ACM displays the CPI, WACC, legal fixed interest rate and profit sharing percentage.</t>
  </si>
  <si>
    <t>On this sheet the ACM imports historical data used for the tariff calculations</t>
  </si>
  <si>
    <t>KPI Report 2022, sheet "Analysis electricity generated", cell T15; kVA overview</t>
  </si>
  <si>
    <t>KPI Report 2022, sheet "KFP Monthly", row 49</t>
  </si>
  <si>
    <t>On this sheet the ACM displays data provided by SEC on estimated production, estimated production yield, the price of fuel and network losses.</t>
  </si>
  <si>
    <t>ACM Projected data 2024: Analysis ACM, sheet "Estimated net losses"; average of row 53</t>
  </si>
  <si>
    <t>Calculation profit sharing 2022</t>
  </si>
  <si>
    <t>On this sheet the ACM calculates the profit sharing correction for regular costs and for network losses over 2022.</t>
  </si>
  <si>
    <t>Estimated costs 2022</t>
  </si>
  <si>
    <t>Estimated variable costs per unit 2022</t>
  </si>
  <si>
    <t>On this sheet the ACM calculates the volume-effect correction.</t>
  </si>
  <si>
    <t>On this sheet the ACM gives an overview of corrections that affect the tariffs for 2024 and converts them to price level 2024</t>
  </si>
  <si>
    <t>Calculation Fixed/Variable costs and Income level</t>
  </si>
  <si>
    <t>On this sheet the ACM splits costs per department in a fixed and variable part and calculates the income level per department</t>
  </si>
  <si>
    <t>ACM assumes other income to be related to fixed costs.</t>
  </si>
  <si>
    <t>On this sheet the ACM calculates the production price for electricity in 2024</t>
  </si>
  <si>
    <t>Calculation production price electricity</t>
  </si>
  <si>
    <t>Income level 2024</t>
  </si>
  <si>
    <t>Calculation distribution tariffs electricity</t>
  </si>
  <si>
    <t>The fuel correction takes place every six months. Therefore, the fuel correction of May-October 2023 will only be included in the variable usage tariff of January-June 2024.</t>
  </si>
  <si>
    <t>USD/kVA/month, pl 2024</t>
  </si>
  <si>
    <t>USD/month, pl 2024</t>
  </si>
  <si>
    <t>Dictum / Annex 1 to decision: tariffs and key figures Electricity</t>
  </si>
  <si>
    <t>Tariffs to include in Dictum production price decision</t>
  </si>
  <si>
    <t>Production price electricity excl. fuel</t>
  </si>
  <si>
    <t>Variable distribution tariff electricity</t>
  </si>
  <si>
    <t>Fixed distribution tariff electricty</t>
  </si>
  <si>
    <t>3,2 kVA</t>
  </si>
  <si>
    <t>7,7 kVA</t>
  </si>
  <si>
    <t>13,3 kVA</t>
  </si>
  <si>
    <t>18,3 kVA</t>
  </si>
  <si>
    <t>23,3 kVA</t>
  </si>
  <si>
    <t>28,3 kVA</t>
  </si>
  <si>
    <t>38,3 kVA</t>
  </si>
  <si>
    <t>48,3 kVA</t>
  </si>
  <si>
    <t>63,3 kVA</t>
  </si>
  <si>
    <t>78,3 kVA</t>
  </si>
  <si>
    <t>83,3 kVA</t>
  </si>
  <si>
    <t>93,3 kVA</t>
  </si>
  <si>
    <t>98,3 kVA</t>
  </si>
  <si>
    <t>100 kVA</t>
  </si>
  <si>
    <t>125 kVA</t>
  </si>
  <si>
    <t>150 kVA</t>
  </si>
  <si>
    <t>350 kVA</t>
  </si>
  <si>
    <t>Operational costs for regulatory cost base</t>
  </si>
  <si>
    <t>Other income</t>
  </si>
  <si>
    <t>Total other income, to be netted with costs</t>
  </si>
  <si>
    <t xml:space="preserve">   Production by solar</t>
  </si>
  <si>
    <t xml:space="preserve">   Production by fuel</t>
  </si>
  <si>
    <t xml:space="preserve">   Own consumption powerplant</t>
  </si>
  <si>
    <t>Liter/kWh</t>
  </si>
  <si>
    <t>Total capacity of the network</t>
  </si>
  <si>
    <t xml:space="preserve">Note: 'pl' means price level </t>
  </si>
  <si>
    <t>USD, pl 2024 / kWh</t>
  </si>
  <si>
    <t>USD, pl 2024 / month</t>
  </si>
  <si>
    <t>USD, pl 2024 / meter</t>
  </si>
  <si>
    <t xml:space="preserve">On this sheet all the relevant information to include in the appendix of the decision on the tariffs of 2024 is shown. </t>
  </si>
  <si>
    <t>Distribution tariffs 2024</t>
  </si>
  <si>
    <t>WACC for Electricity Production 2024</t>
  </si>
  <si>
    <t>WACC for Electricity Distribution 2024</t>
  </si>
  <si>
    <t>Fuel component correction May-October 2022</t>
  </si>
  <si>
    <t xml:space="preserve">Key figures Tariff decision SEC 2024 - Electricity </t>
  </si>
  <si>
    <t>Estimated production yield for fuel in 2024</t>
  </si>
  <si>
    <t>Other parameters (expectations 2024)</t>
  </si>
  <si>
    <t>Total estimated production volume 2024</t>
  </si>
  <si>
    <t>Variable part of operational costs in 2022</t>
  </si>
  <si>
    <t>Variable part of capital costs in 2022</t>
  </si>
  <si>
    <t>Summary of cost data 2022</t>
  </si>
  <si>
    <t>Regulated asset base (ultimo 2022)</t>
  </si>
  <si>
    <t>Depreciation in 2022</t>
  </si>
  <si>
    <t>This file uses the output from the OPEX model, RAB model and the Fuel model.</t>
  </si>
  <si>
    <t>ACM/UIT/606617
ACM/UIT/606618</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</si>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</sst>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00_ ;_ * \-#,##0.0000_ ;_ * &quot;-&quot;??_ ;_ @_ "/>
    <numFmt numFmtId="165" formatCode="_ * #,##0.0_ ;_ * \-#,##0.0_ ;_ * &quot;-&quot;??_ ;_ @_ "/>
    <numFmt numFmtId="166" formatCode="0.0%"/>
    <numFmt numFmtId="167" formatCode="_ * #,##0_ ;_ * \-#,##0_ ;_ * &quot;-&quot;??_ ;_ @_ "/>
    <numFmt numFmtId="168" formatCode="_ * #,##0.000_ ;_ * \-#,##0.000_ ;_ * &quot;-&quot;??_ ;_ @_ "/>
    <numFmt numFmtId="169" formatCode="_ * #,##0.00_ ;_ * \-#,##0.00_ ;_ * &quot;-&quot;_ ;_ @_ "/>
    <numFmt numFmtId="170" formatCode="_ * #,##0.0000_ ;_ * \-#,##0.0000_ ;_ * &quot;-&quot;_ ;_ @_ "/>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rgb="FF00B0F0"/>
      <name val="Arial"/>
      <family val="2"/>
    </font>
    <font>
      <sz val="10"/>
      <color rgb="FF00B0F0"/>
      <name val="Arial"/>
      <family val="2"/>
    </font>
    <font>
      <sz val="8"/>
      <name val="Arial"/>
      <family val="2"/>
    </font>
    <font>
      <sz val="9"/>
      <color indexed="81"/>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
      <patternFill patternType="solid">
        <fgColor rgb="FFCCFFCC"/>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9">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6" fillId="13" borderId="3" applyNumberFormat="0" applyAlignment="0" applyProtection="0"/>
    <xf numFmtId="0" fontId="17" fillId="14" borderId="4" applyNumberFormat="0" applyAlignment="0" applyProtection="0"/>
    <xf numFmtId="0" fontId="18" fillId="14" borderId="3" applyNumberFormat="0" applyAlignment="0" applyProtection="0"/>
    <xf numFmtId="0" fontId="19" fillId="0" borderId="5" applyNumberFormat="0" applyFill="0" applyAlignment="0" applyProtection="0"/>
    <xf numFmtId="0" fontId="13" fillId="15" borderId="6" applyNumberFormat="0" applyAlignment="0" applyProtection="0"/>
    <xf numFmtId="0" fontId="15" fillId="16"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8" fillId="41"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xf numFmtId="0" fontId="1" fillId="0" borderId="0">
      <alignment vertical="top"/>
    </xf>
    <xf numFmtId="43" fontId="5" fillId="46" borderId="0">
      <alignment vertical="top"/>
    </xf>
    <xf numFmtId="43" fontId="5" fillId="11" borderId="0">
      <alignment vertical="top"/>
    </xf>
  </cellStyleXfs>
  <cellXfs count="109">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2" xfId="4" applyBorder="1" applyAlignment="1">
      <alignment horizontal="left" vertical="top" wrapText="1"/>
    </xf>
    <xf numFmtId="0" fontId="5" fillId="6" borderId="0" xfId="4" applyFill="1">
      <alignment vertical="top"/>
    </xf>
    <xf numFmtId="1" fontId="5" fillId="0" borderId="0" xfId="4" applyNumberFormat="1">
      <alignment vertical="top"/>
    </xf>
    <xf numFmtId="1" fontId="9" fillId="0" borderId="0" xfId="4" applyNumberFormat="1" applyFont="1">
      <alignment vertical="top"/>
    </xf>
    <xf numFmtId="0" fontId="12" fillId="0" borderId="0" xfId="4" applyFont="1">
      <alignment vertical="top"/>
    </xf>
    <xf numFmtId="0" fontId="8" fillId="5" borderId="1" xfId="5" applyNumberFormat="1">
      <alignment vertical="top"/>
    </xf>
    <xf numFmtId="0" fontId="14" fillId="0" borderId="0" xfId="4" applyFont="1">
      <alignment vertical="top"/>
    </xf>
    <xf numFmtId="0" fontId="5" fillId="12" borderId="0" xfId="4" applyFill="1">
      <alignment vertical="top"/>
    </xf>
    <xf numFmtId="49" fontId="5" fillId="17"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7" borderId="0" xfId="12">
      <alignment vertical="top"/>
    </xf>
    <xf numFmtId="41" fontId="5" fillId="44" borderId="0" xfId="11">
      <alignment vertical="top"/>
    </xf>
    <xf numFmtId="41" fontId="5" fillId="44" borderId="2" xfId="11" applyBorder="1">
      <alignment vertical="top"/>
    </xf>
    <xf numFmtId="43" fontId="12" fillId="0" borderId="0" xfId="63" applyFont="1" applyFill="1">
      <alignment vertical="top"/>
    </xf>
    <xf numFmtId="41" fontId="5" fillId="43" borderId="0" xfId="65">
      <alignment vertical="top"/>
    </xf>
    <xf numFmtId="41" fontId="5" fillId="11" borderId="0" xfId="13">
      <alignment vertical="top"/>
    </xf>
    <xf numFmtId="41" fontId="5" fillId="9" borderId="0" xfId="9">
      <alignment vertical="top"/>
    </xf>
    <xf numFmtId="49" fontId="30" fillId="0" borderId="0" xfId="14" applyFont="1">
      <alignment vertical="top"/>
    </xf>
    <xf numFmtId="0" fontId="31" fillId="0" borderId="0" xfId="4" applyFont="1">
      <alignment vertical="top"/>
    </xf>
    <xf numFmtId="49" fontId="5" fillId="17" borderId="0" xfId="6" applyFont="1" applyBorder="1">
      <alignment vertical="top"/>
    </xf>
    <xf numFmtId="49" fontId="13" fillId="5" borderId="1" xfId="5" applyFont="1">
      <alignment vertical="top"/>
    </xf>
    <xf numFmtId="49" fontId="5" fillId="0" borderId="0" xfId="7" applyFont="1">
      <alignment vertical="top"/>
    </xf>
    <xf numFmtId="0" fontId="9" fillId="12" borderId="0" xfId="4" applyFont="1" applyFill="1">
      <alignment vertical="top"/>
    </xf>
    <xf numFmtId="0" fontId="5" fillId="0" borderId="2" xfId="4" applyBorder="1" applyAlignment="1">
      <alignment vertical="top" wrapText="1"/>
    </xf>
    <xf numFmtId="49" fontId="21" fillId="0" borderId="2" xfId="61" applyBorder="1" applyAlignment="1">
      <alignment vertical="top"/>
    </xf>
    <xf numFmtId="0" fontId="14" fillId="0" borderId="2" xfId="4" applyFont="1" applyBorder="1" applyAlignment="1">
      <alignment vertical="top" wrapText="1"/>
    </xf>
    <xf numFmtId="164" fontId="5" fillId="10" borderId="0" xfId="8" applyNumberFormat="1">
      <alignment vertical="top"/>
    </xf>
    <xf numFmtId="165" fontId="5" fillId="11" borderId="0" xfId="13" applyNumberFormat="1">
      <alignment vertical="top"/>
    </xf>
    <xf numFmtId="165" fontId="5" fillId="0" borderId="0" xfId="4" applyNumberFormat="1">
      <alignment vertical="top"/>
    </xf>
    <xf numFmtId="10" fontId="5" fillId="44" borderId="0" xfId="11" applyNumberFormat="1">
      <alignment vertical="top"/>
    </xf>
    <xf numFmtId="10" fontId="5" fillId="9" borderId="0" xfId="9" applyNumberFormat="1">
      <alignment vertical="top"/>
    </xf>
    <xf numFmtId="9" fontId="5" fillId="44" borderId="0" xfId="11" applyNumberFormat="1">
      <alignment vertical="top"/>
    </xf>
    <xf numFmtId="0" fontId="5" fillId="45" borderId="0" xfId="4" applyFill="1">
      <alignment vertical="top"/>
    </xf>
    <xf numFmtId="167" fontId="5" fillId="9" borderId="0" xfId="9" applyNumberFormat="1">
      <alignment vertical="top"/>
    </xf>
    <xf numFmtId="167" fontId="5" fillId="44" borderId="0" xfId="11" applyNumberFormat="1">
      <alignment vertical="top"/>
    </xf>
    <xf numFmtId="167" fontId="5" fillId="0" borderId="0" xfId="4" applyNumberFormat="1">
      <alignment vertical="top"/>
    </xf>
    <xf numFmtId="0" fontId="5" fillId="42" borderId="0" xfId="62" applyNumberFormat="1">
      <alignment vertical="top"/>
    </xf>
    <xf numFmtId="9" fontId="5" fillId="9" borderId="0" xfId="9" applyNumberFormat="1">
      <alignment vertical="top"/>
    </xf>
    <xf numFmtId="164" fontId="5" fillId="44" borderId="0" xfId="11" applyNumberFormat="1">
      <alignment vertical="top"/>
    </xf>
    <xf numFmtId="164" fontId="5" fillId="9" borderId="0" xfId="9" applyNumberFormat="1">
      <alignment vertical="top"/>
    </xf>
    <xf numFmtId="49" fontId="10" fillId="17" borderId="1" xfId="6" applyFont="1">
      <alignment vertical="top"/>
    </xf>
    <xf numFmtId="0" fontId="1" fillId="0" borderId="0" xfId="0" applyFont="1" applyAlignment="1"/>
    <xf numFmtId="167" fontId="5" fillId="0" borderId="0" xfId="9" applyNumberFormat="1" applyFill="1">
      <alignment vertical="top"/>
    </xf>
    <xf numFmtId="165" fontId="5" fillId="44" borderId="0" xfId="11" applyNumberFormat="1">
      <alignment vertical="top"/>
    </xf>
    <xf numFmtId="167" fontId="5" fillId="42" borderId="0" xfId="62" applyNumberFormat="1">
      <alignment vertical="top"/>
    </xf>
    <xf numFmtId="166" fontId="5" fillId="11" borderId="0" xfId="13" applyNumberFormat="1">
      <alignment vertical="top"/>
    </xf>
    <xf numFmtId="10" fontId="5" fillId="11" borderId="0" xfId="13" applyNumberFormat="1">
      <alignment vertical="top"/>
    </xf>
    <xf numFmtId="167" fontId="5" fillId="11" borderId="0" xfId="13" applyNumberFormat="1">
      <alignment vertical="top"/>
    </xf>
    <xf numFmtId="9" fontId="5" fillId="11" borderId="0" xfId="13" applyNumberFormat="1">
      <alignment vertical="top"/>
    </xf>
    <xf numFmtId="0" fontId="1" fillId="0" borderId="0" xfId="66">
      <alignment vertical="top"/>
    </xf>
    <xf numFmtId="168" fontId="5" fillId="11" borderId="0" xfId="13" applyNumberFormat="1">
      <alignment vertical="top"/>
    </xf>
    <xf numFmtId="164" fontId="5" fillId="11" borderId="0" xfId="13" applyNumberFormat="1">
      <alignment vertical="top"/>
    </xf>
    <xf numFmtId="169" fontId="5" fillId="44" borderId="0" xfId="11" applyNumberFormat="1">
      <alignment vertical="top"/>
    </xf>
    <xf numFmtId="10" fontId="5" fillId="11" borderId="0" xfId="64" applyFill="1">
      <alignment vertical="top"/>
    </xf>
    <xf numFmtId="169" fontId="5" fillId="10" borderId="0" xfId="8" applyNumberFormat="1">
      <alignment vertical="top"/>
    </xf>
    <xf numFmtId="0" fontId="14" fillId="0" borderId="0" xfId="4" quotePrefix="1" applyFont="1">
      <alignment vertical="top"/>
    </xf>
    <xf numFmtId="10" fontId="5" fillId="44" borderId="0" xfId="64" applyFill="1">
      <alignment vertical="top"/>
    </xf>
    <xf numFmtId="49" fontId="6" fillId="0" borderId="0" xfId="15" applyFont="1">
      <alignment vertical="top"/>
    </xf>
    <xf numFmtId="170" fontId="5" fillId="44" borderId="0" xfId="11" applyNumberFormat="1">
      <alignment vertical="top"/>
    </xf>
    <xf numFmtId="41" fontId="5" fillId="42" borderId="0" xfId="62" applyNumberFormat="1">
      <alignment vertical="top"/>
    </xf>
    <xf numFmtId="10" fontId="5" fillId="0" borderId="0" xfId="64">
      <alignment vertical="top"/>
    </xf>
    <xf numFmtId="49" fontId="6" fillId="0" borderId="0" xfId="4" applyNumberFormat="1" applyFont="1">
      <alignment vertical="top"/>
    </xf>
    <xf numFmtId="9" fontId="5" fillId="11" borderId="0" xfId="64" applyNumberFormat="1" applyFill="1">
      <alignment vertical="top"/>
    </xf>
    <xf numFmtId="169" fontId="5" fillId="11" borderId="0" xfId="13" applyNumberFormat="1">
      <alignment vertical="top"/>
    </xf>
    <xf numFmtId="169" fontId="5" fillId="9" borderId="0" xfId="9" applyNumberFormat="1">
      <alignment vertical="top"/>
    </xf>
    <xf numFmtId="10" fontId="5" fillId="0" borderId="0" xfId="4" applyNumberFormat="1">
      <alignment vertical="top"/>
    </xf>
    <xf numFmtId="170" fontId="5" fillId="10" borderId="0" xfId="8" applyNumberFormat="1">
      <alignment vertical="top"/>
    </xf>
    <xf numFmtId="49" fontId="21" fillId="0" borderId="0" xfId="61" applyAlignment="1">
      <alignment vertical="top"/>
    </xf>
    <xf numFmtId="2" fontId="5" fillId="0" borderId="0" xfId="4" applyNumberFormat="1">
      <alignment vertical="top"/>
    </xf>
    <xf numFmtId="0" fontId="5" fillId="0" borderId="0" xfId="4" applyFont="1">
      <alignment vertical="top"/>
    </xf>
    <xf numFmtId="170" fontId="5" fillId="8" borderId="0" xfId="10" applyNumberFormat="1">
      <alignment vertical="top"/>
    </xf>
    <xf numFmtId="164" fontId="5" fillId="12" borderId="0" xfId="68" applyNumberFormat="1" applyFill="1">
      <alignment vertical="top"/>
    </xf>
    <xf numFmtId="0" fontId="5" fillId="0" borderId="12" xfId="4" applyBorder="1">
      <alignment vertical="top"/>
    </xf>
    <xf numFmtId="0" fontId="5" fillId="0" borderId="13" xfId="4" applyBorder="1">
      <alignment vertical="top"/>
    </xf>
    <xf numFmtId="0" fontId="5" fillId="0" borderId="14" xfId="4" applyBorder="1">
      <alignment vertical="top"/>
    </xf>
    <xf numFmtId="49" fontId="6" fillId="17" borderId="15" xfId="6" applyBorder="1">
      <alignment vertical="top"/>
    </xf>
    <xf numFmtId="49" fontId="6" fillId="17" borderId="16" xfId="6" applyBorder="1">
      <alignment vertical="top"/>
    </xf>
    <xf numFmtId="0" fontId="5" fillId="0" borderId="17" xfId="4" applyBorder="1">
      <alignment vertical="top"/>
    </xf>
    <xf numFmtId="0" fontId="5" fillId="0" borderId="18" xfId="4" applyBorder="1">
      <alignment vertical="top"/>
    </xf>
    <xf numFmtId="43" fontId="5" fillId="12" borderId="0" xfId="68" applyFill="1">
      <alignment vertical="top"/>
    </xf>
    <xf numFmtId="0" fontId="5" fillId="0" borderId="19" xfId="4" applyBorder="1">
      <alignment vertical="top"/>
    </xf>
    <xf numFmtId="0" fontId="5" fillId="0" borderId="20" xfId="4" applyBorder="1">
      <alignment vertical="top"/>
    </xf>
    <xf numFmtId="0" fontId="5" fillId="0" borderId="21" xfId="4" applyBorder="1">
      <alignment vertical="top"/>
    </xf>
    <xf numFmtId="10" fontId="5" fillId="12" borderId="0" xfId="68" applyNumberFormat="1" applyFill="1">
      <alignment vertical="top"/>
    </xf>
    <xf numFmtId="166" fontId="5" fillId="12" borderId="0" xfId="68" applyNumberFormat="1" applyFill="1">
      <alignment vertical="top"/>
    </xf>
    <xf numFmtId="49" fontId="6" fillId="0" borderId="17" xfId="7" applyBorder="1">
      <alignment vertical="top"/>
    </xf>
    <xf numFmtId="49" fontId="6" fillId="0" borderId="0" xfId="7" applyAlignment="1">
      <alignment vertical="top" wrapText="1"/>
    </xf>
    <xf numFmtId="49" fontId="6" fillId="0" borderId="18" xfId="7" applyBorder="1">
      <alignment vertical="top"/>
    </xf>
    <xf numFmtId="9" fontId="5" fillId="12" borderId="0" xfId="68" applyNumberFormat="1" applyFill="1">
      <alignment vertical="top"/>
    </xf>
    <xf numFmtId="167" fontId="5" fillId="12" borderId="0" xfId="68" applyNumberFormat="1" applyFill="1">
      <alignment vertical="top"/>
    </xf>
    <xf numFmtId="168" fontId="5" fillId="12" borderId="0" xfId="68" applyNumberFormat="1" applyFill="1">
      <alignment vertical="top"/>
    </xf>
    <xf numFmtId="168" fontId="5" fillId="44" borderId="0" xfId="11" applyNumberFormat="1">
      <alignment vertical="top"/>
    </xf>
    <xf numFmtId="0" fontId="5" fillId="0" borderId="0" xfId="4" applyAlignment="1">
      <alignment horizontal="left" vertical="top" wrapText="1"/>
    </xf>
    <xf numFmtId="0" fontId="7" fillId="0" borderId="0" xfId="4" applyFont="1" applyAlignment="1">
      <alignment horizontal="left" vertical="top" wrapText="1"/>
    </xf>
  </cellXfs>
  <cellStyles count="69">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Input 2" xfId="67" xr:uid="{B9486F1A-73E6-43FC-B7BD-7F935B2A6FC4}"/>
    <cellStyle name="Cel n.v.t. (leeg)" xfId="62" xr:uid="{00000000-0005-0000-0000-000021000000}"/>
    <cellStyle name="Cel PM extern" xfId="12" xr:uid="{00000000-0005-0000-0000-000022000000}"/>
    <cellStyle name="Cel Verwijzing" xfId="13" xr:uid="{00000000-0005-0000-0000-000023000000}"/>
    <cellStyle name="Cel Verwijzing 2" xfId="68" xr:uid="{3E8C3D2C-A984-43FC-8DF7-3BF2217BB5CC}"/>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2" xfId="66" xr:uid="{2016A938-51BC-4B43-98EA-BA2E5FB8517C}"/>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beschikking-productieprijs-elektriciteit-2022-saba-sec-caribisch-nederland" TargetMode="External"/><Relationship Id="rId3" Type="http://schemas.openxmlformats.org/officeDocument/2006/relationships/hyperlink" Target="https://www.cbs.nl/nl-nl/maatwerk/2021/45/cpi-caribisch-nederland-exclusief-covid-19-toeslagen" TargetMode="External"/><Relationship Id="rId7" Type="http://schemas.openxmlformats.org/officeDocument/2006/relationships/hyperlink" Target="https://www.acm.nl/nl/publicaties/beschikking-productieprijs-elektriciteit-2023-saba-sec" TargetMode="External"/><Relationship Id="rId2" Type="http://schemas.openxmlformats.org/officeDocument/2006/relationships/hyperlink" Target="https://opendata.cbs.nl/statline/" TargetMode="External"/><Relationship Id="rId1" Type="http://schemas.openxmlformats.org/officeDocument/2006/relationships/hyperlink" Target="https://www.acm.nl/nl/publicaties/wacc-elektriciteit-en-drinkwater-caribisch-nederland-2023-2025" TargetMode="External"/><Relationship Id="rId6" Type="http://schemas.openxmlformats.org/officeDocument/2006/relationships/hyperlink" Target="https://www.acm.nl/nl/publicaties/methodebesluit-elektriciteit-en-drinkwater-caribisch-nederland-2020-2025" TargetMode="External"/><Relationship Id="rId5" Type="http://schemas.openxmlformats.org/officeDocument/2006/relationships/hyperlink" Target="https://www.acm.nl/nl/publicaties/wacc-elektriciteit-en-drinkwater-caribisch-nederland-2020-2022" TargetMode="External"/><Relationship Id="rId10" Type="http://schemas.openxmlformats.org/officeDocument/2006/relationships/printerSettings" Target="../printerSettings/printerSettings3.bin"/><Relationship Id="rId4" Type="http://schemas.openxmlformats.org/officeDocument/2006/relationships/hyperlink" Target="https://wetten.overheid.nl/BWBR0030649/2011-11-18" TargetMode="External"/><Relationship Id="rId9" Type="http://schemas.openxmlformats.org/officeDocument/2006/relationships/hyperlink" Target="https://www.acm.nl/nl/publicaties/beschikking-variabel-tarief-elektriciteit-1-juli-2022-saba-caribisch-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9"/>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39</v>
      </c>
    </row>
    <row r="6" spans="2:5" x14ac:dyDescent="0.2">
      <c r="B6" s="3"/>
    </row>
    <row r="13" spans="2:5" s="8" customFormat="1" x14ac:dyDescent="0.2">
      <c r="B13" s="8" t="s">
        <v>3</v>
      </c>
    </row>
    <row r="15" spans="2:5" x14ac:dyDescent="0.2">
      <c r="B15" s="9" t="s">
        <v>4</v>
      </c>
      <c r="C15" s="9" t="s">
        <v>65</v>
      </c>
      <c r="E15" s="19"/>
    </row>
    <row r="16" spans="2:5" x14ac:dyDescent="0.2">
      <c r="B16" s="9" t="s">
        <v>5</v>
      </c>
      <c r="C16" s="9" t="s">
        <v>351</v>
      </c>
    </row>
    <row r="17" spans="2:4" ht="25.5" x14ac:dyDescent="0.2">
      <c r="B17" s="9" t="s">
        <v>40</v>
      </c>
      <c r="C17" s="9" t="s">
        <v>352</v>
      </c>
    </row>
    <row r="18" spans="2:4" ht="25.5" x14ac:dyDescent="0.2">
      <c r="B18" s="9" t="s">
        <v>41</v>
      </c>
      <c r="C18" s="9" t="s">
        <v>454</v>
      </c>
    </row>
    <row r="19" spans="2:4" x14ac:dyDescent="0.2">
      <c r="B19" s="9" t="s">
        <v>55</v>
      </c>
      <c r="C19" s="9" t="s">
        <v>453</v>
      </c>
    </row>
    <row r="20" spans="2:4" x14ac:dyDescent="0.2">
      <c r="B20" s="9" t="s">
        <v>6</v>
      </c>
      <c r="C20" s="9"/>
    </row>
    <row r="22" spans="2:4" x14ac:dyDescent="0.2">
      <c r="B22" s="21" t="s">
        <v>61</v>
      </c>
    </row>
    <row r="24" spans="2:4" s="8" customFormat="1" x14ac:dyDescent="0.2">
      <c r="B24" s="8" t="s">
        <v>7</v>
      </c>
    </row>
    <row r="26" spans="2:4" x14ac:dyDescent="0.2">
      <c r="B26" s="9" t="s">
        <v>8</v>
      </c>
      <c r="C26" s="9" t="s">
        <v>455</v>
      </c>
    </row>
    <row r="27" spans="2:4" x14ac:dyDescent="0.2">
      <c r="B27" s="9" t="s">
        <v>59</v>
      </c>
      <c r="C27" s="9" t="s">
        <v>455</v>
      </c>
    </row>
    <row r="28" spans="2:4" ht="25.5" x14ac:dyDescent="0.2">
      <c r="B28" s="9" t="s">
        <v>9</v>
      </c>
      <c r="C28" s="9" t="s">
        <v>455</v>
      </c>
    </row>
    <row r="29" spans="2:4" ht="25.5" x14ac:dyDescent="0.2">
      <c r="B29" s="9" t="s">
        <v>60</v>
      </c>
      <c r="C29" s="9" t="s">
        <v>69</v>
      </c>
    </row>
    <row r="30" spans="2:4" x14ac:dyDescent="0.2">
      <c r="B30" s="9" t="s">
        <v>6</v>
      </c>
      <c r="C30" s="9"/>
    </row>
    <row r="32" spans="2:4" x14ac:dyDescent="0.2">
      <c r="B32" s="107" t="s">
        <v>42</v>
      </c>
      <c r="C32" s="108"/>
      <c r="D32" s="5"/>
    </row>
    <row r="33" spans="2:4" x14ac:dyDescent="0.2">
      <c r="B33" s="18"/>
      <c r="C33" s="18"/>
      <c r="D33" s="5"/>
    </row>
    <row r="35" spans="2:4" s="8" customFormat="1" x14ac:dyDescent="0.2">
      <c r="B35" s="8" t="s">
        <v>0</v>
      </c>
    </row>
    <row r="37" spans="2:4" x14ac:dyDescent="0.2">
      <c r="B37" s="19"/>
    </row>
    <row r="38" spans="2:4" x14ac:dyDescent="0.2">
      <c r="B38" s="2" t="s">
        <v>43</v>
      </c>
    </row>
    <row r="48" spans="2:4" x14ac:dyDescent="0.2">
      <c r="C48" s="32"/>
    </row>
    <row r="49" spans="2:2" x14ac:dyDescent="0.2">
      <c r="B49" s="4" t="s">
        <v>62</v>
      </c>
    </row>
  </sheetData>
  <mergeCells count="1">
    <mergeCell ref="B32:C32"/>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F2CA-B75A-4A78-9144-142FF4A9317F}">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6"/>
  </cols>
  <sheetData>
    <row r="2" spans="2:2" x14ac:dyDescent="0.2">
      <c r="B2" s="37" t="s">
        <v>64</v>
      </c>
    </row>
    <row r="3" spans="2:2" x14ac:dyDescent="0.2">
      <c r="B3" s="3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78A4-864D-4B33-8E0F-BB4E6EC6F954}">
  <sheetPr>
    <tabColor rgb="FFFFFFCC"/>
  </sheetPr>
  <dimension ref="B2:O60"/>
  <sheetViews>
    <sheetView showGridLines="0" zoomScale="85" zoomScaleNormal="85" workbookViewId="0">
      <pane xSplit="6" ySplit="8" topLeftCell="G9" activePane="bottomRight" state="frozen"/>
      <selection activeCell="E15" sqref="E15"/>
      <selection pane="topRight" activeCell="E15" sqref="E15"/>
      <selection pane="bottomLeft" activeCell="E15" sqref="E15"/>
      <selection pane="bottomRight" activeCell="G9" sqref="G9"/>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389</v>
      </c>
    </row>
    <row r="4" spans="2:15" x14ac:dyDescent="0.2">
      <c r="B4" s="20" t="s">
        <v>208</v>
      </c>
      <c r="C4" s="1"/>
      <c r="D4" s="1"/>
    </row>
    <row r="5" spans="2:15" x14ac:dyDescent="0.2">
      <c r="B5" s="2" t="s">
        <v>390</v>
      </c>
      <c r="C5" s="3"/>
      <c r="D5" s="3"/>
      <c r="H5" s="15"/>
    </row>
    <row r="7" spans="2:15" s="8" customFormat="1" x14ac:dyDescent="0.2">
      <c r="B7" s="8" t="s">
        <v>93</v>
      </c>
      <c r="F7" s="8" t="s">
        <v>94</v>
      </c>
      <c r="H7" s="8" t="s">
        <v>35</v>
      </c>
      <c r="J7" s="8" t="s">
        <v>36</v>
      </c>
      <c r="L7" s="8" t="s">
        <v>95</v>
      </c>
      <c r="M7" s="8" t="s">
        <v>96</v>
      </c>
      <c r="O7" s="8" t="s">
        <v>37</v>
      </c>
    </row>
    <row r="10" spans="2:15" s="8" customFormat="1" x14ac:dyDescent="0.2">
      <c r="B10" s="8" t="s">
        <v>312</v>
      </c>
    </row>
    <row r="12" spans="2:15" x14ac:dyDescent="0.2">
      <c r="B12" s="1" t="s">
        <v>116</v>
      </c>
    </row>
    <row r="13" spans="2:15" x14ac:dyDescent="0.2">
      <c r="B13" s="2" t="s">
        <v>269</v>
      </c>
      <c r="F13" s="75" t="s">
        <v>127</v>
      </c>
      <c r="H13" s="61">
        <f>Parameters!H32</f>
        <v>5.96E-2</v>
      </c>
    </row>
    <row r="14" spans="2:15" x14ac:dyDescent="0.2">
      <c r="B14" s="2" t="s">
        <v>309</v>
      </c>
      <c r="F14" s="75" t="s">
        <v>127</v>
      </c>
      <c r="H14" s="77">
        <f>Parameters!H45</f>
        <v>0.5</v>
      </c>
    </row>
    <row r="15" spans="2:15" x14ac:dyDescent="0.2">
      <c r="F15" s="75"/>
    </row>
    <row r="16" spans="2:15" x14ac:dyDescent="0.2">
      <c r="B16" s="1" t="s">
        <v>391</v>
      </c>
    </row>
    <row r="17" spans="2:13" x14ac:dyDescent="0.2">
      <c r="B17" s="2" t="s">
        <v>310</v>
      </c>
      <c r="F17" s="2" t="s">
        <v>148</v>
      </c>
      <c r="L17" s="30">
        <f>'Data for corrections'!L23</f>
        <v>1437355.5271676891</v>
      </c>
      <c r="M17" s="30">
        <f>'Data for corrections'!M23</f>
        <v>944471.16729055857</v>
      </c>
    </row>
    <row r="18" spans="2:13" x14ac:dyDescent="0.2">
      <c r="B18" s="2" t="s">
        <v>392</v>
      </c>
      <c r="F18" s="2" t="s">
        <v>148</v>
      </c>
      <c r="L18" s="78">
        <f>'Data for corrections'!L24</f>
        <v>4.4236376659090117E-2</v>
      </c>
      <c r="M18" s="78">
        <f>'Data for corrections'!M24</f>
        <v>44.452978022270393</v>
      </c>
    </row>
    <row r="20" spans="2:13" x14ac:dyDescent="0.2">
      <c r="B20" s="20" t="s">
        <v>311</v>
      </c>
    </row>
    <row r="21" spans="2:13" x14ac:dyDescent="0.2">
      <c r="B21" s="2" t="s">
        <v>150</v>
      </c>
      <c r="F21" s="2" t="s">
        <v>148</v>
      </c>
      <c r="L21" s="30">
        <f>'Historical data'!L19</f>
        <v>2661475.9508377202</v>
      </c>
      <c r="M21" s="30">
        <f>'Historical data'!M19</f>
        <v>3555487.481225742</v>
      </c>
    </row>
    <row r="22" spans="2:13" x14ac:dyDescent="0.2">
      <c r="B22" s="2" t="s">
        <v>151</v>
      </c>
      <c r="F22" s="2" t="s">
        <v>148</v>
      </c>
      <c r="L22" s="30">
        <f>'Historical data'!L20</f>
        <v>170588.33311294575</v>
      </c>
      <c r="M22" s="30">
        <f>'Historical data'!M20</f>
        <v>307486.35758521955</v>
      </c>
    </row>
    <row r="23" spans="2:13" x14ac:dyDescent="0.2">
      <c r="B23" s="2" t="s">
        <v>147</v>
      </c>
      <c r="F23" s="2" t="s">
        <v>148</v>
      </c>
      <c r="L23" s="30">
        <f>'Historical data'!L15</f>
        <v>1377727.6850000001</v>
      </c>
      <c r="M23" s="30">
        <f>'Historical data'!M15</f>
        <v>948725.11500000011</v>
      </c>
    </row>
    <row r="24" spans="2:13" x14ac:dyDescent="0.2">
      <c r="B24" s="2" t="s">
        <v>149</v>
      </c>
      <c r="F24" s="2" t="s">
        <v>148</v>
      </c>
      <c r="L24" s="30">
        <f>'Historical data'!L16</f>
        <v>6138.43</v>
      </c>
      <c r="M24" s="30">
        <f>'Historical data'!M16</f>
        <v>89813.22</v>
      </c>
    </row>
    <row r="26" spans="2:13" x14ac:dyDescent="0.2">
      <c r="B26" s="1" t="s">
        <v>181</v>
      </c>
    </row>
    <row r="27" spans="2:13" x14ac:dyDescent="0.2">
      <c r="B27" s="21" t="s">
        <v>34</v>
      </c>
      <c r="F27" s="21" t="s">
        <v>155</v>
      </c>
      <c r="L27" s="4" t="s">
        <v>156</v>
      </c>
      <c r="M27" s="4" t="s">
        <v>157</v>
      </c>
    </row>
    <row r="28" spans="2:13" x14ac:dyDescent="0.2">
      <c r="B28" s="2" t="s">
        <v>228</v>
      </c>
      <c r="F28" s="2" t="s">
        <v>155</v>
      </c>
      <c r="L28" s="30">
        <f>'Historical data'!L30</f>
        <v>9249558.7100000028</v>
      </c>
      <c r="M28" s="30">
        <f>'Historical data'!M30</f>
        <v>12622.684615384615</v>
      </c>
    </row>
    <row r="30" spans="2:13" x14ac:dyDescent="0.2">
      <c r="B30" s="76" t="s">
        <v>313</v>
      </c>
    </row>
    <row r="31" spans="2:13" x14ac:dyDescent="0.2">
      <c r="B31" s="2" t="s">
        <v>314</v>
      </c>
      <c r="F31" s="2" t="s">
        <v>293</v>
      </c>
      <c r="L31" s="66">
        <f>'Data for corrections'!L33</f>
        <v>0.36502258597280779</v>
      </c>
      <c r="M31" s="51"/>
    </row>
    <row r="32" spans="2:13" x14ac:dyDescent="0.2">
      <c r="B32" s="2" t="s">
        <v>315</v>
      </c>
      <c r="F32" s="2" t="s">
        <v>293</v>
      </c>
      <c r="L32" s="66">
        <f>'Data for corrections'!L34</f>
        <v>0.46493825726445831</v>
      </c>
      <c r="M32" s="51"/>
    </row>
    <row r="33" spans="2:15" x14ac:dyDescent="0.2">
      <c r="B33" s="2" t="s">
        <v>316</v>
      </c>
      <c r="F33" s="2" t="s">
        <v>293</v>
      </c>
      <c r="L33" s="54">
        <f>(L31+L32)/2</f>
        <v>0.41498042161863302</v>
      </c>
      <c r="M33" s="51"/>
      <c r="O33" s="2" t="s">
        <v>372</v>
      </c>
    </row>
    <row r="34" spans="2:15" x14ac:dyDescent="0.2">
      <c r="B34" s="2" t="s">
        <v>317</v>
      </c>
      <c r="F34" s="2" t="s">
        <v>127</v>
      </c>
      <c r="L34" s="51"/>
      <c r="M34" s="61">
        <f>'Data for corrections'!M30</f>
        <v>7.8465168214929298E-2</v>
      </c>
    </row>
    <row r="35" spans="2:15" x14ac:dyDescent="0.2">
      <c r="B35" s="2" t="s">
        <v>280</v>
      </c>
      <c r="F35" s="2" t="s">
        <v>127</v>
      </c>
      <c r="L35" s="51"/>
      <c r="M35" s="61">
        <f>'Historical data'!M32</f>
        <v>7.6130336816900929E-2</v>
      </c>
    </row>
    <row r="37" spans="2:15" s="8" customFormat="1" x14ac:dyDescent="0.2">
      <c r="B37" s="8" t="s">
        <v>318</v>
      </c>
    </row>
    <row r="39" spans="2:15" x14ac:dyDescent="0.2">
      <c r="B39" s="20" t="s">
        <v>319</v>
      </c>
    </row>
    <row r="40" spans="2:15" x14ac:dyDescent="0.2">
      <c r="B40" s="2" t="s">
        <v>320</v>
      </c>
      <c r="F40" s="2" t="s">
        <v>148</v>
      </c>
      <c r="L40" s="31">
        <f>L17+L18*L28</f>
        <v>1846522.4901936168</v>
      </c>
      <c r="M40" s="31">
        <f>M17+M18*M28</f>
        <v>1505587.0890803016</v>
      </c>
    </row>
    <row r="42" spans="2:15" x14ac:dyDescent="0.2">
      <c r="B42" s="20" t="s">
        <v>321</v>
      </c>
    </row>
    <row r="43" spans="2:15" x14ac:dyDescent="0.2">
      <c r="B43" s="2" t="s">
        <v>322</v>
      </c>
      <c r="F43" s="2" t="s">
        <v>148</v>
      </c>
      <c r="L43" s="31">
        <f>L21*$H$13+L22</f>
        <v>329212.29978287389</v>
      </c>
      <c r="M43" s="31">
        <f>M21*$H$13+M22</f>
        <v>519393.41146627377</v>
      </c>
    </row>
    <row r="44" spans="2:15" x14ac:dyDescent="0.2">
      <c r="B44" s="2" t="s">
        <v>323</v>
      </c>
      <c r="F44" s="2" t="s">
        <v>148</v>
      </c>
      <c r="L44" s="31">
        <f>L23-L24</f>
        <v>1371589.2550000001</v>
      </c>
      <c r="M44" s="31">
        <f>M23-M24</f>
        <v>858911.89500000014</v>
      </c>
    </row>
    <row r="45" spans="2:15" x14ac:dyDescent="0.2">
      <c r="B45" s="2" t="s">
        <v>324</v>
      </c>
      <c r="F45" s="2" t="s">
        <v>148</v>
      </c>
      <c r="L45" s="31">
        <f>SUM(L43:L44)</f>
        <v>1700801.554782874</v>
      </c>
      <c r="M45" s="31">
        <f>SUM(M43:M44)</f>
        <v>1378305.306466274</v>
      </c>
    </row>
    <row r="47" spans="2:15" x14ac:dyDescent="0.2">
      <c r="B47" s="20" t="s">
        <v>325</v>
      </c>
    </row>
    <row r="48" spans="2:15" x14ac:dyDescent="0.2">
      <c r="B48" s="2" t="s">
        <v>326</v>
      </c>
      <c r="F48" s="2" t="s">
        <v>148</v>
      </c>
      <c r="L48" s="31">
        <f>L40-L45</f>
        <v>145720.93541074288</v>
      </c>
      <c r="M48" s="31">
        <f>M40-M45</f>
        <v>127281.78261402762</v>
      </c>
    </row>
    <row r="49" spans="2:13" x14ac:dyDescent="0.2">
      <c r="B49" s="2" t="s">
        <v>327</v>
      </c>
      <c r="F49" s="2" t="s">
        <v>148</v>
      </c>
      <c r="L49" s="22">
        <f>L48*$H$14*(-1)</f>
        <v>-72860.46770537144</v>
      </c>
      <c r="M49" s="22">
        <f>M48*$H$14*(-1)</f>
        <v>-63640.891307013808</v>
      </c>
    </row>
    <row r="51" spans="2:13" s="8" customFormat="1" x14ac:dyDescent="0.2">
      <c r="B51" s="8" t="s">
        <v>328</v>
      </c>
    </row>
    <row r="53" spans="2:13" x14ac:dyDescent="0.2">
      <c r="B53" s="2" t="s">
        <v>329</v>
      </c>
      <c r="F53" s="2" t="s">
        <v>148</v>
      </c>
      <c r="L53" s="74"/>
      <c r="M53" s="31">
        <f>L33*L28*M34</f>
        <v>301179.58537280216</v>
      </c>
    </row>
    <row r="54" spans="2:13" x14ac:dyDescent="0.2">
      <c r="B54" s="2" t="s">
        <v>330</v>
      </c>
      <c r="F54" s="2" t="s">
        <v>148</v>
      </c>
      <c r="L54" s="74"/>
      <c r="M54" s="31">
        <f>L33*L28*M35</f>
        <v>292217.6017516444</v>
      </c>
    </row>
    <row r="55" spans="2:13" x14ac:dyDescent="0.2">
      <c r="B55" s="2" t="s">
        <v>331</v>
      </c>
      <c r="F55" s="2" t="s">
        <v>148</v>
      </c>
      <c r="L55" s="74"/>
      <c r="M55" s="31">
        <f>M53-M54</f>
        <v>8961.983621157764</v>
      </c>
    </row>
    <row r="57" spans="2:13" x14ac:dyDescent="0.2">
      <c r="B57" s="2" t="s">
        <v>332</v>
      </c>
      <c r="F57" s="2" t="s">
        <v>148</v>
      </c>
      <c r="L57" s="74"/>
      <c r="M57" s="22">
        <f>M55*H14*(-1)</f>
        <v>-4480.991810578882</v>
      </c>
    </row>
    <row r="60" spans="2:13" x14ac:dyDescent="0.2">
      <c r="B60" s="4" t="s">
        <v>62</v>
      </c>
    </row>
  </sheetData>
  <phoneticPr fontId="32"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76C7-50FC-4ED3-A6C6-B0E14F2C3532}">
  <sheetPr>
    <tabColor rgb="FFFFFFCC"/>
  </sheetPr>
  <dimension ref="B2:O29"/>
  <sheetViews>
    <sheetView showGridLines="0" zoomScale="85" zoomScaleNormal="85" workbookViewId="0">
      <pane xSplit="6" ySplit="8" topLeftCell="G9" activePane="bottomRight" state="frozen"/>
      <selection activeCell="E15" sqref="E15"/>
      <selection pane="topRight" activeCell="E15" sqref="E15"/>
      <selection pane="bottomLeft" activeCell="E15" sqref="E15"/>
      <selection pane="bottomRight" activeCell="G9" sqref="G9"/>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300</v>
      </c>
    </row>
    <row r="4" spans="2:15" x14ac:dyDescent="0.2">
      <c r="B4" s="20" t="s">
        <v>208</v>
      </c>
      <c r="C4" s="1"/>
      <c r="D4" s="1"/>
    </row>
    <row r="5" spans="2:15" x14ac:dyDescent="0.2">
      <c r="B5" s="2" t="s">
        <v>393</v>
      </c>
      <c r="C5" s="3"/>
      <c r="D5" s="3"/>
      <c r="H5" s="15"/>
    </row>
    <row r="6" spans="2:15" x14ac:dyDescent="0.2">
      <c r="C6" s="3"/>
      <c r="D6" s="3"/>
      <c r="H6" s="15"/>
    </row>
    <row r="7" spans="2:15" s="8" customFormat="1" x14ac:dyDescent="0.2">
      <c r="B7" s="8" t="s">
        <v>93</v>
      </c>
      <c r="F7" s="8" t="s">
        <v>94</v>
      </c>
      <c r="H7" s="8" t="s">
        <v>35</v>
      </c>
      <c r="J7" s="8" t="s">
        <v>36</v>
      </c>
      <c r="L7" s="8" t="s">
        <v>95</v>
      </c>
      <c r="M7" s="8" t="s">
        <v>96</v>
      </c>
      <c r="O7" s="8" t="s">
        <v>37</v>
      </c>
    </row>
    <row r="10" spans="2:15" s="8" customFormat="1" x14ac:dyDescent="0.2">
      <c r="B10" s="8" t="s">
        <v>299</v>
      </c>
    </row>
    <row r="11" spans="2:15" x14ac:dyDescent="0.2">
      <c r="H11"/>
    </row>
    <row r="12" spans="2:15" x14ac:dyDescent="0.2">
      <c r="B12" s="1" t="s">
        <v>301</v>
      </c>
      <c r="K12"/>
    </row>
    <row r="13" spans="2:15" x14ac:dyDescent="0.2">
      <c r="B13" s="2" t="s">
        <v>302</v>
      </c>
      <c r="F13" s="2" t="s">
        <v>148</v>
      </c>
      <c r="L13" s="62">
        <f>'Data for corrections'!L23</f>
        <v>1437355.5271676891</v>
      </c>
      <c r="M13" s="62">
        <f>'Data for corrections'!M23</f>
        <v>944471.16729055857</v>
      </c>
    </row>
    <row r="14" spans="2:15" x14ac:dyDescent="0.2">
      <c r="M14"/>
    </row>
    <row r="15" spans="2:15" x14ac:dyDescent="0.2">
      <c r="B15" s="1" t="s">
        <v>298</v>
      </c>
    </row>
    <row r="16" spans="2:15" s="21" customFormat="1" x14ac:dyDescent="0.2">
      <c r="B16" s="21" t="s">
        <v>34</v>
      </c>
      <c r="F16" s="21" t="s">
        <v>155</v>
      </c>
      <c r="L16" s="21" t="s">
        <v>156</v>
      </c>
      <c r="M16" s="21" t="s">
        <v>157</v>
      </c>
    </row>
    <row r="17" spans="2:15" x14ac:dyDescent="0.2">
      <c r="B17" s="2" t="s">
        <v>303</v>
      </c>
      <c r="F17" s="2" t="s">
        <v>155</v>
      </c>
      <c r="L17" s="62">
        <f>'Data for corrections'!L28</f>
        <v>8690979.0087879095</v>
      </c>
      <c r="M17" s="62">
        <f>'Data for corrections'!M28</f>
        <v>12031.3</v>
      </c>
    </row>
    <row r="18" spans="2:15" x14ac:dyDescent="0.2">
      <c r="B18" s="2" t="s">
        <v>228</v>
      </c>
      <c r="F18" s="2" t="s">
        <v>155</v>
      </c>
      <c r="L18" s="62">
        <f>'Historical data'!L30</f>
        <v>9249558.7100000028</v>
      </c>
      <c r="M18" s="62">
        <f>'Historical data'!M30</f>
        <v>12622.684615384615</v>
      </c>
    </row>
    <row r="20" spans="2:15" x14ac:dyDescent="0.2">
      <c r="B20" s="2" t="s">
        <v>307</v>
      </c>
      <c r="F20" s="2" t="s">
        <v>148</v>
      </c>
      <c r="L20" s="74"/>
      <c r="M20" s="30">
        <f>'Data for corrections'!M18</f>
        <v>56666.293429392797</v>
      </c>
    </row>
    <row r="21" spans="2:15" x14ac:dyDescent="0.2">
      <c r="M21"/>
    </row>
    <row r="22" spans="2:15" s="8" customFormat="1" x14ac:dyDescent="0.2">
      <c r="B22" s="8" t="s">
        <v>300</v>
      </c>
    </row>
    <row r="23" spans="2:15" x14ac:dyDescent="0.2">
      <c r="M23"/>
    </row>
    <row r="24" spans="2:15" x14ac:dyDescent="0.2">
      <c r="B24" s="20" t="s">
        <v>304</v>
      </c>
      <c r="M24"/>
    </row>
    <row r="25" spans="2:15" x14ac:dyDescent="0.2">
      <c r="B25" s="2" t="s">
        <v>305</v>
      </c>
      <c r="F25" s="2" t="s">
        <v>148</v>
      </c>
      <c r="L25" s="48">
        <f>L13/L17*L18</f>
        <v>1529736.1001835766</v>
      </c>
      <c r="M25" s="48">
        <f>M13/M17*M18</f>
        <v>990895.553517316</v>
      </c>
    </row>
    <row r="26" spans="2:15" x14ac:dyDescent="0.2">
      <c r="B26" s="36" t="s">
        <v>306</v>
      </c>
      <c r="F26" s="2" t="s">
        <v>148</v>
      </c>
      <c r="L26" s="22">
        <f>L13-L25</f>
        <v>-92380.573015887523</v>
      </c>
      <c r="M26" s="22">
        <f>M13-M25+M20</f>
        <v>10241.907202635368</v>
      </c>
      <c r="O26" s="2" t="s">
        <v>308</v>
      </c>
    </row>
    <row r="29" spans="2:15" x14ac:dyDescent="0.2">
      <c r="B29" s="4" t="s">
        <v>62</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CBAF-EA15-44C9-82F1-422451B088BF}">
  <sheetPr>
    <tabColor rgb="FFFFFFCC"/>
  </sheetPr>
  <dimension ref="B2:O39"/>
  <sheetViews>
    <sheetView showGridLines="0" zoomScale="85" zoomScaleNormal="85" workbookViewId="0">
      <pane xSplit="6" ySplit="8" topLeftCell="G9" activePane="bottomRight" state="frozen"/>
      <selection activeCell="E15" sqref="E15"/>
      <selection pane="topRight" activeCell="E15" sqref="E15"/>
      <selection pane="bottomLeft" activeCell="E15" sqref="E15"/>
      <selection pane="bottomRight" activeCell="G9" sqref="G9"/>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334</v>
      </c>
    </row>
    <row r="4" spans="2:15" x14ac:dyDescent="0.2">
      <c r="B4" s="20" t="s">
        <v>11</v>
      </c>
      <c r="C4" s="1"/>
      <c r="D4" s="1"/>
    </row>
    <row r="5" spans="2:15" x14ac:dyDescent="0.2">
      <c r="B5" s="2" t="s">
        <v>394</v>
      </c>
      <c r="C5" s="3"/>
      <c r="D5" s="3"/>
      <c r="H5" s="15"/>
    </row>
    <row r="6" spans="2:15" x14ac:dyDescent="0.2">
      <c r="C6" s="3"/>
      <c r="D6" s="3"/>
      <c r="H6" s="15"/>
    </row>
    <row r="7" spans="2:15" s="8" customFormat="1" x14ac:dyDescent="0.2">
      <c r="B7" s="8" t="s">
        <v>93</v>
      </c>
      <c r="F7" s="8" t="s">
        <v>94</v>
      </c>
      <c r="H7" s="8" t="s">
        <v>35</v>
      </c>
      <c r="J7" s="8" t="s">
        <v>36</v>
      </c>
      <c r="L7" s="8" t="s">
        <v>95</v>
      </c>
      <c r="M7" s="8" t="s">
        <v>96</v>
      </c>
      <c r="O7" s="8" t="s">
        <v>37</v>
      </c>
    </row>
    <row r="10" spans="2:15" s="8" customFormat="1" x14ac:dyDescent="0.2">
      <c r="B10" s="8" t="s">
        <v>335</v>
      </c>
    </row>
    <row r="12" spans="2:15" x14ac:dyDescent="0.2">
      <c r="B12" s="20" t="s">
        <v>116</v>
      </c>
    </row>
    <row r="13" spans="2:15" x14ac:dyDescent="0.2">
      <c r="B13" s="2" t="s">
        <v>210</v>
      </c>
      <c r="F13" s="2" t="s">
        <v>127</v>
      </c>
      <c r="H13" s="61">
        <f>Parameters!H40</f>
        <v>6.0899999999999954E-2</v>
      </c>
    </row>
    <row r="14" spans="2:15" x14ac:dyDescent="0.2">
      <c r="B14" s="2" t="s">
        <v>211</v>
      </c>
      <c r="F14" s="2" t="s">
        <v>127</v>
      </c>
      <c r="H14" s="61">
        <f>Parameters!H41</f>
        <v>3.0000000000000027E-2</v>
      </c>
    </row>
    <row r="16" spans="2:15" x14ac:dyDescent="0.2">
      <c r="B16" s="1" t="s">
        <v>336</v>
      </c>
    </row>
    <row r="17" spans="2:13" x14ac:dyDescent="0.2">
      <c r="B17" s="2" t="s">
        <v>229</v>
      </c>
      <c r="F17" s="2" t="s">
        <v>148</v>
      </c>
      <c r="L17" s="30">
        <f>'Data for corrections'!L14</f>
        <v>256543.87696027383</v>
      </c>
      <c r="M17" s="51"/>
    </row>
    <row r="18" spans="2:13" x14ac:dyDescent="0.2">
      <c r="B18" s="2" t="s">
        <v>337</v>
      </c>
      <c r="F18" s="2" t="s">
        <v>108</v>
      </c>
      <c r="L18" s="51"/>
      <c r="M18" s="30">
        <f>'Data for corrections'!M15</f>
        <v>-154577.87733815797</v>
      </c>
    </row>
    <row r="20" spans="2:13" x14ac:dyDescent="0.2">
      <c r="B20" s="1" t="s">
        <v>338</v>
      </c>
    </row>
    <row r="21" spans="2:13" x14ac:dyDescent="0.2">
      <c r="B21" s="36" t="s">
        <v>306</v>
      </c>
      <c r="F21" s="2" t="s">
        <v>148</v>
      </c>
      <c r="L21" s="30">
        <f>'Volume-effect 2022'!L26</f>
        <v>-92380.573015887523</v>
      </c>
      <c r="M21" s="30">
        <f>'Volume-effect 2022'!M26</f>
        <v>10241.907202635368</v>
      </c>
    </row>
    <row r="22" spans="2:13" x14ac:dyDescent="0.2">
      <c r="B22" s="2" t="s">
        <v>327</v>
      </c>
      <c r="F22" s="2" t="s">
        <v>148</v>
      </c>
      <c r="L22" s="30">
        <f>'Profit Sharing 2022'!L49</f>
        <v>-72860.46770537144</v>
      </c>
      <c r="M22" s="30">
        <f>'Profit Sharing 2022'!M49</f>
        <v>-63640.891307013808</v>
      </c>
    </row>
    <row r="23" spans="2:13" x14ac:dyDescent="0.2">
      <c r="B23" s="2" t="s">
        <v>332</v>
      </c>
      <c r="F23" s="2" t="s">
        <v>148</v>
      </c>
      <c r="L23" s="74"/>
      <c r="M23" s="30">
        <f>'Profit Sharing 2022'!M57</f>
        <v>-4480.991810578882</v>
      </c>
    </row>
    <row r="25" spans="2:13" s="8" customFormat="1" x14ac:dyDescent="0.2">
      <c r="B25" s="8" t="s">
        <v>339</v>
      </c>
    </row>
    <row r="27" spans="2:13" x14ac:dyDescent="0.2">
      <c r="B27" s="1" t="s">
        <v>340</v>
      </c>
    </row>
    <row r="28" spans="2:13" x14ac:dyDescent="0.2">
      <c r="B28" s="2" t="s">
        <v>229</v>
      </c>
      <c r="F28" s="2" t="s">
        <v>203</v>
      </c>
      <c r="L28" s="31">
        <f>L17*(1+$H$13)</f>
        <v>272167.3990671545</v>
      </c>
      <c r="M28" s="51"/>
    </row>
    <row r="29" spans="2:13" x14ac:dyDescent="0.2">
      <c r="B29" s="36" t="s">
        <v>306</v>
      </c>
      <c r="F29" s="2" t="s">
        <v>203</v>
      </c>
      <c r="L29" s="31">
        <f>L21*(1+$H$13)</f>
        <v>-98006.54991255507</v>
      </c>
      <c r="M29" s="31">
        <f>M21*(1+$H$13)</f>
        <v>10865.63935127586</v>
      </c>
    </row>
    <row r="30" spans="2:13" x14ac:dyDescent="0.2">
      <c r="B30" s="2" t="s">
        <v>327</v>
      </c>
      <c r="F30" s="2" t="s">
        <v>203</v>
      </c>
      <c r="L30" s="31">
        <f>L22*(1+$H$13)</f>
        <v>-77297.670188628559</v>
      </c>
      <c r="M30" s="31">
        <f>M22*(1+$H$13)</f>
        <v>-67516.621587610949</v>
      </c>
    </row>
    <row r="32" spans="2:13" x14ac:dyDescent="0.2">
      <c r="B32" s="1" t="s">
        <v>341</v>
      </c>
    </row>
    <row r="33" spans="2:13" x14ac:dyDescent="0.2">
      <c r="B33" s="2" t="s">
        <v>337</v>
      </c>
      <c r="F33" s="2" t="s">
        <v>203</v>
      </c>
      <c r="L33" s="51"/>
      <c r="M33" s="31">
        <f>M18*(1+$H$14)</f>
        <v>-159215.2136583027</v>
      </c>
    </row>
    <row r="34" spans="2:13" x14ac:dyDescent="0.2">
      <c r="B34" s="2" t="s">
        <v>332</v>
      </c>
      <c r="F34" s="2" t="s">
        <v>203</v>
      </c>
      <c r="L34" s="51"/>
      <c r="M34" s="31">
        <f>M23*(1+$H$13)</f>
        <v>-4753.8842118431357</v>
      </c>
    </row>
    <row r="39" spans="2:13" x14ac:dyDescent="0.2">
      <c r="B39" s="4" t="s">
        <v>62</v>
      </c>
    </row>
  </sheetData>
  <phoneticPr fontId="32"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6"/>
  </cols>
  <sheetData>
    <row r="2" spans="2:2" x14ac:dyDescent="0.2">
      <c r="B2" s="37" t="s">
        <v>64</v>
      </c>
    </row>
    <row r="3" spans="2:2" x14ac:dyDescent="0.2">
      <c r="B3" s="37"/>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A2:O59"/>
  <sheetViews>
    <sheetView showGridLines="0" zoomScale="85" zoomScaleNormal="85" workbookViewId="0">
      <pane xSplit="6" ySplit="13" topLeftCell="G14" activePane="bottomRight" state="frozen"/>
      <selection activeCell="E15" sqref="E15"/>
      <selection pane="topRight" activeCell="E15" sqref="E15"/>
      <selection pane="bottomLeft" activeCell="E15" sqref="E15"/>
      <selection pane="bottomRight" activeCell="G14" sqref="G14"/>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395</v>
      </c>
    </row>
    <row r="4" spans="2:15" x14ac:dyDescent="0.2">
      <c r="B4" s="1" t="s">
        <v>208</v>
      </c>
      <c r="C4" s="1"/>
      <c r="D4" s="1"/>
    </row>
    <row r="5" spans="2:15" x14ac:dyDescent="0.2">
      <c r="B5" s="2" t="s">
        <v>396</v>
      </c>
      <c r="C5" s="3"/>
      <c r="D5" s="3"/>
      <c r="H5" s="15"/>
    </row>
    <row r="6" spans="2:15" x14ac:dyDescent="0.2">
      <c r="C6" s="3"/>
      <c r="D6" s="3"/>
      <c r="H6" s="15"/>
    </row>
    <row r="7" spans="2:15" x14ac:dyDescent="0.2">
      <c r="B7" s="21" t="s">
        <v>66</v>
      </c>
      <c r="C7" s="3"/>
      <c r="D7" s="3"/>
      <c r="H7" s="15"/>
    </row>
    <row r="8" spans="2:15" x14ac:dyDescent="0.2">
      <c r="B8" s="21" t="s">
        <v>397</v>
      </c>
      <c r="C8" s="3"/>
      <c r="D8" s="3"/>
    </row>
    <row r="9" spans="2:15" x14ac:dyDescent="0.2">
      <c r="B9" s="4" t="s">
        <v>209</v>
      </c>
      <c r="C9" s="3"/>
      <c r="D9" s="3"/>
    </row>
    <row r="10" spans="2:15" x14ac:dyDescent="0.2">
      <c r="B10" s="4"/>
      <c r="C10" s="3"/>
      <c r="D10" s="3"/>
    </row>
    <row r="12" spans="2:15" s="8" customFormat="1" x14ac:dyDescent="0.2">
      <c r="B12" s="8" t="s">
        <v>93</v>
      </c>
      <c r="F12" s="8" t="s">
        <v>94</v>
      </c>
      <c r="H12" s="8" t="s">
        <v>35</v>
      </c>
      <c r="J12" s="8" t="s">
        <v>36</v>
      </c>
      <c r="L12" s="8" t="s">
        <v>95</v>
      </c>
      <c r="M12" s="8" t="s">
        <v>96</v>
      </c>
      <c r="O12" s="8" t="s">
        <v>37</v>
      </c>
    </row>
    <row r="15" spans="2:15" s="8" customFormat="1" x14ac:dyDescent="0.2">
      <c r="B15" s="8" t="s">
        <v>179</v>
      </c>
    </row>
    <row r="17" spans="2:13" x14ac:dyDescent="0.2">
      <c r="B17" s="1" t="s">
        <v>116</v>
      </c>
    </row>
    <row r="18" spans="2:13" x14ac:dyDescent="0.2">
      <c r="B18" s="2" t="s">
        <v>128</v>
      </c>
      <c r="F18" s="2" t="s">
        <v>127</v>
      </c>
      <c r="H18" s="60">
        <f>Parameters!H27</f>
        <v>7.8E-2</v>
      </c>
    </row>
    <row r="19" spans="2:13" x14ac:dyDescent="0.2">
      <c r="B19" s="2" t="s">
        <v>212</v>
      </c>
      <c r="F19" s="2" t="s">
        <v>127</v>
      </c>
      <c r="H19" s="60">
        <f>Parameters!H28</f>
        <v>2.8000000000000001E-2</v>
      </c>
    </row>
    <row r="20" spans="2:13" x14ac:dyDescent="0.2">
      <c r="B20" s="2" t="s">
        <v>133</v>
      </c>
      <c r="F20" s="2" t="s">
        <v>127</v>
      </c>
      <c r="L20" s="61">
        <f>Parameters!H33</f>
        <v>6.4600000000000005E-2</v>
      </c>
      <c r="M20" s="61">
        <f>Parameters!H34</f>
        <v>5.7200000000000001E-2</v>
      </c>
    </row>
    <row r="22" spans="2:13" x14ac:dyDescent="0.2">
      <c r="B22" s="20" t="s">
        <v>180</v>
      </c>
    </row>
    <row r="23" spans="2:13" x14ac:dyDescent="0.2">
      <c r="B23" s="2" t="s">
        <v>147</v>
      </c>
      <c r="F23" s="2" t="s">
        <v>148</v>
      </c>
      <c r="L23" s="62">
        <f>'Historical data'!L15</f>
        <v>1377727.6850000001</v>
      </c>
      <c r="M23" s="62">
        <f>'Historical data'!M15</f>
        <v>948725.11500000011</v>
      </c>
    </row>
    <row r="24" spans="2:13" x14ac:dyDescent="0.2">
      <c r="B24" s="2" t="s">
        <v>149</v>
      </c>
      <c r="F24" s="2" t="s">
        <v>148</v>
      </c>
      <c r="L24" s="62">
        <f>'Historical data'!L16</f>
        <v>6138.43</v>
      </c>
      <c r="M24" s="62">
        <f>'Historical data'!M16</f>
        <v>89813.22</v>
      </c>
    </row>
    <row r="25" spans="2:13" x14ac:dyDescent="0.2">
      <c r="B25" s="2" t="s">
        <v>150</v>
      </c>
      <c r="F25" s="2" t="s">
        <v>140</v>
      </c>
      <c r="L25" s="62">
        <f>'Historical data'!L19</f>
        <v>2661475.9508377202</v>
      </c>
      <c r="M25" s="62">
        <f>'Historical data'!M19</f>
        <v>3555487.481225742</v>
      </c>
    </row>
    <row r="26" spans="2:13" x14ac:dyDescent="0.2">
      <c r="B26" s="2" t="s">
        <v>151</v>
      </c>
      <c r="F26" s="2" t="s">
        <v>140</v>
      </c>
      <c r="L26" s="62">
        <f>'Historical data'!L20</f>
        <v>170588.33311294575</v>
      </c>
      <c r="M26" s="62">
        <f>'Historical data'!M20</f>
        <v>307486.35758521955</v>
      </c>
    </row>
    <row r="28" spans="2:13" x14ac:dyDescent="0.2">
      <c r="B28" s="2" t="s">
        <v>134</v>
      </c>
      <c r="F28" s="2" t="s">
        <v>127</v>
      </c>
      <c r="L28" s="63">
        <f>'Historical data'!L23</f>
        <v>0.25</v>
      </c>
      <c r="M28" s="63">
        <f>'Historical data'!M23</f>
        <v>0.25</v>
      </c>
    </row>
    <row r="29" spans="2:13" x14ac:dyDescent="0.2">
      <c r="B29" s="2" t="s">
        <v>135</v>
      </c>
      <c r="F29" s="2" t="s">
        <v>127</v>
      </c>
      <c r="L29" s="63">
        <f>'Historical data'!L24</f>
        <v>0</v>
      </c>
      <c r="M29" s="63">
        <f>'Historical data'!M24</f>
        <v>0.5</v>
      </c>
    </row>
    <row r="31" spans="2:13" x14ac:dyDescent="0.2">
      <c r="B31" s="1" t="s">
        <v>181</v>
      </c>
    </row>
    <row r="32" spans="2:13" s="21" customFormat="1" x14ac:dyDescent="0.2">
      <c r="B32" s="21" t="s">
        <v>34</v>
      </c>
      <c r="C32" s="2"/>
      <c r="D32" s="2"/>
      <c r="E32" s="2"/>
      <c r="F32" s="21" t="s">
        <v>155</v>
      </c>
      <c r="L32" s="21" t="s">
        <v>156</v>
      </c>
      <c r="M32" s="21" t="s">
        <v>157</v>
      </c>
    </row>
    <row r="33" spans="2:13" x14ac:dyDescent="0.2">
      <c r="B33" s="2" t="s">
        <v>228</v>
      </c>
      <c r="F33" s="2" t="s">
        <v>155</v>
      </c>
      <c r="L33" s="62">
        <f>'Historical data'!L30</f>
        <v>9249558.7100000028</v>
      </c>
      <c r="M33" s="62">
        <f>'Historical data'!M30</f>
        <v>12622.684615384615</v>
      </c>
    </row>
    <row r="34" spans="2:13" x14ac:dyDescent="0.2">
      <c r="B34" s="2" t="s">
        <v>188</v>
      </c>
      <c r="F34" s="2" t="s">
        <v>155</v>
      </c>
      <c r="L34" s="62">
        <f>'Estimates for 2024'!L16</f>
        <v>9582599.6674191542</v>
      </c>
      <c r="M34" s="62">
        <f>'Estimates for 2024'!M45</f>
        <v>13575.699999999999</v>
      </c>
    </row>
    <row r="36" spans="2:13" s="8" customFormat="1" x14ac:dyDescent="0.2">
      <c r="B36" s="8" t="s">
        <v>182</v>
      </c>
    </row>
    <row r="37" spans="2:13" x14ac:dyDescent="0.2">
      <c r="M37" s="64"/>
    </row>
    <row r="38" spans="2:13" x14ac:dyDescent="0.2">
      <c r="B38" s="1" t="s">
        <v>183</v>
      </c>
      <c r="M38" s="64"/>
    </row>
    <row r="39" spans="2:13" x14ac:dyDescent="0.2">
      <c r="B39" s="2" t="s">
        <v>231</v>
      </c>
      <c r="F39" s="2" t="s">
        <v>148</v>
      </c>
      <c r="L39" s="48">
        <f>L23*(1-L28)-L24</f>
        <v>1027157.33375</v>
      </c>
      <c r="M39" s="48">
        <f>M23*(1-M28)-M24</f>
        <v>621730.61625000008</v>
      </c>
    </row>
    <row r="40" spans="2:13" x14ac:dyDescent="0.2">
      <c r="B40" s="2" t="s">
        <v>232</v>
      </c>
      <c r="F40" s="2" t="s">
        <v>148</v>
      </c>
      <c r="L40" s="48">
        <f>L23*L28</f>
        <v>344431.92125000001</v>
      </c>
      <c r="M40" s="48">
        <f>M23*M28</f>
        <v>237181.27875000003</v>
      </c>
    </row>
    <row r="41" spans="2:13" x14ac:dyDescent="0.2">
      <c r="B41" s="2" t="s">
        <v>233</v>
      </c>
      <c r="F41" s="2" t="s">
        <v>234</v>
      </c>
      <c r="L41" s="54">
        <f>L40/L33</f>
        <v>3.7237659876424516E-2</v>
      </c>
      <c r="M41" s="31">
        <f>M40/M33</f>
        <v>18.790081981524111</v>
      </c>
    </row>
    <row r="42" spans="2:13" x14ac:dyDescent="0.2">
      <c r="M42" s="64"/>
    </row>
    <row r="43" spans="2:13" x14ac:dyDescent="0.2">
      <c r="B43" s="1" t="s">
        <v>184</v>
      </c>
      <c r="M43" s="64"/>
    </row>
    <row r="44" spans="2:13" x14ac:dyDescent="0.2">
      <c r="B44" s="2" t="s">
        <v>185</v>
      </c>
      <c r="F44" s="2" t="s">
        <v>140</v>
      </c>
      <c r="L44" s="48">
        <f>$L$20*L25+L26</f>
        <v>342519.67953706247</v>
      </c>
      <c r="M44" s="48">
        <f>$M$20*M25+M26</f>
        <v>510860.24151133199</v>
      </c>
    </row>
    <row r="45" spans="2:13" x14ac:dyDescent="0.2">
      <c r="B45" s="2" t="s">
        <v>235</v>
      </c>
      <c r="F45" s="2" t="s">
        <v>140</v>
      </c>
      <c r="L45" s="48">
        <f>L44*(1-L29)</f>
        <v>342519.67953706247</v>
      </c>
      <c r="M45" s="48">
        <f>M44*(1-M29)</f>
        <v>255430.12075566599</v>
      </c>
    </row>
    <row r="46" spans="2:13" x14ac:dyDescent="0.2">
      <c r="B46" s="2" t="s">
        <v>236</v>
      </c>
      <c r="F46" s="2" t="s">
        <v>140</v>
      </c>
      <c r="L46" s="31">
        <f>L44*L29</f>
        <v>0</v>
      </c>
      <c r="M46" s="48">
        <f>M44*M29</f>
        <v>255430.12075566599</v>
      </c>
    </row>
    <row r="47" spans="2:13" x14ac:dyDescent="0.2">
      <c r="B47" s="2" t="s">
        <v>237</v>
      </c>
      <c r="F47" s="2" t="s">
        <v>186</v>
      </c>
      <c r="L47" s="31">
        <f>L46/L33</f>
        <v>0</v>
      </c>
      <c r="M47" s="31">
        <f>M46/M33</f>
        <v>20.23579995370763</v>
      </c>
    </row>
    <row r="48" spans="2:13" x14ac:dyDescent="0.2">
      <c r="M48" s="64"/>
    </row>
    <row r="49" spans="1:15" x14ac:dyDescent="0.2">
      <c r="B49" s="1" t="s">
        <v>187</v>
      </c>
      <c r="M49" s="64"/>
    </row>
    <row r="50" spans="1:15" x14ac:dyDescent="0.2">
      <c r="B50" s="2" t="s">
        <v>239</v>
      </c>
      <c r="F50" s="2" t="s">
        <v>203</v>
      </c>
      <c r="L50" s="31">
        <f>L39*(1+$H$18)*(1+$H$19)+L45</f>
        <v>1480799.0022814726</v>
      </c>
      <c r="M50" s="31">
        <f>M39*(1+$H$18)*(1+$H$19)+M45</f>
        <v>944422.0419940562</v>
      </c>
    </row>
    <row r="51" spans="1:15" x14ac:dyDescent="0.2">
      <c r="B51" s="2" t="s">
        <v>240</v>
      </c>
      <c r="F51" s="2" t="s">
        <v>238</v>
      </c>
      <c r="L51" s="79">
        <f>L41*(1+$H$18)*(1+$H$19)+L47</f>
        <v>4.1266178872495632E-2</v>
      </c>
      <c r="M51" s="79">
        <f>M41*(1+$H$18)*(1+$H$19)+M47</f>
        <v>41.058668164320949</v>
      </c>
    </row>
    <row r="52" spans="1:15" x14ac:dyDescent="0.2">
      <c r="M52" s="64"/>
    </row>
    <row r="53" spans="1:15" s="8" customFormat="1" x14ac:dyDescent="0.2">
      <c r="B53" s="8" t="s">
        <v>250</v>
      </c>
    </row>
    <row r="54" spans="1:15" x14ac:dyDescent="0.2">
      <c r="A54" s="47"/>
    </row>
    <row r="55" spans="1:15" x14ac:dyDescent="0.2">
      <c r="A55" s="47"/>
      <c r="B55" s="1" t="s">
        <v>241</v>
      </c>
    </row>
    <row r="56" spans="1:15" x14ac:dyDescent="0.2">
      <c r="A56" s="47"/>
      <c r="B56" s="2" t="s">
        <v>242</v>
      </c>
      <c r="F56" s="2" t="s">
        <v>203</v>
      </c>
      <c r="J56" s="48">
        <f>L56+M56</f>
        <v>3378058.4776131366</v>
      </c>
      <c r="L56" s="22">
        <f>L50+L51*L34</f>
        <v>1876236.2742207085</v>
      </c>
      <c r="M56" s="22">
        <f>M50+M51*M34</f>
        <v>1501822.2033924281</v>
      </c>
      <c r="O56" s="2" t="s">
        <v>230</v>
      </c>
    </row>
    <row r="59" spans="1:15" x14ac:dyDescent="0.2">
      <c r="B59" s="4" t="s">
        <v>62</v>
      </c>
    </row>
  </sheetData>
  <phoneticPr fontId="32"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0FA26-594E-4EC3-8022-E9CAABF61C3E}">
  <sheetPr>
    <tabColor rgb="FFFFFFCC"/>
  </sheetPr>
  <dimension ref="A2:N39"/>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ColWidth="9.140625" defaultRowHeight="12.75" x14ac:dyDescent="0.2"/>
  <cols>
    <col min="1" max="1" width="4" style="2" customWidth="1"/>
    <col min="2" max="2" width="41.42578125" style="2" customWidth="1"/>
    <col min="3" max="5" width="4.5703125" style="2" customWidth="1"/>
    <col min="6" max="6" width="16.28515625" style="2" customWidth="1"/>
    <col min="7" max="7" width="2.7109375" style="2" customWidth="1"/>
    <col min="8" max="8" width="13.7109375" style="2" customWidth="1"/>
    <col min="9" max="11" width="2.7109375" style="2" customWidth="1"/>
    <col min="12" max="12" width="21.7109375" style="2" customWidth="1"/>
    <col min="13" max="13" width="2.7109375" style="2" customWidth="1"/>
    <col min="14" max="14" width="8" style="2" bestFit="1" customWidth="1"/>
    <col min="15" max="28" width="13.7109375" style="2" customWidth="1"/>
    <col min="29" max="16384" width="9.140625" style="2"/>
  </cols>
  <sheetData>
    <row r="2" spans="1:14" s="14" customFormat="1" ht="18" x14ac:dyDescent="0.2">
      <c r="B2" s="14" t="s">
        <v>399</v>
      </c>
    </row>
    <row r="4" spans="1:14" x14ac:dyDescent="0.2">
      <c r="B4" s="1" t="s">
        <v>205</v>
      </c>
      <c r="C4" s="1"/>
      <c r="D4" s="1"/>
    </row>
    <row r="5" spans="1:14" x14ac:dyDescent="0.2">
      <c r="B5" s="2" t="s">
        <v>398</v>
      </c>
      <c r="C5" s="3"/>
      <c r="D5" s="3"/>
      <c r="H5" s="15"/>
    </row>
    <row r="6" spans="1:14" x14ac:dyDescent="0.2">
      <c r="C6" s="3"/>
      <c r="D6" s="3"/>
      <c r="H6" s="15"/>
    </row>
    <row r="7" spans="1:14" x14ac:dyDescent="0.2">
      <c r="B7" s="21" t="s">
        <v>66</v>
      </c>
      <c r="C7" s="3"/>
      <c r="D7" s="3"/>
      <c r="H7" s="15"/>
    </row>
    <row r="8" spans="1:14" x14ac:dyDescent="0.2">
      <c r="B8" s="21" t="s">
        <v>206</v>
      </c>
      <c r="C8" s="3"/>
      <c r="D8" s="3"/>
    </row>
    <row r="9" spans="1:14" x14ac:dyDescent="0.2">
      <c r="B9" s="4"/>
      <c r="C9" s="3"/>
      <c r="D9" s="3"/>
    </row>
    <row r="11" spans="1:14" s="8" customFormat="1" x14ac:dyDescent="0.2">
      <c r="B11" s="8" t="s">
        <v>93</v>
      </c>
      <c r="F11" s="8" t="s">
        <v>94</v>
      </c>
      <c r="H11" s="8" t="s">
        <v>97</v>
      </c>
      <c r="N11" s="8" t="s">
        <v>37</v>
      </c>
    </row>
    <row r="14" spans="1:14" s="8" customFormat="1" ht="12.75" customHeight="1" x14ac:dyDescent="0.2">
      <c r="B14" s="8" t="s">
        <v>189</v>
      </c>
    </row>
    <row r="15" spans="1:14" ht="12.75" customHeight="1" x14ac:dyDescent="0.2">
      <c r="A15" s="47"/>
    </row>
    <row r="16" spans="1:14" ht="12.75" customHeight="1" x14ac:dyDescent="0.2">
      <c r="A16" s="47"/>
      <c r="B16" s="1" t="s">
        <v>241</v>
      </c>
    </row>
    <row r="17" spans="1:14" ht="12.75" customHeight="1" x14ac:dyDescent="0.2">
      <c r="A17" s="47"/>
      <c r="B17" s="2" t="s">
        <v>190</v>
      </c>
      <c r="F17" s="2" t="s">
        <v>203</v>
      </c>
      <c r="L17" s="62">
        <f>'Calculation income level'!L56</f>
        <v>1876236.2742207085</v>
      </c>
    </row>
    <row r="18" spans="1:14" ht="12.75" customHeight="1" x14ac:dyDescent="0.2">
      <c r="A18" s="47"/>
      <c r="B18" s="2" t="s">
        <v>217</v>
      </c>
      <c r="F18" s="2" t="s">
        <v>203</v>
      </c>
      <c r="L18" s="62">
        <f>'Overview corrections'!L29</f>
        <v>-98006.54991255507</v>
      </c>
      <c r="N18" s="2" t="s">
        <v>221</v>
      </c>
    </row>
    <row r="19" spans="1:14" ht="12.75" customHeight="1" x14ac:dyDescent="0.2">
      <c r="A19" s="47"/>
      <c r="B19" s="2" t="s">
        <v>218</v>
      </c>
      <c r="F19" s="2" t="s">
        <v>203</v>
      </c>
      <c r="L19" s="62">
        <f>'Overview corrections'!L30</f>
        <v>-77297.670188628559</v>
      </c>
      <c r="N19" s="2" t="s">
        <v>222</v>
      </c>
    </row>
    <row r="20" spans="1:14" ht="12.75" customHeight="1" x14ac:dyDescent="0.2">
      <c r="A20" s="47"/>
      <c r="B20" s="36" t="s">
        <v>229</v>
      </c>
      <c r="F20" s="2" t="s">
        <v>203</v>
      </c>
      <c r="L20" s="62">
        <f>'Overview corrections'!L28</f>
        <v>272167.3990671545</v>
      </c>
      <c r="N20" s="2" t="s">
        <v>223</v>
      </c>
    </row>
    <row r="21" spans="1:14" ht="12.75" customHeight="1" x14ac:dyDescent="0.2"/>
    <row r="22" spans="1:14" ht="12.75" customHeight="1" x14ac:dyDescent="0.2">
      <c r="B22" s="1" t="s">
        <v>342</v>
      </c>
    </row>
    <row r="23" spans="1:14" ht="12.75" customHeight="1" x14ac:dyDescent="0.2">
      <c r="A23" s="47"/>
      <c r="B23" s="2" t="s">
        <v>224</v>
      </c>
      <c r="F23" s="2" t="s">
        <v>159</v>
      </c>
      <c r="L23" s="65">
        <f>'Estimates for 2024'!L18</f>
        <v>0.25338144096032705</v>
      </c>
    </row>
    <row r="24" spans="1:14" ht="12.75" customHeight="1" x14ac:dyDescent="0.2">
      <c r="A24" s="47"/>
      <c r="B24" s="2" t="s">
        <v>225</v>
      </c>
      <c r="F24" s="2" t="s">
        <v>127</v>
      </c>
      <c r="L24" s="63">
        <f>'Estimates for 2024'!L17</f>
        <v>0.64353535646634585</v>
      </c>
    </row>
    <row r="25" spans="1:14" ht="12.75" customHeight="1" x14ac:dyDescent="0.2">
      <c r="A25" s="47"/>
      <c r="B25" s="2" t="s">
        <v>160</v>
      </c>
      <c r="F25" s="2" t="s">
        <v>163</v>
      </c>
      <c r="L25" s="66">
        <f>'Historical data'!H47</f>
        <v>1.1144811293269858</v>
      </c>
    </row>
    <row r="26" spans="1:14" ht="12.75" customHeight="1" x14ac:dyDescent="0.2">
      <c r="A26" s="47"/>
      <c r="B26" s="2" t="s">
        <v>226</v>
      </c>
      <c r="F26" s="2" t="s">
        <v>156</v>
      </c>
      <c r="L26" s="62">
        <f>'Estimates for 2024'!L16</f>
        <v>9582599.6674191542</v>
      </c>
    </row>
    <row r="27" spans="1:14" ht="12.75" customHeight="1" x14ac:dyDescent="0.2"/>
    <row r="28" spans="1:14" s="8" customFormat="1" ht="12.75" customHeight="1" x14ac:dyDescent="0.2">
      <c r="B28" s="8" t="s">
        <v>191</v>
      </c>
    </row>
    <row r="29" spans="1:14" ht="12.75" customHeight="1" x14ac:dyDescent="0.2">
      <c r="A29" s="47"/>
    </row>
    <row r="30" spans="1:14" ht="12.75" customHeight="1" x14ac:dyDescent="0.2">
      <c r="A30" s="47"/>
      <c r="B30" s="1" t="s">
        <v>400</v>
      </c>
    </row>
    <row r="31" spans="1:14" ht="12.75" customHeight="1" x14ac:dyDescent="0.2">
      <c r="A31" s="47"/>
      <c r="B31" s="2" t="s">
        <v>227</v>
      </c>
      <c r="F31" s="2" t="s">
        <v>203</v>
      </c>
      <c r="L31" s="48">
        <f>SUM(L17:L20)</f>
        <v>1973099.4531866792</v>
      </c>
    </row>
    <row r="32" spans="1:14" ht="12.75" customHeight="1" x14ac:dyDescent="0.2">
      <c r="A32" s="47"/>
    </row>
    <row r="33" spans="1:12" ht="12.75" customHeight="1" x14ac:dyDescent="0.2">
      <c r="A33" s="47"/>
      <c r="B33" s="1" t="s">
        <v>98</v>
      </c>
    </row>
    <row r="34" spans="1:12" ht="12.75" customHeight="1" x14ac:dyDescent="0.2">
      <c r="A34" s="47"/>
      <c r="B34" s="2" t="s">
        <v>192</v>
      </c>
      <c r="F34" s="2" t="s">
        <v>202</v>
      </c>
      <c r="L34" s="41">
        <f>L31/L26</f>
        <v>0.20590440190204531</v>
      </c>
    </row>
    <row r="35" spans="1:12" ht="12.75" customHeight="1" x14ac:dyDescent="0.2">
      <c r="A35" s="47"/>
      <c r="B35" s="2" t="s">
        <v>101</v>
      </c>
      <c r="F35" s="2" t="s">
        <v>202</v>
      </c>
      <c r="L35" s="41">
        <f>L23*L24*L25</f>
        <v>0.18172719925403147</v>
      </c>
    </row>
    <row r="36" spans="1:12" ht="12.75" customHeight="1" x14ac:dyDescent="0.2">
      <c r="A36" s="47"/>
      <c r="B36" s="2" t="s">
        <v>102</v>
      </c>
      <c r="F36" s="2" t="s">
        <v>202</v>
      </c>
      <c r="L36" s="41">
        <f>L34+L35</f>
        <v>0.38763160115607675</v>
      </c>
    </row>
    <row r="37" spans="1:12" ht="12.75" customHeight="1" x14ac:dyDescent="0.2">
      <c r="A37" s="47"/>
    </row>
    <row r="39" spans="1:12" x14ac:dyDescent="0.2">
      <c r="B39" s="4" t="s">
        <v>62</v>
      </c>
    </row>
  </sheetData>
  <phoneticPr fontId="32"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18B0-6C0F-461E-86CC-047C90A48FCD}">
  <sheetPr>
    <tabColor rgb="FFFFFFCC"/>
  </sheetPr>
  <dimension ref="A2:N101"/>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ColWidth="9.140625" defaultRowHeight="12.75" x14ac:dyDescent="0.2"/>
  <cols>
    <col min="1" max="1" width="4" style="2" customWidth="1"/>
    <col min="2" max="2" width="41.42578125" style="2" customWidth="1"/>
    <col min="3" max="5" width="4.5703125" style="2" customWidth="1"/>
    <col min="6" max="6" width="16.28515625" style="2" customWidth="1"/>
    <col min="7" max="7" width="2.7109375" style="2" customWidth="1"/>
    <col min="8" max="8" width="13.7109375" style="2" customWidth="1"/>
    <col min="9" max="11" width="2.7109375" style="2" customWidth="1"/>
    <col min="12" max="12" width="21.7109375" style="2" customWidth="1"/>
    <col min="13" max="13" width="2.7109375" style="2" customWidth="1"/>
    <col min="14" max="14" width="8" style="2" bestFit="1" customWidth="1"/>
    <col min="15" max="28" width="13.7109375" style="2" customWidth="1"/>
    <col min="29" max="16384" width="9.140625" style="2"/>
  </cols>
  <sheetData>
    <row r="2" spans="1:14" s="14" customFormat="1" ht="18" x14ac:dyDescent="0.2">
      <c r="B2" s="14" t="s">
        <v>401</v>
      </c>
    </row>
    <row r="4" spans="1:14" x14ac:dyDescent="0.2">
      <c r="B4" s="1" t="s">
        <v>205</v>
      </c>
      <c r="C4" s="1"/>
      <c r="D4" s="1"/>
    </row>
    <row r="5" spans="1:14" x14ac:dyDescent="0.2">
      <c r="B5" s="2" t="s">
        <v>207</v>
      </c>
      <c r="C5" s="3"/>
      <c r="D5" s="3"/>
      <c r="H5" s="15"/>
    </row>
    <row r="6" spans="1:14" x14ac:dyDescent="0.2">
      <c r="C6" s="3"/>
      <c r="D6" s="3"/>
      <c r="H6" s="15"/>
    </row>
    <row r="7" spans="1:14" x14ac:dyDescent="0.2">
      <c r="B7" s="21" t="s">
        <v>66</v>
      </c>
      <c r="C7" s="3"/>
      <c r="D7" s="3"/>
      <c r="H7" s="15"/>
    </row>
    <row r="8" spans="1:14" x14ac:dyDescent="0.2">
      <c r="B8" s="21" t="s">
        <v>204</v>
      </c>
      <c r="C8" s="3"/>
      <c r="D8" s="3"/>
    </row>
    <row r="9" spans="1:14" x14ac:dyDescent="0.2">
      <c r="B9" s="4"/>
      <c r="C9" s="3"/>
      <c r="D9" s="3"/>
    </row>
    <row r="11" spans="1:14" s="8" customFormat="1" x14ac:dyDescent="0.2">
      <c r="B11" s="8" t="s">
        <v>93</v>
      </c>
      <c r="F11" s="8" t="s">
        <v>94</v>
      </c>
      <c r="H11" s="8" t="s">
        <v>97</v>
      </c>
      <c r="N11" s="8" t="s">
        <v>37</v>
      </c>
    </row>
    <row r="14" spans="1:14" s="8" customFormat="1" ht="12.75" customHeight="1" x14ac:dyDescent="0.2">
      <c r="B14" s="8" t="s">
        <v>343</v>
      </c>
    </row>
    <row r="15" spans="1:14" ht="12.75" customHeight="1" x14ac:dyDescent="0.2">
      <c r="A15" s="47"/>
    </row>
    <row r="16" spans="1:14" ht="12.75" customHeight="1" x14ac:dyDescent="0.2">
      <c r="A16" s="47"/>
      <c r="B16" s="20" t="s">
        <v>116</v>
      </c>
    </row>
    <row r="17" spans="1:14" ht="12.75" customHeight="1" x14ac:dyDescent="0.2">
      <c r="A17" s="47"/>
      <c r="B17" s="2" t="s">
        <v>212</v>
      </c>
      <c r="F17" s="2" t="s">
        <v>127</v>
      </c>
      <c r="H17" s="68">
        <f>Parameters!H28</f>
        <v>2.8000000000000001E-2</v>
      </c>
    </row>
    <row r="18" spans="1:14" ht="12.75" customHeight="1" x14ac:dyDescent="0.2">
      <c r="A18" s="47"/>
    </row>
    <row r="19" spans="1:14" ht="12.75" customHeight="1" x14ac:dyDescent="0.2">
      <c r="A19" s="47"/>
      <c r="B19" s="1" t="s">
        <v>400</v>
      </c>
    </row>
    <row r="20" spans="1:14" ht="12.75" customHeight="1" x14ac:dyDescent="0.2">
      <c r="A20" s="47"/>
      <c r="B20" s="2" t="s">
        <v>190</v>
      </c>
      <c r="F20" s="2" t="s">
        <v>203</v>
      </c>
      <c r="L20" s="62">
        <f>'Calculation income level'!M56</f>
        <v>1501822.2033924281</v>
      </c>
    </row>
    <row r="21" spans="1:14" ht="12.75" customHeight="1" x14ac:dyDescent="0.2">
      <c r="A21" s="47"/>
      <c r="B21" s="2" t="s">
        <v>217</v>
      </c>
      <c r="F21" s="2" t="s">
        <v>203</v>
      </c>
      <c r="L21" s="62">
        <f>'Overview corrections'!M29</f>
        <v>10865.63935127586</v>
      </c>
      <c r="N21" s="2" t="s">
        <v>221</v>
      </c>
    </row>
    <row r="22" spans="1:14" ht="12.75" customHeight="1" x14ac:dyDescent="0.2">
      <c r="A22" s="47"/>
      <c r="B22" s="2" t="s">
        <v>218</v>
      </c>
      <c r="F22" s="2" t="s">
        <v>203</v>
      </c>
      <c r="L22" s="62">
        <f>'Overview corrections'!M30</f>
        <v>-67516.621587610949</v>
      </c>
      <c r="N22" s="2" t="s">
        <v>222</v>
      </c>
    </row>
    <row r="23" spans="1:14" ht="12.75" customHeight="1" x14ac:dyDescent="0.2">
      <c r="A23" s="47"/>
    </row>
    <row r="24" spans="1:14" ht="12.75" customHeight="1" x14ac:dyDescent="0.2">
      <c r="B24" s="1" t="s">
        <v>193</v>
      </c>
    </row>
    <row r="25" spans="1:14" ht="12.75" customHeight="1" x14ac:dyDescent="0.2">
      <c r="A25" s="47"/>
      <c r="B25" s="2" t="s">
        <v>226</v>
      </c>
      <c r="F25" s="2" t="s">
        <v>156</v>
      </c>
      <c r="L25" s="62">
        <f>'Estimates for 2024'!L16</f>
        <v>9582599.6674191542</v>
      </c>
    </row>
    <row r="26" spans="1:14" ht="12.75" customHeight="1" x14ac:dyDescent="0.2">
      <c r="A26" s="47"/>
      <c r="B26" s="2" t="s">
        <v>194</v>
      </c>
      <c r="F26" s="2" t="s">
        <v>100</v>
      </c>
      <c r="L26" s="66">
        <f>'Calculation production'!L36</f>
        <v>0.38763160115607675</v>
      </c>
    </row>
    <row r="27" spans="1:14" ht="12.75" customHeight="1" x14ac:dyDescent="0.2">
      <c r="B27" s="36" t="s">
        <v>220</v>
      </c>
      <c r="F27" s="2" t="s">
        <v>203</v>
      </c>
      <c r="L27" s="62">
        <f>'Overview corrections'!M33</f>
        <v>-159215.2136583027</v>
      </c>
      <c r="N27" s="2" t="s">
        <v>243</v>
      </c>
    </row>
    <row r="28" spans="1:14" ht="12.75" customHeight="1" x14ac:dyDescent="0.2"/>
    <row r="29" spans="1:14" ht="12.75" customHeight="1" x14ac:dyDescent="0.2">
      <c r="B29" s="1" t="s">
        <v>345</v>
      </c>
    </row>
    <row r="30" spans="1:14" ht="12.75" customHeight="1" x14ac:dyDescent="0.2">
      <c r="A30" s="47"/>
      <c r="B30" s="2" t="s">
        <v>244</v>
      </c>
      <c r="F30" s="2" t="s">
        <v>127</v>
      </c>
      <c r="L30" s="61">
        <f>'Estimates for 2024'!M21</f>
        <v>7.1099335923111406E-2</v>
      </c>
    </row>
    <row r="31" spans="1:14" ht="12.75" customHeight="1" x14ac:dyDescent="0.2">
      <c r="A31" s="47"/>
      <c r="B31" s="2" t="s">
        <v>219</v>
      </c>
      <c r="F31" s="2" t="s">
        <v>203</v>
      </c>
      <c r="L31" s="62">
        <f>'Overview corrections'!M34</f>
        <v>-4753.8842118431357</v>
      </c>
      <c r="N31" s="2" t="s">
        <v>248</v>
      </c>
    </row>
    <row r="32" spans="1:14" ht="12.75" customHeight="1" x14ac:dyDescent="0.2">
      <c r="A32" s="47"/>
    </row>
    <row r="33" spans="1:12" ht="12.75" customHeight="1" x14ac:dyDescent="0.2">
      <c r="A33" s="47"/>
      <c r="B33" s="1" t="s">
        <v>195</v>
      </c>
    </row>
    <row r="34" spans="1:12" ht="12.75" customHeight="1" x14ac:dyDescent="0.2">
      <c r="A34" s="47"/>
      <c r="B34" s="42">
        <f>'Estimates for 2024'!B27</f>
        <v>3.2</v>
      </c>
      <c r="F34" s="2" t="s">
        <v>171</v>
      </c>
      <c r="L34" s="62">
        <f>'Estimates for 2024'!M27</f>
        <v>97</v>
      </c>
    </row>
    <row r="35" spans="1:12" ht="12.75" customHeight="1" x14ac:dyDescent="0.2">
      <c r="A35" s="47"/>
      <c r="B35" s="42">
        <f>'Estimates for 2024'!B28</f>
        <v>7.7</v>
      </c>
      <c r="F35" s="2" t="s">
        <v>171</v>
      </c>
      <c r="L35" s="62">
        <f>'Estimates for 2024'!M28</f>
        <v>1100</v>
      </c>
    </row>
    <row r="36" spans="1:12" ht="12.75" customHeight="1" x14ac:dyDescent="0.2">
      <c r="A36" s="47"/>
      <c r="B36" s="42">
        <f>'Estimates for 2024'!B29</f>
        <v>13.3</v>
      </c>
      <c r="F36" s="2" t="s">
        <v>171</v>
      </c>
      <c r="L36" s="62">
        <f>'Estimates for 2024'!M29</f>
        <v>110</v>
      </c>
    </row>
    <row r="37" spans="1:12" ht="12.75" customHeight="1" x14ac:dyDescent="0.2">
      <c r="A37" s="47"/>
      <c r="B37" s="42">
        <f>'Estimates for 2024'!B30</f>
        <v>18.3</v>
      </c>
      <c r="F37" s="2" t="s">
        <v>171</v>
      </c>
      <c r="L37" s="62">
        <f>'Estimates for 2024'!M30</f>
        <v>21</v>
      </c>
    </row>
    <row r="38" spans="1:12" ht="12.75" customHeight="1" x14ac:dyDescent="0.2">
      <c r="A38" s="47"/>
      <c r="B38" s="42">
        <f>'Estimates for 2024'!B31</f>
        <v>23.3</v>
      </c>
      <c r="F38" s="2" t="s">
        <v>171</v>
      </c>
      <c r="L38" s="62">
        <f>'Estimates for 2024'!M31</f>
        <v>27</v>
      </c>
    </row>
    <row r="39" spans="1:12" ht="12.75" customHeight="1" x14ac:dyDescent="0.2">
      <c r="A39" s="47"/>
      <c r="B39" s="42">
        <f>'Estimates for 2024'!B32</f>
        <v>28.3</v>
      </c>
      <c r="F39" s="2" t="s">
        <v>171</v>
      </c>
      <c r="L39" s="62">
        <f>'Estimates for 2024'!M32</f>
        <v>12</v>
      </c>
    </row>
    <row r="40" spans="1:12" ht="12.75" customHeight="1" x14ac:dyDescent="0.2">
      <c r="A40" s="47"/>
      <c r="B40" s="42">
        <f>'Estimates for 2024'!B33</f>
        <v>38.299999999999997</v>
      </c>
      <c r="F40" s="2" t="s">
        <v>171</v>
      </c>
      <c r="L40" s="62">
        <f>'Estimates for 2024'!M33</f>
        <v>12</v>
      </c>
    </row>
    <row r="41" spans="1:12" ht="12.75" customHeight="1" x14ac:dyDescent="0.2">
      <c r="A41" s="47"/>
      <c r="B41" s="42">
        <f>'Estimates for 2024'!B34</f>
        <v>48.3</v>
      </c>
      <c r="F41" s="2" t="s">
        <v>171</v>
      </c>
      <c r="L41" s="62">
        <f>'Estimates for 2024'!M34</f>
        <v>2</v>
      </c>
    </row>
    <row r="42" spans="1:12" ht="12.75" customHeight="1" x14ac:dyDescent="0.2">
      <c r="A42" s="47"/>
      <c r="B42" s="42">
        <f>'Estimates for 2024'!B35</f>
        <v>63.3</v>
      </c>
      <c r="F42" s="2" t="s">
        <v>171</v>
      </c>
      <c r="L42" s="62">
        <f>'Estimates for 2024'!M35</f>
        <v>3</v>
      </c>
    </row>
    <row r="43" spans="1:12" ht="12.75" customHeight="1" x14ac:dyDescent="0.2">
      <c r="A43" s="47"/>
      <c r="B43" s="42">
        <f>'Estimates for 2024'!B36</f>
        <v>78.3</v>
      </c>
      <c r="F43" s="2" t="s">
        <v>171</v>
      </c>
      <c r="L43" s="62">
        <f>'Estimates for 2024'!M36</f>
        <v>2</v>
      </c>
    </row>
    <row r="44" spans="1:12" ht="12.75" customHeight="1" x14ac:dyDescent="0.2">
      <c r="A44" s="47"/>
      <c r="B44" s="42">
        <f>'Estimates for 2024'!B37</f>
        <v>83.3</v>
      </c>
      <c r="F44" s="2" t="s">
        <v>171</v>
      </c>
      <c r="L44" s="62">
        <f>'Estimates for 2024'!M37</f>
        <v>1</v>
      </c>
    </row>
    <row r="45" spans="1:12" ht="12.75" customHeight="1" x14ac:dyDescent="0.2">
      <c r="A45" s="47"/>
      <c r="B45" s="42">
        <f>'Estimates for 2024'!B38</f>
        <v>93.3</v>
      </c>
      <c r="F45" s="2" t="s">
        <v>171</v>
      </c>
      <c r="L45" s="62">
        <f>'Estimates for 2024'!M38</f>
        <v>1</v>
      </c>
    </row>
    <row r="46" spans="1:12" ht="12.75" customHeight="1" x14ac:dyDescent="0.2">
      <c r="A46" s="47"/>
      <c r="B46" s="42">
        <f>'Estimates for 2024'!B39</f>
        <v>98.3</v>
      </c>
      <c r="F46" s="2" t="s">
        <v>171</v>
      </c>
      <c r="L46" s="62">
        <f>'Estimates for 2024'!M39</f>
        <v>0</v>
      </c>
    </row>
    <row r="47" spans="1:12" ht="12.75" customHeight="1" x14ac:dyDescent="0.2">
      <c r="A47" s="47"/>
      <c r="B47" s="42">
        <f>'Estimates for 2024'!B40</f>
        <v>100</v>
      </c>
      <c r="F47" s="2" t="s">
        <v>171</v>
      </c>
      <c r="L47" s="62">
        <f>'Estimates for 2024'!M40</f>
        <v>0</v>
      </c>
    </row>
    <row r="48" spans="1:12" ht="12.75" customHeight="1" x14ac:dyDescent="0.2">
      <c r="A48" s="47"/>
      <c r="B48" s="42">
        <f>'Estimates for 2024'!B41</f>
        <v>125</v>
      </c>
      <c r="F48" s="2" t="s">
        <v>171</v>
      </c>
      <c r="L48" s="62">
        <f>'Estimates for 2024'!M41</f>
        <v>2</v>
      </c>
    </row>
    <row r="49" spans="1:14" ht="12.75" customHeight="1" x14ac:dyDescent="0.2">
      <c r="A49" s="47"/>
      <c r="B49" s="42">
        <f>'Estimates for 2024'!B42</f>
        <v>150</v>
      </c>
      <c r="F49" s="2" t="s">
        <v>171</v>
      </c>
      <c r="L49" s="62">
        <f>'Estimates for 2024'!M42</f>
        <v>2</v>
      </c>
    </row>
    <row r="50" spans="1:14" ht="12.75" customHeight="1" x14ac:dyDescent="0.2">
      <c r="A50" s="47"/>
      <c r="B50" s="42">
        <f>'Estimates for 2024'!B43</f>
        <v>350</v>
      </c>
      <c r="F50" s="2" t="s">
        <v>171</v>
      </c>
      <c r="L50" s="62">
        <f>'Estimates for 2024'!M43</f>
        <v>1</v>
      </c>
    </row>
    <row r="51" spans="1:14" ht="12.75" customHeight="1" x14ac:dyDescent="0.2">
      <c r="A51" s="47"/>
    </row>
    <row r="52" spans="1:14" ht="12.75" customHeight="1" x14ac:dyDescent="0.2">
      <c r="A52" s="47"/>
      <c r="B52" s="20" t="s">
        <v>196</v>
      </c>
    </row>
    <row r="53" spans="1:14" ht="12.75" customHeight="1" x14ac:dyDescent="0.2">
      <c r="A53" s="47"/>
      <c r="B53" s="2" t="s">
        <v>111</v>
      </c>
      <c r="F53" s="2" t="s">
        <v>108</v>
      </c>
      <c r="L53" s="78">
        <f>'Historical data'!M37</f>
        <v>283.75294317604641</v>
      </c>
    </row>
    <row r="54" spans="1:14" ht="12.75" customHeight="1" x14ac:dyDescent="0.2">
      <c r="A54" s="47"/>
      <c r="B54" s="2" t="s">
        <v>112</v>
      </c>
      <c r="F54" s="2" t="s">
        <v>108</v>
      </c>
      <c r="L54" s="78">
        <f>'Historical data'!M38</f>
        <v>318.14168154269987</v>
      </c>
    </row>
    <row r="55" spans="1:14" ht="12.75" customHeight="1" x14ac:dyDescent="0.2">
      <c r="A55" s="47"/>
      <c r="B55" s="2" t="s">
        <v>113</v>
      </c>
      <c r="F55" s="2" t="s">
        <v>108</v>
      </c>
      <c r="L55" s="78">
        <f>'Historical data'!M39</f>
        <v>90.511159381031845</v>
      </c>
    </row>
    <row r="56" spans="1:14" ht="12.75" customHeight="1" x14ac:dyDescent="0.2">
      <c r="A56" s="47"/>
    </row>
    <row r="57" spans="1:14" s="8" customFormat="1" ht="12.75" customHeight="1" x14ac:dyDescent="0.2">
      <c r="B57" s="8" t="s">
        <v>191</v>
      </c>
    </row>
    <row r="58" spans="1:14" ht="12.75" customHeight="1" x14ac:dyDescent="0.2">
      <c r="A58" s="47"/>
    </row>
    <row r="59" spans="1:14" ht="12.75" customHeight="1" x14ac:dyDescent="0.2">
      <c r="A59" s="47"/>
      <c r="B59" s="1" t="s">
        <v>103</v>
      </c>
    </row>
    <row r="60" spans="1:14" ht="12.75" customHeight="1" x14ac:dyDescent="0.2">
      <c r="A60" s="47"/>
      <c r="B60" s="2" t="s">
        <v>219</v>
      </c>
      <c r="F60" s="2" t="s">
        <v>203</v>
      </c>
      <c r="L60" s="62">
        <f>L31</f>
        <v>-4753.8842118431357</v>
      </c>
    </row>
    <row r="61" spans="1:14" ht="12.75" customHeight="1" x14ac:dyDescent="0.2">
      <c r="A61" s="47"/>
      <c r="B61" s="2" t="s">
        <v>197</v>
      </c>
      <c r="F61" s="2" t="s">
        <v>202</v>
      </c>
      <c r="L61" s="54">
        <f>L60/L25</f>
        <v>-4.9609546227902496E-4</v>
      </c>
      <c r="N61" s="2" t="s">
        <v>249</v>
      </c>
    </row>
    <row r="62" spans="1:14" ht="12.75" customHeight="1" x14ac:dyDescent="0.2">
      <c r="A62" s="47"/>
      <c r="B62" s="2" t="s">
        <v>198</v>
      </c>
      <c r="F62" s="2" t="s">
        <v>202</v>
      </c>
      <c r="L62" s="54">
        <f>(L26+L61)/(1-L30)</f>
        <v>0.41676739038454713</v>
      </c>
    </row>
    <row r="63" spans="1:14" ht="12.75" customHeight="1" x14ac:dyDescent="0.2"/>
    <row r="64" spans="1:14" ht="12.75" customHeight="1" x14ac:dyDescent="0.2">
      <c r="A64" s="47"/>
      <c r="B64" s="2" t="s">
        <v>199</v>
      </c>
      <c r="F64" s="2" t="s">
        <v>203</v>
      </c>
      <c r="L64" s="62">
        <f>L27</f>
        <v>-159215.2136583027</v>
      </c>
    </row>
    <row r="65" spans="1:14" ht="12.75" customHeight="1" x14ac:dyDescent="0.2">
      <c r="A65" s="47"/>
      <c r="B65" s="2" t="s">
        <v>245</v>
      </c>
      <c r="F65" s="2" t="s">
        <v>156</v>
      </c>
      <c r="L65" s="48">
        <f>L25/2</f>
        <v>4791299.8337095771</v>
      </c>
      <c r="N65" s="2" t="s">
        <v>344</v>
      </c>
    </row>
    <row r="66" spans="1:14" ht="12.75" customHeight="1" x14ac:dyDescent="0.2">
      <c r="A66" s="47"/>
      <c r="B66" s="2" t="s">
        <v>200</v>
      </c>
      <c r="F66" s="2" t="s">
        <v>202</v>
      </c>
      <c r="L66" s="54">
        <f>L64/L65</f>
        <v>-3.3230066826152517E-2</v>
      </c>
      <c r="N66" s="2" t="s">
        <v>402</v>
      </c>
    </row>
    <row r="67" spans="1:14" ht="12.75" customHeight="1" x14ac:dyDescent="0.2">
      <c r="A67" s="47"/>
      <c r="B67" s="2" t="s">
        <v>104</v>
      </c>
      <c r="F67" s="2" t="s">
        <v>202</v>
      </c>
      <c r="L67" s="41">
        <f>L62+(L66)/(1-L30)</f>
        <v>0.38099384848577428</v>
      </c>
    </row>
    <row r="68" spans="1:14" ht="12.75" customHeight="1" x14ac:dyDescent="0.2">
      <c r="A68" s="47"/>
    </row>
    <row r="69" spans="1:14" ht="12.75" customHeight="1" x14ac:dyDescent="0.2">
      <c r="A69" s="47"/>
      <c r="B69" s="20" t="s">
        <v>105</v>
      </c>
    </row>
    <row r="70" spans="1:14" ht="12.75" customHeight="1" x14ac:dyDescent="0.2">
      <c r="A70" s="47"/>
      <c r="B70" s="2" t="s">
        <v>246</v>
      </c>
      <c r="F70" s="2" t="s">
        <v>203</v>
      </c>
      <c r="L70" s="48">
        <f>SUM(L20:L22)</f>
        <v>1445171.2211560928</v>
      </c>
    </row>
    <row r="71" spans="1:14" ht="12.75" customHeight="1" x14ac:dyDescent="0.2">
      <c r="A71" s="47"/>
      <c r="B71" s="2" t="s">
        <v>247</v>
      </c>
      <c r="F71" s="2" t="s">
        <v>157</v>
      </c>
      <c r="L71" s="48">
        <f>SUMPRODUCT(B34:B50,L34:L50)</f>
        <v>13575.699999999999</v>
      </c>
    </row>
    <row r="72" spans="1:14" ht="12.75" customHeight="1" x14ac:dyDescent="0.2">
      <c r="A72" s="47"/>
      <c r="B72" s="2" t="s">
        <v>106</v>
      </c>
      <c r="F72" s="2" t="s">
        <v>403</v>
      </c>
      <c r="L72" s="69">
        <f>L70/L71/12</f>
        <v>8.8710663241189085</v>
      </c>
      <c r="N72" s="2" t="s">
        <v>201</v>
      </c>
    </row>
    <row r="73" spans="1:14" ht="12.75" customHeight="1" x14ac:dyDescent="0.2">
      <c r="A73" s="47"/>
    </row>
    <row r="74" spans="1:14" ht="12.75" customHeight="1" x14ac:dyDescent="0.2">
      <c r="A74" s="47"/>
      <c r="B74" s="42">
        <f t="shared" ref="B74:B90" si="0">B34</f>
        <v>3.2</v>
      </c>
      <c r="F74" s="2" t="s">
        <v>404</v>
      </c>
      <c r="L74" s="69">
        <f t="shared" ref="L74:L90" si="1">$L$72*B74</f>
        <v>28.387412237180509</v>
      </c>
    </row>
    <row r="75" spans="1:14" ht="12.75" customHeight="1" x14ac:dyDescent="0.2">
      <c r="A75" s="47"/>
      <c r="B75" s="42">
        <f t="shared" si="0"/>
        <v>7.7</v>
      </c>
      <c r="F75" s="2" t="s">
        <v>404</v>
      </c>
      <c r="L75" s="69">
        <f t="shared" si="1"/>
        <v>68.307210695715597</v>
      </c>
    </row>
    <row r="76" spans="1:14" ht="12.75" customHeight="1" x14ac:dyDescent="0.2">
      <c r="A76" s="47"/>
      <c r="B76" s="42">
        <f t="shared" si="0"/>
        <v>13.3</v>
      </c>
      <c r="F76" s="2" t="s">
        <v>404</v>
      </c>
      <c r="L76" s="69">
        <f t="shared" si="1"/>
        <v>117.98518211078149</v>
      </c>
    </row>
    <row r="77" spans="1:14" ht="12.75" customHeight="1" x14ac:dyDescent="0.2">
      <c r="A77" s="47"/>
      <c r="B77" s="42">
        <f t="shared" si="0"/>
        <v>18.3</v>
      </c>
      <c r="F77" s="2" t="s">
        <v>404</v>
      </c>
      <c r="L77" s="69">
        <f t="shared" si="1"/>
        <v>162.34051373137603</v>
      </c>
    </row>
    <row r="78" spans="1:14" ht="12.75" customHeight="1" x14ac:dyDescent="0.2">
      <c r="A78" s="47"/>
      <c r="B78" s="42">
        <f t="shared" si="0"/>
        <v>23.3</v>
      </c>
      <c r="F78" s="2" t="s">
        <v>404</v>
      </c>
      <c r="L78" s="69">
        <f t="shared" si="1"/>
        <v>206.69584535197058</v>
      </c>
    </row>
    <row r="79" spans="1:14" ht="12.75" customHeight="1" x14ac:dyDescent="0.2">
      <c r="A79" s="47"/>
      <c r="B79" s="42">
        <f t="shared" si="0"/>
        <v>28.3</v>
      </c>
      <c r="F79" s="2" t="s">
        <v>404</v>
      </c>
      <c r="L79" s="69">
        <f t="shared" si="1"/>
        <v>251.05117697256512</v>
      </c>
    </row>
    <row r="80" spans="1:14" ht="12.75" customHeight="1" x14ac:dyDescent="0.2">
      <c r="A80" s="47"/>
      <c r="B80" s="42">
        <f t="shared" si="0"/>
        <v>38.299999999999997</v>
      </c>
      <c r="F80" s="2" t="s">
        <v>404</v>
      </c>
      <c r="L80" s="69">
        <f t="shared" si="1"/>
        <v>339.76184021375417</v>
      </c>
    </row>
    <row r="81" spans="1:14" ht="12.75" customHeight="1" x14ac:dyDescent="0.2">
      <c r="A81" s="47"/>
      <c r="B81" s="42">
        <f t="shared" si="0"/>
        <v>48.3</v>
      </c>
      <c r="F81" s="2" t="s">
        <v>404</v>
      </c>
      <c r="L81" s="69">
        <f t="shared" si="1"/>
        <v>428.47250345494325</v>
      </c>
    </row>
    <row r="82" spans="1:14" ht="12.75" customHeight="1" x14ac:dyDescent="0.2">
      <c r="A82" s="47"/>
      <c r="B82" s="42">
        <f t="shared" si="0"/>
        <v>63.3</v>
      </c>
      <c r="F82" s="2" t="s">
        <v>404</v>
      </c>
      <c r="L82" s="69">
        <f t="shared" si="1"/>
        <v>561.53849831672687</v>
      </c>
    </row>
    <row r="83" spans="1:14" ht="12.75" customHeight="1" x14ac:dyDescent="0.2">
      <c r="A83" s="47"/>
      <c r="B83" s="42">
        <f t="shared" si="0"/>
        <v>78.3</v>
      </c>
      <c r="F83" s="2" t="s">
        <v>404</v>
      </c>
      <c r="L83" s="69">
        <f t="shared" si="1"/>
        <v>694.60449317851055</v>
      </c>
    </row>
    <row r="84" spans="1:14" ht="12.75" customHeight="1" x14ac:dyDescent="0.2">
      <c r="A84" s="47"/>
      <c r="B84" s="42">
        <f t="shared" si="0"/>
        <v>83.3</v>
      </c>
      <c r="F84" s="2" t="s">
        <v>404</v>
      </c>
      <c r="L84" s="69">
        <f t="shared" si="1"/>
        <v>738.95982479910504</v>
      </c>
    </row>
    <row r="85" spans="1:14" ht="12.75" customHeight="1" x14ac:dyDescent="0.2">
      <c r="A85" s="47"/>
      <c r="B85" s="42">
        <f t="shared" si="0"/>
        <v>93.3</v>
      </c>
      <c r="F85" s="2" t="s">
        <v>404</v>
      </c>
      <c r="L85" s="69">
        <f t="shared" si="1"/>
        <v>827.67048804029412</v>
      </c>
    </row>
    <row r="86" spans="1:14" ht="12.75" customHeight="1" x14ac:dyDescent="0.2">
      <c r="A86" s="47"/>
      <c r="B86" s="42">
        <f t="shared" si="0"/>
        <v>98.3</v>
      </c>
      <c r="F86" s="2" t="s">
        <v>404</v>
      </c>
      <c r="L86" s="69">
        <f t="shared" si="1"/>
        <v>872.02581966088871</v>
      </c>
    </row>
    <row r="87" spans="1:14" ht="12.75" customHeight="1" x14ac:dyDescent="0.2">
      <c r="A87" s="47"/>
      <c r="B87" s="42">
        <f t="shared" si="0"/>
        <v>100</v>
      </c>
      <c r="F87" s="2" t="s">
        <v>404</v>
      </c>
      <c r="L87" s="69">
        <f t="shared" si="1"/>
        <v>887.10663241189081</v>
      </c>
    </row>
    <row r="88" spans="1:14" ht="12.75" customHeight="1" x14ac:dyDescent="0.2">
      <c r="A88" s="47"/>
      <c r="B88" s="42">
        <f t="shared" si="0"/>
        <v>125</v>
      </c>
      <c r="F88" s="2" t="s">
        <v>404</v>
      </c>
      <c r="L88" s="69">
        <f t="shared" si="1"/>
        <v>1108.8832905148636</v>
      </c>
    </row>
    <row r="89" spans="1:14" ht="12.75" customHeight="1" x14ac:dyDescent="0.2">
      <c r="A89" s="47"/>
      <c r="B89" s="42">
        <f t="shared" si="0"/>
        <v>150</v>
      </c>
      <c r="F89" s="2" t="s">
        <v>404</v>
      </c>
      <c r="L89" s="69">
        <f t="shared" si="1"/>
        <v>1330.6599486178363</v>
      </c>
    </row>
    <row r="90" spans="1:14" ht="12.75" customHeight="1" x14ac:dyDescent="0.2">
      <c r="A90" s="47"/>
      <c r="B90" s="42">
        <f t="shared" si="0"/>
        <v>350</v>
      </c>
      <c r="F90" s="2" t="s">
        <v>404</v>
      </c>
      <c r="L90" s="69">
        <f t="shared" si="1"/>
        <v>3104.8732134416182</v>
      </c>
    </row>
    <row r="91" spans="1:14" ht="12.75" customHeight="1" x14ac:dyDescent="0.2">
      <c r="A91" s="47"/>
      <c r="B91" s="43"/>
    </row>
    <row r="92" spans="1:14" ht="12.75" customHeight="1" x14ac:dyDescent="0.2">
      <c r="A92" s="47"/>
      <c r="B92" s="20" t="s">
        <v>107</v>
      </c>
    </row>
    <row r="93" spans="1:14" ht="12.75" customHeight="1" x14ac:dyDescent="0.2">
      <c r="A93" s="47"/>
      <c r="B93" s="2" t="s">
        <v>107</v>
      </c>
      <c r="F93" s="2" t="s">
        <v>203</v>
      </c>
      <c r="L93" s="22">
        <f>'Historical data'!M41</f>
        <v>25</v>
      </c>
      <c r="N93" s="2" t="s">
        <v>109</v>
      </c>
    </row>
    <row r="94" spans="1:14" ht="12.75" customHeight="1" x14ac:dyDescent="0.2">
      <c r="A94" s="47"/>
    </row>
    <row r="95" spans="1:14" ht="12.75" customHeight="1" x14ac:dyDescent="0.2">
      <c r="A95" s="47"/>
      <c r="B95" s="1" t="s">
        <v>110</v>
      </c>
    </row>
    <row r="96" spans="1:14" ht="12.75" customHeight="1" x14ac:dyDescent="0.2">
      <c r="B96" s="2" t="s">
        <v>111</v>
      </c>
      <c r="F96" s="2" t="s">
        <v>203</v>
      </c>
      <c r="L96" s="69">
        <f>L53*(1+$H$17)</f>
        <v>291.69802558497571</v>
      </c>
    </row>
    <row r="97" spans="2:12" ht="12.75" customHeight="1" x14ac:dyDescent="0.2">
      <c r="B97" s="2" t="s">
        <v>112</v>
      </c>
      <c r="F97" s="2" t="s">
        <v>203</v>
      </c>
      <c r="L97" s="69">
        <f>L54*(1+$H$17)</f>
        <v>327.04964862589549</v>
      </c>
    </row>
    <row r="98" spans="2:12" ht="12.75" customHeight="1" x14ac:dyDescent="0.2">
      <c r="B98" s="2" t="s">
        <v>113</v>
      </c>
      <c r="F98" s="2" t="s">
        <v>203</v>
      </c>
      <c r="L98" s="69">
        <f>L55*(1+$H$17)</f>
        <v>93.045471843700739</v>
      </c>
    </row>
    <row r="101" spans="2:12" x14ac:dyDescent="0.2">
      <c r="B101" s="4" t="s">
        <v>62</v>
      </c>
    </row>
  </sheetData>
  <phoneticPr fontId="32"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ADD9-741A-4B01-AC2E-B0FE0AD4D861}">
  <sheetPr>
    <tabColor rgb="FFCCFFFF"/>
  </sheetPr>
  <dimension ref="A1:K96"/>
  <sheetViews>
    <sheetView showGridLines="0" zoomScale="85" zoomScaleNormal="85" workbookViewId="0"/>
  </sheetViews>
  <sheetFormatPr defaultRowHeight="12.75" x14ac:dyDescent="0.2"/>
  <cols>
    <col min="1" max="2" width="4" style="2" customWidth="1"/>
    <col min="3" max="3" width="43.42578125" style="2" customWidth="1"/>
    <col min="4" max="6" width="4.5703125" style="2" customWidth="1"/>
    <col min="7" max="7" width="25.28515625" style="2" customWidth="1"/>
    <col min="8" max="8" width="2.7109375" style="2" customWidth="1"/>
    <col min="9" max="10" width="13.7109375" style="2" customWidth="1"/>
    <col min="11" max="11" width="4" style="2" customWidth="1"/>
    <col min="12" max="12" width="2.7109375" style="2" customWidth="1"/>
    <col min="13" max="14" width="21.7109375" style="2" customWidth="1"/>
    <col min="15" max="15" width="2.7109375" style="2" customWidth="1"/>
    <col min="16" max="22" width="12.5703125" style="2" customWidth="1"/>
    <col min="23" max="25" width="2.7109375" style="2" customWidth="1"/>
    <col min="26" max="40" width="13.7109375" style="2" customWidth="1"/>
    <col min="41" max="16384" width="9.140625" style="2"/>
  </cols>
  <sheetData>
    <row r="1" spans="1:10" x14ac:dyDescent="0.2">
      <c r="A1" s="47"/>
      <c r="B1" s="47"/>
    </row>
    <row r="2" spans="1:10" s="14" customFormat="1" ht="18" x14ac:dyDescent="0.2">
      <c r="A2" s="7"/>
      <c r="B2" s="7"/>
      <c r="C2" s="14" t="s">
        <v>405</v>
      </c>
    </row>
    <row r="3" spans="1:10" x14ac:dyDescent="0.2">
      <c r="A3" s="47"/>
      <c r="B3" s="47"/>
    </row>
    <row r="4" spans="1:10" x14ac:dyDescent="0.2">
      <c r="A4" s="47"/>
      <c r="B4" s="47"/>
      <c r="C4" s="1" t="s">
        <v>93</v>
      </c>
      <c r="D4" s="1"/>
      <c r="E4" s="1"/>
    </row>
    <row r="5" spans="1:10" x14ac:dyDescent="0.2">
      <c r="A5" s="47"/>
      <c r="B5" s="47"/>
      <c r="C5" s="2" t="s">
        <v>439</v>
      </c>
      <c r="I5" s="15"/>
    </row>
    <row r="6" spans="1:10" x14ac:dyDescent="0.2">
      <c r="A6" s="47"/>
      <c r="B6" s="47"/>
    </row>
    <row r="7" spans="1:10" s="8" customFormat="1" x14ac:dyDescent="0.2">
      <c r="C7" s="8" t="s">
        <v>406</v>
      </c>
      <c r="G7" s="8" t="s">
        <v>34</v>
      </c>
    </row>
    <row r="8" spans="1:10" ht="15" customHeight="1" x14ac:dyDescent="0.2">
      <c r="A8" s="47"/>
      <c r="B8" s="47"/>
    </row>
    <row r="9" spans="1:10" ht="15" customHeight="1" x14ac:dyDescent="0.2">
      <c r="C9" s="20" t="s">
        <v>407</v>
      </c>
      <c r="G9" s="2" t="s">
        <v>436</v>
      </c>
      <c r="I9" s="86">
        <f>Result!H13</f>
        <v>0.20590440190204531</v>
      </c>
    </row>
    <row r="10" spans="1:10" ht="15" customHeight="1" thickBot="1" x14ac:dyDescent="0.25"/>
    <row r="11" spans="1:10" ht="15" customHeight="1" x14ac:dyDescent="0.2">
      <c r="B11" s="87"/>
      <c r="C11" s="88"/>
      <c r="D11" s="88"/>
      <c r="E11" s="88"/>
      <c r="F11" s="88"/>
      <c r="G11" s="88"/>
      <c r="H11" s="88"/>
      <c r="I11" s="88"/>
      <c r="J11" s="89"/>
    </row>
    <row r="12" spans="1:10" s="8" customFormat="1" ht="15" customHeight="1" x14ac:dyDescent="0.2">
      <c r="B12" s="90"/>
      <c r="C12" s="8" t="s">
        <v>440</v>
      </c>
      <c r="G12" s="8" t="s">
        <v>34</v>
      </c>
      <c r="J12" s="91"/>
    </row>
    <row r="13" spans="1:10" ht="15" customHeight="1" x14ac:dyDescent="0.2">
      <c r="B13" s="92"/>
      <c r="J13" s="93"/>
    </row>
    <row r="14" spans="1:10" ht="15" customHeight="1" x14ac:dyDescent="0.2">
      <c r="B14" s="92"/>
      <c r="C14" s="20" t="s">
        <v>408</v>
      </c>
      <c r="G14" s="2" t="s">
        <v>436</v>
      </c>
      <c r="I14" s="86">
        <f>Result!H20</f>
        <v>0.38099384848577428</v>
      </c>
      <c r="J14" s="93"/>
    </row>
    <row r="15" spans="1:10" ht="15" customHeight="1" x14ac:dyDescent="0.2">
      <c r="B15" s="92"/>
      <c r="J15" s="93"/>
    </row>
    <row r="16" spans="1:10" ht="15" customHeight="1" x14ac:dyDescent="0.2">
      <c r="B16" s="92"/>
      <c r="C16" s="20" t="s">
        <v>409</v>
      </c>
      <c r="J16" s="93"/>
    </row>
    <row r="17" spans="2:10" ht="15" customHeight="1" x14ac:dyDescent="0.2">
      <c r="B17" s="92"/>
      <c r="C17" s="2" t="s">
        <v>106</v>
      </c>
      <c r="G17" s="2" t="s">
        <v>437</v>
      </c>
      <c r="I17" s="94">
        <f>Result!H23</f>
        <v>8.8710663241189085</v>
      </c>
      <c r="J17" s="93"/>
    </row>
    <row r="18" spans="2:10" ht="15" customHeight="1" x14ac:dyDescent="0.2">
      <c r="B18" s="92"/>
      <c r="C18" s="2" t="s">
        <v>410</v>
      </c>
      <c r="G18" s="2" t="s">
        <v>437</v>
      </c>
      <c r="I18" s="94">
        <f>Result!H25</f>
        <v>28.387412237180509</v>
      </c>
      <c r="J18" s="93"/>
    </row>
    <row r="19" spans="2:10" ht="15" customHeight="1" x14ac:dyDescent="0.2">
      <c r="B19" s="92"/>
      <c r="C19" s="2" t="s">
        <v>411</v>
      </c>
      <c r="G19" s="2" t="s">
        <v>437</v>
      </c>
      <c r="I19" s="94">
        <f>Result!H26</f>
        <v>68.307210695715597</v>
      </c>
      <c r="J19" s="93"/>
    </row>
    <row r="20" spans="2:10" ht="15" customHeight="1" x14ac:dyDescent="0.2">
      <c r="B20" s="92"/>
      <c r="C20" s="2" t="s">
        <v>412</v>
      </c>
      <c r="G20" s="2" t="s">
        <v>437</v>
      </c>
      <c r="I20" s="94">
        <f>Result!H27</f>
        <v>117.98518211078149</v>
      </c>
      <c r="J20" s="93"/>
    </row>
    <row r="21" spans="2:10" ht="15" customHeight="1" x14ac:dyDescent="0.2">
      <c r="B21" s="92"/>
      <c r="C21" s="2" t="s">
        <v>413</v>
      </c>
      <c r="G21" s="2" t="s">
        <v>437</v>
      </c>
      <c r="I21" s="94">
        <f>Result!H28</f>
        <v>162.34051373137603</v>
      </c>
      <c r="J21" s="93"/>
    </row>
    <row r="22" spans="2:10" ht="15" customHeight="1" x14ac:dyDescent="0.2">
      <c r="B22" s="92"/>
      <c r="C22" s="2" t="s">
        <v>414</v>
      </c>
      <c r="G22" s="2" t="s">
        <v>437</v>
      </c>
      <c r="I22" s="94">
        <f>Result!H29</f>
        <v>206.69584535197058</v>
      </c>
      <c r="J22" s="93"/>
    </row>
    <row r="23" spans="2:10" ht="15" customHeight="1" x14ac:dyDescent="0.2">
      <c r="B23" s="92"/>
      <c r="C23" s="2" t="s">
        <v>415</v>
      </c>
      <c r="G23" s="2" t="s">
        <v>437</v>
      </c>
      <c r="I23" s="94">
        <f>Result!H30</f>
        <v>251.05117697256512</v>
      </c>
      <c r="J23" s="93"/>
    </row>
    <row r="24" spans="2:10" ht="15" customHeight="1" x14ac:dyDescent="0.2">
      <c r="B24" s="92"/>
      <c r="C24" s="2" t="s">
        <v>416</v>
      </c>
      <c r="G24" s="2" t="s">
        <v>437</v>
      </c>
      <c r="I24" s="94">
        <f>Result!H31</f>
        <v>339.76184021375417</v>
      </c>
      <c r="J24" s="93"/>
    </row>
    <row r="25" spans="2:10" ht="15" customHeight="1" x14ac:dyDescent="0.2">
      <c r="B25" s="92"/>
      <c r="C25" s="2" t="s">
        <v>417</v>
      </c>
      <c r="G25" s="2" t="s">
        <v>437</v>
      </c>
      <c r="I25" s="94">
        <f>Result!H32</f>
        <v>428.47250345494325</v>
      </c>
      <c r="J25" s="93"/>
    </row>
    <row r="26" spans="2:10" ht="15" customHeight="1" x14ac:dyDescent="0.2">
      <c r="B26" s="92"/>
      <c r="C26" s="2" t="s">
        <v>418</v>
      </c>
      <c r="G26" s="2" t="s">
        <v>437</v>
      </c>
      <c r="I26" s="94">
        <f>Result!H33</f>
        <v>561.53849831672687</v>
      </c>
      <c r="J26" s="93"/>
    </row>
    <row r="27" spans="2:10" ht="15" customHeight="1" x14ac:dyDescent="0.2">
      <c r="B27" s="92"/>
      <c r="C27" s="2" t="s">
        <v>419</v>
      </c>
      <c r="G27" s="2" t="s">
        <v>437</v>
      </c>
      <c r="I27" s="94">
        <f>Result!H34</f>
        <v>694.60449317851055</v>
      </c>
      <c r="J27" s="93"/>
    </row>
    <row r="28" spans="2:10" ht="15" customHeight="1" x14ac:dyDescent="0.2">
      <c r="B28" s="92"/>
      <c r="C28" s="2" t="s">
        <v>420</v>
      </c>
      <c r="G28" s="2" t="s">
        <v>437</v>
      </c>
      <c r="I28" s="94">
        <f>Result!H35</f>
        <v>738.95982479910504</v>
      </c>
      <c r="J28" s="93"/>
    </row>
    <row r="29" spans="2:10" ht="15" customHeight="1" x14ac:dyDescent="0.2">
      <c r="B29" s="92"/>
      <c r="C29" s="2" t="s">
        <v>421</v>
      </c>
      <c r="G29" s="2" t="s">
        <v>437</v>
      </c>
      <c r="I29" s="94">
        <f>Result!H36</f>
        <v>827.67048804029412</v>
      </c>
      <c r="J29" s="93"/>
    </row>
    <row r="30" spans="2:10" ht="15" customHeight="1" x14ac:dyDescent="0.2">
      <c r="B30" s="92"/>
      <c r="C30" s="2" t="s">
        <v>422</v>
      </c>
      <c r="G30" s="2" t="s">
        <v>437</v>
      </c>
      <c r="I30" s="94">
        <f>Result!H37</f>
        <v>872.02581966088871</v>
      </c>
      <c r="J30" s="93"/>
    </row>
    <row r="31" spans="2:10" ht="15" customHeight="1" x14ac:dyDescent="0.2">
      <c r="B31" s="92"/>
      <c r="C31" s="2" t="s">
        <v>423</v>
      </c>
      <c r="G31" s="2" t="s">
        <v>437</v>
      </c>
      <c r="I31" s="94">
        <f>Result!H38</f>
        <v>887.10663241189081</v>
      </c>
      <c r="J31" s="93"/>
    </row>
    <row r="32" spans="2:10" ht="15" customHeight="1" x14ac:dyDescent="0.2">
      <c r="B32" s="92"/>
      <c r="C32" s="2" t="s">
        <v>424</v>
      </c>
      <c r="G32" s="2" t="s">
        <v>437</v>
      </c>
      <c r="I32" s="94">
        <f>Result!H39</f>
        <v>1108.8832905148636</v>
      </c>
      <c r="J32" s="93"/>
    </row>
    <row r="33" spans="2:11" ht="15" customHeight="1" x14ac:dyDescent="0.2">
      <c r="B33" s="92"/>
      <c r="C33" s="2" t="s">
        <v>425</v>
      </c>
      <c r="G33" s="2" t="s">
        <v>437</v>
      </c>
      <c r="I33" s="94">
        <f>Result!H40</f>
        <v>1330.6599486178363</v>
      </c>
      <c r="J33" s="93"/>
    </row>
    <row r="34" spans="2:11" ht="15" customHeight="1" x14ac:dyDescent="0.2">
      <c r="B34" s="92"/>
      <c r="C34" s="2" t="s">
        <v>426</v>
      </c>
      <c r="G34" s="2" t="s">
        <v>437</v>
      </c>
      <c r="I34" s="94">
        <f>Result!H41</f>
        <v>3104.8732134416182</v>
      </c>
      <c r="J34" s="93"/>
    </row>
    <row r="35" spans="2:11" ht="15" customHeight="1" x14ac:dyDescent="0.2">
      <c r="B35" s="92"/>
      <c r="J35" s="93"/>
    </row>
    <row r="36" spans="2:11" ht="15" customHeight="1" x14ac:dyDescent="0.2">
      <c r="B36" s="92"/>
      <c r="C36" s="20" t="s">
        <v>107</v>
      </c>
      <c r="J36" s="93"/>
    </row>
    <row r="37" spans="2:11" ht="15" customHeight="1" x14ac:dyDescent="0.2">
      <c r="B37" s="92"/>
      <c r="C37" s="2" t="s">
        <v>107</v>
      </c>
      <c r="G37" s="2" t="s">
        <v>203</v>
      </c>
      <c r="I37" s="94">
        <f>Result!H44</f>
        <v>25</v>
      </c>
      <c r="J37" s="93"/>
    </row>
    <row r="38" spans="2:11" ht="15" customHeight="1" x14ac:dyDescent="0.2">
      <c r="B38" s="92"/>
      <c r="J38" s="93"/>
    </row>
    <row r="39" spans="2:11" ht="15" customHeight="1" x14ac:dyDescent="0.2">
      <c r="B39" s="92"/>
      <c r="C39" s="20" t="s">
        <v>110</v>
      </c>
      <c r="J39" s="93"/>
    </row>
    <row r="40" spans="2:11" ht="15" customHeight="1" x14ac:dyDescent="0.2">
      <c r="B40" s="92"/>
      <c r="C40" s="2" t="s">
        <v>111</v>
      </c>
      <c r="G40" s="2" t="s">
        <v>203</v>
      </c>
      <c r="I40" s="94">
        <f>Result!H47</f>
        <v>291.69802558497571</v>
      </c>
      <c r="J40" s="93"/>
    </row>
    <row r="41" spans="2:11" ht="15" customHeight="1" x14ac:dyDescent="0.2">
      <c r="B41" s="92"/>
      <c r="C41" s="2" t="s">
        <v>112</v>
      </c>
      <c r="G41" s="2" t="s">
        <v>203</v>
      </c>
      <c r="I41" s="94">
        <f>Result!H48</f>
        <v>327.04964862589549</v>
      </c>
      <c r="J41" s="93"/>
    </row>
    <row r="42" spans="2:11" ht="15" customHeight="1" x14ac:dyDescent="0.2">
      <c r="B42" s="92"/>
      <c r="C42" s="2" t="s">
        <v>113</v>
      </c>
      <c r="G42" s="2" t="s">
        <v>438</v>
      </c>
      <c r="I42" s="94">
        <f>Result!H49</f>
        <v>93.045471843700739</v>
      </c>
      <c r="J42" s="93"/>
    </row>
    <row r="43" spans="2:11" ht="15" customHeight="1" thickBot="1" x14ac:dyDescent="0.25">
      <c r="B43" s="95"/>
      <c r="C43" s="96"/>
      <c r="D43" s="96"/>
      <c r="E43" s="96"/>
      <c r="F43" s="96"/>
      <c r="G43" s="96"/>
      <c r="H43" s="96"/>
      <c r="I43" s="96"/>
      <c r="J43" s="97"/>
    </row>
    <row r="44" spans="2:11" ht="15" customHeight="1" thickBot="1" x14ac:dyDescent="0.25"/>
    <row r="45" spans="2:11" ht="15" customHeight="1" x14ac:dyDescent="0.2">
      <c r="B45" s="87"/>
      <c r="C45" s="88"/>
      <c r="D45" s="88"/>
      <c r="E45" s="88"/>
      <c r="F45" s="88"/>
      <c r="G45" s="88"/>
      <c r="H45" s="88"/>
      <c r="I45" s="88"/>
      <c r="J45" s="88"/>
      <c r="K45" s="89"/>
    </row>
    <row r="46" spans="2:11" s="8" customFormat="1" ht="15" customHeight="1" x14ac:dyDescent="0.2">
      <c r="B46" s="90"/>
      <c r="C46" s="8" t="s">
        <v>444</v>
      </c>
      <c r="G46" s="8" t="s">
        <v>34</v>
      </c>
      <c r="K46" s="91"/>
    </row>
    <row r="47" spans="2:11" ht="15" customHeight="1" x14ac:dyDescent="0.2">
      <c r="B47" s="92"/>
      <c r="K47" s="93"/>
    </row>
    <row r="48" spans="2:11" ht="15" customHeight="1" x14ac:dyDescent="0.2">
      <c r="B48" s="92"/>
      <c r="C48" s="20" t="s">
        <v>116</v>
      </c>
      <c r="K48" s="93"/>
    </row>
    <row r="49" spans="2:11" ht="15" customHeight="1" x14ac:dyDescent="0.2">
      <c r="B49" s="92"/>
      <c r="C49" s="2" t="s">
        <v>441</v>
      </c>
      <c r="G49" s="2" t="s">
        <v>127</v>
      </c>
      <c r="I49" s="98">
        <f>Parameters!H33</f>
        <v>6.4600000000000005E-2</v>
      </c>
      <c r="K49" s="93"/>
    </row>
    <row r="50" spans="2:11" ht="15" customHeight="1" x14ac:dyDescent="0.2">
      <c r="B50" s="92"/>
      <c r="C50" s="2" t="s">
        <v>442</v>
      </c>
      <c r="G50" s="2" t="s">
        <v>127</v>
      </c>
      <c r="I50" s="98">
        <f>Parameters!H34</f>
        <v>5.7200000000000001E-2</v>
      </c>
      <c r="K50" s="93"/>
    </row>
    <row r="51" spans="2:11" ht="15" customHeight="1" x14ac:dyDescent="0.2">
      <c r="B51" s="92"/>
      <c r="K51" s="93"/>
    </row>
    <row r="52" spans="2:11" ht="15" customHeight="1" x14ac:dyDescent="0.2">
      <c r="B52" s="92"/>
      <c r="C52" s="2" t="s">
        <v>128</v>
      </c>
      <c r="G52" s="2" t="s">
        <v>127</v>
      </c>
      <c r="I52" s="99">
        <f>Parameters!H27</f>
        <v>7.8E-2</v>
      </c>
      <c r="K52" s="93"/>
    </row>
    <row r="53" spans="2:11" ht="15" customHeight="1" x14ac:dyDescent="0.2">
      <c r="B53" s="92"/>
      <c r="C53" s="2" t="s">
        <v>212</v>
      </c>
      <c r="I53" s="99">
        <f>Parameters!H28</f>
        <v>2.8000000000000001E-2</v>
      </c>
      <c r="K53" s="93"/>
    </row>
    <row r="54" spans="2:11" ht="15" customHeight="1" x14ac:dyDescent="0.2">
      <c r="B54" s="92"/>
      <c r="C54" s="2" t="s">
        <v>132</v>
      </c>
      <c r="G54" s="2" t="s">
        <v>127</v>
      </c>
      <c r="I54" s="99">
        <f>Parameters!H38</f>
        <v>0.03</v>
      </c>
      <c r="K54" s="93"/>
    </row>
    <row r="55" spans="2:11" ht="15" customHeight="1" x14ac:dyDescent="0.2">
      <c r="B55" s="92"/>
      <c r="K55" s="93"/>
    </row>
    <row r="56" spans="2:11" s="20" customFormat="1" ht="25.5" x14ac:dyDescent="0.2">
      <c r="B56" s="100"/>
      <c r="I56" s="101" t="s">
        <v>95</v>
      </c>
      <c r="J56" s="101" t="s">
        <v>96</v>
      </c>
      <c r="K56" s="102"/>
    </row>
    <row r="57" spans="2:11" ht="15" customHeight="1" x14ac:dyDescent="0.2">
      <c r="B57" s="92"/>
      <c r="C57" s="2" t="s">
        <v>448</v>
      </c>
      <c r="G57" s="2" t="s">
        <v>127</v>
      </c>
      <c r="I57" s="103">
        <f>'Historical data'!L23</f>
        <v>0.25</v>
      </c>
      <c r="J57" s="103">
        <f>'Historical data'!M23</f>
        <v>0.25</v>
      </c>
      <c r="K57" s="93"/>
    </row>
    <row r="58" spans="2:11" ht="15" customHeight="1" x14ac:dyDescent="0.2">
      <c r="B58" s="92"/>
      <c r="C58" s="2" t="s">
        <v>449</v>
      </c>
      <c r="G58" s="2" t="s">
        <v>127</v>
      </c>
      <c r="I58" s="103">
        <f>'Historical data'!L24</f>
        <v>0</v>
      </c>
      <c r="J58" s="103">
        <f>'Historical data'!M24</f>
        <v>0.5</v>
      </c>
      <c r="K58" s="93"/>
    </row>
    <row r="59" spans="2:11" ht="15" customHeight="1" x14ac:dyDescent="0.2">
      <c r="B59" s="92"/>
      <c r="K59" s="93"/>
    </row>
    <row r="60" spans="2:11" s="20" customFormat="1" ht="25.5" x14ac:dyDescent="0.2">
      <c r="B60" s="100"/>
      <c r="C60" s="20" t="s">
        <v>450</v>
      </c>
      <c r="I60" s="101" t="s">
        <v>95</v>
      </c>
      <c r="J60" s="101" t="s">
        <v>96</v>
      </c>
      <c r="K60" s="102"/>
    </row>
    <row r="61" spans="2:11" ht="15" customHeight="1" x14ac:dyDescent="0.2">
      <c r="B61" s="92"/>
      <c r="C61" s="2" t="s">
        <v>427</v>
      </c>
      <c r="G61" s="2" t="s">
        <v>148</v>
      </c>
      <c r="I61" s="104">
        <f>'Historical data'!L15</f>
        <v>1377727.6850000001</v>
      </c>
      <c r="J61" s="104">
        <f>'Historical data'!M15</f>
        <v>948725.11500000011</v>
      </c>
      <c r="K61" s="93"/>
    </row>
    <row r="62" spans="2:11" ht="15" customHeight="1" x14ac:dyDescent="0.2">
      <c r="B62" s="92"/>
      <c r="C62" s="2" t="s">
        <v>451</v>
      </c>
      <c r="G62" s="2" t="s">
        <v>140</v>
      </c>
      <c r="I62" s="104">
        <f>'Historical data'!L19</f>
        <v>2661475.9508377202</v>
      </c>
      <c r="J62" s="104">
        <f>'Historical data'!M19</f>
        <v>3555487.481225742</v>
      </c>
      <c r="K62" s="93"/>
    </row>
    <row r="63" spans="2:11" ht="15" customHeight="1" x14ac:dyDescent="0.2">
      <c r="B63" s="92"/>
      <c r="C63" s="2" t="s">
        <v>452</v>
      </c>
      <c r="G63" s="2" t="s">
        <v>140</v>
      </c>
      <c r="I63" s="104">
        <f>'Historical data'!L20</f>
        <v>170588.33311294575</v>
      </c>
      <c r="J63" s="104">
        <f>'Historical data'!M20</f>
        <v>307486.35758521955</v>
      </c>
      <c r="K63" s="93"/>
    </row>
    <row r="64" spans="2:11" ht="15" customHeight="1" x14ac:dyDescent="0.2">
      <c r="B64" s="92"/>
      <c r="K64" s="93"/>
    </row>
    <row r="65" spans="2:11" ht="15" customHeight="1" x14ac:dyDescent="0.2">
      <c r="B65" s="92"/>
      <c r="C65" s="20" t="s">
        <v>428</v>
      </c>
      <c r="K65" s="93"/>
    </row>
    <row r="66" spans="2:11" ht="15" customHeight="1" x14ac:dyDescent="0.2">
      <c r="B66" s="92"/>
      <c r="C66" s="2" t="s">
        <v>429</v>
      </c>
      <c r="G66" s="2" t="s">
        <v>148</v>
      </c>
      <c r="I66" s="104">
        <f>'Historical data'!L16</f>
        <v>6138.43</v>
      </c>
      <c r="J66" s="104">
        <f>'Historical data'!M16</f>
        <v>89813.22</v>
      </c>
      <c r="K66" s="93"/>
    </row>
    <row r="67" spans="2:11" ht="15" customHeight="1" x14ac:dyDescent="0.2">
      <c r="B67" s="92"/>
      <c r="K67" s="93"/>
    </row>
    <row r="68" spans="2:11" ht="15" customHeight="1" x14ac:dyDescent="0.2">
      <c r="B68" s="92"/>
      <c r="C68" s="20" t="s">
        <v>174</v>
      </c>
      <c r="K68" s="93"/>
    </row>
    <row r="69" spans="2:11" ht="15" customHeight="1" x14ac:dyDescent="0.2">
      <c r="B69" s="92"/>
      <c r="C69" s="2" t="s">
        <v>306</v>
      </c>
      <c r="G69" s="2" t="s">
        <v>203</v>
      </c>
      <c r="I69" s="104">
        <f>'Overview corrections'!L29</f>
        <v>-98006.54991255507</v>
      </c>
      <c r="J69" s="104">
        <f>'Overview corrections'!M29</f>
        <v>10865.63935127586</v>
      </c>
      <c r="K69" s="93"/>
    </row>
    <row r="70" spans="2:11" ht="15" customHeight="1" x14ac:dyDescent="0.2">
      <c r="B70" s="92"/>
      <c r="C70" s="2" t="s">
        <v>218</v>
      </c>
      <c r="G70" s="2" t="s">
        <v>203</v>
      </c>
      <c r="I70" s="104">
        <f>'Overview corrections'!L30</f>
        <v>-77297.670188628559</v>
      </c>
      <c r="J70" s="104">
        <f>'Overview corrections'!M30</f>
        <v>-67516.621587610949</v>
      </c>
      <c r="K70" s="93"/>
    </row>
    <row r="71" spans="2:11" ht="15" customHeight="1" x14ac:dyDescent="0.2">
      <c r="B71" s="92"/>
      <c r="C71" s="2" t="s">
        <v>219</v>
      </c>
      <c r="G71" s="2" t="s">
        <v>203</v>
      </c>
      <c r="J71" s="104">
        <f>'Overview corrections'!M34</f>
        <v>-4753.8842118431357</v>
      </c>
      <c r="K71" s="93"/>
    </row>
    <row r="72" spans="2:11" ht="15" customHeight="1" x14ac:dyDescent="0.2">
      <c r="B72" s="92"/>
      <c r="C72" s="36" t="s">
        <v>229</v>
      </c>
      <c r="G72" s="2" t="s">
        <v>203</v>
      </c>
      <c r="I72" s="104">
        <f>'Overview corrections'!L28</f>
        <v>272167.3990671545</v>
      </c>
      <c r="K72" s="93"/>
    </row>
    <row r="73" spans="2:11" ht="15" customHeight="1" x14ac:dyDescent="0.2">
      <c r="B73" s="92"/>
      <c r="C73" s="36" t="s">
        <v>443</v>
      </c>
      <c r="G73" s="2" t="s">
        <v>203</v>
      </c>
      <c r="J73" s="104">
        <f>'Overview corrections'!M33</f>
        <v>-159215.2136583027</v>
      </c>
      <c r="K73" s="93"/>
    </row>
    <row r="74" spans="2:11" ht="15" customHeight="1" x14ac:dyDescent="0.2">
      <c r="B74" s="92"/>
      <c r="K74" s="93"/>
    </row>
    <row r="75" spans="2:11" ht="15" customHeight="1" x14ac:dyDescent="0.2">
      <c r="B75" s="92"/>
      <c r="C75" s="20" t="s">
        <v>446</v>
      </c>
      <c r="K75" s="93"/>
    </row>
    <row r="76" spans="2:11" ht="15" customHeight="1" x14ac:dyDescent="0.2">
      <c r="B76" s="92"/>
      <c r="C76" s="2" t="s">
        <v>447</v>
      </c>
      <c r="G76" s="2" t="s">
        <v>156</v>
      </c>
      <c r="I76" s="104">
        <f>'Estimates for 2024'!L16</f>
        <v>9582599.6674191542</v>
      </c>
      <c r="K76" s="93"/>
    </row>
    <row r="77" spans="2:11" ht="15" customHeight="1" x14ac:dyDescent="0.2">
      <c r="B77" s="92"/>
      <c r="C77" s="2" t="s">
        <v>430</v>
      </c>
      <c r="G77" s="2" t="s">
        <v>156</v>
      </c>
      <c r="I77" s="104">
        <f>'Estimates for 2024'!L13</f>
        <v>3476095</v>
      </c>
      <c r="K77" s="93"/>
    </row>
    <row r="78" spans="2:11" ht="15" customHeight="1" x14ac:dyDescent="0.2">
      <c r="B78" s="92"/>
      <c r="C78" s="2" t="s">
        <v>431</v>
      </c>
      <c r="G78" s="2" t="s">
        <v>156</v>
      </c>
      <c r="I78" s="104">
        <f>'Estimates for 2024'!L14</f>
        <v>6275489.2400000002</v>
      </c>
      <c r="K78" s="93"/>
    </row>
    <row r="79" spans="2:11" ht="15" customHeight="1" x14ac:dyDescent="0.2">
      <c r="B79" s="92"/>
      <c r="C79" s="2" t="s">
        <v>432</v>
      </c>
      <c r="G79" s="2" t="s">
        <v>156</v>
      </c>
      <c r="I79" s="104">
        <f>'Estimates for 2024'!L15</f>
        <v>168984.572580846</v>
      </c>
      <c r="K79" s="93"/>
    </row>
    <row r="80" spans="2:11" ht="15" customHeight="1" x14ac:dyDescent="0.2">
      <c r="B80" s="92"/>
      <c r="C80" s="2" t="s">
        <v>445</v>
      </c>
      <c r="G80" s="2" t="s">
        <v>433</v>
      </c>
      <c r="I80" s="105">
        <f>'Estimates for 2024'!L18</f>
        <v>0.25338144096032705</v>
      </c>
      <c r="K80" s="93"/>
    </row>
    <row r="81" spans="2:11" ht="15" customHeight="1" x14ac:dyDescent="0.2">
      <c r="B81" s="92"/>
      <c r="C81" s="2" t="s">
        <v>160</v>
      </c>
      <c r="G81" s="2" t="s">
        <v>163</v>
      </c>
      <c r="I81" s="86">
        <f>'Historical data'!H47</f>
        <v>1.1144811293269858</v>
      </c>
      <c r="K81" s="93"/>
    </row>
    <row r="82" spans="2:11" ht="15" customHeight="1" x14ac:dyDescent="0.2">
      <c r="B82" s="92"/>
      <c r="K82" s="93"/>
    </row>
    <row r="83" spans="2:11" ht="15" customHeight="1" x14ac:dyDescent="0.2">
      <c r="B83" s="92"/>
      <c r="C83" s="2" t="s">
        <v>345</v>
      </c>
      <c r="G83" s="2" t="s">
        <v>127</v>
      </c>
      <c r="J83" s="98">
        <f>'Estimates for 2024'!M21</f>
        <v>7.1099335923111406E-2</v>
      </c>
      <c r="K83" s="93"/>
    </row>
    <row r="84" spans="2:11" ht="15" customHeight="1" x14ac:dyDescent="0.2">
      <c r="B84" s="92"/>
      <c r="C84" s="2" t="s">
        <v>434</v>
      </c>
      <c r="G84" s="2" t="s">
        <v>157</v>
      </c>
      <c r="J84" s="104">
        <f>'Estimates for 2024'!M45</f>
        <v>13575.699999999999</v>
      </c>
      <c r="K84" s="93"/>
    </row>
    <row r="85" spans="2:11" ht="15" customHeight="1" x14ac:dyDescent="0.2">
      <c r="B85" s="92"/>
      <c r="K85" s="93"/>
    </row>
    <row r="86" spans="2:11" ht="15" customHeight="1" x14ac:dyDescent="0.2">
      <c r="B86" s="92"/>
      <c r="C86" s="2" t="s">
        <v>435</v>
      </c>
      <c r="K86" s="93"/>
    </row>
    <row r="87" spans="2:11" ht="15" customHeight="1" thickBot="1" x14ac:dyDescent="0.25">
      <c r="B87" s="95"/>
      <c r="C87" s="96"/>
      <c r="D87" s="96"/>
      <c r="E87" s="96"/>
      <c r="F87" s="96"/>
      <c r="G87" s="96"/>
      <c r="H87" s="96"/>
      <c r="I87" s="96"/>
      <c r="J87" s="96"/>
      <c r="K87" s="97"/>
    </row>
    <row r="88" spans="2:11" ht="15" customHeight="1" x14ac:dyDescent="0.2"/>
    <row r="89" spans="2:11" ht="15" customHeight="1" x14ac:dyDescent="0.2"/>
    <row r="90" spans="2:11" ht="15" customHeight="1" x14ac:dyDescent="0.2"/>
    <row r="91" spans="2:11" ht="15" customHeight="1" x14ac:dyDescent="0.2"/>
    <row r="92" spans="2:11" ht="15" customHeight="1" x14ac:dyDescent="0.2"/>
    <row r="93" spans="2:11" ht="15" customHeight="1" x14ac:dyDescent="0.2"/>
    <row r="94" spans="2:11" ht="15" customHeight="1" x14ac:dyDescent="0.2"/>
    <row r="95" spans="2:11" ht="15" customHeight="1" x14ac:dyDescent="0.2">
      <c r="C95" s="36"/>
    </row>
    <row r="96" spans="2:11" ht="15" customHeight="1" x14ac:dyDescent="0.2">
      <c r="C96"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49"/>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44</v>
      </c>
    </row>
    <row r="3" spans="2:8" x14ac:dyDescent="0.2">
      <c r="B3" s="33"/>
    </row>
    <row r="4" spans="2:8" x14ac:dyDescent="0.2">
      <c r="B4" s="33"/>
    </row>
    <row r="5" spans="2:8" s="8" customFormat="1" x14ac:dyDescent="0.2">
      <c r="B5" s="8" t="s">
        <v>66</v>
      </c>
    </row>
    <row r="7" spans="2:8" x14ac:dyDescent="0.2">
      <c r="B7" s="2" t="s">
        <v>67</v>
      </c>
    </row>
    <row r="8" spans="2:8" x14ac:dyDescent="0.2">
      <c r="B8" s="2" t="s">
        <v>68</v>
      </c>
      <c r="H8" s="23"/>
    </row>
    <row r="11" spans="2:8" s="8" customFormat="1" x14ac:dyDescent="0.2">
      <c r="B11" s="8" t="s">
        <v>45</v>
      </c>
    </row>
    <row r="13" spans="2:8" x14ac:dyDescent="0.2">
      <c r="B13" s="20" t="s">
        <v>10</v>
      </c>
      <c r="D13" s="20" t="s">
        <v>11</v>
      </c>
      <c r="F13" s="5"/>
    </row>
    <row r="15" spans="2:8" x14ac:dyDescent="0.2">
      <c r="B15" s="26">
        <v>123</v>
      </c>
      <c r="D15" s="2" t="s">
        <v>12</v>
      </c>
    </row>
    <row r="16" spans="2:8" x14ac:dyDescent="0.2">
      <c r="B16" s="30">
        <f>B15</f>
        <v>123</v>
      </c>
      <c r="D16" s="2" t="s">
        <v>46</v>
      </c>
    </row>
    <row r="17" spans="2:7" x14ac:dyDescent="0.2">
      <c r="B17" s="31">
        <f>B16+B15</f>
        <v>246</v>
      </c>
      <c r="D17" s="2" t="s">
        <v>13</v>
      </c>
    </row>
    <row r="18" spans="2:7" x14ac:dyDescent="0.2">
      <c r="B18" s="22">
        <f>B16+B17</f>
        <v>369</v>
      </c>
      <c r="D18" s="2" t="s">
        <v>47</v>
      </c>
      <c r="E18" s="5"/>
      <c r="F18" s="5"/>
    </row>
    <row r="19" spans="2:7" x14ac:dyDescent="0.2">
      <c r="B19" s="10"/>
      <c r="D19" s="2" t="s">
        <v>14</v>
      </c>
      <c r="E19" s="5"/>
    </row>
    <row r="21" spans="2:7" x14ac:dyDescent="0.2">
      <c r="B21" s="21" t="s">
        <v>26</v>
      </c>
    </row>
    <row r="22" spans="2:7" x14ac:dyDescent="0.2">
      <c r="B22" s="24">
        <f>B18+16</f>
        <v>385</v>
      </c>
      <c r="D22" s="2" t="s">
        <v>15</v>
      </c>
    </row>
    <row r="23" spans="2:7" x14ac:dyDescent="0.2">
      <c r="B23" s="25">
        <f>B16*PI()</f>
        <v>386.41589639154455</v>
      </c>
      <c r="C23" s="11"/>
      <c r="D23" s="2" t="s">
        <v>48</v>
      </c>
    </row>
    <row r="24" spans="2:7" x14ac:dyDescent="0.2">
      <c r="B24" s="11"/>
      <c r="C24" s="11"/>
    </row>
    <row r="25" spans="2:7" x14ac:dyDescent="0.2">
      <c r="B25" s="21" t="s">
        <v>16</v>
      </c>
      <c r="C25" s="12"/>
      <c r="D25" s="32"/>
    </row>
    <row r="26" spans="2:7" x14ac:dyDescent="0.2">
      <c r="B26" s="29">
        <v>123</v>
      </c>
      <c r="C26" s="12"/>
      <c r="D26" s="2" t="s">
        <v>49</v>
      </c>
      <c r="G26" s="5"/>
    </row>
    <row r="27" spans="2:7" x14ac:dyDescent="0.2">
      <c r="B27" s="27">
        <v>124</v>
      </c>
      <c r="C27" s="12"/>
      <c r="D27" s="2" t="s">
        <v>50</v>
      </c>
    </row>
    <row r="28" spans="2:7" x14ac:dyDescent="0.2">
      <c r="B28" s="28">
        <f>B26-B27</f>
        <v>-1</v>
      </c>
      <c r="C28" s="13"/>
      <c r="D28" s="2" t="s">
        <v>51</v>
      </c>
    </row>
    <row r="31" spans="2:7" x14ac:dyDescent="0.2">
      <c r="B31" s="20" t="s">
        <v>17</v>
      </c>
    </row>
    <row r="32" spans="2:7" x14ac:dyDescent="0.2">
      <c r="B32" s="1"/>
    </row>
    <row r="33" spans="2:4" x14ac:dyDescent="0.2">
      <c r="B33" s="21" t="s">
        <v>21</v>
      </c>
    </row>
    <row r="34" spans="2:4" x14ac:dyDescent="0.2">
      <c r="B34" s="22" t="s">
        <v>22</v>
      </c>
      <c r="D34" s="2" t="s">
        <v>18</v>
      </c>
    </row>
    <row r="35" spans="2:4" x14ac:dyDescent="0.2">
      <c r="B35" s="26" t="s">
        <v>1</v>
      </c>
      <c r="D35" s="2" t="s">
        <v>19</v>
      </c>
    </row>
    <row r="36" spans="2:4" x14ac:dyDescent="0.2">
      <c r="B36" s="31" t="s">
        <v>23</v>
      </c>
      <c r="D36" s="2" t="s">
        <v>20</v>
      </c>
    </row>
    <row r="37" spans="2:4" x14ac:dyDescent="0.2">
      <c r="B37" s="25" t="s">
        <v>23</v>
      </c>
      <c r="D37" s="2" t="s">
        <v>52</v>
      </c>
    </row>
    <row r="38" spans="2:4" x14ac:dyDescent="0.2">
      <c r="D38" s="3"/>
    </row>
    <row r="39" spans="2:4" x14ac:dyDescent="0.2">
      <c r="B39" s="21" t="s">
        <v>24</v>
      </c>
      <c r="D39" s="3"/>
    </row>
    <row r="40" spans="2:4" x14ac:dyDescent="0.2">
      <c r="B40" s="16" t="s">
        <v>2</v>
      </c>
      <c r="D40" s="2" t="s">
        <v>53</v>
      </c>
    </row>
    <row r="41" spans="2:4" x14ac:dyDescent="0.2">
      <c r="B41" s="34" t="s">
        <v>25</v>
      </c>
      <c r="D41" s="2" t="s">
        <v>63</v>
      </c>
    </row>
    <row r="49" spans="2:2" x14ac:dyDescent="0.2">
      <c r="B49" s="4" t="s">
        <v>62</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E43"/>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7.5703125" style="2" customWidth="1"/>
    <col min="3" max="3" width="35.140625" style="2" customWidth="1"/>
    <col min="4" max="4" width="41.42578125" style="2" customWidth="1"/>
    <col min="5" max="5" width="36.28515625" style="2" customWidth="1"/>
    <col min="6" max="6" width="40.7109375" style="2" customWidth="1"/>
    <col min="7" max="7" width="34.140625" style="2" customWidth="1"/>
    <col min="8" max="8" width="11.85546875" style="2" customWidth="1"/>
    <col min="9" max="9" width="28.7109375" style="2" customWidth="1"/>
    <col min="10" max="10" width="18.42578125" style="2" customWidth="1"/>
    <col min="11" max="12" width="58.42578125" style="2" customWidth="1"/>
    <col min="13" max="16384" width="9.140625" style="2"/>
  </cols>
  <sheetData>
    <row r="2" spans="2:5" s="7" customFormat="1" ht="18" x14ac:dyDescent="0.2">
      <c r="B2" s="7" t="s">
        <v>27</v>
      </c>
    </row>
    <row r="5" spans="2:5" s="8" customFormat="1" x14ac:dyDescent="0.2">
      <c r="B5" s="8" t="s">
        <v>28</v>
      </c>
    </row>
    <row r="7" spans="2:5" x14ac:dyDescent="0.2">
      <c r="B7" s="4" t="s">
        <v>56</v>
      </c>
    </row>
    <row r="8" spans="2:5" x14ac:dyDescent="0.2">
      <c r="B8" s="4" t="s">
        <v>29</v>
      </c>
    </row>
    <row r="10" spans="2:5" x14ac:dyDescent="0.2">
      <c r="B10" s="35" t="s">
        <v>69</v>
      </c>
      <c r="C10" s="35" t="s">
        <v>30</v>
      </c>
      <c r="D10" s="35" t="s">
        <v>31</v>
      </c>
      <c r="E10" s="35" t="s">
        <v>70</v>
      </c>
    </row>
    <row r="11" spans="2:5" x14ac:dyDescent="0.2">
      <c r="B11" s="17"/>
      <c r="C11" s="17" t="s">
        <v>32</v>
      </c>
      <c r="D11" s="17" t="s">
        <v>33</v>
      </c>
      <c r="E11" s="17" t="s">
        <v>71</v>
      </c>
    </row>
    <row r="12" spans="2:5" ht="12" customHeight="1" x14ac:dyDescent="0.2">
      <c r="B12" s="6">
        <v>1</v>
      </c>
      <c r="C12" s="6" t="s">
        <v>72</v>
      </c>
      <c r="D12" s="38" t="s">
        <v>73</v>
      </c>
      <c r="E12" s="39" t="s">
        <v>74</v>
      </c>
    </row>
    <row r="13" spans="2:5" ht="12" customHeight="1" x14ac:dyDescent="0.2">
      <c r="B13" s="6">
        <v>2</v>
      </c>
      <c r="C13" s="6" t="s">
        <v>75</v>
      </c>
      <c r="D13" s="38"/>
      <c r="E13" s="39" t="s">
        <v>76</v>
      </c>
    </row>
    <row r="14" spans="2:5" ht="12" customHeight="1" x14ac:dyDescent="0.2">
      <c r="B14" s="6">
        <v>3</v>
      </c>
      <c r="C14" s="6" t="s">
        <v>77</v>
      </c>
      <c r="D14" s="40"/>
      <c r="E14" s="39" t="s">
        <v>78</v>
      </c>
    </row>
    <row r="15" spans="2:5" ht="12" customHeight="1" x14ac:dyDescent="0.2">
      <c r="B15" s="6">
        <v>4</v>
      </c>
      <c r="C15" s="6" t="s">
        <v>272</v>
      </c>
      <c r="D15" s="38" t="s">
        <v>353</v>
      </c>
      <c r="E15" s="82" t="s">
        <v>354</v>
      </c>
    </row>
    <row r="16" spans="2:5" ht="12" customHeight="1" x14ac:dyDescent="0.2">
      <c r="B16" s="6">
        <v>5</v>
      </c>
      <c r="C16" s="6" t="s">
        <v>79</v>
      </c>
      <c r="D16" s="38" t="s">
        <v>80</v>
      </c>
      <c r="E16" s="39" t="s">
        <v>81</v>
      </c>
    </row>
    <row r="17" spans="2:5" ht="12" customHeight="1" x14ac:dyDescent="0.2">
      <c r="B17" s="6">
        <v>6</v>
      </c>
      <c r="C17" s="6" t="s">
        <v>333</v>
      </c>
      <c r="D17" s="38" t="s">
        <v>355</v>
      </c>
      <c r="E17" s="82" t="s">
        <v>356</v>
      </c>
    </row>
    <row r="18" spans="2:5" x14ac:dyDescent="0.2">
      <c r="B18" s="6">
        <v>7</v>
      </c>
      <c r="C18" s="6" t="s">
        <v>87</v>
      </c>
      <c r="D18" s="6" t="s">
        <v>360</v>
      </c>
      <c r="E18" s="6"/>
    </row>
    <row r="19" spans="2:5" x14ac:dyDescent="0.2">
      <c r="B19" s="6">
        <v>8</v>
      </c>
      <c r="C19" s="6" t="s">
        <v>86</v>
      </c>
      <c r="D19" s="6" t="s">
        <v>361</v>
      </c>
      <c r="E19" s="6"/>
    </row>
    <row r="20" spans="2:5" x14ac:dyDescent="0.2">
      <c r="B20" s="6">
        <v>9</v>
      </c>
      <c r="C20" s="38" t="s">
        <v>362</v>
      </c>
      <c r="D20" s="38" t="s">
        <v>363</v>
      </c>
      <c r="E20" s="6" t="s">
        <v>359</v>
      </c>
    </row>
    <row r="21" spans="2:5" x14ac:dyDescent="0.2">
      <c r="B21" s="6">
        <v>10</v>
      </c>
      <c r="C21" s="2" t="s">
        <v>364</v>
      </c>
      <c r="D21" s="38" t="s">
        <v>365</v>
      </c>
      <c r="E21" s="6" t="s">
        <v>381</v>
      </c>
    </row>
    <row r="22" spans="2:5" ht="25.5" x14ac:dyDescent="0.2">
      <c r="B22" s="6">
        <v>11</v>
      </c>
      <c r="C22" s="38" t="s">
        <v>82</v>
      </c>
      <c r="D22" s="38" t="s">
        <v>83</v>
      </c>
      <c r="E22" s="6" t="s">
        <v>359</v>
      </c>
    </row>
    <row r="23" spans="2:5" x14ac:dyDescent="0.2">
      <c r="B23" s="6">
        <v>12</v>
      </c>
      <c r="C23" s="38" t="s">
        <v>368</v>
      </c>
      <c r="D23" s="38" t="s">
        <v>368</v>
      </c>
      <c r="E23" s="6" t="s">
        <v>359</v>
      </c>
    </row>
    <row r="24" spans="2:5" x14ac:dyDescent="0.2">
      <c r="B24" s="6">
        <v>13</v>
      </c>
      <c r="C24" s="38" t="s">
        <v>88</v>
      </c>
      <c r="D24" s="38" t="s">
        <v>88</v>
      </c>
      <c r="E24" s="6" t="s">
        <v>381</v>
      </c>
    </row>
    <row r="25" spans="2:5" x14ac:dyDescent="0.2">
      <c r="B25" s="6">
        <v>14</v>
      </c>
      <c r="C25" s="38" t="s">
        <v>370</v>
      </c>
      <c r="D25" s="38" t="s">
        <v>371</v>
      </c>
      <c r="E25" s="6" t="s">
        <v>382</v>
      </c>
    </row>
    <row r="26" spans="2:5" x14ac:dyDescent="0.2">
      <c r="B26" s="6">
        <v>15</v>
      </c>
      <c r="C26" s="2" t="s">
        <v>89</v>
      </c>
      <c r="D26" s="38" t="s">
        <v>92</v>
      </c>
      <c r="E26" s="6"/>
    </row>
    <row r="27" spans="2:5" ht="12" customHeight="1" x14ac:dyDescent="0.2">
      <c r="B27" s="6">
        <v>16</v>
      </c>
      <c r="C27" s="6" t="s">
        <v>374</v>
      </c>
      <c r="D27" s="6" t="s">
        <v>357</v>
      </c>
      <c r="E27" s="82" t="s">
        <v>84</v>
      </c>
    </row>
    <row r="28" spans="2:5" ht="12" customHeight="1" x14ac:dyDescent="0.2">
      <c r="B28" s="6">
        <v>17</v>
      </c>
      <c r="C28" s="6" t="s">
        <v>375</v>
      </c>
      <c r="D28" s="6" t="s">
        <v>377</v>
      </c>
      <c r="E28" s="82" t="s">
        <v>376</v>
      </c>
    </row>
    <row r="29" spans="2:5" ht="12.75" customHeight="1" x14ac:dyDescent="0.2">
      <c r="B29" s="6">
        <v>18</v>
      </c>
      <c r="C29" s="6" t="s">
        <v>90</v>
      </c>
      <c r="D29" s="6" t="s">
        <v>91</v>
      </c>
      <c r="E29" s="39" t="s">
        <v>358</v>
      </c>
    </row>
    <row r="30" spans="2:5" ht="12.75" customHeight="1" x14ac:dyDescent="0.2">
      <c r="B30" s="6">
        <v>19</v>
      </c>
      <c r="C30" s="6" t="s">
        <v>350</v>
      </c>
      <c r="D30" s="6"/>
      <c r="E30" s="39"/>
    </row>
    <row r="31" spans="2:5" x14ac:dyDescent="0.2">
      <c r="B31" s="6">
        <v>20</v>
      </c>
      <c r="C31" s="6" t="s">
        <v>85</v>
      </c>
      <c r="D31" s="40"/>
      <c r="E31" s="6" t="s">
        <v>359</v>
      </c>
    </row>
    <row r="34" spans="2:2" s="8" customFormat="1" x14ac:dyDescent="0.2">
      <c r="B34" s="8" t="s">
        <v>57</v>
      </c>
    </row>
    <row r="36" spans="2:2" x14ac:dyDescent="0.2">
      <c r="B36" s="21" t="s">
        <v>58</v>
      </c>
    </row>
    <row r="37" spans="2:2" x14ac:dyDescent="0.2">
      <c r="B37" s="21" t="s">
        <v>54</v>
      </c>
    </row>
    <row r="38" spans="2:2" x14ac:dyDescent="0.2">
      <c r="B38" s="21"/>
    </row>
    <row r="43" spans="2:2" x14ac:dyDescent="0.2">
      <c r="B43" s="4" t="s">
        <v>62</v>
      </c>
    </row>
  </sheetData>
  <phoneticPr fontId="32" type="noConversion"/>
  <hyperlinks>
    <hyperlink ref="E16" r:id="rId1" xr:uid="{E0C041FB-ACDC-46BA-9735-99C5FF9A2E84}"/>
    <hyperlink ref="E12" r:id="rId2" location="/CBS/nl/dataset/84046NED/table?fromstatweb" xr:uid="{6A3B6B6A-2FF3-40B7-8A39-13BB18A33A62}"/>
    <hyperlink ref="E13" r:id="rId3" xr:uid="{D45333B8-1DC9-4F19-8984-30722B1EA2DE}"/>
    <hyperlink ref="E14" r:id="rId4" xr:uid="{10B077AC-4A0C-41CD-98ED-25DE8864DE4E}"/>
    <hyperlink ref="E15" r:id="rId5" display="https://www.acm.nl/nl/publicaties/wacc-elektriciteit-en-drinkwater-caribisch-nederland-2020-2022" xr:uid="{8B7C920B-D09B-4B99-B0BC-FCE8ED853676}"/>
    <hyperlink ref="E17" r:id="rId6" display="https://www.acm.nl/nl/publicaties/methodebesluit-elektriciteit-en-drinkwater-caribisch-nederland-2020-2025" xr:uid="{2801D50A-EE7B-46AB-ABD3-91B814E472B3}"/>
    <hyperlink ref="E29" r:id="rId7" xr:uid="{D2563FD1-EDBB-4DF8-A633-5029BD6CA672}"/>
    <hyperlink ref="E27" r:id="rId8" xr:uid="{41ABBD90-8A61-4591-B4E2-7698D28846A9}"/>
    <hyperlink ref="E28" r:id="rId9" xr:uid="{4061A305-33D3-4042-9695-B95EF9B7373D}"/>
  </hyperlinks>
  <pageMargins left="0.75" right="0.75" top="1" bottom="1" header="0.5" footer="0.5"/>
  <pageSetup paperSize="9" orientation="portrait" r:id="rId1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N52"/>
  <sheetViews>
    <sheetView showGridLines="0" zoomScale="80" zoomScaleNormal="80" workbookViewId="0">
      <pane xSplit="6" ySplit="8" topLeftCell="G9" activePane="bottomRight" state="frozen"/>
      <selection activeCell="O39" sqref="O39"/>
      <selection pane="topRight" activeCell="O39" sqref="O39"/>
      <selection pane="bottomLeft" activeCell="O39" sqref="O39"/>
      <selection pane="bottomRight" activeCell="G9" sqref="G9"/>
    </sheetView>
  </sheetViews>
  <sheetFormatPr defaultColWidth="9.140625" defaultRowHeight="12.75" x14ac:dyDescent="0.2"/>
  <cols>
    <col min="1" max="1" width="4" style="2" customWidth="1"/>
    <col min="2" max="2" width="41.42578125" style="2" customWidth="1"/>
    <col min="3" max="5" width="4.5703125" style="2" customWidth="1"/>
    <col min="6" max="6" width="21"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21.140625" style="2" customWidth="1"/>
    <col min="13" max="13" width="2.7109375" style="2" customWidth="1"/>
    <col min="14" max="14" width="13.7109375" style="2" customWidth="1"/>
    <col min="15" max="15" width="2.7109375" style="2" customWidth="1"/>
    <col min="16" max="30" width="13.7109375" style="2" customWidth="1"/>
    <col min="31" max="16384" width="9.140625" style="2"/>
  </cols>
  <sheetData>
    <row r="2" spans="2:14" s="14" customFormat="1" ht="18" x14ac:dyDescent="0.2">
      <c r="B2" s="14" t="s">
        <v>263</v>
      </c>
    </row>
    <row r="4" spans="2:14" x14ac:dyDescent="0.2">
      <c r="B4" s="20" t="s">
        <v>11</v>
      </c>
      <c r="C4" s="1"/>
      <c r="D4" s="1"/>
    </row>
    <row r="5" spans="2:14" x14ac:dyDescent="0.2">
      <c r="B5" s="2" t="s">
        <v>264</v>
      </c>
      <c r="C5" s="3"/>
      <c r="D5" s="3"/>
      <c r="H5" s="15"/>
    </row>
    <row r="7" spans="2:14" s="8" customFormat="1" x14ac:dyDescent="0.2">
      <c r="B7" s="8" t="s">
        <v>11</v>
      </c>
      <c r="F7" s="8" t="s">
        <v>34</v>
      </c>
      <c r="H7" s="8" t="s">
        <v>35</v>
      </c>
      <c r="J7" s="8" t="s">
        <v>36</v>
      </c>
      <c r="L7" s="8" t="s">
        <v>265</v>
      </c>
      <c r="N7" s="8" t="s">
        <v>37</v>
      </c>
    </row>
    <row r="10" spans="2:14" s="8" customFormat="1" x14ac:dyDescent="0.2">
      <c r="B10" s="8" t="s">
        <v>262</v>
      </c>
    </row>
    <row r="12" spans="2:14" x14ac:dyDescent="0.2">
      <c r="B12" s="1" t="s">
        <v>98</v>
      </c>
      <c r="N12" s="70"/>
    </row>
    <row r="13" spans="2:14" x14ac:dyDescent="0.2">
      <c r="B13" s="2" t="s">
        <v>99</v>
      </c>
      <c r="F13" s="2" t="s">
        <v>202</v>
      </c>
      <c r="H13" s="41">
        <f>'Calculation production'!L34</f>
        <v>0.20590440190204531</v>
      </c>
      <c r="L13" s="2" t="s">
        <v>266</v>
      </c>
      <c r="N13" s="15"/>
    </row>
    <row r="14" spans="2:14" x14ac:dyDescent="0.2">
      <c r="B14" s="2" t="s">
        <v>101</v>
      </c>
      <c r="F14" s="2" t="s">
        <v>202</v>
      </c>
      <c r="H14" s="41">
        <f>'Calculation production'!L35</f>
        <v>0.18172719925403147</v>
      </c>
      <c r="L14" s="2" t="s">
        <v>380</v>
      </c>
    </row>
    <row r="15" spans="2:14" x14ac:dyDescent="0.2">
      <c r="B15" s="2" t="s">
        <v>102</v>
      </c>
      <c r="F15" s="2" t="s">
        <v>202</v>
      </c>
      <c r="H15" s="41">
        <f>'Calculation production'!L36</f>
        <v>0.38763160115607675</v>
      </c>
      <c r="L15" s="2" t="s">
        <v>380</v>
      </c>
    </row>
    <row r="17" spans="2:12" s="8" customFormat="1" x14ac:dyDescent="0.2">
      <c r="B17" s="8" t="s">
        <v>268</v>
      </c>
    </row>
    <row r="19" spans="2:12" x14ac:dyDescent="0.2">
      <c r="B19" s="1" t="s">
        <v>103</v>
      </c>
    </row>
    <row r="20" spans="2:12" x14ac:dyDescent="0.2">
      <c r="B20" s="2" t="s">
        <v>104</v>
      </c>
      <c r="F20" s="2" t="s">
        <v>202</v>
      </c>
      <c r="H20" s="41">
        <f>'Calculation distribution'!L67</f>
        <v>0.38099384848577428</v>
      </c>
      <c r="L20" s="2" t="s">
        <v>267</v>
      </c>
    </row>
    <row r="22" spans="2:12" x14ac:dyDescent="0.2">
      <c r="B22" s="20" t="s">
        <v>105</v>
      </c>
    </row>
    <row r="23" spans="2:12" x14ac:dyDescent="0.2">
      <c r="B23" s="2" t="s">
        <v>106</v>
      </c>
      <c r="F23" s="2" t="s">
        <v>404</v>
      </c>
      <c r="H23" s="81">
        <f>'Calculation distribution'!L72</f>
        <v>8.8710663241189085</v>
      </c>
      <c r="L23" s="2" t="s">
        <v>266</v>
      </c>
    </row>
    <row r="25" spans="2:12" x14ac:dyDescent="0.2">
      <c r="B25" s="42">
        <f>'Calculation distribution'!B74</f>
        <v>3.2</v>
      </c>
      <c r="F25" s="2" t="s">
        <v>404</v>
      </c>
      <c r="H25" s="69">
        <f>'Calculation distribution'!L74</f>
        <v>28.387412237180509</v>
      </c>
      <c r="L25" s="2" t="s">
        <v>266</v>
      </c>
    </row>
    <row r="26" spans="2:12" x14ac:dyDescent="0.2">
      <c r="B26" s="42">
        <f>'Calculation distribution'!B75</f>
        <v>7.7</v>
      </c>
      <c r="F26" s="2" t="s">
        <v>404</v>
      </c>
      <c r="H26" s="69">
        <f>'Calculation distribution'!L75</f>
        <v>68.307210695715597</v>
      </c>
      <c r="L26" s="2" t="s">
        <v>266</v>
      </c>
    </row>
    <row r="27" spans="2:12" x14ac:dyDescent="0.2">
      <c r="B27" s="42">
        <f>'Calculation distribution'!B76</f>
        <v>13.3</v>
      </c>
      <c r="F27" s="2" t="s">
        <v>404</v>
      </c>
      <c r="H27" s="69">
        <f>'Calculation distribution'!L76</f>
        <v>117.98518211078149</v>
      </c>
      <c r="L27" s="2" t="s">
        <v>266</v>
      </c>
    </row>
    <row r="28" spans="2:12" x14ac:dyDescent="0.2">
      <c r="B28" s="42">
        <f>'Calculation distribution'!B77</f>
        <v>18.3</v>
      </c>
      <c r="F28" s="2" t="s">
        <v>404</v>
      </c>
      <c r="H28" s="69">
        <f>'Calculation distribution'!L77</f>
        <v>162.34051373137603</v>
      </c>
      <c r="L28" s="2" t="s">
        <v>266</v>
      </c>
    </row>
    <row r="29" spans="2:12" x14ac:dyDescent="0.2">
      <c r="B29" s="42">
        <f>'Calculation distribution'!B78</f>
        <v>23.3</v>
      </c>
      <c r="F29" s="2" t="s">
        <v>404</v>
      </c>
      <c r="H29" s="69">
        <f>'Calculation distribution'!L78</f>
        <v>206.69584535197058</v>
      </c>
      <c r="L29" s="2" t="s">
        <v>266</v>
      </c>
    </row>
    <row r="30" spans="2:12" x14ac:dyDescent="0.2">
      <c r="B30" s="42">
        <f>'Calculation distribution'!B79</f>
        <v>28.3</v>
      </c>
      <c r="F30" s="2" t="s">
        <v>404</v>
      </c>
      <c r="H30" s="69">
        <f>'Calculation distribution'!L79</f>
        <v>251.05117697256512</v>
      </c>
      <c r="L30" s="2" t="s">
        <v>266</v>
      </c>
    </row>
    <row r="31" spans="2:12" x14ac:dyDescent="0.2">
      <c r="B31" s="42">
        <f>'Calculation distribution'!B80</f>
        <v>38.299999999999997</v>
      </c>
      <c r="F31" s="2" t="s">
        <v>404</v>
      </c>
      <c r="H31" s="69">
        <f>'Calculation distribution'!L80</f>
        <v>339.76184021375417</v>
      </c>
      <c r="L31" s="2" t="s">
        <v>266</v>
      </c>
    </row>
    <row r="32" spans="2:12" x14ac:dyDescent="0.2">
      <c r="B32" s="42">
        <f>'Calculation distribution'!B81</f>
        <v>48.3</v>
      </c>
      <c r="F32" s="2" t="s">
        <v>404</v>
      </c>
      <c r="H32" s="69">
        <f>'Calculation distribution'!L81</f>
        <v>428.47250345494325</v>
      </c>
      <c r="L32" s="2" t="s">
        <v>266</v>
      </c>
    </row>
    <row r="33" spans="2:14" x14ac:dyDescent="0.2">
      <c r="B33" s="42">
        <f>'Calculation distribution'!B82</f>
        <v>63.3</v>
      </c>
      <c r="F33" s="2" t="s">
        <v>404</v>
      </c>
      <c r="H33" s="69">
        <f>'Calculation distribution'!L82</f>
        <v>561.53849831672687</v>
      </c>
      <c r="L33" s="2" t="s">
        <v>266</v>
      </c>
    </row>
    <row r="34" spans="2:14" x14ac:dyDescent="0.2">
      <c r="B34" s="42">
        <f>'Calculation distribution'!B83</f>
        <v>78.3</v>
      </c>
      <c r="F34" s="2" t="s">
        <v>404</v>
      </c>
      <c r="H34" s="69">
        <f>'Calculation distribution'!L83</f>
        <v>694.60449317851055</v>
      </c>
      <c r="L34" s="2" t="s">
        <v>266</v>
      </c>
    </row>
    <row r="35" spans="2:14" x14ac:dyDescent="0.2">
      <c r="B35" s="42">
        <f>'Calculation distribution'!B84</f>
        <v>83.3</v>
      </c>
      <c r="F35" s="2" t="s">
        <v>404</v>
      </c>
      <c r="H35" s="69">
        <f>'Calculation distribution'!L84</f>
        <v>738.95982479910504</v>
      </c>
      <c r="L35" s="2" t="s">
        <v>266</v>
      </c>
    </row>
    <row r="36" spans="2:14" x14ac:dyDescent="0.2">
      <c r="B36" s="42">
        <f>'Calculation distribution'!B85</f>
        <v>93.3</v>
      </c>
      <c r="F36" s="2" t="s">
        <v>404</v>
      </c>
      <c r="H36" s="69">
        <f>'Calculation distribution'!L85</f>
        <v>827.67048804029412</v>
      </c>
      <c r="L36" s="2" t="s">
        <v>266</v>
      </c>
    </row>
    <row r="37" spans="2:14" x14ac:dyDescent="0.2">
      <c r="B37" s="42">
        <f>'Calculation distribution'!B86</f>
        <v>98.3</v>
      </c>
      <c r="F37" s="2" t="s">
        <v>404</v>
      </c>
      <c r="H37" s="69">
        <f>'Calculation distribution'!L86</f>
        <v>872.02581966088871</v>
      </c>
      <c r="L37" s="2" t="s">
        <v>266</v>
      </c>
    </row>
    <row r="38" spans="2:14" x14ac:dyDescent="0.2">
      <c r="B38" s="42">
        <f>'Calculation distribution'!B87</f>
        <v>100</v>
      </c>
      <c r="F38" s="2" t="s">
        <v>404</v>
      </c>
      <c r="H38" s="69">
        <f>'Calculation distribution'!L87</f>
        <v>887.10663241189081</v>
      </c>
      <c r="L38" s="2" t="s">
        <v>266</v>
      </c>
    </row>
    <row r="39" spans="2:14" x14ac:dyDescent="0.2">
      <c r="B39" s="42">
        <f>'Calculation distribution'!B88</f>
        <v>125</v>
      </c>
      <c r="F39" s="2" t="s">
        <v>404</v>
      </c>
      <c r="H39" s="69">
        <f>'Calculation distribution'!L88</f>
        <v>1108.8832905148636</v>
      </c>
      <c r="L39" s="2" t="s">
        <v>266</v>
      </c>
    </row>
    <row r="40" spans="2:14" x14ac:dyDescent="0.2">
      <c r="B40" s="42">
        <f>'Calculation distribution'!B89</f>
        <v>150</v>
      </c>
      <c r="F40" s="2" t="s">
        <v>404</v>
      </c>
      <c r="H40" s="69">
        <f>'Calculation distribution'!L89</f>
        <v>1330.6599486178363</v>
      </c>
      <c r="L40" s="2" t="s">
        <v>266</v>
      </c>
    </row>
    <row r="41" spans="2:14" x14ac:dyDescent="0.2">
      <c r="B41" s="42">
        <f>'Calculation distribution'!B90</f>
        <v>350</v>
      </c>
      <c r="F41" s="2" t="s">
        <v>404</v>
      </c>
      <c r="H41" s="69">
        <f>'Calculation distribution'!L90</f>
        <v>3104.8732134416182</v>
      </c>
      <c r="L41" s="2" t="s">
        <v>266</v>
      </c>
    </row>
    <row r="42" spans="2:14" x14ac:dyDescent="0.2">
      <c r="B42" s="43"/>
    </row>
    <row r="43" spans="2:14" x14ac:dyDescent="0.2">
      <c r="B43" s="20" t="s">
        <v>107</v>
      </c>
    </row>
    <row r="44" spans="2:14" x14ac:dyDescent="0.2">
      <c r="B44" s="2" t="s">
        <v>107</v>
      </c>
      <c r="F44" s="2" t="s">
        <v>203</v>
      </c>
      <c r="H44" s="69">
        <f>'Calculation distribution'!L93</f>
        <v>25</v>
      </c>
      <c r="L44" s="2" t="s">
        <v>266</v>
      </c>
      <c r="N44" s="2" t="s">
        <v>109</v>
      </c>
    </row>
    <row r="46" spans="2:14" x14ac:dyDescent="0.2">
      <c r="B46" s="1" t="s">
        <v>110</v>
      </c>
    </row>
    <row r="47" spans="2:14" x14ac:dyDescent="0.2">
      <c r="B47" s="2" t="s">
        <v>111</v>
      </c>
      <c r="F47" s="2" t="s">
        <v>203</v>
      </c>
      <c r="H47" s="69">
        <f>'Calculation distribution'!L96</f>
        <v>291.69802558497571</v>
      </c>
      <c r="L47" s="2" t="s">
        <v>266</v>
      </c>
    </row>
    <row r="48" spans="2:14" x14ac:dyDescent="0.2">
      <c r="B48" s="2" t="s">
        <v>112</v>
      </c>
      <c r="F48" s="2" t="s">
        <v>203</v>
      </c>
      <c r="H48" s="69">
        <f>'Calculation distribution'!L97</f>
        <v>327.04964862589549</v>
      </c>
      <c r="L48" s="2" t="s">
        <v>266</v>
      </c>
    </row>
    <row r="49" spans="2:12" x14ac:dyDescent="0.2">
      <c r="B49" s="2" t="s">
        <v>113</v>
      </c>
      <c r="F49" s="2" t="s">
        <v>203</v>
      </c>
      <c r="H49" s="69">
        <f>'Calculation distribution'!L98</f>
        <v>93.045471843700739</v>
      </c>
      <c r="L49" s="2" t="s">
        <v>266</v>
      </c>
    </row>
    <row r="52" spans="2:12" x14ac:dyDescent="0.2">
      <c r="B52" s="4" t="s">
        <v>62</v>
      </c>
    </row>
  </sheetData>
  <phoneticPr fontId="3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heetViews>
  <sheetFormatPr defaultColWidth="9.140625" defaultRowHeight="12.75" x14ac:dyDescent="0.2"/>
  <cols>
    <col min="1" max="16384" width="9.140625" style="16"/>
  </cols>
  <sheetData>
    <row r="2" spans="2:2" x14ac:dyDescent="0.2">
      <c r="B2" s="37" t="s">
        <v>64</v>
      </c>
    </row>
    <row r="3" spans="2:2" x14ac:dyDescent="0.2">
      <c r="B3" s="37"/>
    </row>
    <row r="7" spans="2:2" x14ac:dyDescent="0.2">
      <c r="B7" s="37"/>
    </row>
    <row r="8" spans="2:2" x14ac:dyDescent="0.2">
      <c r="B8" s="3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A2:N49"/>
  <sheetViews>
    <sheetView showGridLines="0" zoomScale="85" zoomScaleNormal="85" workbookViewId="0">
      <pane xSplit="6" ySplit="14" topLeftCell="G15" activePane="bottomRight" state="frozen"/>
      <selection activeCell="R6" sqref="R6"/>
      <selection pane="topRight" activeCell="R6" sqref="R6"/>
      <selection pane="bottomLeft" activeCell="R6" sqref="R6"/>
      <selection pane="bottomRight" activeCell="G15" sqref="G15"/>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36.7109375" style="2" customWidth="1"/>
    <col min="13" max="13" width="2.7109375" style="2" customWidth="1"/>
    <col min="14" max="14" width="13.7109375" style="2" customWidth="1"/>
    <col min="15" max="15" width="2.7109375" style="2" customWidth="1"/>
    <col min="16" max="30" width="13.7109375" style="2" customWidth="1"/>
    <col min="31" max="16384" width="9.140625" style="2"/>
  </cols>
  <sheetData>
    <row r="2" spans="2:14" s="14" customFormat="1" ht="18" x14ac:dyDescent="0.2">
      <c r="B2" s="14" t="s">
        <v>116</v>
      </c>
    </row>
    <row r="4" spans="2:14" x14ac:dyDescent="0.2">
      <c r="B4" s="20" t="s">
        <v>117</v>
      </c>
      <c r="C4" s="1"/>
      <c r="D4" s="1"/>
    </row>
    <row r="5" spans="2:14" x14ac:dyDescent="0.2">
      <c r="B5" s="2" t="s">
        <v>383</v>
      </c>
      <c r="C5" s="3"/>
      <c r="D5" s="3"/>
      <c r="H5" s="15"/>
    </row>
    <row r="6" spans="2:14" x14ac:dyDescent="0.2">
      <c r="C6" s="3"/>
      <c r="D6" s="3"/>
      <c r="H6" s="15"/>
    </row>
    <row r="7" spans="2:14" x14ac:dyDescent="0.2">
      <c r="B7" s="21" t="s">
        <v>66</v>
      </c>
      <c r="C7" s="3"/>
      <c r="D7" s="3"/>
      <c r="H7" s="15"/>
    </row>
    <row r="8" spans="2:14" x14ac:dyDescent="0.2">
      <c r="B8" s="2" t="s">
        <v>118</v>
      </c>
      <c r="C8" s="3"/>
      <c r="D8" s="3"/>
    </row>
    <row r="9" spans="2:14" x14ac:dyDescent="0.2">
      <c r="B9" s="2" t="s">
        <v>119</v>
      </c>
      <c r="C9" s="3"/>
      <c r="D9" s="3"/>
    </row>
    <row r="10" spans="2:14" x14ac:dyDescent="0.2">
      <c r="C10" s="3"/>
      <c r="D10" s="3"/>
    </row>
    <row r="11" spans="2:14" x14ac:dyDescent="0.2">
      <c r="B11" s="4" t="s">
        <v>379</v>
      </c>
      <c r="C11" s="3"/>
      <c r="D11" s="3"/>
    </row>
    <row r="13" spans="2:14" s="8" customFormat="1" x14ac:dyDescent="0.2">
      <c r="B13" s="8" t="s">
        <v>11</v>
      </c>
      <c r="F13" s="8" t="s">
        <v>34</v>
      </c>
      <c r="H13" s="8" t="s">
        <v>35</v>
      </c>
      <c r="J13" s="8" t="s">
        <v>36</v>
      </c>
      <c r="L13" s="8" t="s">
        <v>38</v>
      </c>
      <c r="N13" s="8" t="s">
        <v>115</v>
      </c>
    </row>
    <row r="16" spans="2:14" s="8" customFormat="1" x14ac:dyDescent="0.2">
      <c r="B16" s="8" t="s">
        <v>120</v>
      </c>
    </row>
    <row r="18" spans="1:14" x14ac:dyDescent="0.2">
      <c r="A18" s="47"/>
      <c r="B18" s="1" t="s">
        <v>121</v>
      </c>
    </row>
    <row r="19" spans="1:14" x14ac:dyDescent="0.2">
      <c r="A19" s="47"/>
      <c r="B19" s="2" t="s">
        <v>122</v>
      </c>
      <c r="H19" s="67">
        <v>101.93</v>
      </c>
      <c r="L19" s="2" t="s">
        <v>72</v>
      </c>
    </row>
    <row r="20" spans="1:14" x14ac:dyDescent="0.2">
      <c r="A20" s="47"/>
      <c r="B20" s="2" t="s">
        <v>123</v>
      </c>
      <c r="H20" s="67">
        <v>105.22</v>
      </c>
      <c r="L20" s="2" t="s">
        <v>72</v>
      </c>
    </row>
    <row r="21" spans="1:14" x14ac:dyDescent="0.2">
      <c r="A21" s="47"/>
      <c r="B21" s="2" t="s">
        <v>124</v>
      </c>
      <c r="H21" s="67">
        <v>115.46</v>
      </c>
      <c r="L21" s="2" t="s">
        <v>72</v>
      </c>
    </row>
    <row r="22" spans="1:14" x14ac:dyDescent="0.2">
      <c r="A22" s="47"/>
    </row>
    <row r="23" spans="1:14" x14ac:dyDescent="0.2">
      <c r="A23" s="47"/>
      <c r="B23" s="2" t="s">
        <v>347</v>
      </c>
      <c r="H23" s="67">
        <v>103.79</v>
      </c>
      <c r="L23" s="2" t="s">
        <v>75</v>
      </c>
    </row>
    <row r="24" spans="1:14" x14ac:dyDescent="0.2">
      <c r="A24" s="47"/>
      <c r="B24" s="2" t="s">
        <v>125</v>
      </c>
      <c r="H24" s="79">
        <f>H23*(H20/H19)</f>
        <v>107.14003531835573</v>
      </c>
    </row>
    <row r="25" spans="1:14" x14ac:dyDescent="0.2">
      <c r="A25" s="47"/>
    </row>
    <row r="26" spans="1:14" x14ac:dyDescent="0.2">
      <c r="A26" s="47"/>
      <c r="B26" s="1" t="s">
        <v>126</v>
      </c>
    </row>
    <row r="27" spans="1:14" x14ac:dyDescent="0.2">
      <c r="A27" s="47"/>
      <c r="B27" s="2" t="s">
        <v>128</v>
      </c>
      <c r="F27" s="2" t="s">
        <v>127</v>
      </c>
      <c r="H27" s="45">
        <f>ROUND(H21/H24-1,3)</f>
        <v>7.8E-2</v>
      </c>
      <c r="L27" s="2" t="s">
        <v>72</v>
      </c>
      <c r="N27" s="2" t="s">
        <v>129</v>
      </c>
    </row>
    <row r="28" spans="1:14" x14ac:dyDescent="0.2">
      <c r="A28" s="47"/>
      <c r="B28" s="2" t="s">
        <v>212</v>
      </c>
      <c r="F28" s="2" t="s">
        <v>127</v>
      </c>
      <c r="H28" s="71">
        <v>2.8000000000000001E-2</v>
      </c>
      <c r="L28" s="2" t="s">
        <v>72</v>
      </c>
    </row>
    <row r="30" spans="1:14" s="8" customFormat="1" x14ac:dyDescent="0.2">
      <c r="B30" s="8" t="s">
        <v>130</v>
      </c>
    </row>
    <row r="32" spans="1:14" x14ac:dyDescent="0.2">
      <c r="B32" s="2" t="s">
        <v>269</v>
      </c>
      <c r="F32" s="2" t="s">
        <v>127</v>
      </c>
      <c r="H32" s="71">
        <v>5.96E-2</v>
      </c>
      <c r="L32" s="2" t="s">
        <v>272</v>
      </c>
    </row>
    <row r="33" spans="2:12" x14ac:dyDescent="0.2">
      <c r="B33" s="2" t="s">
        <v>270</v>
      </c>
      <c r="F33" s="2" t="s">
        <v>127</v>
      </c>
      <c r="H33" s="44">
        <v>6.4600000000000005E-2</v>
      </c>
      <c r="L33" s="2" t="s">
        <v>79</v>
      </c>
    </row>
    <row r="34" spans="2:12" x14ac:dyDescent="0.2">
      <c r="B34" s="2" t="s">
        <v>271</v>
      </c>
      <c r="H34" s="44">
        <v>5.7200000000000001E-2</v>
      </c>
      <c r="L34" s="2" t="s">
        <v>79</v>
      </c>
    </row>
    <row r="36" spans="2:12" s="8" customFormat="1" x14ac:dyDescent="0.2">
      <c r="B36" s="8" t="s">
        <v>131</v>
      </c>
    </row>
    <row r="38" spans="2:12" x14ac:dyDescent="0.2">
      <c r="B38" s="2" t="s">
        <v>132</v>
      </c>
      <c r="F38" s="2" t="s">
        <v>127</v>
      </c>
      <c r="H38" s="44">
        <v>0.03</v>
      </c>
      <c r="L38" s="2" t="s">
        <v>77</v>
      </c>
    </row>
    <row r="40" spans="2:12" x14ac:dyDescent="0.2">
      <c r="B40" s="2" t="s">
        <v>210</v>
      </c>
      <c r="F40" s="2" t="s">
        <v>127</v>
      </c>
      <c r="H40" s="45">
        <f>((1+$H$38)^2)-1</f>
        <v>6.0899999999999954E-2</v>
      </c>
    </row>
    <row r="41" spans="2:12" x14ac:dyDescent="0.2">
      <c r="B41" s="2" t="s">
        <v>211</v>
      </c>
      <c r="F41" s="2" t="s">
        <v>127</v>
      </c>
      <c r="H41" s="45">
        <f>(1+$H$38)-1</f>
        <v>3.0000000000000027E-2</v>
      </c>
    </row>
    <row r="43" spans="2:12" s="8" customFormat="1" x14ac:dyDescent="0.2">
      <c r="B43" s="8" t="s">
        <v>277</v>
      </c>
    </row>
    <row r="45" spans="2:12" x14ac:dyDescent="0.2">
      <c r="B45" s="2" t="s">
        <v>278</v>
      </c>
      <c r="F45" s="2" t="s">
        <v>127</v>
      </c>
      <c r="H45" s="46">
        <v>0.5</v>
      </c>
      <c r="L45" s="2" t="s">
        <v>333</v>
      </c>
    </row>
    <row r="49" spans="2:2" x14ac:dyDescent="0.2">
      <c r="B49" s="4" t="s">
        <v>62</v>
      </c>
    </row>
  </sheetData>
  <phoneticPr fontId="3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016B-2352-454E-BB3E-B93CD33EA33B}">
  <sheetPr>
    <tabColor rgb="FFE1FFE1"/>
  </sheetPr>
  <dimension ref="A2:T67"/>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6.7109375" style="2" customWidth="1"/>
    <col min="16" max="16" width="2.7109375" style="2" customWidth="1"/>
    <col min="17" max="17" width="13.7109375" style="2" customWidth="1"/>
    <col min="18" max="18" width="2.7109375" style="2" customWidth="1"/>
    <col min="19" max="33" width="13.7109375" style="2" customWidth="1"/>
    <col min="34" max="16384" width="9.140625" style="2"/>
  </cols>
  <sheetData>
    <row r="2" spans="1:20" s="14" customFormat="1" ht="18" x14ac:dyDescent="0.2">
      <c r="B2" s="14" t="s">
        <v>275</v>
      </c>
    </row>
    <row r="4" spans="1:20" x14ac:dyDescent="0.2">
      <c r="B4" s="1" t="s">
        <v>136</v>
      </c>
      <c r="C4" s="1"/>
      <c r="D4" s="1"/>
    </row>
    <row r="5" spans="1:20" x14ac:dyDescent="0.2">
      <c r="B5" s="84" t="s">
        <v>384</v>
      </c>
      <c r="C5" s="1"/>
      <c r="D5" s="1"/>
    </row>
    <row r="6" spans="1:20" x14ac:dyDescent="0.2">
      <c r="B6" s="2" t="s">
        <v>137</v>
      </c>
      <c r="C6" s="3"/>
      <c r="D6" s="3"/>
      <c r="H6" s="15"/>
    </row>
    <row r="7" spans="1:20" x14ac:dyDescent="0.2">
      <c r="B7" s="2" t="s">
        <v>152</v>
      </c>
      <c r="C7" s="3"/>
      <c r="D7" s="3"/>
      <c r="H7" s="15"/>
    </row>
    <row r="9" spans="1:20" s="8" customFormat="1" x14ac:dyDescent="0.2">
      <c r="B9" s="8" t="s">
        <v>11</v>
      </c>
      <c r="F9" s="8" t="s">
        <v>34</v>
      </c>
      <c r="H9" s="8" t="s">
        <v>35</v>
      </c>
      <c r="J9" s="8" t="s">
        <v>36</v>
      </c>
      <c r="L9" s="8" t="s">
        <v>114</v>
      </c>
      <c r="M9" s="8" t="s">
        <v>96</v>
      </c>
      <c r="O9" s="8" t="s">
        <v>38</v>
      </c>
      <c r="Q9" s="8" t="s">
        <v>115</v>
      </c>
    </row>
    <row r="12" spans="1:20" s="8" customFormat="1" x14ac:dyDescent="0.2">
      <c r="B12" s="8" t="s">
        <v>274</v>
      </c>
    </row>
    <row r="13" spans="1:20" x14ac:dyDescent="0.2">
      <c r="A13" s="47"/>
    </row>
    <row r="14" spans="1:20" x14ac:dyDescent="0.2">
      <c r="A14" s="47"/>
      <c r="B14" s="72" t="s">
        <v>138</v>
      </c>
    </row>
    <row r="15" spans="1:20" x14ac:dyDescent="0.2">
      <c r="B15" s="2" t="s">
        <v>147</v>
      </c>
      <c r="F15" s="2" t="s">
        <v>148</v>
      </c>
      <c r="J15" s="48">
        <f>SUM(L15:M15)</f>
        <v>2326452.8000000003</v>
      </c>
      <c r="L15" s="49">
        <v>1377727.6850000001</v>
      </c>
      <c r="M15" s="49">
        <v>948725.11500000011</v>
      </c>
      <c r="O15" s="2" t="s">
        <v>143</v>
      </c>
      <c r="P15" s="15"/>
      <c r="Q15" s="15"/>
      <c r="S15" s="50"/>
      <c r="T15" s="50"/>
    </row>
    <row r="16" spans="1:20" x14ac:dyDescent="0.2">
      <c r="A16" s="47"/>
      <c r="B16" s="2" t="s">
        <v>149</v>
      </c>
      <c r="F16" s="2" t="s">
        <v>148</v>
      </c>
      <c r="J16" s="48">
        <f>SUM(L16:M16)</f>
        <v>95951.65</v>
      </c>
      <c r="L16" s="49">
        <v>6138.43</v>
      </c>
      <c r="M16" s="49">
        <v>89813.22</v>
      </c>
      <c r="O16" s="2" t="s">
        <v>144</v>
      </c>
      <c r="P16" s="15"/>
      <c r="Q16" s="15"/>
    </row>
    <row r="17" spans="1:17" x14ac:dyDescent="0.2">
      <c r="A17" s="47"/>
      <c r="J17" s="50"/>
      <c r="P17" s="15"/>
      <c r="Q17" s="15"/>
    </row>
    <row r="18" spans="1:17" x14ac:dyDescent="0.2">
      <c r="A18" s="47"/>
      <c r="B18" s="72" t="s">
        <v>139</v>
      </c>
      <c r="J18" s="50"/>
      <c r="O18" s="15"/>
      <c r="P18" s="15"/>
      <c r="Q18" s="15"/>
    </row>
    <row r="19" spans="1:17" x14ac:dyDescent="0.2">
      <c r="A19" s="47"/>
      <c r="B19" s="2" t="s">
        <v>150</v>
      </c>
      <c r="F19" s="2" t="s">
        <v>140</v>
      </c>
      <c r="J19" s="48">
        <f>SUM(L19:M19)</f>
        <v>6216963.4320634622</v>
      </c>
      <c r="L19" s="49">
        <v>2661475.9508377202</v>
      </c>
      <c r="M19" s="49">
        <v>3555487.481225742</v>
      </c>
      <c r="O19" s="2" t="s">
        <v>145</v>
      </c>
      <c r="P19" s="15"/>
      <c r="Q19" s="2" t="s">
        <v>141</v>
      </c>
    </row>
    <row r="20" spans="1:17" x14ac:dyDescent="0.2">
      <c r="A20" s="47"/>
      <c r="B20" s="2" t="s">
        <v>151</v>
      </c>
      <c r="F20" s="2" t="s">
        <v>140</v>
      </c>
      <c r="J20" s="48">
        <f>SUM(L20:M20)</f>
        <v>478074.69069816533</v>
      </c>
      <c r="L20" s="49">
        <v>170588.33311294575</v>
      </c>
      <c r="M20" s="49">
        <v>307486.35758521955</v>
      </c>
      <c r="O20" s="2" t="s">
        <v>146</v>
      </c>
      <c r="P20" s="15"/>
      <c r="Q20" s="2" t="s">
        <v>142</v>
      </c>
    </row>
    <row r="22" spans="1:17" x14ac:dyDescent="0.2">
      <c r="B22" s="1" t="s">
        <v>273</v>
      </c>
    </row>
    <row r="23" spans="1:17" x14ac:dyDescent="0.2">
      <c r="B23" s="2" t="s">
        <v>134</v>
      </c>
      <c r="F23" s="2" t="s">
        <v>127</v>
      </c>
      <c r="L23" s="46">
        <v>0.25</v>
      </c>
      <c r="M23" s="46">
        <v>0.25</v>
      </c>
      <c r="O23" s="2" t="s">
        <v>85</v>
      </c>
      <c r="Q23" s="2" t="s">
        <v>378</v>
      </c>
    </row>
    <row r="24" spans="1:17" x14ac:dyDescent="0.2">
      <c r="B24" s="2" t="s">
        <v>135</v>
      </c>
      <c r="F24" s="2" t="s">
        <v>127</v>
      </c>
      <c r="L24" s="46">
        <v>0</v>
      </c>
      <c r="M24" s="46">
        <v>0.5</v>
      </c>
      <c r="O24" s="2" t="s">
        <v>85</v>
      </c>
      <c r="Q24" s="2" t="s">
        <v>378</v>
      </c>
    </row>
    <row r="26" spans="1:17" s="8" customFormat="1" x14ac:dyDescent="0.2">
      <c r="B26" s="8" t="s">
        <v>276</v>
      </c>
    </row>
    <row r="28" spans="1:17" x14ac:dyDescent="0.2">
      <c r="A28" s="47"/>
      <c r="B28" s="20" t="s">
        <v>154</v>
      </c>
    </row>
    <row r="29" spans="1:17" s="21" customFormat="1" x14ac:dyDescent="0.2">
      <c r="A29" s="47"/>
      <c r="B29" s="21" t="s">
        <v>34</v>
      </c>
      <c r="F29" s="21" t="s">
        <v>155</v>
      </c>
      <c r="L29" s="21" t="s">
        <v>156</v>
      </c>
      <c r="M29" s="21" t="s">
        <v>157</v>
      </c>
    </row>
    <row r="30" spans="1:17" x14ac:dyDescent="0.2">
      <c r="A30" s="47"/>
      <c r="B30" s="2" t="s">
        <v>228</v>
      </c>
      <c r="F30" s="2" t="s">
        <v>155</v>
      </c>
      <c r="L30" s="24">
        <v>9249558.7100000028</v>
      </c>
      <c r="M30" s="49">
        <v>12622.684615384615</v>
      </c>
      <c r="O30" s="2" t="s">
        <v>385</v>
      </c>
    </row>
    <row r="31" spans="1:17" x14ac:dyDescent="0.2">
      <c r="A31" s="47"/>
    </row>
    <row r="32" spans="1:17" x14ac:dyDescent="0.2">
      <c r="A32" s="47"/>
      <c r="B32" s="2" t="s">
        <v>280</v>
      </c>
      <c r="F32" s="2" t="s">
        <v>127</v>
      </c>
      <c r="L32" s="59"/>
      <c r="M32" s="71">
        <v>7.6130336816900929E-2</v>
      </c>
      <c r="O32" s="2" t="s">
        <v>386</v>
      </c>
    </row>
    <row r="34" spans="1:17" s="8" customFormat="1" x14ac:dyDescent="0.2">
      <c r="B34" s="8" t="s">
        <v>166</v>
      </c>
      <c r="O34" s="55"/>
    </row>
    <row r="35" spans="1:17" x14ac:dyDescent="0.2">
      <c r="A35" s="47"/>
      <c r="O35" s="15"/>
    </row>
    <row r="36" spans="1:17" x14ac:dyDescent="0.2">
      <c r="A36" s="47"/>
      <c r="B36" s="1" t="s">
        <v>259</v>
      </c>
      <c r="H36" s="15"/>
      <c r="O36" s="15"/>
    </row>
    <row r="37" spans="1:17" x14ac:dyDescent="0.2">
      <c r="A37" s="47"/>
      <c r="B37" s="2" t="s">
        <v>111</v>
      </c>
      <c r="F37" s="2" t="s">
        <v>108</v>
      </c>
      <c r="H37" s="15"/>
      <c r="L37" s="51"/>
      <c r="M37" s="67">
        <v>283.75294317604641</v>
      </c>
      <c r="O37" s="2" t="s">
        <v>213</v>
      </c>
      <c r="P37" s="15"/>
      <c r="Q37" s="15"/>
    </row>
    <row r="38" spans="1:17" x14ac:dyDescent="0.2">
      <c r="A38" s="47"/>
      <c r="B38" s="2" t="s">
        <v>112</v>
      </c>
      <c r="F38" s="2" t="s">
        <v>108</v>
      </c>
      <c r="H38" s="15"/>
      <c r="L38" s="51"/>
      <c r="M38" s="67">
        <v>318.14168154269987</v>
      </c>
      <c r="O38" s="2" t="s">
        <v>214</v>
      </c>
      <c r="P38" s="15"/>
      <c r="Q38" s="15"/>
    </row>
    <row r="39" spans="1:17" x14ac:dyDescent="0.2">
      <c r="A39" s="47"/>
      <c r="B39" s="2" t="s">
        <v>167</v>
      </c>
      <c r="F39" s="2" t="s">
        <v>108</v>
      </c>
      <c r="L39" s="51"/>
      <c r="M39" s="67">
        <v>90.511159381031845</v>
      </c>
      <c r="O39" s="2" t="s">
        <v>215</v>
      </c>
      <c r="P39" s="15"/>
      <c r="Q39" s="15"/>
    </row>
    <row r="40" spans="1:17" x14ac:dyDescent="0.2">
      <c r="A40" s="47"/>
      <c r="P40" s="15"/>
      <c r="Q40" s="15"/>
    </row>
    <row r="41" spans="1:17" x14ac:dyDescent="0.2">
      <c r="A41" s="47"/>
      <c r="B41" s="2" t="s">
        <v>168</v>
      </c>
      <c r="F41" s="2" t="s">
        <v>108</v>
      </c>
      <c r="L41" s="51"/>
      <c r="M41" s="26">
        <v>25</v>
      </c>
      <c r="O41" s="2" t="s">
        <v>216</v>
      </c>
      <c r="P41" s="15"/>
    </row>
    <row r="42" spans="1:17" x14ac:dyDescent="0.2">
      <c r="A42" s="47"/>
      <c r="B42" s="56"/>
      <c r="F42" s="56"/>
      <c r="H42" s="57"/>
      <c r="O42" s="15"/>
    </row>
    <row r="43" spans="1:17" s="8" customFormat="1" x14ac:dyDescent="0.2">
      <c r="B43" s="8" t="s">
        <v>160</v>
      </c>
      <c r="O43" s="55"/>
    </row>
    <row r="45" spans="1:17" ht="12.75" customHeight="1" x14ac:dyDescent="0.2">
      <c r="A45" s="47"/>
      <c r="B45" s="2" t="s">
        <v>173</v>
      </c>
      <c r="F45" s="2" t="s">
        <v>161</v>
      </c>
      <c r="H45" s="85">
        <v>4.2187700000000001</v>
      </c>
      <c r="N45" s="19"/>
      <c r="O45" s="2" t="s">
        <v>364</v>
      </c>
    </row>
    <row r="46" spans="1:17" x14ac:dyDescent="0.2">
      <c r="A46" s="47"/>
      <c r="B46" s="2" t="s">
        <v>162</v>
      </c>
      <c r="H46" s="53">
        <v>3.7854117839999999</v>
      </c>
    </row>
    <row r="47" spans="1:17" ht="12.75" customHeight="1" x14ac:dyDescent="0.2">
      <c r="A47" s="47"/>
      <c r="B47" s="2" t="s">
        <v>172</v>
      </c>
      <c r="F47" s="2" t="s">
        <v>163</v>
      </c>
      <c r="H47" s="54">
        <f>H45/H46</f>
        <v>1.1144811293269858</v>
      </c>
      <c r="O47" s="2" t="s">
        <v>164</v>
      </c>
    </row>
    <row r="67" spans="2:2" x14ac:dyDescent="0.2">
      <c r="B67" s="4" t="s">
        <v>62</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5474-957A-4E49-8CCA-6A66AC261DE3}">
  <sheetPr>
    <tabColor rgb="FFE1FFE1"/>
  </sheetPr>
  <dimension ref="A2:T52"/>
  <sheetViews>
    <sheetView showGridLines="0" zoomScale="84" zoomScaleNormal="84"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42.85546875" style="2" customWidth="1"/>
    <col min="16" max="16" width="2.7109375" style="2" customWidth="1"/>
    <col min="17" max="17" width="13.7109375" style="2" customWidth="1"/>
    <col min="18" max="18" width="2.7109375" style="2" customWidth="1"/>
    <col min="19" max="33" width="13.7109375" style="2" customWidth="1"/>
    <col min="34" max="16384" width="9.140625" style="2"/>
  </cols>
  <sheetData>
    <row r="2" spans="1:17" s="14" customFormat="1" ht="18" x14ac:dyDescent="0.2">
      <c r="B2" s="14" t="s">
        <v>153</v>
      </c>
    </row>
    <row r="4" spans="1:17" x14ac:dyDescent="0.2">
      <c r="B4" s="1" t="s">
        <v>136</v>
      </c>
      <c r="C4" s="1"/>
      <c r="D4" s="1"/>
    </row>
    <row r="5" spans="1:17" x14ac:dyDescent="0.2">
      <c r="B5" s="2" t="s">
        <v>387</v>
      </c>
      <c r="C5" s="3"/>
      <c r="D5" s="3"/>
      <c r="H5" s="15"/>
    </row>
    <row r="7" spans="1:17" s="8" customFormat="1" x14ac:dyDescent="0.2">
      <c r="B7" s="8" t="s">
        <v>11</v>
      </c>
      <c r="F7" s="8" t="s">
        <v>34</v>
      </c>
      <c r="H7" s="8" t="s">
        <v>35</v>
      </c>
      <c r="J7" s="8" t="s">
        <v>36</v>
      </c>
      <c r="L7" s="8" t="s">
        <v>114</v>
      </c>
      <c r="M7" s="8" t="s">
        <v>96</v>
      </c>
      <c r="O7" s="8" t="s">
        <v>38</v>
      </c>
      <c r="Q7" s="8" t="s">
        <v>115</v>
      </c>
    </row>
    <row r="10" spans="1:17" s="8" customFormat="1" x14ac:dyDescent="0.2">
      <c r="B10" s="8" t="s">
        <v>279</v>
      </c>
    </row>
    <row r="11" spans="1:17" x14ac:dyDescent="0.2">
      <c r="A11" s="47"/>
      <c r="Q11" s="15"/>
    </row>
    <row r="12" spans="1:17" x14ac:dyDescent="0.2">
      <c r="A12" s="47"/>
      <c r="B12" s="1" t="s">
        <v>251</v>
      </c>
      <c r="O12" s="15"/>
    </row>
    <row r="13" spans="1:17" x14ac:dyDescent="0.2">
      <c r="A13" s="47"/>
      <c r="B13" s="2" t="s">
        <v>252</v>
      </c>
      <c r="F13" s="2" t="s">
        <v>158</v>
      </c>
      <c r="L13" s="49">
        <v>3476095</v>
      </c>
      <c r="M13" s="51"/>
      <c r="O13" s="2" t="s">
        <v>369</v>
      </c>
      <c r="Q13" s="2" t="s">
        <v>366</v>
      </c>
    </row>
    <row r="14" spans="1:17" x14ac:dyDescent="0.2">
      <c r="A14" s="47"/>
      <c r="B14" s="2" t="s">
        <v>253</v>
      </c>
      <c r="F14" s="2" t="s">
        <v>158</v>
      </c>
      <c r="L14" s="49">
        <v>6275489.2400000002</v>
      </c>
      <c r="M14" s="51"/>
      <c r="O14" s="2" t="s">
        <v>369</v>
      </c>
      <c r="Q14" s="2" t="s">
        <v>366</v>
      </c>
    </row>
    <row r="15" spans="1:17" x14ac:dyDescent="0.2">
      <c r="A15" s="47"/>
      <c r="B15" s="2" t="s">
        <v>254</v>
      </c>
      <c r="F15" s="2" t="s">
        <v>158</v>
      </c>
      <c r="L15" s="49">
        <v>168984.572580846</v>
      </c>
      <c r="M15" s="51"/>
      <c r="O15" s="2" t="s">
        <v>346</v>
      </c>
    </row>
    <row r="16" spans="1:17" x14ac:dyDescent="0.2">
      <c r="A16" s="47"/>
      <c r="B16" s="2" t="s">
        <v>226</v>
      </c>
      <c r="F16" s="2" t="s">
        <v>158</v>
      </c>
      <c r="L16" s="48">
        <f>L13+L14-L15</f>
        <v>9582599.6674191542</v>
      </c>
      <c r="M16" s="51"/>
      <c r="O16" s="15"/>
    </row>
    <row r="17" spans="1:20" x14ac:dyDescent="0.2">
      <c r="A17" s="47"/>
      <c r="B17" s="2" t="s">
        <v>255</v>
      </c>
      <c r="F17" s="2" t="s">
        <v>127</v>
      </c>
      <c r="L17" s="52">
        <f>L14/(L15+L16)</f>
        <v>0.64353535646634585</v>
      </c>
      <c r="M17" s="51"/>
      <c r="O17" s="15"/>
    </row>
    <row r="18" spans="1:20" x14ac:dyDescent="0.2">
      <c r="A18" s="47"/>
      <c r="B18" s="2" t="s">
        <v>258</v>
      </c>
      <c r="F18" s="2" t="s">
        <v>159</v>
      </c>
      <c r="L18" s="106">
        <v>0.25338144096032705</v>
      </c>
      <c r="M18" s="51"/>
      <c r="O18" s="2" t="s">
        <v>257</v>
      </c>
    </row>
    <row r="19" spans="1:20" x14ac:dyDescent="0.2">
      <c r="A19" s="47"/>
      <c r="O19" s="15"/>
    </row>
    <row r="20" spans="1:20" x14ac:dyDescent="0.2">
      <c r="A20" s="47"/>
      <c r="B20" s="1" t="s">
        <v>165</v>
      </c>
      <c r="O20" s="15"/>
    </row>
    <row r="21" spans="1:20" x14ac:dyDescent="0.2">
      <c r="A21" s="47"/>
      <c r="B21" s="2" t="s">
        <v>256</v>
      </c>
      <c r="F21" s="2" t="s">
        <v>127</v>
      </c>
      <c r="L21" s="51"/>
      <c r="M21" s="44">
        <v>7.1099335923111406E-2</v>
      </c>
      <c r="O21" s="2" t="s">
        <v>388</v>
      </c>
    </row>
    <row r="22" spans="1:20" x14ac:dyDescent="0.2">
      <c r="A22" s="47"/>
      <c r="O22" s="15"/>
    </row>
    <row r="23" spans="1:20" s="8" customFormat="1" x14ac:dyDescent="0.2">
      <c r="B23" s="8" t="s">
        <v>169</v>
      </c>
      <c r="O23" s="55"/>
    </row>
    <row r="24" spans="1:20" x14ac:dyDescent="0.2">
      <c r="A24" s="47"/>
      <c r="B24" s="4" t="s">
        <v>170</v>
      </c>
      <c r="O24" s="15"/>
    </row>
    <row r="25" spans="1:20" x14ac:dyDescent="0.2">
      <c r="A25" s="47"/>
      <c r="O25" s="15"/>
    </row>
    <row r="26" spans="1:20" ht="12" customHeight="1" x14ac:dyDescent="0.2">
      <c r="A26" s="47"/>
      <c r="B26" s="1" t="s">
        <v>260</v>
      </c>
      <c r="O26" s="15"/>
    </row>
    <row r="27" spans="1:20" x14ac:dyDescent="0.2">
      <c r="A27" s="47"/>
      <c r="B27" s="58">
        <v>3.2</v>
      </c>
      <c r="F27" s="2" t="s">
        <v>171</v>
      </c>
      <c r="L27" s="51"/>
      <c r="M27" s="49">
        <v>97</v>
      </c>
      <c r="O27" s="2" t="s">
        <v>367</v>
      </c>
    </row>
    <row r="28" spans="1:20" x14ac:dyDescent="0.2">
      <c r="A28" s="47"/>
      <c r="B28" s="58">
        <v>7.7</v>
      </c>
      <c r="F28" s="2" t="s">
        <v>171</v>
      </c>
      <c r="L28" s="51"/>
      <c r="M28" s="49">
        <v>1100</v>
      </c>
    </row>
    <row r="29" spans="1:20" x14ac:dyDescent="0.2">
      <c r="A29" s="47"/>
      <c r="B29" s="58">
        <v>13.3</v>
      </c>
      <c r="F29" s="2" t="s">
        <v>171</v>
      </c>
      <c r="L29" s="51"/>
      <c r="M29" s="49">
        <v>110</v>
      </c>
    </row>
    <row r="30" spans="1:20" x14ac:dyDescent="0.2">
      <c r="A30" s="47"/>
      <c r="B30" s="58">
        <v>18.3</v>
      </c>
      <c r="F30" s="2" t="s">
        <v>171</v>
      </c>
      <c r="L30" s="51"/>
      <c r="M30" s="49">
        <v>21</v>
      </c>
    </row>
    <row r="31" spans="1:20" x14ac:dyDescent="0.2">
      <c r="A31" s="47"/>
      <c r="B31" s="58">
        <v>23.3</v>
      </c>
      <c r="F31" s="2" t="s">
        <v>171</v>
      </c>
      <c r="L31" s="51"/>
      <c r="M31" s="49">
        <v>27</v>
      </c>
    </row>
    <row r="32" spans="1:20" x14ac:dyDescent="0.2">
      <c r="A32" s="47"/>
      <c r="B32" s="58">
        <v>28.3</v>
      </c>
      <c r="F32" s="2" t="s">
        <v>171</v>
      </c>
      <c r="L32" s="51"/>
      <c r="M32" s="49">
        <v>12</v>
      </c>
      <c r="T32" s="80"/>
    </row>
    <row r="33" spans="1:17" x14ac:dyDescent="0.2">
      <c r="A33" s="47"/>
      <c r="B33" s="58">
        <v>38.299999999999997</v>
      </c>
      <c r="F33" s="2" t="s">
        <v>171</v>
      </c>
      <c r="L33" s="51"/>
      <c r="M33" s="49">
        <v>12</v>
      </c>
    </row>
    <row r="34" spans="1:17" x14ac:dyDescent="0.2">
      <c r="A34" s="47"/>
      <c r="B34" s="58">
        <v>48.3</v>
      </c>
      <c r="F34" s="2" t="s">
        <v>171</v>
      </c>
      <c r="L34" s="51"/>
      <c r="M34" s="49">
        <v>2</v>
      </c>
    </row>
    <row r="35" spans="1:17" x14ac:dyDescent="0.2">
      <c r="A35" s="47"/>
      <c r="B35" s="58">
        <v>63.3</v>
      </c>
      <c r="F35" s="2" t="s">
        <v>171</v>
      </c>
      <c r="L35" s="51"/>
      <c r="M35" s="49">
        <v>3</v>
      </c>
    </row>
    <row r="36" spans="1:17" x14ac:dyDescent="0.2">
      <c r="A36" s="47"/>
      <c r="B36" s="58">
        <v>78.3</v>
      </c>
      <c r="F36" s="2" t="s">
        <v>171</v>
      </c>
      <c r="L36" s="51"/>
      <c r="M36" s="49">
        <v>2</v>
      </c>
    </row>
    <row r="37" spans="1:17" x14ac:dyDescent="0.2">
      <c r="A37" s="47"/>
      <c r="B37" s="58">
        <v>83.3</v>
      </c>
      <c r="F37" s="2" t="s">
        <v>171</v>
      </c>
      <c r="L37" s="51"/>
      <c r="M37" s="49">
        <v>1</v>
      </c>
    </row>
    <row r="38" spans="1:17" x14ac:dyDescent="0.2">
      <c r="A38" s="47"/>
      <c r="B38" s="58">
        <v>93.3</v>
      </c>
      <c r="F38" s="2" t="s">
        <v>171</v>
      </c>
      <c r="L38" s="51"/>
      <c r="M38" s="49">
        <v>1</v>
      </c>
    </row>
    <row r="39" spans="1:17" x14ac:dyDescent="0.2">
      <c r="A39" s="47"/>
      <c r="B39" s="58">
        <v>98.3</v>
      </c>
      <c r="F39" s="2" t="s">
        <v>171</v>
      </c>
      <c r="L39" s="51"/>
      <c r="M39" s="49">
        <v>0</v>
      </c>
    </row>
    <row r="40" spans="1:17" x14ac:dyDescent="0.2">
      <c r="A40" s="47"/>
      <c r="B40" s="58">
        <v>100</v>
      </c>
      <c r="F40" s="2" t="s">
        <v>171</v>
      </c>
      <c r="L40" s="51"/>
      <c r="M40" s="49">
        <v>0</v>
      </c>
    </row>
    <row r="41" spans="1:17" x14ac:dyDescent="0.2">
      <c r="A41" s="47"/>
      <c r="B41" s="58">
        <v>125</v>
      </c>
      <c r="F41" s="2" t="s">
        <v>171</v>
      </c>
      <c r="L41" s="51"/>
      <c r="M41" s="49">
        <v>2</v>
      </c>
      <c r="Q41" s="83"/>
    </row>
    <row r="42" spans="1:17" x14ac:dyDescent="0.2">
      <c r="A42" s="47"/>
      <c r="B42" s="58">
        <v>150</v>
      </c>
      <c r="F42" s="2" t="s">
        <v>171</v>
      </c>
      <c r="L42" s="51"/>
      <c r="M42" s="49">
        <v>2</v>
      </c>
    </row>
    <row r="43" spans="1:17" x14ac:dyDescent="0.2">
      <c r="A43" s="47"/>
      <c r="B43" s="58">
        <v>350</v>
      </c>
      <c r="F43" s="2" t="s">
        <v>171</v>
      </c>
      <c r="L43" s="51"/>
      <c r="M43" s="49">
        <v>1</v>
      </c>
    </row>
    <row r="44" spans="1:17" x14ac:dyDescent="0.2">
      <c r="A44" s="47"/>
    </row>
    <row r="45" spans="1:17" x14ac:dyDescent="0.2">
      <c r="A45" s="47"/>
      <c r="B45" s="2" t="s">
        <v>261</v>
      </c>
      <c r="F45" s="2" t="s">
        <v>157</v>
      </c>
      <c r="L45" s="51"/>
      <c r="M45" s="48">
        <f>SUMPRODUCT(B27:B43,M27:M43)</f>
        <v>13575.699999999999</v>
      </c>
    </row>
    <row r="46" spans="1:17" x14ac:dyDescent="0.2">
      <c r="A46" s="47"/>
    </row>
    <row r="47" spans="1:17" x14ac:dyDescent="0.2">
      <c r="A47" s="47"/>
    </row>
    <row r="48" spans="1:17" x14ac:dyDescent="0.2">
      <c r="A48" s="47"/>
      <c r="B48" s="4" t="s">
        <v>62</v>
      </c>
    </row>
    <row r="49" spans="1:1" x14ac:dyDescent="0.2">
      <c r="A49" s="47"/>
    </row>
    <row r="50" spans="1:1" x14ac:dyDescent="0.2">
      <c r="A50" s="47"/>
    </row>
    <row r="51" spans="1:1" x14ac:dyDescent="0.2">
      <c r="A51" s="47"/>
    </row>
    <row r="52" spans="1:1" x14ac:dyDescent="0.2">
      <c r="A52" s="4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B546-EA87-46A4-A940-79910C75B6E8}">
  <sheetPr>
    <tabColor rgb="FFE1FFE1"/>
  </sheetPr>
  <dimension ref="A2:Q37"/>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6.7109375" style="2" customWidth="1"/>
    <col min="16" max="16" width="2.7109375" style="2" customWidth="1"/>
    <col min="17" max="17" width="13.7109375" style="2" customWidth="1"/>
    <col min="18" max="18" width="2.7109375" style="2" customWidth="1"/>
    <col min="19" max="33" width="13.7109375" style="2" customWidth="1"/>
    <col min="34" max="16384" width="9.140625" style="2"/>
  </cols>
  <sheetData>
    <row r="2" spans="1:17" s="14" customFormat="1" ht="18" x14ac:dyDescent="0.2">
      <c r="B2" s="14" t="s">
        <v>174</v>
      </c>
    </row>
    <row r="4" spans="1:17" x14ac:dyDescent="0.2">
      <c r="B4" s="1" t="s">
        <v>136</v>
      </c>
      <c r="C4" s="1"/>
      <c r="D4" s="1"/>
    </row>
    <row r="5" spans="1:17" x14ac:dyDescent="0.2">
      <c r="B5" s="2" t="s">
        <v>281</v>
      </c>
      <c r="C5" s="3"/>
      <c r="D5" s="3"/>
      <c r="H5" s="15"/>
    </row>
    <row r="6" spans="1:17" x14ac:dyDescent="0.2">
      <c r="B6" s="2" t="s">
        <v>282</v>
      </c>
      <c r="C6" s="3"/>
      <c r="D6" s="3"/>
      <c r="H6" s="15"/>
    </row>
    <row r="8" spans="1:17" s="8" customFormat="1" x14ac:dyDescent="0.2">
      <c r="B8" s="8" t="s">
        <v>11</v>
      </c>
      <c r="F8" s="8" t="s">
        <v>34</v>
      </c>
      <c r="H8" s="8" t="s">
        <v>35</v>
      </c>
      <c r="J8" s="8" t="s">
        <v>36</v>
      </c>
      <c r="L8" s="8" t="s">
        <v>114</v>
      </c>
      <c r="M8" s="8" t="s">
        <v>96</v>
      </c>
      <c r="O8" s="8" t="s">
        <v>38</v>
      </c>
      <c r="Q8" s="8" t="s">
        <v>115</v>
      </c>
    </row>
    <row r="11" spans="1:17" s="8" customFormat="1" x14ac:dyDescent="0.2">
      <c r="B11" s="8" t="s">
        <v>283</v>
      </c>
    </row>
    <row r="12" spans="1:17" x14ac:dyDescent="0.2">
      <c r="A12" s="47"/>
    </row>
    <row r="13" spans="1:17" x14ac:dyDescent="0.2">
      <c r="A13" s="47"/>
      <c r="B13" s="1" t="s">
        <v>175</v>
      </c>
      <c r="P13" s="15"/>
      <c r="Q13" s="15"/>
    </row>
    <row r="14" spans="1:17" x14ac:dyDescent="0.2">
      <c r="A14" s="47"/>
      <c r="B14" s="2" t="s">
        <v>176</v>
      </c>
      <c r="F14" s="2" t="s">
        <v>148</v>
      </c>
      <c r="L14" s="49">
        <v>256543.87696027383</v>
      </c>
      <c r="M14" s="59"/>
      <c r="O14" s="2" t="s">
        <v>177</v>
      </c>
      <c r="P14" s="15"/>
      <c r="Q14" s="15"/>
    </row>
    <row r="15" spans="1:17" x14ac:dyDescent="0.2">
      <c r="A15" s="47"/>
      <c r="B15" s="2" t="s">
        <v>220</v>
      </c>
      <c r="F15" s="2" t="s">
        <v>108</v>
      </c>
      <c r="L15" s="59"/>
      <c r="M15" s="49">
        <v>-154577.87733815797</v>
      </c>
      <c r="O15" s="2" t="s">
        <v>178</v>
      </c>
      <c r="P15" s="15"/>
      <c r="Q15" s="15"/>
    </row>
    <row r="16" spans="1:17" x14ac:dyDescent="0.2">
      <c r="A16" s="47"/>
    </row>
    <row r="17" spans="1:15" x14ac:dyDescent="0.2">
      <c r="A17" s="47"/>
      <c r="B17" s="1" t="s">
        <v>284</v>
      </c>
    </row>
    <row r="18" spans="1:15" x14ac:dyDescent="0.2">
      <c r="A18" s="47"/>
      <c r="B18" s="2" t="s">
        <v>284</v>
      </c>
      <c r="F18" s="2" t="s">
        <v>148</v>
      </c>
      <c r="L18" s="51"/>
      <c r="M18" s="26">
        <v>56666.293429392797</v>
      </c>
      <c r="O18" s="2" t="s">
        <v>350</v>
      </c>
    </row>
    <row r="20" spans="1:15" s="8" customFormat="1" x14ac:dyDescent="0.2">
      <c r="B20" s="8" t="s">
        <v>285</v>
      </c>
    </row>
    <row r="22" spans="1:15" x14ac:dyDescent="0.2">
      <c r="B22" s="1" t="s">
        <v>288</v>
      </c>
    </row>
    <row r="23" spans="1:15" x14ac:dyDescent="0.2">
      <c r="B23" s="2" t="s">
        <v>286</v>
      </c>
      <c r="F23" s="2" t="s">
        <v>148</v>
      </c>
      <c r="L23" s="26">
        <v>1437355.5271676891</v>
      </c>
      <c r="M23" s="26">
        <v>944471.16729055857</v>
      </c>
      <c r="O23" s="2" t="s">
        <v>348</v>
      </c>
    </row>
    <row r="24" spans="1:15" x14ac:dyDescent="0.2">
      <c r="B24" s="2" t="s">
        <v>287</v>
      </c>
      <c r="F24" s="2" t="s">
        <v>234</v>
      </c>
      <c r="L24" s="67">
        <v>4.4236376659090117E-2</v>
      </c>
      <c r="M24" s="67">
        <v>44.452978022270393</v>
      </c>
      <c r="O24" s="2" t="s">
        <v>349</v>
      </c>
    </row>
    <row r="26" spans="1:15" x14ac:dyDescent="0.2">
      <c r="B26" s="1" t="s">
        <v>289</v>
      </c>
    </row>
    <row r="27" spans="1:15" x14ac:dyDescent="0.2">
      <c r="B27" s="4" t="s">
        <v>34</v>
      </c>
      <c r="F27" s="4" t="s">
        <v>155</v>
      </c>
      <c r="L27" s="4" t="s">
        <v>156</v>
      </c>
      <c r="M27" s="4" t="s">
        <v>157</v>
      </c>
    </row>
    <row r="28" spans="1:15" x14ac:dyDescent="0.2">
      <c r="B28" s="2" t="s">
        <v>290</v>
      </c>
      <c r="F28" s="4" t="s">
        <v>155</v>
      </c>
      <c r="L28" s="26">
        <v>8690979.0087879095</v>
      </c>
      <c r="M28" s="26">
        <v>12031.3</v>
      </c>
      <c r="O28" s="2" t="s">
        <v>373</v>
      </c>
    </row>
    <row r="30" spans="1:15" x14ac:dyDescent="0.2">
      <c r="B30" s="2" t="s">
        <v>317</v>
      </c>
      <c r="F30" s="2" t="s">
        <v>127</v>
      </c>
      <c r="L30" s="51"/>
      <c r="M30" s="71">
        <v>7.8465168214929298E-2</v>
      </c>
      <c r="O30" s="2" t="s">
        <v>295</v>
      </c>
    </row>
    <row r="32" spans="1:15" x14ac:dyDescent="0.2">
      <c r="B32" s="1" t="s">
        <v>291</v>
      </c>
    </row>
    <row r="33" spans="2:15" x14ac:dyDescent="0.2">
      <c r="B33" s="2" t="s">
        <v>292</v>
      </c>
      <c r="F33" s="2" t="s">
        <v>293</v>
      </c>
      <c r="L33" s="73">
        <v>0.36502258597280779</v>
      </c>
      <c r="M33" s="51"/>
      <c r="O33" s="2" t="s">
        <v>296</v>
      </c>
    </row>
    <row r="34" spans="2:15" x14ac:dyDescent="0.2">
      <c r="B34" s="2" t="s">
        <v>294</v>
      </c>
      <c r="F34" s="2" t="s">
        <v>293</v>
      </c>
      <c r="L34" s="73">
        <v>0.46493825726445831</v>
      </c>
      <c r="M34" s="51"/>
      <c r="O34" s="2" t="s">
        <v>297</v>
      </c>
    </row>
    <row r="37" spans="2:15" x14ac:dyDescent="0.2">
      <c r="B37" s="4" t="s">
        <v>62</v>
      </c>
    </row>
  </sheetData>
  <phoneticPr fontId="3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Props1.xml><?xml version="1.0" encoding="utf-8"?>
<ds:datastoreItem xmlns:ds="http://schemas.openxmlformats.org/officeDocument/2006/customXml" ds:itemID="{29821432-9D6D-4FB8-B669-75517133F53E}">
  <ds:schemaRefs>
    <ds:schemaRef ds:uri="http://schemas.microsoft.com/sharepoint/events"/>
  </ds:schemaRefs>
</ds:datastoreItem>
</file>

<file path=customXml/itemProps2.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3.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Cover sheet</vt:lpstr>
      <vt:lpstr>Explanation</vt:lpstr>
      <vt:lpstr>Sources and specifics</vt:lpstr>
      <vt:lpstr>Result</vt:lpstr>
      <vt:lpstr>Input --&gt;</vt:lpstr>
      <vt:lpstr>Parameters</vt:lpstr>
      <vt:lpstr>Historical data</vt:lpstr>
      <vt:lpstr>Estimates for 2024</vt:lpstr>
      <vt:lpstr>Data for corrections</vt:lpstr>
      <vt:lpstr>Calculation corrections--&gt;</vt:lpstr>
      <vt:lpstr>Profit Sharing 2022</vt:lpstr>
      <vt:lpstr>Volume-effect 2022</vt:lpstr>
      <vt:lpstr>Overview corrections</vt:lpstr>
      <vt:lpstr>Calculation tariffs&gt;</vt:lpstr>
      <vt:lpstr>Calculation income level</vt:lpstr>
      <vt:lpstr>Calculation production</vt:lpstr>
      <vt:lpstr>Calculation distribution</vt:lpstr>
      <vt:lpstr>Dictum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2023-12-19T16:48:08Z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