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F134D2A9-0A7D-414D-9ECE-11D1AE0EEEA5}" xr6:coauthVersionLast="47" xr6:coauthVersionMax="47" xr10:uidLastSave="{00000000-0000-0000-0000-000000000000}"/>
  <bookViews>
    <workbookView xWindow="-120" yWindow="-120" windowWidth="29040" windowHeight="17640" firstSheet="3" activeTab="3" xr2:uid="{00000000-000D-0000-FFFF-FFFF00000000}"/>
  </bookViews>
  <sheets>
    <sheet name="Cover sheet" sheetId="9" r:id="rId1"/>
    <sheet name="Explanation" sheetId="10" r:id="rId2"/>
    <sheet name="Sources and specifics" sheetId="11" r:id="rId3"/>
    <sheet name="Production price 2024" sheetId="27" r:id="rId4"/>
    <sheet name="Dictum and Appendix" sheetId="28" r:id="rId5"/>
    <sheet name="Input --&gt;" sheetId="29" r:id="rId6"/>
    <sheet name="Parameters" sheetId="30" r:id="rId7"/>
    <sheet name="Est. and realized costs 2022" sheetId="31" r:id="rId8"/>
    <sheet name="Production and fuel costs 2022" sheetId="32" r:id="rId9"/>
    <sheet name="Est. production and costs 2024" sheetId="33" r:id="rId10"/>
    <sheet name="Calculations --&gt;" sheetId="34" r:id="rId11"/>
    <sheet name="Calculation RAB" sheetId="35" r:id="rId12"/>
    <sheet name="Fuel costs and income 2022" sheetId="36" r:id="rId13"/>
    <sheet name="Volume and PS corrections 2022" sheetId="37" r:id="rId14"/>
    <sheet name="Total income 2024" sheetId="3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36" l="1"/>
  <c r="O32" i="36"/>
  <c r="P32" i="36"/>
  <c r="Q32" i="36"/>
  <c r="R32" i="36"/>
  <c r="S32" i="36"/>
  <c r="T32" i="36"/>
  <c r="U32" i="36"/>
  <c r="V32" i="36"/>
  <c r="W32" i="36"/>
  <c r="X32" i="36"/>
  <c r="Y32" i="36"/>
  <c r="Y31" i="36"/>
  <c r="O31" i="36"/>
  <c r="P31" i="36"/>
  <c r="Q31" i="36"/>
  <c r="R31" i="36"/>
  <c r="S31" i="36"/>
  <c r="T31" i="36"/>
  <c r="U31" i="36"/>
  <c r="V31" i="36"/>
  <c r="W31" i="36"/>
  <c r="X31" i="36"/>
  <c r="N31" i="36"/>
  <c r="N17" i="36"/>
  <c r="O17" i="36"/>
  <c r="P17" i="36"/>
  <c r="Q17" i="36"/>
  <c r="R17" i="36"/>
  <c r="S17" i="36"/>
  <c r="T17" i="36"/>
  <c r="U17" i="36"/>
  <c r="V17" i="36"/>
  <c r="W17" i="36"/>
  <c r="X17" i="36"/>
  <c r="Y17" i="36"/>
  <c r="O16" i="36"/>
  <c r="P16" i="36"/>
  <c r="Q16" i="36"/>
  <c r="R16" i="36"/>
  <c r="S16" i="36"/>
  <c r="T16" i="36"/>
  <c r="U16" i="36"/>
  <c r="V16" i="36"/>
  <c r="W16" i="36"/>
  <c r="X16" i="36"/>
  <c r="Y16" i="36"/>
  <c r="N16" i="36"/>
  <c r="H31" i="38"/>
  <c r="H30" i="38"/>
  <c r="E23" i="28" l="1"/>
  <c r="E53" i="28" l="1"/>
  <c r="E25" i="28"/>
  <c r="E26" i="28"/>
  <c r="E24" i="28"/>
  <c r="H75" i="38"/>
  <c r="H74" i="38" l="1"/>
  <c r="H110" i="35" l="1"/>
  <c r="H249" i="35" s="1"/>
  <c r="H108" i="35"/>
  <c r="H246" i="35" s="1"/>
  <c r="H109" i="35" l="1"/>
  <c r="H244" i="35" s="1"/>
  <c r="H245" i="35" s="1"/>
  <c r="H247" i="35" l="1"/>
  <c r="H248" i="35" s="1"/>
  <c r="H250" i="35" s="1"/>
  <c r="H115" i="35" l="1"/>
  <c r="H258" i="35" s="1"/>
  <c r="H114" i="35"/>
  <c r="H118" i="35"/>
  <c r="H264" i="35" s="1"/>
  <c r="H120" i="35"/>
  <c r="H119" i="35"/>
  <c r="H123" i="35"/>
  <c r="H125" i="35"/>
  <c r="H124" i="35"/>
  <c r="H113" i="35"/>
  <c r="H49" i="36"/>
  <c r="H14" i="38"/>
  <c r="H28" i="30"/>
  <c r="H262" i="35" l="1"/>
  <c r="H269" i="35"/>
  <c r="H275" i="35"/>
  <c r="H273" i="35"/>
  <c r="H274" i="35" s="1"/>
  <c r="H278" i="35"/>
  <c r="H255" i="35"/>
  <c r="H253" i="35"/>
  <c r="H254" i="35" s="1"/>
  <c r="H21" i="35"/>
  <c r="H20" i="35"/>
  <c r="H263" i="35" l="1"/>
  <c r="H265" i="35" s="1"/>
  <c r="H266" i="35"/>
  <c r="E43" i="28"/>
  <c r="H256" i="35"/>
  <c r="H257" i="35" s="1"/>
  <c r="H259" i="35" s="1"/>
  <c r="H31" i="30"/>
  <c r="H17" i="38" s="1"/>
  <c r="H26" i="30"/>
  <c r="H30" i="30" s="1"/>
  <c r="H267" i="35" l="1"/>
  <c r="H268" i="35"/>
  <c r="H270" i="35" s="1"/>
  <c r="H29" i="30"/>
  <c r="H53" i="38" l="1"/>
  <c r="H45" i="38"/>
  <c r="H28" i="38"/>
  <c r="H27" i="38"/>
  <c r="H19" i="38"/>
  <c r="H20" i="38" s="1"/>
  <c r="H27" i="37"/>
  <c r="H19" i="37"/>
  <c r="H17" i="37"/>
  <c r="H33" i="37" s="1"/>
  <c r="H16" i="37"/>
  <c r="Y35" i="36"/>
  <c r="X35" i="36"/>
  <c r="W35" i="36"/>
  <c r="V35" i="36"/>
  <c r="U35" i="36"/>
  <c r="T35" i="36"/>
  <c r="S35" i="36"/>
  <c r="R35" i="36"/>
  <c r="Q35" i="36"/>
  <c r="P35" i="36"/>
  <c r="O35" i="36"/>
  <c r="N35" i="36"/>
  <c r="Y41" i="36"/>
  <c r="Y42" i="36" s="1"/>
  <c r="X41" i="36"/>
  <c r="X42" i="36" s="1"/>
  <c r="W41" i="36"/>
  <c r="W42" i="36" s="1"/>
  <c r="V41" i="36"/>
  <c r="U41" i="36"/>
  <c r="T41" i="36"/>
  <c r="T42" i="36" s="1"/>
  <c r="S41" i="36"/>
  <c r="S42" i="36" s="1"/>
  <c r="R41" i="36"/>
  <c r="R42" i="36" s="1"/>
  <c r="Q41" i="36"/>
  <c r="P41" i="36"/>
  <c r="P42" i="36" s="1"/>
  <c r="O41" i="36"/>
  <c r="O42" i="36" s="1"/>
  <c r="N41" i="36"/>
  <c r="Y21" i="36"/>
  <c r="X21" i="36"/>
  <c r="W21" i="36"/>
  <c r="V21" i="36"/>
  <c r="U21" i="36"/>
  <c r="T21" i="36"/>
  <c r="S21" i="36"/>
  <c r="R21" i="36"/>
  <c r="Q21" i="36"/>
  <c r="P21" i="36"/>
  <c r="O21" i="36"/>
  <c r="N21" i="36"/>
  <c r="Y20" i="36"/>
  <c r="Y23" i="36" s="1"/>
  <c r="X20" i="36"/>
  <c r="X23" i="36" s="1"/>
  <c r="W20" i="36"/>
  <c r="W23" i="36" s="1"/>
  <c r="V20" i="36"/>
  <c r="V23" i="36" s="1"/>
  <c r="U20" i="36"/>
  <c r="U23" i="36" s="1"/>
  <c r="T20" i="36"/>
  <c r="T23" i="36" s="1"/>
  <c r="S20" i="36"/>
  <c r="S23" i="36" s="1"/>
  <c r="R20" i="36"/>
  <c r="R23" i="36" s="1"/>
  <c r="Q20" i="36"/>
  <c r="Q23" i="36" s="1"/>
  <c r="P20" i="36"/>
  <c r="P23" i="36" s="1"/>
  <c r="O20" i="36"/>
  <c r="O23" i="36" s="1"/>
  <c r="N20" i="36"/>
  <c r="N23" i="36" s="1"/>
  <c r="Y45" i="36"/>
  <c r="W45" i="36"/>
  <c r="T45" i="36"/>
  <c r="S45" i="36"/>
  <c r="R45" i="36"/>
  <c r="Q45" i="36"/>
  <c r="P45" i="36"/>
  <c r="O45" i="36"/>
  <c r="H102" i="35"/>
  <c r="H101" i="35"/>
  <c r="H100" i="35"/>
  <c r="H97" i="35"/>
  <c r="H96" i="35"/>
  <c r="H95" i="35"/>
  <c r="H89" i="35"/>
  <c r="H88" i="35"/>
  <c r="H87" i="35"/>
  <c r="H85" i="35"/>
  <c r="H84" i="35"/>
  <c r="H83" i="35"/>
  <c r="H78" i="35"/>
  <c r="H77" i="35"/>
  <c r="H76" i="35"/>
  <c r="H71" i="35"/>
  <c r="H70" i="35"/>
  <c r="H69" i="35"/>
  <c r="H64" i="35"/>
  <c r="H63" i="35"/>
  <c r="H62" i="35"/>
  <c r="H57" i="35"/>
  <c r="H56" i="35"/>
  <c r="H55" i="35"/>
  <c r="H52" i="35"/>
  <c r="H51" i="35"/>
  <c r="H50" i="35"/>
  <c r="H43" i="35"/>
  <c r="H42" i="35"/>
  <c r="H41" i="35"/>
  <c r="H38" i="35"/>
  <c r="H37" i="35"/>
  <c r="H36" i="35"/>
  <c r="H29" i="35"/>
  <c r="H28" i="35"/>
  <c r="H27" i="35"/>
  <c r="H26" i="35"/>
  <c r="H94" i="35"/>
  <c r="H17" i="33"/>
  <c r="H18" i="33" s="1"/>
  <c r="Y25" i="32"/>
  <c r="X25" i="32"/>
  <c r="W25" i="32"/>
  <c r="V25" i="32"/>
  <c r="U25" i="32"/>
  <c r="T25" i="32"/>
  <c r="S25" i="32"/>
  <c r="R25" i="32"/>
  <c r="Q25" i="32"/>
  <c r="P25" i="32"/>
  <c r="O25" i="32"/>
  <c r="N25" i="32"/>
  <c r="J23" i="32"/>
  <c r="J22" i="32"/>
  <c r="H26" i="38"/>
  <c r="E62" i="28"/>
  <c r="E58" i="28"/>
  <c r="E57" i="28"/>
  <c r="E56" i="28"/>
  <c r="E28" i="28"/>
  <c r="E27" i="28"/>
  <c r="E22" i="28"/>
  <c r="E21" i="28"/>
  <c r="H223" i="35" l="1"/>
  <c r="H229" i="35" s="1"/>
  <c r="E59" i="28"/>
  <c r="E61" i="28" s="1"/>
  <c r="H99" i="35"/>
  <c r="H232" i="35" s="1"/>
  <c r="H238" i="35" s="1"/>
  <c r="V42" i="36"/>
  <c r="Q42" i="36"/>
  <c r="H186" i="35"/>
  <c r="H187" i="35" s="1"/>
  <c r="N42" i="36"/>
  <c r="U42" i="36"/>
  <c r="N45" i="36"/>
  <c r="U45" i="36"/>
  <c r="V45" i="36"/>
  <c r="X45" i="36"/>
  <c r="J25" i="32"/>
  <c r="H25" i="37" s="1"/>
  <c r="H52" i="38"/>
  <c r="H132" i="35"/>
  <c r="H172" i="35"/>
  <c r="H173" i="35" s="1"/>
  <c r="H209" i="35"/>
  <c r="H213" i="35" s="1"/>
  <c r="H35" i="37"/>
  <c r="H149" i="35"/>
  <c r="H198" i="35"/>
  <c r="H205" i="35" s="1"/>
  <c r="H180" i="35"/>
  <c r="H181" i="35" s="1"/>
  <c r="H34" i="37"/>
  <c r="H46" i="38"/>
  <c r="E33" i="28"/>
  <c r="H158" i="35"/>
  <c r="H159" i="35" s="1"/>
  <c r="H164" i="35"/>
  <c r="H165" i="35" s="1"/>
  <c r="H22" i="37"/>
  <c r="B17" i="10"/>
  <c r="H47" i="37" l="1"/>
  <c r="H48" i="37"/>
  <c r="E48" i="28" s="1"/>
  <c r="H133" i="35"/>
  <c r="H134" i="35" s="1"/>
  <c r="H136" i="35" s="1"/>
  <c r="H233" i="35"/>
  <c r="H234" i="35"/>
  <c r="H224" i="35"/>
  <c r="H225" i="35"/>
  <c r="H210" i="35"/>
  <c r="H199" i="35"/>
  <c r="H204" i="35"/>
  <c r="H206" i="35" s="1"/>
  <c r="H211" i="35"/>
  <c r="H200" i="35"/>
  <c r="H215" i="35"/>
  <c r="H216" i="35"/>
  <c r="H174" i="35"/>
  <c r="H175" i="35" s="1"/>
  <c r="H166" i="35"/>
  <c r="H167" i="35" s="1"/>
  <c r="H160" i="35"/>
  <c r="H161" i="35" s="1"/>
  <c r="H150" i="35"/>
  <c r="E60" i="28"/>
  <c r="H70" i="38"/>
  <c r="H37" i="37"/>
  <c r="H38" i="37" s="1"/>
  <c r="H202" i="35"/>
  <c r="H68" i="38"/>
  <c r="H16" i="38"/>
  <c r="H15" i="38"/>
  <c r="H294" i="35"/>
  <c r="H47" i="38"/>
  <c r="H16" i="27" s="1"/>
  <c r="B18" i="10"/>
  <c r="H59" i="38" l="1"/>
  <c r="H60" i="38"/>
  <c r="E37" i="28" s="1"/>
  <c r="E40" i="28"/>
  <c r="H235" i="35"/>
  <c r="H237" i="35" s="1"/>
  <c r="H226" i="35"/>
  <c r="H228" i="35" s="1"/>
  <c r="H191" i="35"/>
  <c r="H298" i="35" s="1"/>
  <c r="H192" i="35"/>
  <c r="H212" i="35"/>
  <c r="H201" i="35"/>
  <c r="H141" i="35"/>
  <c r="H140" i="35"/>
  <c r="H138" i="35"/>
  <c r="H276" i="35" s="1"/>
  <c r="H277" i="35" s="1"/>
  <c r="H279" i="35" s="1"/>
  <c r="E42" i="28" s="1"/>
  <c r="H137" i="35"/>
  <c r="H217" i="35"/>
  <c r="H305" i="35" s="1"/>
  <c r="H37" i="38" s="1"/>
  <c r="E50" i="28"/>
  <c r="H49" i="38"/>
  <c r="B19" i="10"/>
  <c r="B23" i="10" s="1"/>
  <c r="H315" i="35" l="1"/>
  <c r="H39" i="38" s="1"/>
  <c r="H299" i="35"/>
  <c r="H318" i="35" s="1"/>
  <c r="H87" i="38"/>
  <c r="H20" i="27" s="1"/>
  <c r="H142" i="35"/>
  <c r="H293" i="35" s="1"/>
  <c r="H295" i="35" s="1"/>
  <c r="H139" i="35"/>
  <c r="H81" i="38"/>
  <c r="H28" i="27" s="1"/>
  <c r="E67" i="28" s="1"/>
  <c r="E36" i="28"/>
  <c r="H300" i="35" l="1"/>
  <c r="H317" i="35"/>
  <c r="E32" i="28"/>
  <c r="E39" i="28"/>
  <c r="H310" i="35"/>
  <c r="E63" i="28"/>
  <c r="H36" i="38"/>
  <c r="H287" i="35"/>
  <c r="H23" i="37" s="1"/>
  <c r="H41" i="37" s="1"/>
  <c r="H54" i="37" s="1"/>
  <c r="H55" i="37" s="1"/>
  <c r="E49" i="28" s="1"/>
  <c r="E31" i="28"/>
  <c r="H35" i="38"/>
  <c r="H38" i="38" l="1"/>
  <c r="H319" i="35"/>
  <c r="H69" i="38"/>
  <c r="H71" i="38" s="1"/>
  <c r="H61" i="38" l="1"/>
  <c r="H62" i="38" s="1"/>
  <c r="E44" i="28" l="1"/>
  <c r="H65" i="38"/>
  <c r="H77" i="38" s="1"/>
  <c r="E45" i="28"/>
  <c r="H27" i="27"/>
  <c r="H15" i="27" l="1"/>
  <c r="H17" i="27" s="1"/>
  <c r="H18" i="27" s="1"/>
  <c r="E11" i="28" l="1"/>
  <c r="H22" i="27"/>
  <c r="H23" i="27" s="1"/>
  <c r="E64"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3"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29" authorId="0" shapeId="0" xr:uid="{AAA6782E-8833-4455-B98F-118FBFBCF491}">
      <text>
        <r>
          <rPr>
            <sz val="9"/>
            <color indexed="81"/>
            <rFont val="Tahoma"/>
            <family val="2"/>
          </rPr>
          <t xml:space="preserve">Change made to this cell due to confidentiality.
</t>
        </r>
      </text>
    </comment>
    <comment ref="H30" authorId="0" shapeId="0" xr:uid="{326B1CBB-F039-48B5-AFE7-F2FFFED61009}">
      <text>
        <r>
          <rPr>
            <sz val="9"/>
            <color indexed="81"/>
            <rFont val="Tahoma"/>
            <family val="2"/>
          </rPr>
          <t xml:space="preserve">Change made to this cell due to confidentiality.
</t>
        </r>
      </text>
    </comment>
    <comment ref="H31" authorId="0" shapeId="0" xr:uid="{55FB0819-A6EA-45DB-88DA-43D19FB4C393}">
      <text>
        <r>
          <rPr>
            <sz val="9"/>
            <color indexed="81"/>
            <rFont val="Tahoma"/>
            <family val="2"/>
          </rPr>
          <t xml:space="preserve">Change made to this cell due to confidentiality.
</t>
        </r>
      </text>
    </comment>
    <comment ref="H32" authorId="0" shapeId="0" xr:uid="{7E14DC60-2568-483C-A847-944F2BB5098C}">
      <text>
        <r>
          <rPr>
            <sz val="9"/>
            <color indexed="81"/>
            <rFont val="Tahoma"/>
            <family val="2"/>
          </rPr>
          <t>Change made to this cell due to confidentiality.</t>
        </r>
      </text>
    </comment>
    <comment ref="H103" authorId="0" shapeId="0" xr:uid="{6EBB02BC-3CDE-4861-A6C3-7A74B771890E}">
      <text>
        <r>
          <rPr>
            <sz val="9"/>
            <color indexed="81"/>
            <rFont val="Tahoma"/>
            <family val="2"/>
          </rPr>
          <t xml:space="preserve">Change made to this cell due to confidentiality.
</t>
        </r>
      </text>
    </comment>
    <comment ref="H104" authorId="0" shapeId="0" xr:uid="{7E122D2E-B4B2-4726-9CAB-8FBE7E31E619}">
      <text>
        <r>
          <rPr>
            <sz val="9"/>
            <color indexed="81"/>
            <rFont val="Tahoma"/>
            <family val="2"/>
          </rPr>
          <t xml:space="preserve">Change made to this cell due to confidentiality.
</t>
        </r>
      </text>
    </comment>
    <comment ref="H105" authorId="0" shapeId="0" xr:uid="{E5A4F98B-7B55-4955-B2AF-4010C37621A5}">
      <text>
        <r>
          <rPr>
            <sz val="9"/>
            <color indexed="81"/>
            <rFont val="Tahoma"/>
            <family val="2"/>
          </rPr>
          <t xml:space="preserve">Change made to this cell due to confidentiality.
</t>
        </r>
      </text>
    </comment>
    <comment ref="H107" authorId="0" shapeId="0" xr:uid="{949E8672-D81E-485D-8327-1533D2C87FBE}">
      <text>
        <r>
          <rPr>
            <sz val="9"/>
            <color indexed="81"/>
            <rFont val="Tahoma"/>
            <family val="2"/>
          </rPr>
          <t xml:space="preserve">Change made to this cell due to confidentiality.
</t>
        </r>
      </text>
    </comment>
    <comment ref="H108" authorId="0" shapeId="0" xr:uid="{D580E284-9C75-4479-91CB-02B264FD6702}">
      <text>
        <r>
          <rPr>
            <sz val="9"/>
            <color indexed="81"/>
            <rFont val="Tahoma"/>
            <family val="2"/>
          </rPr>
          <t xml:space="preserve">Change made to this cell due to confidentiality.
</t>
        </r>
      </text>
    </comment>
    <comment ref="H109" authorId="0" shapeId="0" xr:uid="{004C541B-5586-4332-9F6E-32C516E9F129}">
      <text>
        <r>
          <rPr>
            <sz val="9"/>
            <color indexed="81"/>
            <rFont val="Tahoma"/>
            <family val="2"/>
          </rPr>
          <t xml:space="preserve">Change made to this cell due to confidentiality.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N18" authorId="0" shapeId="0" xr:uid="{CFB1319E-5FA5-4EA1-8AD4-C7AA07916B48}">
      <text>
        <r>
          <rPr>
            <sz val="9"/>
            <color indexed="81"/>
            <rFont val="Tahoma"/>
            <family val="2"/>
          </rPr>
          <t xml:space="preserve">Change made to this cell due to confidentiality.
</t>
        </r>
      </text>
    </comment>
    <comment ref="O18" authorId="0" shapeId="0" xr:uid="{EC7626BB-53F0-49FA-8D80-D0657F1D93E3}">
      <text>
        <r>
          <rPr>
            <sz val="9"/>
            <color indexed="81"/>
            <rFont val="Tahoma"/>
            <family val="2"/>
          </rPr>
          <t xml:space="preserve">Change made to this cell due to confidentiality.
</t>
        </r>
      </text>
    </comment>
    <comment ref="P18" authorId="0" shapeId="0" xr:uid="{1A0B9425-7206-4C1A-90AB-578A98AB1F98}">
      <text>
        <r>
          <rPr>
            <sz val="9"/>
            <color indexed="81"/>
            <rFont val="Tahoma"/>
            <family val="2"/>
          </rPr>
          <t xml:space="preserve">Change made to this cell due to confidentiality.
</t>
        </r>
      </text>
    </comment>
    <comment ref="Q18" authorId="0" shapeId="0" xr:uid="{9A52FCCF-FB08-43E8-B326-D7A2492062FA}">
      <text>
        <r>
          <rPr>
            <sz val="9"/>
            <color indexed="81"/>
            <rFont val="Tahoma"/>
            <family val="2"/>
          </rPr>
          <t xml:space="preserve">Change made to this cell due to confidentiality.
</t>
        </r>
      </text>
    </comment>
    <comment ref="R18" authorId="0" shapeId="0" xr:uid="{FFE6E1CE-5812-424A-9935-D6386443C108}">
      <text>
        <r>
          <rPr>
            <sz val="9"/>
            <color indexed="81"/>
            <rFont val="Tahoma"/>
            <family val="2"/>
          </rPr>
          <t xml:space="preserve">Change made to this cell due to confidentiality.
</t>
        </r>
      </text>
    </comment>
    <comment ref="S18" authorId="0" shapeId="0" xr:uid="{8DE60097-29F0-4C43-8145-84672086544E}">
      <text>
        <r>
          <rPr>
            <sz val="9"/>
            <color indexed="81"/>
            <rFont val="Tahoma"/>
            <family val="2"/>
          </rPr>
          <t xml:space="preserve">Change made to this cell due to confidentiality.
</t>
        </r>
      </text>
    </comment>
    <comment ref="T18" authorId="0" shapeId="0" xr:uid="{91A17628-48A9-4F4A-8FCE-826ED9A99CF6}">
      <text>
        <r>
          <rPr>
            <sz val="9"/>
            <color indexed="81"/>
            <rFont val="Tahoma"/>
            <family val="2"/>
          </rPr>
          <t xml:space="preserve">Change made to this cell due to confidentiality.
</t>
        </r>
      </text>
    </comment>
    <comment ref="U18" authorId="0" shapeId="0" xr:uid="{7A7C9B02-A954-4972-808A-A68D61D75FD2}">
      <text>
        <r>
          <rPr>
            <sz val="9"/>
            <color indexed="81"/>
            <rFont val="Tahoma"/>
            <family val="2"/>
          </rPr>
          <t xml:space="preserve">Change made to this cell due to confidentiality.
</t>
        </r>
      </text>
    </comment>
    <comment ref="V18" authorId="0" shapeId="0" xr:uid="{026B415C-3709-4454-A855-F2A4126BF33E}">
      <text>
        <r>
          <rPr>
            <sz val="9"/>
            <color indexed="81"/>
            <rFont val="Tahoma"/>
            <family val="2"/>
          </rPr>
          <t xml:space="preserve">Change made to this cell due to confidentiality.
</t>
        </r>
      </text>
    </comment>
    <comment ref="W18" authorId="0" shapeId="0" xr:uid="{065F575D-4F6C-4255-A834-E8AE37AF86B1}">
      <text>
        <r>
          <rPr>
            <sz val="9"/>
            <color indexed="81"/>
            <rFont val="Tahoma"/>
            <family val="2"/>
          </rPr>
          <t xml:space="preserve">Change made to this cell due to confidentiality.
</t>
        </r>
      </text>
    </comment>
    <comment ref="X18" authorId="0" shapeId="0" xr:uid="{E1969E4F-E638-4294-A84F-7F1431E7E09A}">
      <text>
        <r>
          <rPr>
            <sz val="9"/>
            <color indexed="81"/>
            <rFont val="Tahoma"/>
            <family val="2"/>
          </rPr>
          <t xml:space="preserve">Change made to this cell due to confidentiality.
</t>
        </r>
      </text>
    </comment>
    <comment ref="Y18" authorId="0" shapeId="0" xr:uid="{BF3920FC-713B-42FC-B283-C543083AAD84}">
      <text>
        <r>
          <rPr>
            <sz val="9"/>
            <color indexed="81"/>
            <rFont val="Tahoma"/>
            <family val="2"/>
          </rPr>
          <t xml:space="preserve">Change made to this cell due to confidentiality.
</t>
        </r>
      </text>
    </comment>
    <comment ref="N19" authorId="0" shapeId="0" xr:uid="{ECAC0219-6063-43E7-B658-11AD26E98767}">
      <text>
        <r>
          <rPr>
            <sz val="9"/>
            <color indexed="81"/>
            <rFont val="Tahoma"/>
            <family val="2"/>
          </rPr>
          <t xml:space="preserve">Change made to this cell due to confidentiality.
</t>
        </r>
      </text>
    </comment>
    <comment ref="O19" authorId="0" shapeId="0" xr:uid="{29FD4F24-0E10-4AE2-8538-5611F67FC82B}">
      <text>
        <r>
          <rPr>
            <sz val="9"/>
            <color indexed="81"/>
            <rFont val="Tahoma"/>
            <family val="2"/>
          </rPr>
          <t xml:space="preserve">Change made to this cell due to confidentiality.
</t>
        </r>
      </text>
    </comment>
    <comment ref="P19" authorId="0" shapeId="0" xr:uid="{F94AB01A-B299-4B51-BCD6-7FCF7F472BF4}">
      <text>
        <r>
          <rPr>
            <sz val="9"/>
            <color indexed="81"/>
            <rFont val="Tahoma"/>
            <family val="2"/>
          </rPr>
          <t xml:space="preserve">Change made to this cell due to confidentiality.
</t>
        </r>
      </text>
    </comment>
    <comment ref="Q19" authorId="0" shapeId="0" xr:uid="{6A92D4E0-859C-4CBF-A565-04AB7FF4C3D1}">
      <text>
        <r>
          <rPr>
            <sz val="9"/>
            <color indexed="81"/>
            <rFont val="Tahoma"/>
            <family val="2"/>
          </rPr>
          <t xml:space="preserve">Change made to this cell due to confidentiality.
</t>
        </r>
      </text>
    </comment>
    <comment ref="R19" authorId="0" shapeId="0" xr:uid="{2CE39FD5-BB95-4030-8B89-E496CF5E966D}">
      <text>
        <r>
          <rPr>
            <sz val="9"/>
            <color indexed="81"/>
            <rFont val="Tahoma"/>
            <family val="2"/>
          </rPr>
          <t xml:space="preserve">Change made to this cell due to confidentiality.
</t>
        </r>
      </text>
    </comment>
    <comment ref="S19" authorId="0" shapeId="0" xr:uid="{E23529CF-28D4-43F7-9FC3-1131937A0916}">
      <text>
        <r>
          <rPr>
            <sz val="9"/>
            <color indexed="81"/>
            <rFont val="Tahoma"/>
            <family val="2"/>
          </rPr>
          <t xml:space="preserve">Change made to this cell due to confidentiality.
</t>
        </r>
      </text>
    </comment>
    <comment ref="T19" authorId="0" shapeId="0" xr:uid="{B5988A30-5354-4C14-A901-87A7DA9DA7E4}">
      <text>
        <r>
          <rPr>
            <sz val="9"/>
            <color indexed="81"/>
            <rFont val="Tahoma"/>
            <family val="2"/>
          </rPr>
          <t xml:space="preserve">Change made to this cell due to confidentiality.
</t>
        </r>
      </text>
    </comment>
    <comment ref="U19" authorId="0" shapeId="0" xr:uid="{5469313E-F320-455C-901C-5F950BFC1C36}">
      <text>
        <r>
          <rPr>
            <sz val="9"/>
            <color indexed="81"/>
            <rFont val="Tahoma"/>
            <family val="2"/>
          </rPr>
          <t xml:space="preserve">Change made to this cell due to confidentiality.
</t>
        </r>
      </text>
    </comment>
    <comment ref="V19" authorId="0" shapeId="0" xr:uid="{5ACB8E59-A552-4664-99F6-20CBE8A6640B}">
      <text>
        <r>
          <rPr>
            <sz val="9"/>
            <color indexed="81"/>
            <rFont val="Tahoma"/>
            <family val="2"/>
          </rPr>
          <t xml:space="preserve">Change made to this cell due to confidentiality.
</t>
        </r>
      </text>
    </comment>
    <comment ref="W19" authorId="0" shapeId="0" xr:uid="{71FE353D-CA8C-4A1A-8286-63A7E333A757}">
      <text>
        <r>
          <rPr>
            <sz val="9"/>
            <color indexed="81"/>
            <rFont val="Tahoma"/>
            <family val="2"/>
          </rPr>
          <t xml:space="preserve">Change made to this cell due to confidentiality.
</t>
        </r>
      </text>
    </comment>
    <comment ref="X19" authorId="0" shapeId="0" xr:uid="{D268D1D0-9A3A-43CF-B66C-255046855769}">
      <text>
        <r>
          <rPr>
            <sz val="9"/>
            <color indexed="81"/>
            <rFont val="Tahoma"/>
            <family val="2"/>
          </rPr>
          <t xml:space="preserve">Change made to this cell due to confidentiality.
</t>
        </r>
      </text>
    </comment>
    <comment ref="Y19" authorId="0" shapeId="0" xr:uid="{206CE087-9847-41F5-AA67-C96FFFD1708E}">
      <text>
        <r>
          <rPr>
            <sz val="9"/>
            <color indexed="81"/>
            <rFont val="Tahoma"/>
            <family val="2"/>
          </rPr>
          <t xml:space="preserve">Change made to this cell due to confidentiality.
</t>
        </r>
      </text>
    </comment>
    <comment ref="N31" authorId="0" shapeId="0" xr:uid="{9A0807FE-41F8-46DC-8177-1E3E4651E926}">
      <text>
        <r>
          <rPr>
            <sz val="9"/>
            <color indexed="81"/>
            <rFont val="Tahoma"/>
            <family val="2"/>
          </rPr>
          <t xml:space="preserve">Change made to this cell due to confidentiality.
</t>
        </r>
      </text>
    </comment>
    <comment ref="O31" authorId="0" shapeId="0" xr:uid="{76F227D2-A68A-4946-8FFD-089D0F2E4F2E}">
      <text>
        <r>
          <rPr>
            <sz val="9"/>
            <color indexed="81"/>
            <rFont val="Tahoma"/>
            <family val="2"/>
          </rPr>
          <t xml:space="preserve">Change made to this cell due to confidentiality.
</t>
        </r>
      </text>
    </comment>
    <comment ref="P31" authorId="0" shapeId="0" xr:uid="{EF791B4D-C28B-4C6D-A8DD-1A61DA799339}">
      <text>
        <r>
          <rPr>
            <sz val="9"/>
            <color indexed="81"/>
            <rFont val="Tahoma"/>
            <family val="2"/>
          </rPr>
          <t xml:space="preserve">Change made to this cell due to confidentiality.
</t>
        </r>
      </text>
    </comment>
    <comment ref="Q31" authorId="0" shapeId="0" xr:uid="{619D58C4-484F-4262-980B-FA33A3E640A7}">
      <text>
        <r>
          <rPr>
            <sz val="9"/>
            <color indexed="81"/>
            <rFont val="Tahoma"/>
            <family val="2"/>
          </rPr>
          <t xml:space="preserve">Change made to this cell due to confidentiality.
</t>
        </r>
      </text>
    </comment>
    <comment ref="R31" authorId="0" shapeId="0" xr:uid="{C139A349-C549-4D21-BC25-FD3FAC3F5295}">
      <text>
        <r>
          <rPr>
            <sz val="9"/>
            <color indexed="81"/>
            <rFont val="Tahoma"/>
            <family val="2"/>
          </rPr>
          <t xml:space="preserve">Change made to this cell due to confidentiality.
</t>
        </r>
      </text>
    </comment>
    <comment ref="S31" authorId="0" shapeId="0" xr:uid="{6B3909ED-9291-49A9-8535-B6E47A85A092}">
      <text>
        <r>
          <rPr>
            <sz val="9"/>
            <color indexed="81"/>
            <rFont val="Tahoma"/>
            <family val="2"/>
          </rPr>
          <t xml:space="preserve">Change made to this cell due to confidentiality.
</t>
        </r>
      </text>
    </comment>
    <comment ref="T31" authorId="0" shapeId="0" xr:uid="{F7F5109D-E73F-4953-82F9-A71A6C053A9D}">
      <text>
        <r>
          <rPr>
            <sz val="9"/>
            <color indexed="81"/>
            <rFont val="Tahoma"/>
            <family val="2"/>
          </rPr>
          <t xml:space="preserve">Change made to this cell due to confidentiality.
</t>
        </r>
      </text>
    </comment>
    <comment ref="U31" authorId="0" shapeId="0" xr:uid="{18F92E4E-9B59-44EE-B57F-8B4CA302D4A5}">
      <text>
        <r>
          <rPr>
            <sz val="9"/>
            <color indexed="81"/>
            <rFont val="Tahoma"/>
            <family val="2"/>
          </rPr>
          <t xml:space="preserve">Change made to this cell due to confidentiality.
</t>
        </r>
      </text>
    </comment>
    <comment ref="V31" authorId="0" shapeId="0" xr:uid="{67BA0EAE-5BAF-4511-81B4-1D2C77CF56FA}">
      <text>
        <r>
          <rPr>
            <sz val="9"/>
            <color indexed="81"/>
            <rFont val="Tahoma"/>
            <family val="2"/>
          </rPr>
          <t xml:space="preserve">Change made to this cell due to confidentiality.
</t>
        </r>
      </text>
    </comment>
    <comment ref="W31" authorId="0" shapeId="0" xr:uid="{40D8F68F-3C16-4C2E-806C-829421C61E61}">
      <text>
        <r>
          <rPr>
            <sz val="9"/>
            <color indexed="81"/>
            <rFont val="Tahoma"/>
            <family val="2"/>
          </rPr>
          <t xml:space="preserve">Change made to this cell due to confidentiality.
</t>
        </r>
      </text>
    </comment>
    <comment ref="X31" authorId="0" shapeId="0" xr:uid="{C1BE521C-1A1A-43B7-B494-7B5D69A45AB2}">
      <text>
        <r>
          <rPr>
            <sz val="9"/>
            <color indexed="81"/>
            <rFont val="Tahoma"/>
            <family val="2"/>
          </rPr>
          <t xml:space="preserve">Change made to this cell due to confidentiality.
</t>
        </r>
      </text>
    </comment>
    <comment ref="Y31" authorId="0" shapeId="0" xr:uid="{390EB363-251C-41F5-AA6E-A335197EF9F9}">
      <text>
        <r>
          <rPr>
            <sz val="9"/>
            <color indexed="81"/>
            <rFont val="Tahoma"/>
            <family val="2"/>
          </rPr>
          <t xml:space="preserve">Change made to this cell due to confidentiality.
</t>
        </r>
      </text>
    </comment>
    <comment ref="N32" authorId="0" shapeId="0" xr:uid="{6A6D02ED-FD8B-4E6F-A0D5-265C72C63B66}">
      <text>
        <r>
          <rPr>
            <sz val="9"/>
            <color indexed="81"/>
            <rFont val="Tahoma"/>
            <family val="2"/>
          </rPr>
          <t xml:space="preserve">Change made to this cell due to confidentiality.
</t>
        </r>
      </text>
    </comment>
    <comment ref="O32" authorId="0" shapeId="0" xr:uid="{F3611E2B-45D5-4D57-BD01-504A23FF29AC}">
      <text>
        <r>
          <rPr>
            <sz val="9"/>
            <color indexed="81"/>
            <rFont val="Tahoma"/>
            <family val="2"/>
          </rPr>
          <t xml:space="preserve">Change made to this cell due to confidentiality.
</t>
        </r>
      </text>
    </comment>
    <comment ref="P32" authorId="0" shapeId="0" xr:uid="{86AE85F7-97FA-44D6-8B1D-EF695C0FE470}">
      <text>
        <r>
          <rPr>
            <sz val="9"/>
            <color indexed="81"/>
            <rFont val="Tahoma"/>
            <family val="2"/>
          </rPr>
          <t xml:space="preserve">Change made to this cell due to confidentiality.
</t>
        </r>
      </text>
    </comment>
    <comment ref="Q32" authorId="0" shapeId="0" xr:uid="{B229B53C-DB4A-44A5-A18D-C98C52CC7A22}">
      <text>
        <r>
          <rPr>
            <sz val="9"/>
            <color indexed="81"/>
            <rFont val="Tahoma"/>
            <family val="2"/>
          </rPr>
          <t xml:space="preserve">Change made to this cell due to confidentiality.
</t>
        </r>
      </text>
    </comment>
    <comment ref="R32" authorId="0" shapeId="0" xr:uid="{A05EAC52-9AE1-436D-880E-0BB97EBF7410}">
      <text>
        <r>
          <rPr>
            <sz val="9"/>
            <color indexed="81"/>
            <rFont val="Tahoma"/>
            <family val="2"/>
          </rPr>
          <t xml:space="preserve">Change made to this cell due to confidentiality.
</t>
        </r>
      </text>
    </comment>
    <comment ref="S32" authorId="0" shapeId="0" xr:uid="{EBC66EEE-6E72-4DC3-B7B5-31BD4B513F71}">
      <text>
        <r>
          <rPr>
            <sz val="9"/>
            <color indexed="81"/>
            <rFont val="Tahoma"/>
            <family val="2"/>
          </rPr>
          <t xml:space="preserve">Change made to this cell due to confidentiality.
</t>
        </r>
      </text>
    </comment>
    <comment ref="T32" authorId="0" shapeId="0" xr:uid="{85566E69-FAA7-4226-800D-C1B9FF25B63C}">
      <text>
        <r>
          <rPr>
            <sz val="9"/>
            <color indexed="81"/>
            <rFont val="Tahoma"/>
            <family val="2"/>
          </rPr>
          <t xml:space="preserve">Change made to this cell due to confidentiality.
</t>
        </r>
      </text>
    </comment>
    <comment ref="U32" authorId="0" shapeId="0" xr:uid="{1B5C9125-47D0-463A-AA20-1556A99B0DB5}">
      <text>
        <r>
          <rPr>
            <sz val="9"/>
            <color indexed="81"/>
            <rFont val="Tahoma"/>
            <family val="2"/>
          </rPr>
          <t xml:space="preserve">Change made to this cell due to confidentiality.
</t>
        </r>
      </text>
    </comment>
    <comment ref="V32" authorId="0" shapeId="0" xr:uid="{4337AD40-FB9A-4962-8F4D-B80BE5909A63}">
      <text>
        <r>
          <rPr>
            <sz val="9"/>
            <color indexed="81"/>
            <rFont val="Tahoma"/>
            <family val="2"/>
          </rPr>
          <t xml:space="preserve">Change made to this cell due to confidentiality.
</t>
        </r>
      </text>
    </comment>
    <comment ref="W32" authorId="0" shapeId="0" xr:uid="{C65AF926-BE92-444B-9642-F075437EBF54}">
      <text>
        <r>
          <rPr>
            <sz val="9"/>
            <color indexed="81"/>
            <rFont val="Tahoma"/>
            <family val="2"/>
          </rPr>
          <t xml:space="preserve">Change made to this cell due to confidentiality.
</t>
        </r>
      </text>
    </comment>
    <comment ref="X32" authorId="0" shapeId="0" xr:uid="{5847CECB-8715-4769-93E1-134477C11BC9}">
      <text>
        <r>
          <rPr>
            <sz val="9"/>
            <color indexed="81"/>
            <rFont val="Tahoma"/>
            <family val="2"/>
          </rPr>
          <t xml:space="preserve">Change made to this cell due to confidentiality.
</t>
        </r>
      </text>
    </comment>
    <comment ref="Y32" authorId="0" shapeId="0" xr:uid="{F07383FF-1C08-42FA-B6DC-1B89ABCD1DBC}">
      <text>
        <r>
          <rPr>
            <sz val="9"/>
            <color indexed="81"/>
            <rFont val="Tahoma"/>
            <family val="2"/>
          </rPr>
          <t xml:space="preserve">Change made to this cell due to confidentiality.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26" authorId="0" shapeId="0" xr:uid="{55525281-E4B5-4140-94A9-9E55C1415B42}">
      <text>
        <r>
          <rPr>
            <sz val="9"/>
            <color indexed="81"/>
            <rFont val="Tahoma"/>
            <family val="2"/>
          </rPr>
          <t xml:space="preserve">Change made to this cell due to confidentiality.
</t>
        </r>
      </text>
    </comment>
    <comment ref="H27" authorId="0" shapeId="0" xr:uid="{070CEC93-087E-4256-B695-0741873F153E}">
      <text>
        <r>
          <rPr>
            <sz val="9"/>
            <color indexed="81"/>
            <rFont val="Tahoma"/>
            <family val="2"/>
          </rPr>
          <t xml:space="preserve">Change made to this cell due to confidentiality.
</t>
        </r>
      </text>
    </comment>
    <comment ref="H28" authorId="0" shapeId="0" xr:uid="{54425B5E-4715-41B9-8052-B6C647F7564E}">
      <text>
        <r>
          <rPr>
            <sz val="9"/>
            <color indexed="81"/>
            <rFont val="Tahoma"/>
            <family val="2"/>
          </rPr>
          <t xml:space="preserve">Change made to this cell due to confidentiality.
</t>
        </r>
      </text>
    </comment>
    <comment ref="H29" authorId="0" shapeId="0" xr:uid="{D345DB0E-90A6-406A-937A-2CD918891900}">
      <text>
        <r>
          <rPr>
            <sz val="9"/>
            <color indexed="81"/>
            <rFont val="Tahoma"/>
            <family val="2"/>
          </rPr>
          <t xml:space="preserve">Change made to this cell due to confidentiality.
</t>
        </r>
      </text>
    </comment>
    <comment ref="H35" authorId="0" shapeId="0" xr:uid="{3AB0D801-A337-4093-AE01-937B6C86DFDD}">
      <text>
        <r>
          <rPr>
            <sz val="9"/>
            <color indexed="81"/>
            <rFont val="Tahoma"/>
            <family val="2"/>
          </rPr>
          <t xml:space="preserve">Change made to this cell due to confidentiality.
</t>
        </r>
      </text>
    </comment>
    <comment ref="H36" authorId="0" shapeId="0" xr:uid="{72EDE50E-7381-4DAF-9634-82AE7CA584A8}">
      <text>
        <r>
          <rPr>
            <sz val="9"/>
            <color indexed="81"/>
            <rFont val="Tahoma"/>
            <family val="2"/>
          </rPr>
          <t xml:space="preserve">Change made to this cell due to confidentiality.
</t>
        </r>
      </text>
    </comment>
    <comment ref="H37" authorId="0" shapeId="0" xr:uid="{212229BF-F75E-46E8-8174-42E8BF1277B6}">
      <text>
        <r>
          <rPr>
            <sz val="9"/>
            <color indexed="81"/>
            <rFont val="Tahoma"/>
            <family val="2"/>
          </rPr>
          <t xml:space="preserve">Change made to this cell due to confidentiality.
</t>
        </r>
      </text>
    </comment>
    <comment ref="H38" authorId="0" shapeId="0" xr:uid="{F93938FE-411D-4607-BE19-36A0AFCBD610}">
      <text>
        <r>
          <rPr>
            <sz val="9"/>
            <color indexed="81"/>
            <rFont val="Tahoma"/>
            <family val="2"/>
          </rPr>
          <t xml:space="preserve">Change made to this cell due to confidentiality.
</t>
        </r>
      </text>
    </comment>
    <comment ref="H49" authorId="0" shapeId="0" xr:uid="{2DE734C5-D8FF-46FC-961A-51BA040FB248}">
      <text>
        <r>
          <rPr>
            <sz val="9"/>
            <color indexed="81"/>
            <rFont val="Tahoma"/>
            <family val="2"/>
          </rPr>
          <t xml:space="preserve">Change made to this cell due to confidentiality.
</t>
        </r>
      </text>
    </comment>
    <comment ref="H50" authorId="0" shapeId="0" xr:uid="{FC6821A9-B26F-4B98-B56E-777A3682C427}">
      <text>
        <r>
          <rPr>
            <sz val="9"/>
            <color indexed="81"/>
            <rFont val="Tahoma"/>
            <family val="2"/>
          </rPr>
          <t xml:space="preserve">Change made to this cell due to confidentiality.
</t>
        </r>
      </text>
    </comment>
    <comment ref="H51" authorId="0" shapeId="0" xr:uid="{5A8EEF88-5E0D-4B69-AFDC-9116E42762FB}">
      <text>
        <r>
          <rPr>
            <sz val="9"/>
            <color indexed="81"/>
            <rFont val="Tahoma"/>
            <family val="2"/>
          </rPr>
          <t xml:space="preserve">Change made to this cell due to confidentiality.
</t>
        </r>
      </text>
    </comment>
    <comment ref="H54" authorId="0" shapeId="0" xr:uid="{6A7557F1-EE84-474C-8203-7EDA1416DEF5}">
      <text>
        <r>
          <rPr>
            <sz val="9"/>
            <color indexed="81"/>
            <rFont val="Tahoma"/>
            <family val="2"/>
          </rPr>
          <t xml:space="preserve">Change made to this cell due to confidentiality.
</t>
        </r>
      </text>
    </comment>
    <comment ref="H55" authorId="0" shapeId="0" xr:uid="{FB6475F3-3759-49DB-864D-E0AC2DD2FD57}">
      <text>
        <r>
          <rPr>
            <sz val="9"/>
            <color indexed="81"/>
            <rFont val="Tahoma"/>
            <family val="2"/>
          </rPr>
          <t xml:space="preserve">Change made to this cell due to confidentiality.
</t>
        </r>
      </text>
    </comment>
    <comment ref="H56" authorId="0" shapeId="0" xr:uid="{1B389378-51C1-4964-9C6F-9CD867525AD2}">
      <text>
        <r>
          <rPr>
            <sz val="9"/>
            <color indexed="81"/>
            <rFont val="Tahoma"/>
            <family val="2"/>
          </rPr>
          <t xml:space="preserve">Change made to this cell due to confidentiality.
</t>
        </r>
      </text>
    </comment>
    <comment ref="H59" authorId="0" shapeId="0" xr:uid="{1F23D825-C56B-4430-B632-66BAB4A7CF78}">
      <text>
        <r>
          <rPr>
            <sz val="9"/>
            <color indexed="81"/>
            <rFont val="Tahoma"/>
            <family val="2"/>
          </rPr>
          <t xml:space="preserve">Change made to this cell due to confidentiality.
</t>
        </r>
      </text>
    </comment>
    <comment ref="H60" authorId="0" shapeId="0" xr:uid="{BE803118-4213-4A6C-9089-A6930BA8956E}">
      <text>
        <r>
          <rPr>
            <sz val="9"/>
            <color indexed="81"/>
            <rFont val="Tahoma"/>
            <family val="2"/>
          </rPr>
          <t xml:space="preserve">Change made to this cell due to confidentiality.
</t>
        </r>
      </text>
    </comment>
    <comment ref="H61" authorId="0" shapeId="0" xr:uid="{5522A90F-F8AD-4488-9F45-03FBF93D3012}">
      <text>
        <r>
          <rPr>
            <sz val="9"/>
            <color indexed="81"/>
            <rFont val="Tahoma"/>
            <family val="2"/>
          </rPr>
          <t xml:space="preserve">Change made to this cell due to confidentiality.
</t>
        </r>
      </text>
    </comment>
    <comment ref="H64" authorId="0" shapeId="0" xr:uid="{1E7B972B-AE2D-4164-BD00-986190EC8AA7}">
      <text>
        <r>
          <rPr>
            <sz val="9"/>
            <color indexed="81"/>
            <rFont val="Tahoma"/>
            <family val="2"/>
          </rPr>
          <t xml:space="preserve">Change made to this cell due to confidentiality.
</t>
        </r>
      </text>
    </comment>
    <comment ref="H65" authorId="0" shapeId="0" xr:uid="{6F1F50E4-2BF7-4ABE-9980-7EAB382B25AD}">
      <text>
        <r>
          <rPr>
            <sz val="9"/>
            <color indexed="81"/>
            <rFont val="Tahoma"/>
            <family val="2"/>
          </rPr>
          <t xml:space="preserve">Change made to this cell due to confidentiality.
</t>
        </r>
      </text>
    </comment>
    <comment ref="H66" authorId="0" shapeId="0" xr:uid="{8E9F31C6-10DD-4EB1-A768-A746504C84B3}">
      <text>
        <r>
          <rPr>
            <sz val="9"/>
            <color indexed="81"/>
            <rFont val="Tahoma"/>
            <family val="2"/>
          </rPr>
          <t xml:space="preserve">Change made to this cell due to confidentiality.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J83" authorId="0" shapeId="0" xr:uid="{C4E10635-7364-45C5-B647-C9B8E614344E}">
      <text>
        <r>
          <rPr>
            <sz val="9"/>
            <color indexed="81"/>
            <rFont val="Tahoma"/>
            <family val="2"/>
          </rPr>
          <t xml:space="preserve">Original formulas are kept, but give false result, due to deleted data
</t>
        </r>
      </text>
    </comment>
    <comment ref="J87" authorId="0" shapeId="0" xr:uid="{789CD46F-E7F7-4B15-93F8-ECC5593E0277}">
      <text>
        <r>
          <rPr>
            <sz val="9"/>
            <color indexed="81"/>
            <rFont val="Tahoma"/>
            <family val="2"/>
          </rPr>
          <t xml:space="preserve">Original formulas are kept, but give false result, due to deleted data
</t>
        </r>
      </text>
    </comment>
    <comment ref="J94" authorId="0" shapeId="0" xr:uid="{B02D2D79-092E-407F-A241-99E52D19D061}">
      <text>
        <r>
          <rPr>
            <sz val="9"/>
            <color indexed="81"/>
            <rFont val="Tahoma"/>
            <family val="2"/>
          </rPr>
          <t xml:space="preserve">Original formulas are kept, but give false result, due to deleted data
</t>
        </r>
      </text>
    </comment>
    <comment ref="J99" authorId="0" shapeId="0" xr:uid="{637E5506-DAEE-48F0-B187-7BA31A78D87B}">
      <text>
        <r>
          <rPr>
            <sz val="9"/>
            <color indexed="81"/>
            <rFont val="Tahoma"/>
            <family val="2"/>
          </rPr>
          <t xml:space="preserve">Original formulas are kept, but give false result, due to deleted data
</t>
        </r>
      </text>
    </comment>
    <comment ref="J108" authorId="0" shapeId="0" xr:uid="{CB1DF22E-3BA1-4161-82CE-4CD25FBE60A7}">
      <text>
        <r>
          <rPr>
            <sz val="9"/>
            <color indexed="81"/>
            <rFont val="Tahoma"/>
            <family val="2"/>
          </rPr>
          <t xml:space="preserve">Original formulas are kept, but give false result, due to deleted data
</t>
        </r>
      </text>
    </comment>
    <comment ref="J113" authorId="0" shapeId="0" xr:uid="{834809A8-6FBF-4277-8D94-A2185535AB98}">
      <text>
        <r>
          <rPr>
            <sz val="9"/>
            <color indexed="81"/>
            <rFont val="Tahoma"/>
            <family val="2"/>
          </rPr>
          <t xml:space="preserve">Original formulas are kept, but give false result, due to deleted data
</t>
        </r>
      </text>
    </comment>
    <comment ref="J118" authorId="0" shapeId="0" xr:uid="{3CF557F5-BC92-4D3B-A4E0-3A3235946A65}">
      <text>
        <r>
          <rPr>
            <sz val="9"/>
            <color indexed="81"/>
            <rFont val="Tahoma"/>
            <family val="2"/>
          </rPr>
          <t xml:space="preserve">Original formulas are kept, but give false result, due to deleted data
</t>
        </r>
      </text>
    </comment>
    <comment ref="J123" authorId="0" shapeId="0" xr:uid="{5131CE41-EBE7-4C90-A51D-A5097444C104}">
      <text>
        <r>
          <rPr>
            <sz val="9"/>
            <color indexed="81"/>
            <rFont val="Tahoma"/>
            <family val="2"/>
          </rPr>
          <t xml:space="preserve">Original formulas are kept, but give false result, due to deleted data
</t>
        </r>
      </text>
    </comment>
    <comment ref="J198" authorId="0" shapeId="0" xr:uid="{2C10E3FF-EDB9-441D-9FDF-60AD74A46C76}">
      <text>
        <r>
          <rPr>
            <sz val="9"/>
            <color indexed="81"/>
            <rFont val="Tahoma"/>
            <family val="2"/>
          </rPr>
          <t xml:space="preserve">Original formulas are kept, but give false result, due to deleted data
</t>
        </r>
      </text>
    </comment>
    <comment ref="J204" authorId="0" shapeId="0" xr:uid="{DB2A83E8-E7F4-4D17-8DF2-98673238561C}">
      <text>
        <r>
          <rPr>
            <sz val="9"/>
            <color indexed="81"/>
            <rFont val="Tahoma"/>
            <family val="2"/>
          </rPr>
          <t xml:space="preserve">Original formulas are kept, but give false result, due to deleted data
</t>
        </r>
      </text>
    </comment>
    <comment ref="J209" authorId="0" shapeId="0" xr:uid="{FDDCF23C-F89A-4BDC-851E-A3C42F113F45}">
      <text>
        <r>
          <rPr>
            <sz val="9"/>
            <color indexed="81"/>
            <rFont val="Tahoma"/>
            <family val="2"/>
          </rPr>
          <t xml:space="preserve">Original formulas are kept, but give false result, due to deleted data
</t>
        </r>
      </text>
    </comment>
    <comment ref="J215" authorId="0" shapeId="0" xr:uid="{F050CDA6-321F-458F-BAFD-7C4DC46E13F3}">
      <text>
        <r>
          <rPr>
            <sz val="9"/>
            <color indexed="81"/>
            <rFont val="Tahoma"/>
            <family val="2"/>
          </rPr>
          <t xml:space="preserve">Original formulas are kept, but give false result, due to deleted data
</t>
        </r>
      </text>
    </comment>
    <comment ref="J223" authorId="0" shapeId="0" xr:uid="{8C85E80E-2A3B-487F-9489-C1754AD7850F}">
      <text>
        <r>
          <rPr>
            <sz val="9"/>
            <color indexed="81"/>
            <rFont val="Tahoma"/>
            <family val="2"/>
          </rPr>
          <t xml:space="preserve">Original formulas are kept, but give false result, due to deleted data
</t>
        </r>
      </text>
    </comment>
    <comment ref="J232" authorId="0" shapeId="0" xr:uid="{A93CB69E-70CB-4A58-9B30-34E43483DFBD}">
      <text>
        <r>
          <rPr>
            <sz val="9"/>
            <color indexed="81"/>
            <rFont val="Tahoma"/>
            <family val="2"/>
          </rPr>
          <t xml:space="preserve">Original formulas are kept, but give false result, due to deleted data
</t>
        </r>
      </text>
    </comment>
    <comment ref="J244" authorId="0" shapeId="0" xr:uid="{AD6EBBE5-204E-4791-9158-9AC570B57643}">
      <text>
        <r>
          <rPr>
            <sz val="9"/>
            <color indexed="81"/>
            <rFont val="Tahoma"/>
            <family val="2"/>
          </rPr>
          <t xml:space="preserve">Original formulas are kept, but give false result, due to deleted data
</t>
        </r>
      </text>
    </comment>
    <comment ref="J253" authorId="0" shapeId="0" xr:uid="{86FEDD74-1CBC-47FE-AEFA-37F086BD32EB}">
      <text>
        <r>
          <rPr>
            <sz val="9"/>
            <color indexed="81"/>
            <rFont val="Tahoma"/>
            <family val="2"/>
          </rPr>
          <t xml:space="preserve">Original formulas are kept, but give false result, due to deleted data
</t>
        </r>
      </text>
    </comment>
    <comment ref="J262" authorId="0" shapeId="0" xr:uid="{C614593B-8090-45C0-83BE-03E9B44FB8A9}">
      <text>
        <r>
          <rPr>
            <sz val="9"/>
            <color indexed="81"/>
            <rFont val="Tahoma"/>
            <family val="2"/>
          </rPr>
          <t xml:space="preserve">Original formulas are kept, but give false result, due to deleted data
</t>
        </r>
      </text>
    </comment>
    <comment ref="J273" authorId="0" shapeId="0" xr:uid="{A83020F0-E9E3-49D2-BBEA-BF13A68C9E90}">
      <text>
        <r>
          <rPr>
            <sz val="9"/>
            <color indexed="81"/>
            <rFont val="Tahoma"/>
            <family val="2"/>
          </rPr>
          <t xml:space="preserve">Original formulas are kept, but give false result, due to deleted data
</t>
        </r>
      </text>
    </comment>
    <comment ref="H285" authorId="0" shapeId="0" xr:uid="{4EE1CCAD-DD96-4AD1-8222-DB46721E29E4}">
      <text>
        <r>
          <rPr>
            <sz val="9"/>
            <color indexed="81"/>
            <rFont val="Tahoma"/>
            <family val="2"/>
          </rPr>
          <t xml:space="preserve">Change made to this cell due to confidentiality.
</t>
        </r>
      </text>
    </comment>
    <comment ref="H286" authorId="0" shapeId="0" xr:uid="{42B3E55D-B555-4ECD-AC1D-8245612FD370}">
      <text>
        <r>
          <rPr>
            <sz val="9"/>
            <color indexed="81"/>
            <rFont val="Tahoma"/>
            <family val="2"/>
          </rPr>
          <t xml:space="preserve">Change made to this cell due to confidentiality.
</t>
        </r>
      </text>
    </comment>
    <comment ref="H303" authorId="0" shapeId="0" xr:uid="{B445FC65-3EFD-4B71-93CC-25E46E20C98D}">
      <text>
        <r>
          <rPr>
            <sz val="9"/>
            <color indexed="81"/>
            <rFont val="Tahoma"/>
            <charset val="1"/>
          </rPr>
          <t>Change made to this cell due to confidentiality.</t>
        </r>
      </text>
    </comment>
    <comment ref="H304" authorId="0" shapeId="0" xr:uid="{80271324-DA4A-4CCA-BC91-72C3EB9D55E9}">
      <text>
        <r>
          <rPr>
            <sz val="9"/>
            <color indexed="81"/>
            <rFont val="Tahoma"/>
            <family val="2"/>
          </rPr>
          <t>Change made to this cell due to confidentiality.</t>
        </r>
      </text>
    </comment>
    <comment ref="H308" authorId="0" shapeId="0" xr:uid="{3212F948-BDB5-4E78-B8AA-89BC8B16B5D5}">
      <text>
        <r>
          <rPr>
            <sz val="9"/>
            <color indexed="81"/>
            <rFont val="Tahoma"/>
            <family val="2"/>
          </rPr>
          <t xml:space="preserve">Change made to this cell due to confidentiality.
</t>
        </r>
      </text>
    </comment>
    <comment ref="H309" authorId="0" shapeId="0" xr:uid="{9A801070-6728-4D8B-8681-614B3ED81753}">
      <text>
        <r>
          <rPr>
            <sz val="9"/>
            <color indexed="81"/>
            <rFont val="Tahoma"/>
            <family val="2"/>
          </rPr>
          <t xml:space="preserve">Change made to this cell due to confidentiality.
</t>
        </r>
      </text>
    </comment>
    <comment ref="H313" authorId="0" shapeId="0" xr:uid="{C2F9CE31-9835-48DE-B2CC-A6E05EC969A7}">
      <text>
        <r>
          <rPr>
            <sz val="9"/>
            <color indexed="81"/>
            <rFont val="Tahoma"/>
            <family val="2"/>
          </rPr>
          <t>Change made to this cell due to confidentiality.</t>
        </r>
      </text>
    </comment>
    <comment ref="H314" authorId="0" shapeId="0" xr:uid="{FAE5FAE3-4B26-4EB8-8996-466915C37709}">
      <text>
        <r>
          <rPr>
            <sz val="9"/>
            <color indexed="81"/>
            <rFont val="Tahoma"/>
            <family val="2"/>
          </rPr>
          <t xml:space="preserve">Change made to this cell due to confidentiality.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25" authorId="0" shapeId="0" xr:uid="{B4276807-1E4E-4393-9812-FBAC95A74E0B}">
      <text>
        <r>
          <rPr>
            <sz val="9"/>
            <color indexed="81"/>
            <rFont val="Tahoma"/>
            <charset val="1"/>
          </rPr>
          <t>Hard Copy value, the calculation in this cell was originally based on dividing sum of N17:Y17 by sum of N20:Y20.</t>
        </r>
      </text>
    </comment>
    <comment ref="M41" authorId="0" shapeId="0" xr:uid="{BB6F6DC2-2690-4975-8686-9461CB3FAD65}">
      <text>
        <r>
          <rPr>
            <sz val="9"/>
            <color indexed="81"/>
            <rFont val="Tahoma"/>
            <family val="2"/>
          </rPr>
          <t>These cells give error value since data was deleted (due to confidentiality). The formulas in these cells represent the original content of these cells.</t>
        </r>
      </text>
    </comment>
    <comment ref="M42" authorId="0" shapeId="0" xr:uid="{58C0F852-6E85-4C13-9842-50CA5AA601E8}">
      <text>
        <r>
          <rPr>
            <sz val="9"/>
            <color indexed="81"/>
            <rFont val="Tahoma"/>
            <family val="2"/>
          </rPr>
          <t>These cells give error value since data was deleted (due to confidentiality). The formulas in these cells represent the original content of these cells.</t>
        </r>
      </text>
    </comment>
    <comment ref="M45" authorId="0" shapeId="0" xr:uid="{A5DDCE71-A87B-4AE7-80E9-37C4258939A0}">
      <text>
        <r>
          <rPr>
            <sz val="9"/>
            <color indexed="81"/>
            <rFont val="Tahoma"/>
            <family val="2"/>
          </rPr>
          <t>These cells give error value since data was deleted (due to confidentiality). The formulas in these cells represent the original content of these cells.</t>
        </r>
      </text>
    </comment>
    <comment ref="M47" authorId="0" shapeId="0" xr:uid="{1A4F6C68-EF46-4033-92F3-75E2DC1CB16B}">
      <text>
        <r>
          <rPr>
            <sz val="8"/>
            <color indexed="81"/>
            <rFont val="Tahoma"/>
            <family val="2"/>
          </rPr>
          <t xml:space="preserve">These cells are hard copied. Original calculation was based on the difference between row 45 and row 42.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32" authorId="0" shapeId="0" xr:uid="{B2726401-42D7-4605-8D52-70F73660E8D1}">
      <text>
        <r>
          <rPr>
            <sz val="9"/>
            <color indexed="81"/>
            <rFont val="Tahoma"/>
            <charset val="1"/>
          </rPr>
          <t>Change made to this cell due to confidentiality.</t>
        </r>
      </text>
    </comment>
  </commentList>
</comments>
</file>

<file path=xl/sharedStrings.xml><?xml version="1.0" encoding="utf-8"?>
<sst xmlns="http://schemas.openxmlformats.org/spreadsheetml/2006/main" count="1319" uniqueCount="547">
  <si>
    <t>Data</t>
  </si>
  <si>
    <t>Input --&gt;</t>
  </si>
  <si>
    <t>About this file</t>
  </si>
  <si>
    <t>Case number</t>
  </si>
  <si>
    <t>File title</t>
  </si>
  <si>
    <t>Subtitle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</si>
  <si>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</si>
  <si>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</si>
  <si>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</si>
  <si>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</si>
  <si>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</si>
  <si>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</si>
  <si>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</si>
  <si>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</si>
  <si>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</si>
  <si>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</si>
  <si>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Sheet tab colors</t>
  </si>
  <si>
    <t>Sheet with result/output</t>
  </si>
  <si>
    <t>Sheet with input</t>
  </si>
  <si>
    <t>Sheet with calculations</t>
  </si>
  <si>
    <t>Model sheets</t>
  </si>
  <si>
    <t>Result</t>
  </si>
  <si>
    <t>Calculation</t>
  </si>
  <si>
    <t>Explanatory sheets</t>
  </si>
  <si>
    <t>Explanation</t>
  </si>
  <si>
    <t>Special attention:</t>
  </si>
  <si>
    <t>Source overview and specific applications</t>
  </si>
  <si>
    <t>Source overview</t>
  </si>
  <si>
    <t>Each input sheet contains a column 'Source', in which the sources are referred to by their shortened name. These sources are further explained in the table below.</t>
  </si>
  <si>
    <t>No.</t>
  </si>
  <si>
    <t>Shortened name</t>
  </si>
  <si>
    <t>External file name</t>
  </si>
  <si>
    <t>As referred to in Source column</t>
  </si>
  <si>
    <t>Exact file name</t>
  </si>
  <si>
    <t>Date received, email, URL, file location</t>
  </si>
  <si>
    <t>Explanantory notes</t>
  </si>
  <si>
    <t>Unit</t>
  </si>
  <si>
    <t>Constant</t>
  </si>
  <si>
    <t>Row total</t>
  </si>
  <si>
    <t>Remarks</t>
  </si>
  <si>
    <t>Source</t>
  </si>
  <si>
    <t>Cover sheet</t>
  </si>
  <si>
    <t>Belongs to decision(s):</t>
  </si>
  <si>
    <t>If applicable</t>
  </si>
  <si>
    <t>Objections and appeals can be filed against the decision to which this file belongs.</t>
  </si>
  <si>
    <t>Explanatory notes to this file</t>
  </si>
  <si>
    <t xml:space="preserve">Explanation about how this file works </t>
  </si>
  <si>
    <t>Legend for the cell and sheet colors</t>
  </si>
  <si>
    <t>Value that is taken from another sheet or cell without calculation</t>
  </si>
  <si>
    <t>Result/calculated value that is used in another sheet</t>
  </si>
  <si>
    <t xml:space="preserve">Empty sheet used for indexing </t>
  </si>
  <si>
    <t>Standardized sheets with general information abouyt this file</t>
  </si>
  <si>
    <t>Additional information about this source</t>
  </si>
  <si>
    <t>in the overview below, ACM lists the sources that are used for data and calculations in this file.</t>
  </si>
  <si>
    <t>When final, will this file be published?</t>
  </si>
  <si>
    <t>When published, date of this file:</t>
  </si>
  <si>
    <t>When published, doe this file contain business-confidential information? (y/n)</t>
  </si>
  <si>
    <t>This calculation is developed in the standardized format used by the Energy Department of ACM (based on version 5, june 2021)</t>
  </si>
  <si>
    <t>[ END OF SHEET ]</t>
  </si>
  <si>
    <t>This sheet seperates different types of sheets and is intentially left blank</t>
  </si>
  <si>
    <t>No texts, data or calculations may be included on this sheet</t>
  </si>
  <si>
    <t>ACM case number and/or reference</t>
  </si>
  <si>
    <t>Every sheet contains specific information on the calculation made and explanatory notes on details and exemptions.</t>
  </si>
  <si>
    <t xml:space="preserve">CBS data on CPI </t>
  </si>
  <si>
    <t>https://opendata.cbs.nl/statline/#/CBS/nl/dataset/84046NED/table?ts=1571909504894</t>
  </si>
  <si>
    <t>CBS data on CPI for 2020, corrected for Covid-impact</t>
  </si>
  <si>
    <t>https://www.cbs.nl/nl-nl/maatwerk/2021/45/cpi-caribisch-nederland-exclusief-covid-19-toeslagen</t>
  </si>
  <si>
    <t>Wettelijke rente CNL</t>
  </si>
  <si>
    <t>https://wetten.overheid.nl/BWBR0030649/2011-11-18</t>
  </si>
  <si>
    <t>WACC Decision on 2020-2022 (original decision)</t>
  </si>
  <si>
    <t>ACM/18/034526</t>
  </si>
  <si>
    <t xml:space="preserve">https://www.acm.nl/nl/publicaties/wacc-elektriciteit-en-drinkwater-caribisch-nederland-2020-2022 </t>
  </si>
  <si>
    <t>WACC Decision on 2023-2025 (original decision)</t>
  </si>
  <si>
    <t>ACM/21/167703</t>
  </si>
  <si>
    <t>https://www.acm.nl/nl/publicaties/wacc-elektriciteit-en-drinkwater-caribisch-nederland-2023-2025</t>
  </si>
  <si>
    <t>Description result</t>
  </si>
  <si>
    <t>Remark</t>
  </si>
  <si>
    <t>Calculation production price</t>
  </si>
  <si>
    <t>Total expected production volume</t>
  </si>
  <si>
    <t>kWh</t>
  </si>
  <si>
    <t>This is the production price set in the Dictum</t>
  </si>
  <si>
    <t>This fuel component is not rounded (as it is not set in the Dictum, but follows from the formula)</t>
  </si>
  <si>
    <t>This production price is rounded to 5 decimals as this is used in the tariff calculation for WEB.</t>
  </si>
  <si>
    <t>Other relevant information</t>
  </si>
  <si>
    <t xml:space="preserve">Dictum and Appendix 1 Tariff Decision: tariffs and key figures Electricity </t>
  </si>
  <si>
    <t>Dictum</t>
  </si>
  <si>
    <t>Please note that all numbers are displayed in Dutch decimal system</t>
  </si>
  <si>
    <t>General parameters</t>
  </si>
  <si>
    <t>%</t>
  </si>
  <si>
    <t>Estimated inflation 2022 for Bonaire</t>
  </si>
  <si>
    <t>Estimated inflation 2023 for Bonaire</t>
  </si>
  <si>
    <t>Profit sharing percentage</t>
  </si>
  <si>
    <t>USD</t>
  </si>
  <si>
    <t>Total OPEX estimation regular</t>
  </si>
  <si>
    <t>OPEX estimation additional (BESS + PV)</t>
  </si>
  <si>
    <t>Total capital costs estimation</t>
  </si>
  <si>
    <t>Parameters on production</t>
  </si>
  <si>
    <t>liter / kWh</t>
  </si>
  <si>
    <t>USD / liter</t>
  </si>
  <si>
    <t>Relevant parameters on variable costs</t>
  </si>
  <si>
    <t xml:space="preserve">Parameters </t>
  </si>
  <si>
    <t>Description data</t>
  </si>
  <si>
    <t>This sheet shows the CPI, legal fixed interest rate and WACC used. Also, input for profit sharing is included.</t>
  </si>
  <si>
    <t>Explanatory notes</t>
  </si>
  <si>
    <t xml:space="preserve">The development of the CPI of Q3 year T and Q3 year T-1 will be used as the estimated inflation for the year T+1. The estimated inflation is rounded to one decimal. </t>
  </si>
  <si>
    <t xml:space="preserve">See Source overview for URL to relevant tables by CBS: CPI gegevens CBS (2017 = 100). </t>
  </si>
  <si>
    <t>For explanation on the use of the alternative cpi measured by CBS over 2020 and 2021 (due to the impact of the Covid subsidies), please refer to the tariff decision for 2022.</t>
  </si>
  <si>
    <t>CPI for Bonaire</t>
  </si>
  <si>
    <t>index</t>
  </si>
  <si>
    <t>CPI data CBS (2017=100)</t>
  </si>
  <si>
    <t>Original cpi figure 2020 Q3</t>
  </si>
  <si>
    <t>Original cpi figure 2021 Q3</t>
  </si>
  <si>
    <t>Original cpi figure 2022 Q3</t>
  </si>
  <si>
    <t>Alternative cpi figure ('afgeleid') 2020 Q3</t>
  </si>
  <si>
    <t>Maatwerkanalyse CBS cpi CNL excl. Covid-subsidies (2017 = 100)</t>
  </si>
  <si>
    <t>Alternative cpi figure 2021 Q3 (constructed)</t>
  </si>
  <si>
    <t>This is the figure that was used in Tariff decision for 2022. Delta in cpi is based on original cpi figures, as both 2020 Q3 and 2021 Q3 were measured under 'subsidized energy situation'.</t>
  </si>
  <si>
    <t>Estimated inflation 2021</t>
  </si>
  <si>
    <t>Estimated inflation 2022</t>
  </si>
  <si>
    <t>Estimated inflation 2023</t>
  </si>
  <si>
    <t>Covid subsidies stopped in January 2022; cpi 2022 Q3 is no longer influenced by subsidization.</t>
  </si>
  <si>
    <t>Interest rate for time-value of tariff corrections</t>
  </si>
  <si>
    <t>Wettelijke rente CNL ('legal fixed interest rate')</t>
  </si>
  <si>
    <t>WACC for electricity production only</t>
  </si>
  <si>
    <t>WACC Decision 2020-2022 (original decision)</t>
  </si>
  <si>
    <t>WACC Decision 2023-2025 (original decision)</t>
  </si>
  <si>
    <t>Profit sharing parameter</t>
  </si>
  <si>
    <t>Based on choice in method decision</t>
  </si>
  <si>
    <t>For the realized operational costs, the CPI is used to translate costs over years, as these are expected to develop with CPI. So price level is always mentioned in the Unit column.</t>
  </si>
  <si>
    <t>For the realized capital costs, ACM will not apply CPI to the RAB level of investments to translate depreciation costs or costs of capital over years. By using a nominal WACC, CGB is fully compensated for costs of inflation on the invested assets. As the RAB is not indexed, depreciation levels are constant over time, and do not need to be indexed with CPI.</t>
  </si>
  <si>
    <t>Regular OPEX (excl. fuel)</t>
  </si>
  <si>
    <t>Personnel expenses</t>
  </si>
  <si>
    <t>Other operating expenses</t>
  </si>
  <si>
    <t>Non-variable fuel costs</t>
  </si>
  <si>
    <t>Total regular OPEX</t>
  </si>
  <si>
    <t>Specific cost categories</t>
  </si>
  <si>
    <t>Penalties and late fees</t>
  </si>
  <si>
    <t>Part 1: RAB power plant (initial investment)</t>
  </si>
  <si>
    <t>Initial costs power plant (value 20 Aug 2010)</t>
  </si>
  <si>
    <t>Transaction costs financing</t>
  </si>
  <si>
    <t>Residual value power plant (value 20 Aug 2025)</t>
  </si>
  <si>
    <t>PPA period in years</t>
  </si>
  <si>
    <t>Years</t>
  </si>
  <si>
    <t>Part 2: yearly investments (regular add-ons)</t>
  </si>
  <si>
    <t>RAB investments 2016</t>
  </si>
  <si>
    <t xml:space="preserve">Office </t>
  </si>
  <si>
    <t>Investment</t>
  </si>
  <si>
    <t>Depreciation period</t>
  </si>
  <si>
    <t>years</t>
  </si>
  <si>
    <t xml:space="preserve">Investment date </t>
  </si>
  <si>
    <t>date</t>
  </si>
  <si>
    <t>Software</t>
  </si>
  <si>
    <t>Computer equipment</t>
  </si>
  <si>
    <t>RAB investments 2017</t>
  </si>
  <si>
    <t>RAB investments 2018</t>
  </si>
  <si>
    <t>Software / computer equipment</t>
  </si>
  <si>
    <t>RAB investments 2019</t>
  </si>
  <si>
    <t>RAB investments 2020</t>
  </si>
  <si>
    <t>No regular capital additions in 2021</t>
  </si>
  <si>
    <t>Part 3: expansion investments (capacity add-on realized in 2019)</t>
  </si>
  <si>
    <t>Investment batteries</t>
  </si>
  <si>
    <t>Investment extra HFO generators</t>
  </si>
  <si>
    <t>All production volumes are net volumes.</t>
  </si>
  <si>
    <t xml:space="preserve">Year: 
Month: </t>
  </si>
  <si>
    <t>LSD fuel data</t>
  </si>
  <si>
    <t>Weighted average purchasing price</t>
  </si>
  <si>
    <t>Fuel volume consumed for production</t>
  </si>
  <si>
    <t>liter</t>
  </si>
  <si>
    <t>Production volumes</t>
  </si>
  <si>
    <t>Total net production with generators (fuel)</t>
  </si>
  <si>
    <t>Total net production over all gensets and fuel types</t>
  </si>
  <si>
    <t>Total net production by renewable sources</t>
  </si>
  <si>
    <t>Production from windfarm plus Sorobon</t>
  </si>
  <si>
    <t xml:space="preserve">Total production </t>
  </si>
  <si>
    <t>Information from monthly invoice to WEB</t>
  </si>
  <si>
    <t>Production price as calculated by CGB</t>
  </si>
  <si>
    <t>USD / kWh</t>
  </si>
  <si>
    <t>Volume sold to WEB</t>
  </si>
  <si>
    <t>Production price excluding fuel component</t>
  </si>
  <si>
    <t>Production by fuel</t>
  </si>
  <si>
    <t>Production by wind</t>
  </si>
  <si>
    <t>Production by solar</t>
  </si>
  <si>
    <t>Estimated costs for BESS</t>
  </si>
  <si>
    <t>Total investment BESS</t>
  </si>
  <si>
    <t>Commercial Operation Date</t>
  </si>
  <si>
    <t>Information request 2022, answer Q 17</t>
  </si>
  <si>
    <t>OPEX related to BESS (on yearly basis)</t>
  </si>
  <si>
    <t>USD, pl 2020</t>
  </si>
  <si>
    <t>Information request 2022, answer Q 18</t>
  </si>
  <si>
    <t>Note: costs stated in price level 2020</t>
  </si>
  <si>
    <t xml:space="preserve">Financial participation BBT </t>
  </si>
  <si>
    <t>Estimated costs for PV-plant</t>
  </si>
  <si>
    <t>Total investment PV-plant</t>
  </si>
  <si>
    <t>Information request 2022, answer Q 20</t>
  </si>
  <si>
    <t>Information request 2022, answer Q 21</t>
  </si>
  <si>
    <t>Volume effects of expected production are taken into account in rows 14-16 above</t>
  </si>
  <si>
    <t>Data on variable costs</t>
  </si>
  <si>
    <t>Percentage of operational costs regarded as variable</t>
  </si>
  <si>
    <t>Equal to estimation for 2020-2022</t>
  </si>
  <si>
    <t>Description calculation</t>
  </si>
  <si>
    <t>Data on RAB</t>
  </si>
  <si>
    <t>Office</t>
  </si>
  <si>
    <t>Computer equipment is left out, as it is fully depreciated</t>
  </si>
  <si>
    <t>Investment BESS</t>
  </si>
  <si>
    <t>Share of BBT in capital costs</t>
  </si>
  <si>
    <t>Investment PV-plant</t>
  </si>
  <si>
    <t>RAB calculation</t>
  </si>
  <si>
    <t>Initial costs power plant excluding transaction costs (value 20 Aug 2010)</t>
  </si>
  <si>
    <t>Decrease in value during PPA-period</t>
  </si>
  <si>
    <t>Yearly depreciation</t>
  </si>
  <si>
    <t>RAB value of Powerplant (initial investment) ultimo 2015</t>
  </si>
  <si>
    <t>Part 2: yearly investments (regular add-ons and replacements)</t>
  </si>
  <si>
    <t>Yearly depreciation investments in this category</t>
  </si>
  <si>
    <t>Totals Part 2 RAB value</t>
  </si>
  <si>
    <t>Investment batteries (2019)</t>
  </si>
  <si>
    <t>Investment extra HFO generators (2019)</t>
  </si>
  <si>
    <t>Investment BESS (2023)</t>
  </si>
  <si>
    <t>Investment PV-plant (2023)</t>
  </si>
  <si>
    <t>Total realized capital costs for profit sharing</t>
  </si>
  <si>
    <t xml:space="preserve">    4) realized fuel yields of LSD (compared to assumed fuel yield), 5) actual monthly fuel prices (compared to fuel component on T-2 basis).</t>
  </si>
  <si>
    <t>Data on fuel and production</t>
  </si>
  <si>
    <t>LSD</t>
  </si>
  <si>
    <t>Realized fuel yield based on LSD</t>
  </si>
  <si>
    <t>Data on income from production</t>
  </si>
  <si>
    <t xml:space="preserve">Production price as calculated by CGB </t>
  </si>
  <si>
    <t>Production price as set in production price decision</t>
  </si>
  <si>
    <t>Production price excluding fuel component CGB (as set for full year)</t>
  </si>
  <si>
    <t>Fuel income</t>
  </si>
  <si>
    <t>Calculation realized fuel component</t>
  </si>
  <si>
    <t>Total income from fuel component</t>
  </si>
  <si>
    <t>Fuel costs</t>
  </si>
  <si>
    <t>Costs LSD fuel</t>
  </si>
  <si>
    <t>Total fuel cost correction per month</t>
  </si>
  <si>
    <t xml:space="preserve">On this sheet ACM calculates the correction for the volume effect and the profit sharing effect. From the 2020 tariff decision on, ACM refined the calculation method by taking into account the share of total costs that can be considered as 'variable'. </t>
  </si>
  <si>
    <t>The volume correction is made to correct the realized income for over- or undercovering the fixed costs. When realized volume is higher than estimated volume, the cost cover of fixed costs is more than 100%, which means the production price was too high (in hindsight).</t>
  </si>
  <si>
    <t xml:space="preserve">The profit sharing of 50% is calculated over the difference between realized costs and expected costs, where the expected costs are corrected for higher or lower realized volume. </t>
  </si>
  <si>
    <t>Total costs considered as variable</t>
  </si>
  <si>
    <t>Note: all capital costs are regarded as fixed (based on lumpy character and lack of direct relation with kWh)</t>
  </si>
  <si>
    <t>Estimated variable costs per unit output (excl. fuel)</t>
  </si>
  <si>
    <t>Estimated costs divided by estimated production</t>
  </si>
  <si>
    <t>Total estimated costs for profit sharing</t>
  </si>
  <si>
    <t>Total realized costs</t>
  </si>
  <si>
    <t>Total realized costs for profit sharing</t>
  </si>
  <si>
    <t>Calculation volume correction</t>
  </si>
  <si>
    <t>Calculation of profit sharing correction</t>
  </si>
  <si>
    <t>Profit sharing</t>
  </si>
  <si>
    <t>Profit sharing amount</t>
  </si>
  <si>
    <r>
      <t xml:space="preserve">As of the tariff decision for 2022, ACM applies two different interest rates when translating amounts in USD to different price levels (years). For </t>
    </r>
    <r>
      <rPr>
        <u/>
        <sz val="10"/>
        <rFont val="Arial"/>
        <family val="2"/>
      </rPr>
      <t>cost estimations (only OPEX)</t>
    </r>
    <r>
      <rPr>
        <sz val="10"/>
        <rFont val="Arial"/>
        <family val="2"/>
      </rPr>
      <t xml:space="preserve"> ACM uses the cpi (as we did before 2022); for </t>
    </r>
    <r>
      <rPr>
        <u/>
        <sz val="10"/>
        <rFont val="Arial"/>
        <family val="2"/>
      </rPr>
      <t>tariff corrections</t>
    </r>
    <r>
      <rPr>
        <sz val="10"/>
        <rFont val="Arial"/>
        <family val="2"/>
      </rPr>
      <t xml:space="preserve"> ACM applies the 'wettelijke rente' (legal fixed interest rate).</t>
    </r>
  </si>
  <si>
    <t>Data on cpi and interest factors</t>
  </si>
  <si>
    <t>1+%</t>
  </si>
  <si>
    <t>Specific costs in regular OPEX: late fees</t>
  </si>
  <si>
    <t>Percentage of OPEX considered variable</t>
  </si>
  <si>
    <t>Additional OPEX related to BESS (estimation)</t>
  </si>
  <si>
    <t>Based on full year activity</t>
  </si>
  <si>
    <t>Additional OPEX related to PV-plant (estimation)</t>
  </si>
  <si>
    <t>Note: price level 2020</t>
  </si>
  <si>
    <t>Capital costs RAB power plant (initial investment - part 1)</t>
  </si>
  <si>
    <t>Capital costs yearly investments (regular add-ons and replacements - part 2)</t>
  </si>
  <si>
    <t>Capital costs expansion investments HFO and batteries (add-on realized in 2019 - part 3)</t>
  </si>
  <si>
    <t>Capital costs Hybrid Concept expansions BESS and PV-plant (estimation for 2023 - part 4)</t>
  </si>
  <si>
    <t>Expected production levels</t>
  </si>
  <si>
    <t>Part of total production by renewable sources</t>
  </si>
  <si>
    <t>Information on yield and fuel price LSD production</t>
  </si>
  <si>
    <t>Yield production by LSD (kWh)</t>
  </si>
  <si>
    <t>Total OPEX estimation regular OPEX</t>
  </si>
  <si>
    <t>Regular corrections</t>
  </si>
  <si>
    <t>ACM applies 'wettelijke rente'</t>
  </si>
  <si>
    <t>Other relevant information for result sheet</t>
  </si>
  <si>
    <t>Calculation of fuel costs</t>
  </si>
  <si>
    <t>ACM/23/181659</t>
  </si>
  <si>
    <t>Calculation production price ContourGlobal Bonaire 2024</t>
  </si>
  <si>
    <t>Production price electricity CGB 2024</t>
  </si>
  <si>
    <t>Yes</t>
  </si>
  <si>
    <t xml:space="preserve">This document contains the calculation of the production price for electricity of ContourGlobal B.V for 2024. The production price is based on an estimation of the cost of ContourGlobal in 2024 and several corrections (including profit sharing results) over 2022. </t>
  </si>
  <si>
    <t>ACM estimates the cost of 2024 with the cost of 2022 as can be found in the annual account of ContourGlobal and other relevant information, for instance on major occurrences as the new BESS and PV-plant.</t>
  </si>
  <si>
    <t>Result: calculation of production price 2024</t>
  </si>
  <si>
    <t>On this sheet the production price of ContourGlobal is calculated for 2024, consisting of the non-fuel part, which covers all costs excluding fuel, and the fuel component that applies for January 2024.</t>
  </si>
  <si>
    <t>The ACM also included the amount of variable costs, as this is information that will be used in the profit sharing calculation over 2024 (expected in tariffs for 2026).</t>
  </si>
  <si>
    <t>Calculation production price 2024</t>
  </si>
  <si>
    <t>Total income level for 2024, after corrections</t>
  </si>
  <si>
    <t>USD, price level 2024</t>
  </si>
  <si>
    <t>Production price 2024 excl. fuel component (not rounded)</t>
  </si>
  <si>
    <t>Production price 2024 excl. fuel component (rounded to 5 decimals)</t>
  </si>
  <si>
    <t>Fuel component (for January 2024)</t>
  </si>
  <si>
    <t>Production price CGB 2024 (based on fuel component for January 2024)</t>
  </si>
  <si>
    <t>Production price CGB 2024 (used in usage tariff decision for WEB 2024)</t>
  </si>
  <si>
    <t>Total estimated costs for 2024</t>
  </si>
  <si>
    <t>Costs considered as variable in the costs estimation for 2024</t>
  </si>
  <si>
    <t>USD, pl 2024 / kWh</t>
  </si>
  <si>
    <t>Note: this figure is only relevant for profit sharing over 2024</t>
  </si>
  <si>
    <t>Estimated inflation 2024</t>
  </si>
  <si>
    <t>WACC 2022</t>
  </si>
  <si>
    <t>WACC 2024</t>
  </si>
  <si>
    <t>Data on cost estimation for 2022 and realized costs of 2022</t>
  </si>
  <si>
    <t>The first part of this sheet concerns the cost data that were used for setting the tariff for 2022. These were mainly based on the 2020 realizations.</t>
  </si>
  <si>
    <t>Then the realized costs of 2022 are presented. The source of the cost data is the annual account of 2022 plus additional data from CGB. The source of the production data is an information request by ACM to ContourGlobal.</t>
  </si>
  <si>
    <t>Cost estimation 2022</t>
  </si>
  <si>
    <t>Original cost estimation for tariff 2022</t>
  </si>
  <si>
    <t>Total estimated cost level 2022</t>
  </si>
  <si>
    <t>OPEX considered as variable (as part of the total costs of 2022)</t>
  </si>
  <si>
    <t>USD, pl 2022</t>
  </si>
  <si>
    <t>Estimated production volume for 2022</t>
  </si>
  <si>
    <t>Realized costs 2022: Operational costs</t>
  </si>
  <si>
    <t>Realized costs 2022: Asset base</t>
  </si>
  <si>
    <t>No regular capital additions in 2022</t>
  </si>
  <si>
    <t>Calculation production price for CGB 2022</t>
  </si>
  <si>
    <t>Beschikking productieprijs elektriciteit 2022 Bonaire ContourGlobal (Caribisch Nederland) | ACM.nl</t>
  </si>
  <si>
    <t>Calculation production price for CGB 2022, sheet 'Income calculation and prod. price', cell H57</t>
  </si>
  <si>
    <t>Report on Annual Accounts 2022</t>
  </si>
  <si>
    <t>Information request 2023 Q1 - Q5</t>
  </si>
  <si>
    <t>Documents shared through Cryptshare in August 2023</t>
  </si>
  <si>
    <t>Documents shared through Cryptshare in May and June 2023 (production and fuel data)</t>
  </si>
  <si>
    <t>Received from CGB per e-mail in April 2023</t>
  </si>
  <si>
    <t>Realized production levels and fuel costs 2022</t>
  </si>
  <si>
    <t>On this sheet all relevant data on fuel use, fuel prices and invoiced income are presented. The data are used to calculate the fuel correction over 2022, which compensates for differences in fuel prices, volumes used and realized yield (see sheet 'fuel correction 2022').</t>
  </si>
  <si>
    <t>In earlier decisions and calculations the new fuel type for CGB was named 'LFO', which is incorrect. The actual fuel type is 'LSD' (Low Sulpher Diesel).</t>
  </si>
  <si>
    <t>2022
January</t>
  </si>
  <si>
    <t>2022
February</t>
  </si>
  <si>
    <t>2022
March</t>
  </si>
  <si>
    <t>2022
April</t>
  </si>
  <si>
    <t>2022
May</t>
  </si>
  <si>
    <t>2022
June</t>
  </si>
  <si>
    <t>2022
July</t>
  </si>
  <si>
    <t>2022
August</t>
  </si>
  <si>
    <t>2022
September</t>
  </si>
  <si>
    <t>2022
October</t>
  </si>
  <si>
    <t>2022
November</t>
  </si>
  <si>
    <t>2022
December</t>
  </si>
  <si>
    <t>Data on fuel and production 2022</t>
  </si>
  <si>
    <t>Data on income from production price 2022</t>
  </si>
  <si>
    <t>Parameters of production price decision for 2022</t>
  </si>
  <si>
    <t>Information request 2023, answer to question 6b</t>
  </si>
  <si>
    <t>Information request 2023, answer to question 7</t>
  </si>
  <si>
    <t>Information request 2023, answer to question 1b</t>
  </si>
  <si>
    <t>Information request 2023, answer to question 1d</t>
  </si>
  <si>
    <t>Information request 2023, answer to question 1f</t>
  </si>
  <si>
    <t>Production price CGB for 2022, sheet 'production price 2022'</t>
  </si>
  <si>
    <t>Sources: see production price calculation for 2023</t>
  </si>
  <si>
    <t>Calculation production price for CGB 2022, sheet 'Income calculation and prod. price', cell H82</t>
  </si>
  <si>
    <t>Calculation production price CGB for 2022, sheet 'Est. production and costs 2022', cell H18</t>
  </si>
  <si>
    <t>Information request 2023, answer to question 3b;</t>
  </si>
  <si>
    <t>Report on annual accounts 2022</t>
  </si>
  <si>
    <t>Estimated production and cost developments for 2024</t>
  </si>
  <si>
    <t>On this sheet ACM presents the relevant data that is taken into account when estimating the production and costs for 2024: volumes and LSD price for production, and additional costs related to major occurrences.</t>
  </si>
  <si>
    <t>Estimated production amounts 2024 and fuel information</t>
  </si>
  <si>
    <t>Estimated production for 2024</t>
  </si>
  <si>
    <t>This is net production; fuel production calculated as difference between total demand and estimated renewable production.</t>
  </si>
  <si>
    <t>Total amount of renewables production by ContourGlobal in 2024</t>
  </si>
  <si>
    <t>Total amount of production by ContourGlobal in 2024</t>
  </si>
  <si>
    <t>LSD price (November 2023)</t>
  </si>
  <si>
    <t>LSD Price 15 November 2023</t>
  </si>
  <si>
    <t>Cost estimations for 2024 for BESS and PV-plant (major ocurrence)</t>
  </si>
  <si>
    <t>Lease fee BBT 2024</t>
  </si>
  <si>
    <t>USD, pl 2024</t>
  </si>
  <si>
    <t>Information request 2023, answer to question 8</t>
  </si>
  <si>
    <t>RAB calculation 2022 / 2024</t>
  </si>
  <si>
    <t>This RAB calculation follows the choices made in earlier decisions and calculations for CGB. The RAB and depreciation levels lead to a capital cost calculation over 2022 and an estimation for 2024, at the bottom of this sheet.</t>
  </si>
  <si>
    <t>As in the tariff decisions for earlier years, ACM still uses the assumption of 'continuous replacement' for the assets in part 2 of the asset base (estimation based on ultimo T-2 value); the capital costs of part 1 and 3 of the RAB are estimated using the 'medio forward-looking value' (which proofs to be very precise, as this reflects the actual costs in year T).</t>
  </si>
  <si>
    <t>This approach holds for both the profit sharing over 2022 and the cost estimation that we make for the year 2024.</t>
  </si>
  <si>
    <t>Part 4: Hybrid Concept expansions BESS and PV-plant (estimation for 2024)</t>
  </si>
  <si>
    <t>RAB value of Powerplant (initial investment) primo 2022</t>
  </si>
  <si>
    <t>RAB value of Powerplant (initial investment) ultimo 2022</t>
  </si>
  <si>
    <t>Average RAB value of Powerplant (initial investment) during 2022</t>
  </si>
  <si>
    <t>RAB value of Powerplant (initial investment) primo 2024</t>
  </si>
  <si>
    <t>RAB value of Powerplant (initial investment) ultimo 2024</t>
  </si>
  <si>
    <t>Average RAB value of Powerplant (initial investment) during 2024</t>
  </si>
  <si>
    <t>RAB value of regular investments 2016 ultimo 2022</t>
  </si>
  <si>
    <t xml:space="preserve">Asset has been fully depreciated </t>
  </si>
  <si>
    <t>RAB value of regular investments 2017 ultimo 2022</t>
  </si>
  <si>
    <t>RAB value of regular investments 2018 ultimo 2022</t>
  </si>
  <si>
    <t>RAB value of regular investments 2019 ultimo 2022</t>
  </si>
  <si>
    <t>RAB value of regular investments 2020 ultimo 2022</t>
  </si>
  <si>
    <t>RAB value of regular investments ultimo 2022</t>
  </si>
  <si>
    <t>Depreciation in 2022 on regular investments</t>
  </si>
  <si>
    <t>RAB value of investment primo 2022</t>
  </si>
  <si>
    <t>RAB value of investment ultimo 2022</t>
  </si>
  <si>
    <t>Average RAB value of investment during 2022</t>
  </si>
  <si>
    <t>Depreciation in 2022 on this asset</t>
  </si>
  <si>
    <t>RAB value of investment primo 2024</t>
  </si>
  <si>
    <t>RAB value of investment ultimo 2024</t>
  </si>
  <si>
    <t>Average RAB value of investment during 2024</t>
  </si>
  <si>
    <t>(Since 2022 is last year of depreciation): RAB value ultimo 2021:</t>
  </si>
  <si>
    <t>Average pro rato RAB value in 2024 attributable to CGB</t>
  </si>
  <si>
    <t>Depreciation in 2024 attributable to CGB</t>
  </si>
  <si>
    <t>Calculation capital costs for profit sharing over 2022</t>
  </si>
  <si>
    <t>Total RAB value 2022</t>
  </si>
  <si>
    <t>Total capital costs 2022 for profit sharing</t>
  </si>
  <si>
    <t>Based on WACC for 2022</t>
  </si>
  <si>
    <t>Cost base (capital costs) for estimating expected costs in 2024</t>
  </si>
  <si>
    <t>RAB value 2024 (year average)</t>
  </si>
  <si>
    <t>Depreciation in 2024</t>
  </si>
  <si>
    <t>Capital costs in 2024 (based on WACC for 2024)</t>
  </si>
  <si>
    <t>Total estimated depreciation in 2024</t>
  </si>
  <si>
    <t>Total estimated capital costs in 2024 (based on WACC for 2024)</t>
  </si>
  <si>
    <t>RAB value 2024 (ultimo)</t>
  </si>
  <si>
    <t>Total RAB estimation for 2024 (year average/ultimo)</t>
  </si>
  <si>
    <t>Calculation based on pro rato attribution in 2024</t>
  </si>
  <si>
    <t>Costs of fuel and income from fuel component 2022</t>
  </si>
  <si>
    <t>On this sheet the fuel correction over 2022 is calculated. This fuel correction reflects the difference between the monthly income from the fuel component in 2022 and the actual monthly fuel costs in 2022.</t>
  </si>
  <si>
    <t xml:space="preserve">This correction reimburses the positive and negative effects of differences in 1) monthly production needed (based on island demand and production by WEB), 2) availability of renewable sources (i.e. wind), 3) realized production mix between HFO and LSD (not applicable for 2022), </t>
  </si>
  <si>
    <t>Calculation fuel correction 2022</t>
  </si>
  <si>
    <t>Positive amount means: income was lower than costs for that month, so add positive amount to income in 2024</t>
  </si>
  <si>
    <t>Correction amount in price level 2022</t>
  </si>
  <si>
    <t>Correction for volume effect and profit sharing effect over 2022</t>
  </si>
  <si>
    <t>Data on cost estimation 2022 and costs realization 2022</t>
  </si>
  <si>
    <t>Estimated costs and production 2022</t>
  </si>
  <si>
    <t>Estimated production volume for 2022 (net)</t>
  </si>
  <si>
    <t>Realized costs and production 2022</t>
  </si>
  <si>
    <t>Capital costs 2022</t>
  </si>
  <si>
    <t>Realized production volume 2022 (net)</t>
  </si>
  <si>
    <t>Calculation estimated and realized costs 2022</t>
  </si>
  <si>
    <t>Estimated costs 2022</t>
  </si>
  <si>
    <t>Estimated fixed costs 2022</t>
  </si>
  <si>
    <t>Cost estimation variable costs corrected for realized volume 2022</t>
  </si>
  <si>
    <t>Cost estimation total costs corrected for realized volume 2022</t>
  </si>
  <si>
    <t>Realized costs 2022</t>
  </si>
  <si>
    <t>Cost covering of fixed costs 2022</t>
  </si>
  <si>
    <t>Total realized income for covering fixed costs in 2022, based on realized volumes</t>
  </si>
  <si>
    <t>Over- or under covering of estimated fixed costs 2022</t>
  </si>
  <si>
    <t>Realized economic profit over 2022 (after volume correction)</t>
  </si>
  <si>
    <t>USD, pl 2022 / kWh</t>
  </si>
  <si>
    <t>Cost cover was higher than estimated fixed costs: subtract this amount from tariff income 2024</t>
  </si>
  <si>
    <t>Negative realized economic profit: profit sharing gives 50% of difference back to CGB. Add this amount to tariff income 2024.</t>
  </si>
  <si>
    <t>On this sheet the total income level for 2024 is calculated, including the effect of all regular corrections.The fuel component (valid for January 2024) is calculated as well. Both figures are used to calculate the production price for 2024 (January 2024) on the result sheet.</t>
  </si>
  <si>
    <t>Data on cost estimation 2024</t>
  </si>
  <si>
    <t>OPEX estimation for 2024</t>
  </si>
  <si>
    <t>Regular OPEX 2022</t>
  </si>
  <si>
    <t>Expected capital costs for 2024</t>
  </si>
  <si>
    <t>Data on fuel component 2024</t>
  </si>
  <si>
    <t>Estimated production volume with fuel in 2024</t>
  </si>
  <si>
    <t>Estimated production by renewables in 2024</t>
  </si>
  <si>
    <t>Total amount of estimated production by ContourGlobal in 2024</t>
  </si>
  <si>
    <t>Calculation expected costs for 2024 and income level 2024</t>
  </si>
  <si>
    <t>Calculation expected costs for 2024 (excluding fuel)</t>
  </si>
  <si>
    <t>Original cpi figure 2019 Q3</t>
  </si>
  <si>
    <t>Estimated inflation for 2021 is corrected for impact of Covid subsidies (original figure was -4,8%)</t>
  </si>
  <si>
    <t>ACM applies cpi; costs related to late fees (2022) are left out of cost base for estimating costs in 2024</t>
  </si>
  <si>
    <t>Total OPEX estimation additional OPEX in 2024 for Hybrid Concept</t>
  </si>
  <si>
    <t>Estimation additional OPEX in 2024 for Hybrid Concept</t>
  </si>
  <si>
    <t>Total expected costs 2024</t>
  </si>
  <si>
    <t>Correction on income 2024 for volume effect 2022</t>
  </si>
  <si>
    <t>Correction on income 2024 for profit sharing over 2022</t>
  </si>
  <si>
    <t>Correction on income 2024 for fuel price difference in 2022</t>
  </si>
  <si>
    <t>Total effect of regular corrections (in price level 2024)</t>
  </si>
  <si>
    <t>Compound 'wettelijke rente' interest factor (1+%) for tariff corrections 2022 to 2024</t>
  </si>
  <si>
    <t>Wettelijke rente CNL (legal fixed interest rate) for period 2020-2024</t>
  </si>
  <si>
    <t>Total income level for 2024</t>
  </si>
  <si>
    <t>Income level for 2024</t>
  </si>
  <si>
    <t xml:space="preserve">Income level for 2024 before corrections </t>
  </si>
  <si>
    <t>OPEX considered as variable (as part of the total costs of 2024)</t>
  </si>
  <si>
    <t>Notes: 1) this figure is only relevant for profit sharing over 2024, it doesn't play a role in setting the tariff for 2024; 2) ACM leaves OPEX related to BESS and PV-plant out of this estimation (as this OPEX is expected to be fixed, at least for now).</t>
  </si>
  <si>
    <t>Calculation fuel component 2024</t>
  </si>
  <si>
    <t>Fuel component for January 2024</t>
  </si>
  <si>
    <t>Information request 2023 Q6 - Q9</t>
  </si>
  <si>
    <t>Cumulative fuel correction 2022</t>
  </si>
  <si>
    <t>Last update input CBS: 19 October 2023</t>
  </si>
  <si>
    <t>Original cpi figure 2023 Q3</t>
  </si>
  <si>
    <t>Nov/Dec: information request 2023, answer to question 2; Jan-March: information request 2022, 'Facturen CGB aan WEB nov21'; May-August: information request WEB 2022, 'CGB invoice 05 May 2022.pdf, vraag 10'; April/Sept/Oct 2023: information request 2023, answer to question 10c</t>
  </si>
  <si>
    <t>Information request 2023, answer to question 13</t>
  </si>
  <si>
    <t>Cost estimations for 2024 for other major occurrences</t>
  </si>
  <si>
    <t>Investment in 6 MW peakers</t>
  </si>
  <si>
    <t xml:space="preserve">Investment in blackstart unit </t>
  </si>
  <si>
    <t>30 kV project</t>
  </si>
  <si>
    <t>Total investment</t>
  </si>
  <si>
    <t>Commercial operation date</t>
  </si>
  <si>
    <t xml:space="preserve">USD </t>
  </si>
  <si>
    <t xml:space="preserve">The investments will be labeled as part 5 of the RAB. </t>
  </si>
  <si>
    <t>Documents shared through Cryptshare in November 2023</t>
  </si>
  <si>
    <t>Part 5: expansion investments (estimation for 2024)</t>
  </si>
  <si>
    <t xml:space="preserve">In addition to parts 1 - 3 of the RAB, that are similar to the decision for 2023, ACM includes in this RAB calculation the preliminary calculation of the BESS and PV-plant in 2024, as these are accepted as major occurrences in 2023 and 2024. </t>
  </si>
  <si>
    <t>Furthermore, ACM calculates the estimated costs of expansion investments which are expected to be put into operation in 2024, as these are accepted as major occurrences (part 5 of the RAB).</t>
  </si>
  <si>
    <t>For part 4, the RAB associated with the BESS and PV-plant, we calculate the RAB and depreciation based on the expected Commercial operation date. In later years this calculation may be adjusted based on actual/realized amounts and COD. This also holds for the newly added part 5 of the RAB.</t>
  </si>
  <si>
    <t>Initial investment at COD</t>
  </si>
  <si>
    <t>months</t>
  </si>
  <si>
    <t>Depreciation in 2024 on this asset</t>
  </si>
  <si>
    <t>Average asset value during active months in 2024</t>
  </si>
  <si>
    <t>Number of months active in 2024</t>
  </si>
  <si>
    <t>Investment in 6 MW peakers (2024)</t>
  </si>
  <si>
    <t>Average pro rato RAB value in 2024</t>
  </si>
  <si>
    <t>30 kV project (2024)</t>
  </si>
  <si>
    <t>Total depreciation 2022</t>
  </si>
  <si>
    <t>Capital costs expansion investments 2024 (estimation for 2024 - part 5)</t>
  </si>
  <si>
    <t>Investment in blackstart unit (2023)</t>
  </si>
  <si>
    <t>Depreciation in 2023 on this asset</t>
  </si>
  <si>
    <t>Other information and corrections in 2024</t>
  </si>
  <si>
    <t>One-time corrections</t>
  </si>
  <si>
    <t>Recalculation of material effect corrections a to f in production price decision 2022 (marginal 107-11)</t>
  </si>
  <si>
    <t>Recalculation material effect corrections a to f in tariff model 2022</t>
  </si>
  <si>
    <t>Document was shared with CGB as part of the calculation of the production price 2024</t>
  </si>
  <si>
    <t>Total effect of one-time corrections (in price level 2024)</t>
  </si>
  <si>
    <t>Information request 2023, answer to question 14</t>
  </si>
  <si>
    <t>Specification by CGB in e-mail 29 November 2023</t>
  </si>
  <si>
    <t>Specification of realized costs PV and BESS</t>
  </si>
  <si>
    <t>Received from CGP per e-mail in November 2023</t>
  </si>
  <si>
    <t>Recalculation of material effect corrections a to f in production price decision 2022 (marginal 107-111)</t>
  </si>
  <si>
    <t>The depreciation period is calculated such that the spare parts are fully depreciated when the BESS project is fully depreciated (1 April 2038).</t>
  </si>
  <si>
    <t xml:space="preserve">COD adjusted to start at the beginning of the month. </t>
  </si>
  <si>
    <t>Spare parts and special tools for the BESS</t>
  </si>
  <si>
    <t>Spare parts and special tools for the BESS (2024)</t>
  </si>
  <si>
    <t xml:space="preserve">On this sheet all the relevant information to include in the appendix of the decision on the tariffs of 2024 is shown. </t>
  </si>
  <si>
    <t>Production price electricity excl. fuel 2024</t>
  </si>
  <si>
    <t xml:space="preserve">Key figures production price decision - Electricity CG Bonaire 2024 </t>
  </si>
  <si>
    <t>Estimated inflation 2024 for Bonaire</t>
  </si>
  <si>
    <t>Legal fixed interest rate (2020 - 2024)</t>
  </si>
  <si>
    <t>Summary of cost data 2022 / 2024</t>
  </si>
  <si>
    <t>Estimation of RAV average/ultimo 2024 (existing assets)</t>
  </si>
  <si>
    <t>Estimated depreciation in 2024 (existing assets)</t>
  </si>
  <si>
    <t>Regular OPEX realized in 2022</t>
  </si>
  <si>
    <t>USD, price level 2022</t>
  </si>
  <si>
    <t>Total expected costs for 2024 (for setting income level)</t>
  </si>
  <si>
    <t>CAPEX realised in 2024 for BESS and PV-plant</t>
  </si>
  <si>
    <t>Additional RAV (BESS+PV) averaged over active months in 2024</t>
  </si>
  <si>
    <t>Additional depreciation (BESS+PV) in 2024</t>
  </si>
  <si>
    <t>Additional RAV (part 5) averaged over active months in 2024</t>
  </si>
  <si>
    <t>Additional depreciation (part 5) in 2024</t>
  </si>
  <si>
    <t>Total expected costs 2024 (= income level 2024 before corrections)</t>
  </si>
  <si>
    <t>(Regular) Corrections reimbursed in production price 2024</t>
  </si>
  <si>
    <t>Volume effect over 2022 (excl. fuel)</t>
  </si>
  <si>
    <t>Profit sharing effect over 2022</t>
  </si>
  <si>
    <t>Fuel price and volume effect over 2022</t>
  </si>
  <si>
    <t>Expected production by wind in 2024</t>
  </si>
  <si>
    <t>Expected production by solar in 2024</t>
  </si>
  <si>
    <t>Expected production by fuel in 2024</t>
  </si>
  <si>
    <t>Total net production in 2024</t>
  </si>
  <si>
    <t>Estimated share of fuel production in total net production for 2024</t>
  </si>
  <si>
    <t>LSD Price used for fuel component January 2024</t>
  </si>
  <si>
    <t>Fuel component in production price (January 2024)</t>
  </si>
  <si>
    <t xml:space="preserve">Production price electricity January 2024 incl. fuel </t>
  </si>
  <si>
    <t>USD, price level 2024 / kWh</t>
  </si>
  <si>
    <t>Estimated LSD fuel yield for 2024</t>
  </si>
  <si>
    <t>One-time corrections in production price 2024</t>
  </si>
  <si>
    <t>Recalculation of material effect corrections a to f in production price 2022</t>
  </si>
  <si>
    <t>Information request 2024, answer to question 14</t>
  </si>
  <si>
    <t>Information request 2023 Q10 - Q17</t>
  </si>
  <si>
    <t>Estimated inflation 2021 for Bonaire</t>
  </si>
  <si>
    <t>Information request 2023, answer Q15</t>
  </si>
  <si>
    <t>Information request 2023, answer Q15; e-mail CGB 29 November</t>
  </si>
  <si>
    <t>E-mail CGB 1 December</t>
  </si>
  <si>
    <t>Information request 2023, answer Q15; e-mail CGB 8 November</t>
  </si>
  <si>
    <t>RAB value of investment ultimo 2023</t>
  </si>
  <si>
    <t>Calculation total income 2024</t>
  </si>
  <si>
    <t>CAPEX realised in 2023/2024 for part 5 of RAB</t>
  </si>
  <si>
    <t>ACM/UIT/606621 (decision date 8 December 2023)</t>
  </si>
  <si>
    <t>(around) 22 December 2023</t>
  </si>
  <si>
    <t>Information that is regarded as business confidential has been removed in this public version of the calculation file. The deleted data is flagged/explained in pink cell formatting.</t>
  </si>
  <si>
    <t>This is a public version of the calculation file, published at acm.nl in December 2023.</t>
  </si>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</sst>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00_ ;_ * \-#,##0.00000_ ;_ * &quot;-&quot;??_ ;_ @_ "/>
    <numFmt numFmtId="166" formatCode="_ * #,##0.0000_ ;_ * \-#,##0.0000_ ;_ * &quot;-&quot;????_ ;_ @_ "/>
    <numFmt numFmtId="167" formatCode="_ * #,##0.0000_ ;_ * \-#,##0.0000_ ;_ * &quot;-&quot;??_ ;_ @_ "/>
    <numFmt numFmtId="168" formatCode="_ * #,##0.00_ ;_ * \-#,##0.00_ ;_ * &quot;-&quot;_ ;_ @_ "/>
    <numFmt numFmtId="169" formatCode="0.0%"/>
    <numFmt numFmtId="171" formatCode="_ * #,##0.0000_ ;_ * \-#,##0.0000_ ;_ * &quot;-&quot;_ ;_ @_ "/>
    <numFmt numFmtId="172" formatCode="_ * #,##0.000_ ;_ * \-#,##0.000_ ;_ * &quot;-&quot;??_ ;_ @_ "/>
    <numFmt numFmtId="173" formatCode="0.0000"/>
    <numFmt numFmtId="174" formatCode="_ * #,##0.000_ ;_ * \-#,##0.000_ ;_ * &quot;-&quot;_ ;_ @_ "/>
    <numFmt numFmtId="175" formatCode="_ * #,##0.00000_ ;_ * \-#,##0.00000_ ;_ * &quot;-&quot;?????_ ;_ @_ "/>
    <numFmt numFmtId="176" formatCode="_ * #,##0.00000_ ;_ * \-#,##0.00000_ ;_ * &quot;-&quot;_ ;_ @_ "/>
  </numFmts>
  <fonts count="36"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rgb="FF00B0F0"/>
      <name val="Arial"/>
      <family val="2"/>
    </font>
    <font>
      <u/>
      <sz val="10"/>
      <name val="Arial"/>
      <family val="2"/>
    </font>
    <font>
      <i/>
      <sz val="10"/>
      <color theme="1"/>
      <name val="Arial"/>
      <family val="2"/>
    </font>
    <font>
      <sz val="10"/>
      <color rgb="FFFFC000"/>
      <name val="Arial"/>
      <family val="2"/>
    </font>
    <font>
      <sz val="8"/>
      <name val="Arial"/>
      <family val="2"/>
    </font>
    <font>
      <sz val="9"/>
      <color indexed="81"/>
      <name val="Tahoma"/>
      <charset val="1"/>
    </font>
    <font>
      <sz val="9"/>
      <color indexed="81"/>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5" fillId="13" borderId="3" applyNumberFormat="0" applyAlignment="0" applyProtection="0"/>
    <xf numFmtId="0" fontId="16" fillId="14" borderId="4" applyNumberFormat="0" applyAlignment="0" applyProtection="0"/>
    <xf numFmtId="0" fontId="17" fillId="14" borderId="3" applyNumberFormat="0" applyAlignment="0" applyProtection="0"/>
    <xf numFmtId="0" fontId="18" fillId="0" borderId="5" applyNumberFormat="0" applyFill="0" applyAlignment="0" applyProtection="0"/>
    <xf numFmtId="0" fontId="12" fillId="15" borderId="6" applyNumberFormat="0" applyAlignment="0" applyProtection="0"/>
    <xf numFmtId="0" fontId="14" fillId="16" borderId="7"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7" fillId="41"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cellStyleXfs>
  <cellXfs count="116">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2" xfId="4" applyBorder="1" applyAlignment="1">
      <alignment horizontal="left" vertical="top" wrapText="1"/>
    </xf>
    <xf numFmtId="0" fontId="5" fillId="6" borderId="0" xfId="4" applyFill="1">
      <alignment vertical="top"/>
    </xf>
    <xf numFmtId="49" fontId="7" fillId="17" borderId="2" xfId="6" applyFont="1" applyBorder="1">
      <alignment vertical="top"/>
    </xf>
    <xf numFmtId="0" fontId="8" fillId="5" borderId="1" xfId="5" applyNumberFormat="1">
      <alignment vertical="top"/>
    </xf>
    <xf numFmtId="0" fontId="13" fillId="0" borderId="0" xfId="4" applyFont="1">
      <alignment vertical="top"/>
    </xf>
    <xf numFmtId="0" fontId="5" fillId="12" borderId="0" xfId="4" applyFill="1">
      <alignment vertical="top"/>
    </xf>
    <xf numFmtId="49" fontId="5" fillId="17" borderId="2" xfId="6" applyFont="1" applyBorder="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9" fontId="5" fillId="0" borderId="0" xfId="4" applyNumberFormat="1">
      <alignment vertical="top"/>
    </xf>
    <xf numFmtId="41" fontId="5" fillId="8" borderId="0" xfId="10">
      <alignment vertical="top"/>
    </xf>
    <xf numFmtId="41" fontId="5" fillId="44" borderId="0" xfId="11">
      <alignment vertical="top"/>
    </xf>
    <xf numFmtId="10" fontId="5" fillId="0" borderId="0" xfId="64">
      <alignment vertical="top"/>
    </xf>
    <xf numFmtId="49" fontId="20" fillId="0" borderId="0" xfId="61" applyAlignment="1">
      <alignment vertical="top"/>
    </xf>
    <xf numFmtId="41" fontId="5" fillId="11" borderId="0" xfId="13">
      <alignment vertical="top"/>
    </xf>
    <xf numFmtId="41" fontId="5" fillId="9" borderId="0" xfId="9">
      <alignment vertical="top"/>
    </xf>
    <xf numFmtId="0" fontId="29" fillId="0" borderId="0" xfId="4" applyFont="1">
      <alignment vertical="top"/>
    </xf>
    <xf numFmtId="49" fontId="5" fillId="17" borderId="0" xfId="6" applyFont="1" applyBorder="1">
      <alignment vertical="top"/>
    </xf>
    <xf numFmtId="49" fontId="12" fillId="5" borderId="1" xfId="5" applyFont="1">
      <alignment vertical="top"/>
    </xf>
    <xf numFmtId="49" fontId="5" fillId="0" borderId="0" xfId="7" applyFont="1">
      <alignment vertical="top"/>
    </xf>
    <xf numFmtId="0" fontId="9" fillId="12" borderId="0" xfId="4" applyFont="1" applyFill="1">
      <alignment vertical="top"/>
    </xf>
    <xf numFmtId="49" fontId="20" fillId="0" borderId="2" xfId="61" applyBorder="1" applyAlignment="1">
      <alignment vertical="top"/>
    </xf>
    <xf numFmtId="0" fontId="0" fillId="0" borderId="0" xfId="0" applyAlignment="1"/>
    <xf numFmtId="164" fontId="5" fillId="11" borderId="0" xfId="13" applyNumberFormat="1">
      <alignment vertical="top"/>
    </xf>
    <xf numFmtId="165" fontId="5" fillId="9" borderId="0" xfId="63" applyNumberFormat="1" applyFont="1" applyFill="1" applyAlignment="1">
      <alignment vertical="top"/>
    </xf>
    <xf numFmtId="165" fontId="5" fillId="10" borderId="0" xfId="63" applyNumberFormat="1" applyFont="1" applyFill="1" applyAlignment="1">
      <alignment vertical="top"/>
    </xf>
    <xf numFmtId="165" fontId="5" fillId="0" borderId="0" xfId="4" applyNumberFormat="1">
      <alignment vertical="top"/>
    </xf>
    <xf numFmtId="166" fontId="5" fillId="0" borderId="0" xfId="4" applyNumberFormat="1">
      <alignment vertical="top"/>
    </xf>
    <xf numFmtId="0" fontId="26" fillId="0" borderId="0" xfId="0" applyFont="1" applyAlignment="1"/>
    <xf numFmtId="165" fontId="1" fillId="12" borderId="0" xfId="63" applyNumberFormat="1" applyFont="1" applyFill="1" applyAlignment="1"/>
    <xf numFmtId="0" fontId="1" fillId="0" borderId="0" xfId="0" applyFont="1" applyAlignment="1"/>
    <xf numFmtId="0" fontId="1" fillId="0" borderId="12" xfId="0" applyFont="1" applyBorder="1" applyAlignment="1"/>
    <xf numFmtId="0" fontId="1" fillId="0" borderId="13" xfId="0" applyFont="1" applyBorder="1" applyAlignment="1"/>
    <xf numFmtId="0" fontId="1" fillId="0" borderId="14" xfId="0" applyFont="1" applyBorder="1" applyAlignment="1"/>
    <xf numFmtId="49" fontId="6" fillId="17" borderId="15" xfId="6" applyBorder="1">
      <alignment vertical="top"/>
    </xf>
    <xf numFmtId="49" fontId="6" fillId="17" borderId="16" xfId="6" applyBorder="1">
      <alignment vertical="top"/>
    </xf>
    <xf numFmtId="0" fontId="1" fillId="0" borderId="17" xfId="0" applyFont="1" applyBorder="1" applyAlignment="1"/>
    <xf numFmtId="0" fontId="1" fillId="0" borderId="18" xfId="0" applyFont="1" applyBorder="1" applyAlignment="1"/>
    <xf numFmtId="0" fontId="31" fillId="0" borderId="0" xfId="0" applyFont="1" applyAlignment="1"/>
    <xf numFmtId="10" fontId="1" fillId="12" borderId="0" xfId="64" applyFont="1" applyFill="1" applyBorder="1" applyAlignment="1"/>
    <xf numFmtId="164" fontId="1" fillId="12" borderId="0" xfId="63" applyNumberFormat="1" applyFont="1" applyFill="1" applyBorder="1" applyAlignment="1"/>
    <xf numFmtId="0" fontId="5" fillId="0" borderId="18" xfId="4" applyBorder="1">
      <alignment vertical="top"/>
    </xf>
    <xf numFmtId="167" fontId="1" fillId="12" borderId="0" xfId="63" applyNumberFormat="1" applyFont="1" applyFill="1" applyBorder="1" applyAlignment="1"/>
    <xf numFmtId="165" fontId="1" fillId="12" borderId="0" xfId="63" applyNumberFormat="1" applyFont="1" applyFill="1" applyBorder="1" applyAlignment="1"/>
    <xf numFmtId="0" fontId="1" fillId="0" borderId="19" xfId="0" applyFont="1" applyBorder="1" applyAlignment="1"/>
    <xf numFmtId="0" fontId="1" fillId="0" borderId="20" xfId="0" applyFont="1" applyBorder="1" applyAlignment="1"/>
    <xf numFmtId="0" fontId="1" fillId="0" borderId="21" xfId="0" applyFont="1" applyBorder="1" applyAlignment="1"/>
    <xf numFmtId="43" fontId="5" fillId="44" borderId="0" xfId="63" applyFill="1">
      <alignment vertical="top"/>
    </xf>
    <xf numFmtId="168" fontId="5" fillId="9" borderId="0" xfId="9" applyNumberFormat="1">
      <alignment vertical="top"/>
    </xf>
    <xf numFmtId="10" fontId="5" fillId="44" borderId="0" xfId="64" applyFill="1">
      <alignment vertical="top"/>
    </xf>
    <xf numFmtId="10" fontId="5" fillId="9" borderId="0" xfId="64" applyFill="1">
      <alignment vertical="top"/>
    </xf>
    <xf numFmtId="169" fontId="5" fillId="44" borderId="0" xfId="64" applyNumberFormat="1" applyFill="1">
      <alignment vertical="top"/>
    </xf>
    <xf numFmtId="0" fontId="32" fillId="0" borderId="0" xfId="4" applyFont="1">
      <alignment vertical="top"/>
    </xf>
    <xf numFmtId="49" fontId="13" fillId="0" borderId="0" xfId="14" applyFont="1">
      <alignment vertical="top"/>
    </xf>
    <xf numFmtId="41" fontId="5" fillId="0" borderId="0" xfId="4" applyNumberFormat="1">
      <alignment vertical="top"/>
    </xf>
    <xf numFmtId="164" fontId="5" fillId="0" borderId="0" xfId="63" applyNumberFormat="1" applyFill="1">
      <alignment vertical="top"/>
    </xf>
    <xf numFmtId="164" fontId="5" fillId="0" borderId="0" xfId="4" applyNumberFormat="1">
      <alignment vertical="top"/>
    </xf>
    <xf numFmtId="0" fontId="30" fillId="0" borderId="0" xfId="4" applyFont="1">
      <alignment vertical="top"/>
    </xf>
    <xf numFmtId="14" fontId="5" fillId="44" borderId="0" xfId="11" applyNumberFormat="1">
      <alignment vertical="top"/>
    </xf>
    <xf numFmtId="164" fontId="5" fillId="44" borderId="0" xfId="11" applyNumberFormat="1">
      <alignment vertical="top"/>
    </xf>
    <xf numFmtId="0" fontId="5" fillId="0" borderId="0" xfId="4" applyAlignment="1">
      <alignment horizontal="left" vertical="top"/>
    </xf>
    <xf numFmtId="0" fontId="10" fillId="0" borderId="0" xfId="0" quotePrefix="1" applyFont="1" applyAlignment="1"/>
    <xf numFmtId="0" fontId="1" fillId="0" borderId="0" xfId="0" applyFont="1" applyAlignment="1">
      <alignment horizontal="left"/>
    </xf>
    <xf numFmtId="49" fontId="6" fillId="17" borderId="1" xfId="6" applyAlignment="1">
      <alignment vertical="top" wrapText="1"/>
    </xf>
    <xf numFmtId="1" fontId="6" fillId="17" borderId="1" xfId="6" applyNumberFormat="1" applyAlignment="1">
      <alignment vertical="top" wrapText="1"/>
    </xf>
    <xf numFmtId="164" fontId="5" fillId="9" borderId="0" xfId="9" applyNumberFormat="1">
      <alignment vertical="top"/>
    </xf>
    <xf numFmtId="172" fontId="5" fillId="0" borderId="0" xfId="63" applyNumberFormat="1" applyFill="1">
      <alignment vertical="top"/>
    </xf>
    <xf numFmtId="167" fontId="5" fillId="44" borderId="0" xfId="11" applyNumberFormat="1">
      <alignment vertical="top"/>
    </xf>
    <xf numFmtId="167" fontId="5" fillId="0" borderId="0" xfId="63" applyNumberFormat="1" applyFill="1">
      <alignment vertical="top"/>
    </xf>
    <xf numFmtId="169" fontId="5" fillId="44" borderId="0" xfId="11" applyNumberFormat="1">
      <alignment vertical="top"/>
    </xf>
    <xf numFmtId="10" fontId="5" fillId="11" borderId="0" xfId="13" applyNumberFormat="1">
      <alignment vertical="top"/>
    </xf>
    <xf numFmtId="14" fontId="5" fillId="11" borderId="0" xfId="13" applyNumberFormat="1">
      <alignment vertical="top"/>
    </xf>
    <xf numFmtId="9" fontId="5" fillId="11" borderId="0" xfId="13" applyNumberFormat="1">
      <alignment vertical="top"/>
    </xf>
    <xf numFmtId="164" fontId="5" fillId="9" borderId="0" xfId="63" applyNumberFormat="1" applyFont="1" applyFill="1" applyAlignment="1">
      <alignment vertical="top"/>
    </xf>
    <xf numFmtId="164" fontId="5" fillId="9" borderId="0" xfId="63" applyNumberFormat="1">
      <alignment vertical="top"/>
    </xf>
    <xf numFmtId="164" fontId="6" fillId="17" borderId="1" xfId="6" applyNumberFormat="1">
      <alignment vertical="top"/>
    </xf>
    <xf numFmtId="164" fontId="5" fillId="10" borderId="0" xfId="8" applyNumberFormat="1">
      <alignment vertical="top"/>
    </xf>
    <xf numFmtId="167" fontId="5" fillId="11" borderId="0" xfId="63" applyNumberFormat="1" applyFont="1" applyFill="1" applyAlignment="1">
      <alignment vertical="top"/>
    </xf>
    <xf numFmtId="164" fontId="5" fillId="11" borderId="0" xfId="63" applyNumberFormat="1" applyFont="1" applyFill="1" applyAlignment="1">
      <alignment vertical="top"/>
    </xf>
    <xf numFmtId="167" fontId="5" fillId="11" borderId="0" xfId="13" applyNumberFormat="1">
      <alignment vertical="top"/>
    </xf>
    <xf numFmtId="171" fontId="5" fillId="9" borderId="0" xfId="9" applyNumberFormat="1">
      <alignment vertical="top"/>
    </xf>
    <xf numFmtId="173" fontId="5" fillId="0" borderId="0" xfId="4" applyNumberFormat="1">
      <alignment vertical="top"/>
    </xf>
    <xf numFmtId="10" fontId="5" fillId="11" borderId="0" xfId="64" applyFill="1">
      <alignment vertical="top"/>
    </xf>
    <xf numFmtId="174" fontId="5" fillId="9" borderId="0" xfId="9" applyNumberFormat="1">
      <alignment vertical="top"/>
    </xf>
    <xf numFmtId="169" fontId="5" fillId="11" borderId="0" xfId="64" applyNumberFormat="1" applyFill="1">
      <alignment vertical="top"/>
    </xf>
    <xf numFmtId="43" fontId="5" fillId="0" borderId="0" xfId="63" applyFill="1">
      <alignment vertical="top"/>
    </xf>
    <xf numFmtId="0" fontId="13" fillId="0" borderId="0" xfId="0" applyFont="1" applyAlignment="1"/>
    <xf numFmtId="167" fontId="5" fillId="10" borderId="0" xfId="63" applyNumberFormat="1" applyFont="1" applyFill="1" applyAlignment="1">
      <alignment vertical="top"/>
    </xf>
    <xf numFmtId="10" fontId="5" fillId="0" borderId="0" xfId="64" applyFill="1">
      <alignment vertical="top"/>
    </xf>
    <xf numFmtId="164" fontId="5" fillId="0" borderId="0" xfId="9" applyNumberFormat="1" applyFill="1">
      <alignment vertical="top"/>
    </xf>
    <xf numFmtId="41" fontId="5" fillId="0" borderId="0" xfId="9" applyFill="1">
      <alignment vertical="top"/>
    </xf>
    <xf numFmtId="41" fontId="9" fillId="0" borderId="0" xfId="12" applyFont="1" applyFill="1">
      <alignment vertical="top"/>
    </xf>
    <xf numFmtId="175" fontId="5" fillId="0" borderId="0" xfId="4" applyNumberFormat="1">
      <alignment vertical="top"/>
    </xf>
    <xf numFmtId="14" fontId="5" fillId="0" borderId="0" xfId="13" applyNumberFormat="1" applyFill="1">
      <alignment vertical="top"/>
    </xf>
    <xf numFmtId="0" fontId="5" fillId="0" borderId="0" xfId="4" applyFill="1">
      <alignment vertical="top"/>
    </xf>
    <xf numFmtId="176" fontId="5" fillId="44" borderId="0" xfId="11" applyNumberFormat="1">
      <alignment vertical="top"/>
    </xf>
    <xf numFmtId="41" fontId="5" fillId="0" borderId="0" xfId="12" applyFill="1">
      <alignment vertical="top"/>
    </xf>
    <xf numFmtId="41" fontId="5" fillId="0" borderId="0" xfId="10" applyFill="1">
      <alignment vertical="top"/>
    </xf>
    <xf numFmtId="0" fontId="0" fillId="0" borderId="0" xfId="0" applyFont="1" applyAlignment="1"/>
    <xf numFmtId="168" fontId="5" fillId="11" borderId="0" xfId="13" applyNumberFormat="1">
      <alignment vertical="top"/>
    </xf>
    <xf numFmtId="0" fontId="5" fillId="0" borderId="0" xfId="4" applyAlignment="1">
      <alignment horizontal="left" vertical="top" wrapText="1"/>
    </xf>
    <xf numFmtId="0" fontId="7" fillId="0" borderId="0" xfId="4" applyFont="1" applyAlignment="1">
      <alignment horizontal="left" vertical="top" wrapText="1"/>
    </xf>
    <xf numFmtId="171" fontId="5" fillId="8" borderId="0" xfId="10" applyNumberFormat="1">
      <alignment vertical="top"/>
    </xf>
    <xf numFmtId="164" fontId="1" fillId="12" borderId="0" xfId="63" applyNumberFormat="1" applyFont="1" applyFill="1" applyBorder="1" applyAlignment="1">
      <alignment horizontal="right"/>
    </xf>
  </cellXfs>
  <cellStyles count="66">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wacc-elektriciteit-en-drinkwater-caribisch-nederland-2020-2022" TargetMode="External"/><Relationship Id="rId7" Type="http://schemas.openxmlformats.org/officeDocument/2006/relationships/printerSettings" Target="../printerSettings/printerSettings3.bin"/><Relationship Id="rId2" Type="http://schemas.openxmlformats.org/officeDocument/2006/relationships/hyperlink" Target="https://www.cbs.nl/nl-nl/maatwerk/2021/45/cpi-caribisch-nederland-exclusief-covid-19-toeslagen" TargetMode="External"/><Relationship Id="rId1" Type="http://schemas.openxmlformats.org/officeDocument/2006/relationships/hyperlink" Target="https://opendata.cbs.nl/statline/" TargetMode="External"/><Relationship Id="rId6" Type="http://schemas.openxmlformats.org/officeDocument/2006/relationships/hyperlink" Target="https://www.acm.nl/nl/publicaties/beschikking-productieprijs-elektriciteit-2022-bonaire-contourglobal-caribisch-nederland" TargetMode="External"/><Relationship Id="rId5" Type="http://schemas.openxmlformats.org/officeDocument/2006/relationships/hyperlink" Target="https://wetten.overheid.nl/BWBR0030649/2011-11-18" TargetMode="External"/><Relationship Id="rId4" Type="http://schemas.openxmlformats.org/officeDocument/2006/relationships/hyperlink" Target="https://www.acm.nl/nl/publicaties/wacc-elektriciteit-en-drinkwater-caribisch-nederland-2023-20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38"/>
  <sheetViews>
    <sheetView showGridLines="0" zoomScale="85" zoomScaleNormal="85" workbookViewId="0">
      <pane ySplit="3" topLeftCell="A4" activePane="bottomLeft" state="frozen"/>
      <selection activeCell="O39" sqref="O39"/>
      <selection pane="bottomLeft"/>
    </sheetView>
  </sheetViews>
  <sheetFormatPr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41</v>
      </c>
    </row>
    <row r="6" spans="2:5" x14ac:dyDescent="0.2">
      <c r="B6" s="3"/>
    </row>
    <row r="13" spans="2:5" s="8" customFormat="1" x14ac:dyDescent="0.2">
      <c r="B13" s="8" t="s">
        <v>2</v>
      </c>
    </row>
    <row r="15" spans="2:5" x14ac:dyDescent="0.2">
      <c r="B15" s="9" t="s">
        <v>3</v>
      </c>
      <c r="C15" s="9" t="s">
        <v>269</v>
      </c>
      <c r="E15" s="17"/>
    </row>
    <row r="16" spans="2:5" x14ac:dyDescent="0.2">
      <c r="B16" s="9" t="s">
        <v>4</v>
      </c>
      <c r="C16" s="9" t="s">
        <v>270</v>
      </c>
    </row>
    <row r="17" spans="2:4" x14ac:dyDescent="0.2">
      <c r="B17" s="9" t="s">
        <v>5</v>
      </c>
      <c r="C17" s="9" t="s">
        <v>271</v>
      </c>
    </row>
    <row r="18" spans="2:4" x14ac:dyDescent="0.2">
      <c r="B18" s="9" t="s">
        <v>42</v>
      </c>
      <c r="C18" s="9" t="s">
        <v>542</v>
      </c>
    </row>
    <row r="19" spans="2:4" x14ac:dyDescent="0.2">
      <c r="B19" s="9" t="s">
        <v>6</v>
      </c>
      <c r="C19" s="9"/>
    </row>
    <row r="21" spans="2:4" x14ac:dyDescent="0.2">
      <c r="B21" s="19" t="s">
        <v>57</v>
      </c>
    </row>
    <row r="23" spans="2:4" s="8" customFormat="1" x14ac:dyDescent="0.2">
      <c r="B23" s="8" t="s">
        <v>7</v>
      </c>
    </row>
    <row r="25" spans="2:4" x14ac:dyDescent="0.2">
      <c r="B25" s="9" t="s">
        <v>8</v>
      </c>
      <c r="C25" s="9" t="s">
        <v>272</v>
      </c>
    </row>
    <row r="26" spans="2:4" x14ac:dyDescent="0.2">
      <c r="B26" s="9" t="s">
        <v>54</v>
      </c>
      <c r="C26" s="9" t="s">
        <v>272</v>
      </c>
    </row>
    <row r="27" spans="2:4" x14ac:dyDescent="0.2">
      <c r="B27" s="9" t="s">
        <v>55</v>
      </c>
      <c r="C27" s="9" t="s">
        <v>543</v>
      </c>
    </row>
    <row r="28" spans="2:4" ht="25.5" x14ac:dyDescent="0.2">
      <c r="B28" s="9" t="s">
        <v>9</v>
      </c>
      <c r="C28" s="9" t="s">
        <v>272</v>
      </c>
    </row>
    <row r="29" spans="2:4" ht="25.5" x14ac:dyDescent="0.2">
      <c r="B29" s="9" t="s">
        <v>56</v>
      </c>
      <c r="C29" s="9" t="s">
        <v>544</v>
      </c>
    </row>
    <row r="30" spans="2:4" x14ac:dyDescent="0.2">
      <c r="B30" s="9" t="s">
        <v>6</v>
      </c>
      <c r="C30" s="9" t="s">
        <v>545</v>
      </c>
    </row>
    <row r="32" spans="2:4" x14ac:dyDescent="0.2">
      <c r="B32" s="112" t="s">
        <v>44</v>
      </c>
      <c r="C32" s="113"/>
      <c r="D32" s="5"/>
    </row>
    <row r="33" spans="2:4" x14ac:dyDescent="0.2">
      <c r="B33" s="16"/>
      <c r="C33" s="16"/>
      <c r="D33" s="5"/>
    </row>
    <row r="38" spans="2:4" x14ac:dyDescent="0.2">
      <c r="B38" s="4" t="s">
        <v>58</v>
      </c>
    </row>
  </sheetData>
  <mergeCells count="1">
    <mergeCell ref="B32:C32"/>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43D5-CC1B-4BE0-B4D8-B4218A238A26}">
  <sheetPr>
    <tabColor rgb="FFE1FFE1"/>
  </sheetPr>
  <dimension ref="A1:R83"/>
  <sheetViews>
    <sheetView showGridLines="0" zoomScale="85" zoomScaleNormal="85" workbookViewId="0">
      <pane xSplit="6" ySplit="9" topLeftCell="G10" activePane="bottomRight" state="frozen"/>
      <selection activeCell="C53" activeCellId="1" sqref="A4 C53"/>
      <selection pane="topRight" activeCell="C53" activeCellId="1" sqref="A4 C53"/>
      <selection pane="bottomLeft" activeCell="C53" activeCellId="1" sqref="A4 C53"/>
      <selection pane="bottomRight"/>
    </sheetView>
  </sheetViews>
  <sheetFormatPr defaultRowHeight="12.75" x14ac:dyDescent="0.2"/>
  <cols>
    <col min="1" max="1" width="4.7109375" style="2" customWidth="1"/>
    <col min="2" max="2" width="69.855468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45.7109375" style="2" customWidth="1"/>
    <col min="11" max="11" width="2.7109375" style="2" customWidth="1"/>
    <col min="12" max="12" width="41.28515625" style="2" customWidth="1"/>
    <col min="13" max="13" width="2.7109375" style="2" customWidth="1"/>
    <col min="14" max="28" width="13.7109375" style="2" customWidth="1"/>
    <col min="29" max="16384" width="9.140625" style="2"/>
  </cols>
  <sheetData>
    <row r="1" spans="1:18" x14ac:dyDescent="0.2">
      <c r="A1" s="106"/>
    </row>
    <row r="2" spans="1:18" s="12" customFormat="1" ht="18" x14ac:dyDescent="0.2">
      <c r="B2" s="12" t="s">
        <v>342</v>
      </c>
    </row>
    <row r="4" spans="1:18" x14ac:dyDescent="0.2">
      <c r="B4" s="18" t="s">
        <v>101</v>
      </c>
      <c r="C4" s="1"/>
      <c r="D4" s="1"/>
    </row>
    <row r="5" spans="1:18" x14ac:dyDescent="0.2">
      <c r="B5" s="2" t="s">
        <v>343</v>
      </c>
      <c r="H5" s="13"/>
      <c r="R5" s="17"/>
    </row>
    <row r="6" spans="1:18" x14ac:dyDescent="0.2">
      <c r="B6" s="4"/>
    </row>
    <row r="8" spans="1:18" s="8" customFormat="1" x14ac:dyDescent="0.2">
      <c r="B8" s="8" t="s">
        <v>11</v>
      </c>
      <c r="F8" s="8" t="s">
        <v>36</v>
      </c>
      <c r="H8" s="8" t="s">
        <v>37</v>
      </c>
      <c r="J8" s="8" t="s">
        <v>40</v>
      </c>
      <c r="L8" s="8" t="s">
        <v>39</v>
      </c>
    </row>
    <row r="11" spans="1:18" s="8" customFormat="1" x14ac:dyDescent="0.2">
      <c r="B11" s="8" t="s">
        <v>344</v>
      </c>
    </row>
    <row r="13" spans="1:18" x14ac:dyDescent="0.2">
      <c r="B13" s="18" t="s">
        <v>345</v>
      </c>
      <c r="H13" s="66"/>
      <c r="L13" s="65"/>
    </row>
    <row r="14" spans="1:18" x14ac:dyDescent="0.2">
      <c r="B14" s="2" t="s">
        <v>179</v>
      </c>
      <c r="F14" s="2" t="s">
        <v>79</v>
      </c>
      <c r="H14" s="23">
        <v>102738899</v>
      </c>
      <c r="J14" s="2" t="s">
        <v>458</v>
      </c>
      <c r="L14" s="2" t="s">
        <v>346</v>
      </c>
    </row>
    <row r="15" spans="1:18" ht="13.5" customHeight="1" x14ac:dyDescent="0.2">
      <c r="B15" s="2" t="s">
        <v>180</v>
      </c>
      <c r="F15" s="2" t="s">
        <v>79</v>
      </c>
      <c r="H15" s="23">
        <v>36200000</v>
      </c>
      <c r="J15" s="2" t="s">
        <v>458</v>
      </c>
    </row>
    <row r="16" spans="1:18" ht="13.5" customHeight="1" x14ac:dyDescent="0.2">
      <c r="B16" s="2" t="s">
        <v>181</v>
      </c>
      <c r="F16" s="2" t="s">
        <v>79</v>
      </c>
      <c r="H16" s="23">
        <v>8943787.2430000007</v>
      </c>
      <c r="J16" s="2" t="s">
        <v>458</v>
      </c>
    </row>
    <row r="17" spans="1:14" ht="13.5" customHeight="1" x14ac:dyDescent="0.2">
      <c r="B17" s="2" t="s">
        <v>347</v>
      </c>
      <c r="F17" s="2" t="s">
        <v>79</v>
      </c>
      <c r="H17" s="27">
        <f>H15+H16</f>
        <v>45143787.243000001</v>
      </c>
    </row>
    <row r="18" spans="1:14" x14ac:dyDescent="0.2">
      <c r="B18" s="2" t="s">
        <v>348</v>
      </c>
      <c r="F18" s="2" t="s">
        <v>79</v>
      </c>
      <c r="H18" s="27">
        <f>H14+H17</f>
        <v>147882686.243</v>
      </c>
      <c r="L18" s="17"/>
    </row>
    <row r="20" spans="1:14" x14ac:dyDescent="0.2">
      <c r="A20" s="106"/>
      <c r="B20" s="2" t="s">
        <v>349</v>
      </c>
      <c r="F20" s="2" t="s">
        <v>98</v>
      </c>
      <c r="H20" s="107">
        <v>1.0392999999999999</v>
      </c>
      <c r="J20" s="2" t="s">
        <v>350</v>
      </c>
    </row>
    <row r="23" spans="1:14" s="8" customFormat="1" x14ac:dyDescent="0.2">
      <c r="B23" s="8" t="s">
        <v>351</v>
      </c>
    </row>
    <row r="25" spans="1:14" x14ac:dyDescent="0.2">
      <c r="B25" s="18" t="s">
        <v>182</v>
      </c>
      <c r="H25" s="65"/>
      <c r="L25" s="65"/>
    </row>
    <row r="26" spans="1:14" x14ac:dyDescent="0.2">
      <c r="B26" s="2" t="s">
        <v>183</v>
      </c>
      <c r="F26" s="2" t="s">
        <v>92</v>
      </c>
      <c r="H26" s="22" t="s">
        <v>546</v>
      </c>
      <c r="J26" s="2" t="s">
        <v>491</v>
      </c>
    </row>
    <row r="27" spans="1:14" x14ac:dyDescent="0.2">
      <c r="B27" s="2" t="s">
        <v>184</v>
      </c>
      <c r="F27" s="2" t="s">
        <v>150</v>
      </c>
      <c r="H27" s="22" t="s">
        <v>546</v>
      </c>
      <c r="J27" s="2" t="s">
        <v>490</v>
      </c>
      <c r="L27" s="2" t="s">
        <v>496</v>
      </c>
    </row>
    <row r="28" spans="1:14" x14ac:dyDescent="0.2">
      <c r="B28" s="2" t="s">
        <v>147</v>
      </c>
      <c r="F28" s="2" t="s">
        <v>148</v>
      </c>
      <c r="H28" s="22" t="s">
        <v>546</v>
      </c>
      <c r="J28" s="2" t="s">
        <v>185</v>
      </c>
    </row>
    <row r="29" spans="1:14" x14ac:dyDescent="0.2">
      <c r="B29" s="2" t="s">
        <v>186</v>
      </c>
      <c r="F29" s="2" t="s">
        <v>187</v>
      </c>
      <c r="H29" s="22" t="s">
        <v>546</v>
      </c>
      <c r="J29" s="2" t="s">
        <v>188</v>
      </c>
      <c r="L29" s="2" t="s">
        <v>189</v>
      </c>
    </row>
    <row r="30" spans="1:14" x14ac:dyDescent="0.2">
      <c r="A30" s="106"/>
      <c r="N30" s="39"/>
    </row>
    <row r="31" spans="1:14" x14ac:dyDescent="0.2">
      <c r="A31" s="106"/>
      <c r="B31" s="2" t="s">
        <v>190</v>
      </c>
      <c r="F31" s="2" t="s">
        <v>88</v>
      </c>
      <c r="H31" s="61">
        <v>0.5</v>
      </c>
      <c r="J31" s="2" t="s">
        <v>490</v>
      </c>
      <c r="N31" s="66"/>
    </row>
    <row r="32" spans="1:14" x14ac:dyDescent="0.2">
      <c r="A32" s="106"/>
      <c r="B32" s="2" t="s">
        <v>352</v>
      </c>
      <c r="F32" s="2" t="s">
        <v>353</v>
      </c>
      <c r="H32" s="23">
        <v>0</v>
      </c>
      <c r="N32" s="66"/>
    </row>
    <row r="33" spans="1:14" x14ac:dyDescent="0.2">
      <c r="A33" s="106"/>
      <c r="N33" s="66"/>
    </row>
    <row r="34" spans="1:14" x14ac:dyDescent="0.2">
      <c r="A34" s="106"/>
      <c r="B34" s="18" t="s">
        <v>191</v>
      </c>
      <c r="H34" s="65"/>
      <c r="L34" s="65"/>
    </row>
    <row r="35" spans="1:14" x14ac:dyDescent="0.2">
      <c r="A35" s="106"/>
      <c r="B35" s="2" t="s">
        <v>192</v>
      </c>
      <c r="F35" s="2" t="s">
        <v>92</v>
      </c>
      <c r="H35" s="22" t="s">
        <v>546</v>
      </c>
      <c r="J35" s="2" t="s">
        <v>491</v>
      </c>
    </row>
    <row r="36" spans="1:14" x14ac:dyDescent="0.2">
      <c r="A36" s="106"/>
      <c r="B36" s="2" t="s">
        <v>184</v>
      </c>
      <c r="F36" s="2" t="s">
        <v>150</v>
      </c>
      <c r="H36" s="22" t="s">
        <v>546</v>
      </c>
      <c r="J36" s="2" t="s">
        <v>490</v>
      </c>
    </row>
    <row r="37" spans="1:14" x14ac:dyDescent="0.2">
      <c r="A37" s="106"/>
      <c r="B37" s="2" t="s">
        <v>147</v>
      </c>
      <c r="F37" s="2" t="s">
        <v>148</v>
      </c>
      <c r="H37" s="22" t="s">
        <v>546</v>
      </c>
      <c r="J37" s="2" t="s">
        <v>193</v>
      </c>
    </row>
    <row r="38" spans="1:14" x14ac:dyDescent="0.2">
      <c r="A38" s="106"/>
      <c r="B38" s="2" t="s">
        <v>186</v>
      </c>
      <c r="F38" s="2" t="s">
        <v>187</v>
      </c>
      <c r="H38" s="22" t="s">
        <v>546</v>
      </c>
      <c r="J38" s="2" t="s">
        <v>194</v>
      </c>
      <c r="L38" s="2" t="s">
        <v>189</v>
      </c>
    </row>
    <row r="39" spans="1:14" x14ac:dyDescent="0.2">
      <c r="A39" s="106"/>
    </row>
    <row r="40" spans="1:14" x14ac:dyDescent="0.2">
      <c r="A40" s="106"/>
      <c r="B40" s="2" t="s">
        <v>190</v>
      </c>
      <c r="F40" s="2" t="s">
        <v>88</v>
      </c>
      <c r="H40" s="61">
        <v>0.5</v>
      </c>
      <c r="J40" s="2" t="s">
        <v>532</v>
      </c>
    </row>
    <row r="41" spans="1:14" x14ac:dyDescent="0.2">
      <c r="A41" s="106"/>
      <c r="B41" s="2" t="s">
        <v>352</v>
      </c>
      <c r="F41" s="2" t="s">
        <v>353</v>
      </c>
      <c r="H41" s="23">
        <v>0</v>
      </c>
    </row>
    <row r="43" spans="1:14" x14ac:dyDescent="0.2">
      <c r="B43" s="19" t="s">
        <v>195</v>
      </c>
    </row>
    <row r="46" spans="1:14" s="8" customFormat="1" x14ac:dyDescent="0.2">
      <c r="B46" s="8" t="s">
        <v>459</v>
      </c>
    </row>
    <row r="47" spans="1:14" x14ac:dyDescent="0.2">
      <c r="A47" s="106"/>
    </row>
    <row r="48" spans="1:14" x14ac:dyDescent="0.2">
      <c r="A48" s="108"/>
      <c r="B48" s="1" t="s">
        <v>497</v>
      </c>
    </row>
    <row r="49" spans="1:12" x14ac:dyDescent="0.2">
      <c r="A49" s="106"/>
      <c r="B49" s="2" t="s">
        <v>463</v>
      </c>
      <c r="F49" s="2" t="s">
        <v>465</v>
      </c>
      <c r="H49" s="22" t="s">
        <v>546</v>
      </c>
      <c r="J49" s="2" t="s">
        <v>536</v>
      </c>
    </row>
    <row r="50" spans="1:12" x14ac:dyDescent="0.2">
      <c r="A50" s="106"/>
      <c r="B50" s="2" t="s">
        <v>147</v>
      </c>
      <c r="F50" s="2" t="s">
        <v>148</v>
      </c>
      <c r="H50" s="22" t="s">
        <v>546</v>
      </c>
      <c r="L50" s="2" t="s">
        <v>495</v>
      </c>
    </row>
    <row r="51" spans="1:12" x14ac:dyDescent="0.2">
      <c r="A51" s="109"/>
      <c r="B51" s="2" t="s">
        <v>464</v>
      </c>
      <c r="F51" s="2" t="s">
        <v>150</v>
      </c>
      <c r="H51" s="22" t="s">
        <v>546</v>
      </c>
      <c r="J51" s="2" t="s">
        <v>537</v>
      </c>
    </row>
    <row r="53" spans="1:12" x14ac:dyDescent="0.2">
      <c r="B53" s="1" t="s">
        <v>460</v>
      </c>
    </row>
    <row r="54" spans="1:12" x14ac:dyDescent="0.2">
      <c r="B54" s="2" t="s">
        <v>463</v>
      </c>
      <c r="F54" s="2" t="s">
        <v>92</v>
      </c>
      <c r="H54" s="22" t="s">
        <v>546</v>
      </c>
      <c r="J54" s="2" t="s">
        <v>535</v>
      </c>
    </row>
    <row r="55" spans="1:12" x14ac:dyDescent="0.2">
      <c r="B55" s="2" t="s">
        <v>147</v>
      </c>
      <c r="F55" s="2" t="s">
        <v>148</v>
      </c>
      <c r="H55" s="22" t="s">
        <v>546</v>
      </c>
    </row>
    <row r="56" spans="1:12" x14ac:dyDescent="0.2">
      <c r="B56" s="2" t="s">
        <v>464</v>
      </c>
      <c r="F56" s="2" t="s">
        <v>150</v>
      </c>
      <c r="H56" s="22" t="s">
        <v>546</v>
      </c>
    </row>
    <row r="58" spans="1:12" x14ac:dyDescent="0.2">
      <c r="B58" s="1" t="s">
        <v>461</v>
      </c>
    </row>
    <row r="59" spans="1:12" x14ac:dyDescent="0.2">
      <c r="B59" s="2" t="s">
        <v>463</v>
      </c>
      <c r="F59" s="2" t="s">
        <v>92</v>
      </c>
      <c r="H59" s="22" t="s">
        <v>546</v>
      </c>
      <c r="J59" s="2" t="s">
        <v>535</v>
      </c>
    </row>
    <row r="60" spans="1:12" x14ac:dyDescent="0.2">
      <c r="B60" s="2" t="s">
        <v>147</v>
      </c>
      <c r="F60" s="2" t="s">
        <v>148</v>
      </c>
      <c r="H60" s="22" t="s">
        <v>546</v>
      </c>
    </row>
    <row r="61" spans="1:12" x14ac:dyDescent="0.2">
      <c r="B61" s="2" t="s">
        <v>464</v>
      </c>
      <c r="F61" s="2" t="s">
        <v>150</v>
      </c>
      <c r="H61" s="22" t="s">
        <v>546</v>
      </c>
    </row>
    <row r="63" spans="1:12" x14ac:dyDescent="0.2">
      <c r="B63" s="1" t="s">
        <v>462</v>
      </c>
    </row>
    <row r="64" spans="1:12" x14ac:dyDescent="0.2">
      <c r="B64" s="2" t="s">
        <v>463</v>
      </c>
      <c r="F64" s="2" t="s">
        <v>465</v>
      </c>
      <c r="H64" s="22" t="s">
        <v>546</v>
      </c>
      <c r="J64" s="2" t="s">
        <v>538</v>
      </c>
    </row>
    <row r="65" spans="1:12" x14ac:dyDescent="0.2">
      <c r="B65" s="2" t="s">
        <v>147</v>
      </c>
      <c r="F65" s="2" t="s">
        <v>148</v>
      </c>
      <c r="H65" s="22" t="s">
        <v>546</v>
      </c>
    </row>
    <row r="66" spans="1:12" x14ac:dyDescent="0.2">
      <c r="A66" s="108"/>
      <c r="B66" s="2" t="s">
        <v>464</v>
      </c>
      <c r="F66" s="2" t="s">
        <v>150</v>
      </c>
      <c r="H66" s="22" t="s">
        <v>546</v>
      </c>
    </row>
    <row r="68" spans="1:12" x14ac:dyDescent="0.2">
      <c r="B68" s="4" t="s">
        <v>466</v>
      </c>
    </row>
    <row r="71" spans="1:12" s="8" customFormat="1" x14ac:dyDescent="0.2">
      <c r="B71" s="8" t="s">
        <v>484</v>
      </c>
    </row>
    <row r="73" spans="1:12" x14ac:dyDescent="0.2">
      <c r="B73" s="1" t="s">
        <v>196</v>
      </c>
    </row>
    <row r="74" spans="1:12" x14ac:dyDescent="0.2">
      <c r="B74" s="2" t="s">
        <v>197</v>
      </c>
      <c r="F74" s="21" t="s">
        <v>88</v>
      </c>
      <c r="H74" s="81">
        <v>0.11</v>
      </c>
      <c r="J74" s="2" t="s">
        <v>354</v>
      </c>
      <c r="L74" s="2" t="s">
        <v>198</v>
      </c>
    </row>
    <row r="76" spans="1:12" x14ac:dyDescent="0.2">
      <c r="B76" s="1" t="s">
        <v>485</v>
      </c>
    </row>
    <row r="77" spans="1:12" x14ac:dyDescent="0.2">
      <c r="B77" s="2" t="s">
        <v>494</v>
      </c>
      <c r="F77" s="2" t="s">
        <v>300</v>
      </c>
      <c r="H77" s="23">
        <v>-172313.24768922944</v>
      </c>
      <c r="J77" s="2" t="s">
        <v>487</v>
      </c>
    </row>
    <row r="83" spans="2:2" x14ac:dyDescent="0.2">
      <c r="B83" s="4" t="s">
        <v>58</v>
      </c>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A94B-0355-4A6A-BF94-79F4604FCBE3}">
  <sheetPr>
    <tabColor theme="0" tint="-4.9989318521683403E-2"/>
  </sheetPr>
  <dimension ref="B2:B3"/>
  <sheetViews>
    <sheetView showGridLines="0" zoomScale="85" zoomScaleNormal="85" workbookViewId="0">
      <selection activeCell="C53" activeCellId="1" sqref="A4 C53"/>
    </sheetView>
  </sheetViews>
  <sheetFormatPr defaultRowHeight="12.75" x14ac:dyDescent="0.2"/>
  <cols>
    <col min="1" max="16384" width="9.140625" style="14"/>
  </cols>
  <sheetData>
    <row r="2" spans="2:2" x14ac:dyDescent="0.2">
      <c r="B2" s="32" t="s">
        <v>59</v>
      </c>
    </row>
    <row r="3" spans="2:2" x14ac:dyDescent="0.2">
      <c r="B3" s="32" t="s">
        <v>60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85D3-EB2B-40F6-8903-3E6E5FC6B802}">
  <sheetPr>
    <tabColor rgb="FFFFFFCC"/>
  </sheetPr>
  <dimension ref="A1:K327"/>
  <sheetViews>
    <sheetView showGridLines="0" zoomScale="85" zoomScaleNormal="85" workbookViewId="0">
      <pane xSplit="6" ySplit="16" topLeftCell="G17" activePane="bottomRight" state="frozen"/>
      <selection activeCell="C53" activeCellId="1" sqref="A4 C53"/>
      <selection pane="topRight" activeCell="C53" activeCellId="1" sqref="A4 C53"/>
      <selection pane="bottomLeft" activeCell="C53" activeCellId="1" sqref="A4 C53"/>
      <selection pane="bottomRight"/>
    </sheetView>
  </sheetViews>
  <sheetFormatPr defaultRowHeight="12.75" x14ac:dyDescent="0.2"/>
  <cols>
    <col min="1" max="1" width="4.7109375" style="2" customWidth="1"/>
    <col min="2" max="2" width="63"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24" width="13.7109375" style="2" customWidth="1"/>
    <col min="25" max="16384" width="9.140625" style="2"/>
  </cols>
  <sheetData>
    <row r="1" spans="1:10" x14ac:dyDescent="0.2">
      <c r="A1" s="106"/>
    </row>
    <row r="2" spans="1:10" s="12" customFormat="1" ht="18" x14ac:dyDescent="0.2">
      <c r="B2" s="12" t="s">
        <v>355</v>
      </c>
    </row>
    <row r="4" spans="1:10" x14ac:dyDescent="0.2">
      <c r="B4" s="18" t="s">
        <v>199</v>
      </c>
      <c r="C4" s="1"/>
      <c r="D4" s="1"/>
    </row>
    <row r="5" spans="1:10" x14ac:dyDescent="0.2">
      <c r="B5" s="2" t="s">
        <v>356</v>
      </c>
      <c r="H5" s="13"/>
    </row>
    <row r="6" spans="1:10" x14ac:dyDescent="0.2">
      <c r="A6" s="106"/>
      <c r="B6" s="2" t="s">
        <v>469</v>
      </c>
      <c r="H6" s="13"/>
    </row>
    <row r="7" spans="1:10" x14ac:dyDescent="0.2">
      <c r="B7" s="2" t="s">
        <v>470</v>
      </c>
      <c r="H7" s="13"/>
    </row>
    <row r="8" spans="1:10" x14ac:dyDescent="0.2">
      <c r="B8" s="13"/>
      <c r="H8" s="13"/>
    </row>
    <row r="9" spans="1:10" x14ac:dyDescent="0.2">
      <c r="B9" s="19" t="s">
        <v>35</v>
      </c>
      <c r="H9" s="13"/>
    </row>
    <row r="10" spans="1:10" x14ac:dyDescent="0.2">
      <c r="B10" s="4" t="s">
        <v>357</v>
      </c>
    </row>
    <row r="11" spans="1:10" x14ac:dyDescent="0.2">
      <c r="B11" s="4" t="s">
        <v>358</v>
      </c>
    </row>
    <row r="12" spans="1:10" x14ac:dyDescent="0.2">
      <c r="B12" s="4" t="s">
        <v>471</v>
      </c>
    </row>
    <row r="15" spans="1:10" s="8" customFormat="1" x14ac:dyDescent="0.2">
      <c r="B15" s="8" t="s">
        <v>11</v>
      </c>
      <c r="F15" s="8" t="s">
        <v>36</v>
      </c>
      <c r="H15" s="8" t="s">
        <v>37</v>
      </c>
      <c r="J15" s="8" t="s">
        <v>39</v>
      </c>
    </row>
    <row r="18" spans="2:8" s="8" customFormat="1" x14ac:dyDescent="0.2">
      <c r="B18" s="8" t="s">
        <v>200</v>
      </c>
    </row>
    <row r="20" spans="2:8" x14ac:dyDescent="0.2">
      <c r="B20" s="31" t="s">
        <v>291</v>
      </c>
      <c r="F20" s="2" t="s">
        <v>88</v>
      </c>
      <c r="H20" s="82">
        <f>Parameters!H41</f>
        <v>6.08E-2</v>
      </c>
    </row>
    <row r="21" spans="2:8" x14ac:dyDescent="0.2">
      <c r="B21" s="2" t="s">
        <v>292</v>
      </c>
      <c r="F21" s="2" t="s">
        <v>88</v>
      </c>
      <c r="H21" s="82">
        <f>Parameters!H42</f>
        <v>6.4600000000000005E-2</v>
      </c>
    </row>
    <row r="24" spans="2:8" x14ac:dyDescent="0.2">
      <c r="B24" s="1" t="s">
        <v>137</v>
      </c>
    </row>
    <row r="26" spans="2:8" x14ac:dyDescent="0.2">
      <c r="B26" s="2" t="s">
        <v>138</v>
      </c>
      <c r="F26" s="2" t="s">
        <v>92</v>
      </c>
      <c r="H26" s="26">
        <f>'Est. and realized costs 2022'!H42</f>
        <v>61734000</v>
      </c>
    </row>
    <row r="27" spans="2:8" x14ac:dyDescent="0.2">
      <c r="B27" s="2" t="s">
        <v>139</v>
      </c>
      <c r="F27" s="2" t="s">
        <v>92</v>
      </c>
      <c r="H27" s="26">
        <f>'Est. and realized costs 2022'!H43</f>
        <v>860000</v>
      </c>
    </row>
    <row r="28" spans="2:8" x14ac:dyDescent="0.2">
      <c r="B28" s="2" t="s">
        <v>140</v>
      </c>
      <c r="F28" s="2" t="s">
        <v>92</v>
      </c>
      <c r="H28" s="26">
        <f>'Est. and realized costs 2022'!H44</f>
        <v>18696000</v>
      </c>
    </row>
    <row r="29" spans="2:8" x14ac:dyDescent="0.2">
      <c r="B29" s="2" t="s">
        <v>141</v>
      </c>
      <c r="F29" s="2" t="s">
        <v>142</v>
      </c>
      <c r="H29" s="26">
        <f>'Est. and realized costs 2022'!H45</f>
        <v>15</v>
      </c>
    </row>
    <row r="32" spans="2:8" x14ac:dyDescent="0.2">
      <c r="B32" s="1" t="s">
        <v>143</v>
      </c>
    </row>
    <row r="34" spans="2:8" x14ac:dyDescent="0.2">
      <c r="B34" s="4" t="s">
        <v>144</v>
      </c>
    </row>
    <row r="35" spans="2:8" x14ac:dyDescent="0.2">
      <c r="B35" s="69" t="s">
        <v>201</v>
      </c>
    </row>
    <row r="36" spans="2:8" x14ac:dyDescent="0.2">
      <c r="B36" s="2" t="s">
        <v>146</v>
      </c>
      <c r="F36" s="2" t="s">
        <v>92</v>
      </c>
      <c r="H36" s="26">
        <f>'Est. and realized costs 2022'!H52</f>
        <v>773908</v>
      </c>
    </row>
    <row r="37" spans="2:8" x14ac:dyDescent="0.2">
      <c r="B37" s="2" t="s">
        <v>147</v>
      </c>
      <c r="F37" s="2" t="s">
        <v>148</v>
      </c>
      <c r="H37" s="26">
        <f>'Est. and realized costs 2022'!H53</f>
        <v>9.25</v>
      </c>
    </row>
    <row r="38" spans="2:8" x14ac:dyDescent="0.2">
      <c r="B38" s="2" t="s">
        <v>149</v>
      </c>
      <c r="F38" s="2" t="s">
        <v>150</v>
      </c>
      <c r="H38" s="83">
        <f>'Est. and realized costs 2022'!H54</f>
        <v>42491</v>
      </c>
    </row>
    <row r="40" spans="2:8" x14ac:dyDescent="0.2">
      <c r="B40" s="69" t="s">
        <v>151</v>
      </c>
    </row>
    <row r="41" spans="2:8" x14ac:dyDescent="0.2">
      <c r="B41" s="2" t="s">
        <v>146</v>
      </c>
      <c r="F41" s="2" t="s">
        <v>92</v>
      </c>
      <c r="H41" s="26">
        <f>'Est. and realized costs 2022'!H57</f>
        <v>59734</v>
      </c>
    </row>
    <row r="42" spans="2:8" x14ac:dyDescent="0.2">
      <c r="B42" s="2" t="s">
        <v>147</v>
      </c>
      <c r="F42" s="2" t="s">
        <v>148</v>
      </c>
      <c r="H42" s="26">
        <f>'Est. and realized costs 2022'!H58</f>
        <v>5</v>
      </c>
    </row>
    <row r="43" spans="2:8" x14ac:dyDescent="0.2">
      <c r="B43" s="2" t="s">
        <v>149</v>
      </c>
      <c r="F43" s="2" t="s">
        <v>150</v>
      </c>
      <c r="H43" s="83">
        <f>'Est. and realized costs 2022'!H59</f>
        <v>42538</v>
      </c>
    </row>
    <row r="45" spans="2:8" x14ac:dyDescent="0.2">
      <c r="B45" s="4" t="s">
        <v>202</v>
      </c>
    </row>
    <row r="48" spans="2:8" x14ac:dyDescent="0.2">
      <c r="B48" s="4" t="s">
        <v>153</v>
      </c>
    </row>
    <row r="49" spans="2:8" x14ac:dyDescent="0.2">
      <c r="B49" s="69" t="s">
        <v>151</v>
      </c>
    </row>
    <row r="50" spans="2:8" x14ac:dyDescent="0.2">
      <c r="B50" s="2" t="s">
        <v>146</v>
      </c>
      <c r="F50" s="2" t="s">
        <v>92</v>
      </c>
      <c r="H50" s="26">
        <f>'Est. and realized costs 2022'!H64</f>
        <v>6000</v>
      </c>
    </row>
    <row r="51" spans="2:8" x14ac:dyDescent="0.2">
      <c r="B51" s="2" t="s">
        <v>147</v>
      </c>
      <c r="F51" s="2" t="s">
        <v>148</v>
      </c>
      <c r="H51" s="26">
        <f>'Est. and realized costs 2022'!H65</f>
        <v>5</v>
      </c>
    </row>
    <row r="52" spans="2:8" x14ac:dyDescent="0.2">
      <c r="B52" s="2" t="s">
        <v>149</v>
      </c>
      <c r="F52" s="2" t="s">
        <v>150</v>
      </c>
      <c r="H52" s="83">
        <f>'Est. and realized costs 2022'!H66</f>
        <v>42751</v>
      </c>
    </row>
    <row r="54" spans="2:8" x14ac:dyDescent="0.2">
      <c r="B54" s="69" t="s">
        <v>151</v>
      </c>
    </row>
    <row r="55" spans="2:8" x14ac:dyDescent="0.2">
      <c r="B55" s="2" t="s">
        <v>146</v>
      </c>
      <c r="F55" s="2" t="s">
        <v>92</v>
      </c>
      <c r="H55" s="26">
        <f>'Est. and realized costs 2022'!H69</f>
        <v>4000</v>
      </c>
    </row>
    <row r="56" spans="2:8" x14ac:dyDescent="0.2">
      <c r="B56" s="2" t="s">
        <v>147</v>
      </c>
      <c r="F56" s="2" t="s">
        <v>148</v>
      </c>
      <c r="H56" s="26">
        <f>'Est. and realized costs 2022'!H70</f>
        <v>5</v>
      </c>
    </row>
    <row r="57" spans="2:8" x14ac:dyDescent="0.2">
      <c r="B57" s="2" t="s">
        <v>149</v>
      </c>
      <c r="F57" s="2" t="s">
        <v>150</v>
      </c>
      <c r="H57" s="83">
        <f>'Est. and realized costs 2022'!H71</f>
        <v>43050</v>
      </c>
    </row>
    <row r="60" spans="2:8" x14ac:dyDescent="0.2">
      <c r="B60" s="4" t="s">
        <v>154</v>
      </c>
    </row>
    <row r="61" spans="2:8" x14ac:dyDescent="0.2">
      <c r="B61" s="69" t="s">
        <v>155</v>
      </c>
    </row>
    <row r="62" spans="2:8" x14ac:dyDescent="0.2">
      <c r="B62" s="2" t="s">
        <v>146</v>
      </c>
      <c r="F62" s="2" t="s">
        <v>92</v>
      </c>
      <c r="H62" s="26">
        <f>'Est. and realized costs 2022'!H76</f>
        <v>7636</v>
      </c>
    </row>
    <row r="63" spans="2:8" x14ac:dyDescent="0.2">
      <c r="B63" s="2" t="s">
        <v>147</v>
      </c>
      <c r="F63" s="2" t="s">
        <v>148</v>
      </c>
      <c r="H63" s="26">
        <f>'Est. and realized costs 2022'!H77</f>
        <v>4</v>
      </c>
    </row>
    <row r="64" spans="2:8" x14ac:dyDescent="0.2">
      <c r="B64" s="2" t="s">
        <v>149</v>
      </c>
      <c r="F64" s="2" t="s">
        <v>150</v>
      </c>
      <c r="H64" s="83">
        <f>'Est. and realized costs 2022'!H78</f>
        <v>43451</v>
      </c>
    </row>
    <row r="67" spans="2:8" x14ac:dyDescent="0.2">
      <c r="B67" s="4" t="s">
        <v>156</v>
      </c>
    </row>
    <row r="68" spans="2:8" x14ac:dyDescent="0.2">
      <c r="B68" s="69" t="s">
        <v>152</v>
      </c>
    </row>
    <row r="69" spans="2:8" x14ac:dyDescent="0.2">
      <c r="B69" s="2" t="s">
        <v>146</v>
      </c>
      <c r="F69" s="2" t="s">
        <v>92</v>
      </c>
      <c r="H69" s="26">
        <f>'Est. and realized costs 2022'!H83</f>
        <v>12195</v>
      </c>
    </row>
    <row r="70" spans="2:8" x14ac:dyDescent="0.2">
      <c r="B70" s="2" t="s">
        <v>147</v>
      </c>
      <c r="F70" s="2" t="s">
        <v>148</v>
      </c>
      <c r="H70" s="26">
        <f>'Est. and realized costs 2022'!H84</f>
        <v>4</v>
      </c>
    </row>
    <row r="71" spans="2:8" x14ac:dyDescent="0.2">
      <c r="B71" s="2" t="s">
        <v>149</v>
      </c>
      <c r="F71" s="2" t="s">
        <v>150</v>
      </c>
      <c r="H71" s="83">
        <f>'Est. and realized costs 2022'!H85</f>
        <v>43647</v>
      </c>
    </row>
    <row r="74" spans="2:8" x14ac:dyDescent="0.2">
      <c r="B74" s="4" t="s">
        <v>157</v>
      </c>
    </row>
    <row r="75" spans="2:8" x14ac:dyDescent="0.2">
      <c r="B75" s="69" t="s">
        <v>152</v>
      </c>
    </row>
    <row r="76" spans="2:8" x14ac:dyDescent="0.2">
      <c r="B76" s="2" t="s">
        <v>146</v>
      </c>
      <c r="F76" s="2" t="s">
        <v>92</v>
      </c>
      <c r="H76" s="26">
        <f>'Est. and realized costs 2022'!H90</f>
        <v>4379</v>
      </c>
    </row>
    <row r="77" spans="2:8" x14ac:dyDescent="0.2">
      <c r="B77" s="2" t="s">
        <v>147</v>
      </c>
      <c r="F77" s="2" t="s">
        <v>148</v>
      </c>
      <c r="H77" s="26">
        <f>'Est. and realized costs 2022'!H91</f>
        <v>4</v>
      </c>
    </row>
    <row r="78" spans="2:8" x14ac:dyDescent="0.2">
      <c r="B78" s="2" t="s">
        <v>149</v>
      </c>
      <c r="F78" s="2" t="s">
        <v>150</v>
      </c>
      <c r="H78" s="83">
        <f>'Est. and realized costs 2022'!H92</f>
        <v>43921</v>
      </c>
    </row>
    <row r="81" spans="2:10" x14ac:dyDescent="0.2">
      <c r="B81" s="1" t="s">
        <v>159</v>
      </c>
    </row>
    <row r="83" spans="2:10" x14ac:dyDescent="0.2">
      <c r="B83" s="2" t="s">
        <v>160</v>
      </c>
      <c r="F83" s="2" t="s">
        <v>92</v>
      </c>
      <c r="H83" s="26" t="str">
        <f>'Est. and realized costs 2022'!H103</f>
        <v>confidential</v>
      </c>
      <c r="J83" s="22" t="s">
        <v>546</v>
      </c>
    </row>
    <row r="84" spans="2:10" x14ac:dyDescent="0.2">
      <c r="B84" s="2" t="s">
        <v>147</v>
      </c>
      <c r="F84" s="2" t="s">
        <v>148</v>
      </c>
      <c r="H84" s="26" t="str">
        <f>'Est. and realized costs 2022'!H104</f>
        <v>confidential</v>
      </c>
    </row>
    <row r="85" spans="2:10" x14ac:dyDescent="0.2">
      <c r="B85" s="2" t="s">
        <v>149</v>
      </c>
      <c r="F85" s="2" t="s">
        <v>150</v>
      </c>
      <c r="H85" s="83" t="str">
        <f>'Est. and realized costs 2022'!H105</f>
        <v>confidential</v>
      </c>
    </row>
    <row r="87" spans="2:10" x14ac:dyDescent="0.2">
      <c r="B87" s="2" t="s">
        <v>161</v>
      </c>
      <c r="F87" s="2" t="s">
        <v>92</v>
      </c>
      <c r="H87" s="26" t="str">
        <f>'Est. and realized costs 2022'!H107</f>
        <v>confidential</v>
      </c>
      <c r="J87" s="22" t="s">
        <v>546</v>
      </c>
    </row>
    <row r="88" spans="2:10" x14ac:dyDescent="0.2">
      <c r="B88" s="2" t="s">
        <v>147</v>
      </c>
      <c r="F88" s="2" t="s">
        <v>148</v>
      </c>
      <c r="H88" s="26" t="str">
        <f>'Est. and realized costs 2022'!H108</f>
        <v>confidential</v>
      </c>
    </row>
    <row r="89" spans="2:10" x14ac:dyDescent="0.2">
      <c r="B89" s="2" t="s">
        <v>149</v>
      </c>
      <c r="F89" s="2" t="s">
        <v>150</v>
      </c>
      <c r="H89" s="83" t="str">
        <f>'Est. and realized costs 2022'!H109</f>
        <v>confidential</v>
      </c>
    </row>
    <row r="92" spans="2:10" x14ac:dyDescent="0.2">
      <c r="B92" s="1" t="s">
        <v>359</v>
      </c>
    </row>
    <row r="94" spans="2:10" x14ac:dyDescent="0.2">
      <c r="B94" s="2" t="s">
        <v>203</v>
      </c>
      <c r="F94" s="2" t="s">
        <v>92</v>
      </c>
      <c r="H94" s="26" t="str">
        <f>'Est. production and costs 2024'!H26</f>
        <v>confidential</v>
      </c>
      <c r="J94" s="22" t="s">
        <v>546</v>
      </c>
    </row>
    <row r="95" spans="2:10" x14ac:dyDescent="0.2">
      <c r="B95" s="2" t="s">
        <v>147</v>
      </c>
      <c r="F95" s="2" t="s">
        <v>148</v>
      </c>
      <c r="H95" s="26" t="str">
        <f>'Est. production and costs 2024'!H28</f>
        <v>confidential</v>
      </c>
    </row>
    <row r="96" spans="2:10" x14ac:dyDescent="0.2">
      <c r="B96" s="2" t="s">
        <v>149</v>
      </c>
      <c r="F96" s="2" t="s">
        <v>150</v>
      </c>
      <c r="H96" s="26" t="str">
        <f>'Est. production and costs 2024'!H27</f>
        <v>confidential</v>
      </c>
    </row>
    <row r="97" spans="2:10" x14ac:dyDescent="0.2">
      <c r="B97" s="2" t="s">
        <v>204</v>
      </c>
      <c r="F97" s="2" t="s">
        <v>88</v>
      </c>
      <c r="H97" s="84">
        <f>'Est. production and costs 2024'!H31</f>
        <v>0.5</v>
      </c>
    </row>
    <row r="99" spans="2:10" x14ac:dyDescent="0.2">
      <c r="B99" s="2" t="s">
        <v>205</v>
      </c>
      <c r="F99" s="2" t="s">
        <v>92</v>
      </c>
      <c r="H99" s="26" t="str">
        <f>'Est. production and costs 2024'!H35</f>
        <v>confidential</v>
      </c>
      <c r="J99" s="22" t="s">
        <v>546</v>
      </c>
    </row>
    <row r="100" spans="2:10" x14ac:dyDescent="0.2">
      <c r="B100" s="2" t="s">
        <v>147</v>
      </c>
      <c r="F100" s="2" t="s">
        <v>148</v>
      </c>
      <c r="H100" s="26" t="str">
        <f>'Est. production and costs 2024'!H37</f>
        <v>confidential</v>
      </c>
    </row>
    <row r="101" spans="2:10" x14ac:dyDescent="0.2">
      <c r="B101" s="2" t="s">
        <v>149</v>
      </c>
      <c r="F101" s="2" t="s">
        <v>150</v>
      </c>
      <c r="H101" s="26" t="str">
        <f>'Est. production and costs 2024'!H36</f>
        <v>confidential</v>
      </c>
    </row>
    <row r="102" spans="2:10" x14ac:dyDescent="0.2">
      <c r="B102" s="2" t="s">
        <v>204</v>
      </c>
      <c r="F102" s="2" t="s">
        <v>88</v>
      </c>
      <c r="H102" s="84">
        <f>'Est. production and costs 2024'!H40</f>
        <v>0.5</v>
      </c>
    </row>
    <row r="105" spans="2:10" x14ac:dyDescent="0.2">
      <c r="B105" s="1" t="s">
        <v>468</v>
      </c>
    </row>
    <row r="107" spans="2:10" x14ac:dyDescent="0.2">
      <c r="B107" s="69" t="s">
        <v>497</v>
      </c>
    </row>
    <row r="108" spans="2:10" x14ac:dyDescent="0.2">
      <c r="B108" s="2" t="s">
        <v>463</v>
      </c>
      <c r="F108" s="2" t="s">
        <v>92</v>
      </c>
      <c r="H108" s="26" t="str">
        <f>'Est. production and costs 2024'!H49</f>
        <v>confidential</v>
      </c>
      <c r="J108" s="22" t="s">
        <v>546</v>
      </c>
    </row>
    <row r="109" spans="2:10" x14ac:dyDescent="0.2">
      <c r="B109" s="2" t="s">
        <v>147</v>
      </c>
      <c r="F109" s="2" t="s">
        <v>148</v>
      </c>
      <c r="H109" s="111" t="str">
        <f>'Est. production and costs 2024'!H50</f>
        <v>confidential</v>
      </c>
    </row>
    <row r="110" spans="2:10" x14ac:dyDescent="0.2">
      <c r="B110" s="2" t="s">
        <v>464</v>
      </c>
      <c r="F110" s="2" t="s">
        <v>150</v>
      </c>
      <c r="H110" s="111" t="str">
        <f>'Est. production and costs 2024'!H51</f>
        <v>confidential</v>
      </c>
    </row>
    <row r="112" spans="2:10" x14ac:dyDescent="0.2">
      <c r="B112" s="69" t="s">
        <v>460</v>
      </c>
    </row>
    <row r="113" spans="2:10" x14ac:dyDescent="0.2">
      <c r="B113" s="2" t="s">
        <v>463</v>
      </c>
      <c r="F113" s="2" t="s">
        <v>92</v>
      </c>
      <c r="H113" s="26" t="str">
        <f>'Est. production and costs 2024'!H54</f>
        <v>confidential</v>
      </c>
      <c r="J113" s="22" t="s">
        <v>546</v>
      </c>
    </row>
    <row r="114" spans="2:10" x14ac:dyDescent="0.2">
      <c r="B114" s="2" t="s">
        <v>147</v>
      </c>
      <c r="F114" s="2" t="s">
        <v>148</v>
      </c>
      <c r="H114" s="26" t="str">
        <f>'Est. production and costs 2024'!H55</f>
        <v>confidential</v>
      </c>
    </row>
    <row r="115" spans="2:10" x14ac:dyDescent="0.2">
      <c r="B115" s="2" t="s">
        <v>464</v>
      </c>
      <c r="F115" s="2" t="s">
        <v>150</v>
      </c>
      <c r="H115" s="111" t="str">
        <f>'Est. production and costs 2024'!H56</f>
        <v>confidential</v>
      </c>
    </row>
    <row r="116" spans="2:10" x14ac:dyDescent="0.2">
      <c r="H116" s="66"/>
    </row>
    <row r="117" spans="2:10" x14ac:dyDescent="0.2">
      <c r="B117" s="69" t="s">
        <v>461</v>
      </c>
      <c r="H117" s="66"/>
    </row>
    <row r="118" spans="2:10" x14ac:dyDescent="0.2">
      <c r="B118" s="2" t="s">
        <v>463</v>
      </c>
      <c r="F118" s="2" t="s">
        <v>92</v>
      </c>
      <c r="H118" s="26" t="str">
        <f>'Est. production and costs 2024'!H59</f>
        <v>confidential</v>
      </c>
      <c r="J118" s="22" t="s">
        <v>546</v>
      </c>
    </row>
    <row r="119" spans="2:10" x14ac:dyDescent="0.2">
      <c r="B119" s="2" t="s">
        <v>147</v>
      </c>
      <c r="F119" s="2" t="s">
        <v>148</v>
      </c>
      <c r="H119" s="26" t="str">
        <f>'Est. production and costs 2024'!H60</f>
        <v>confidential</v>
      </c>
    </row>
    <row r="120" spans="2:10" x14ac:dyDescent="0.2">
      <c r="B120" s="2" t="s">
        <v>464</v>
      </c>
      <c r="F120" s="2" t="s">
        <v>150</v>
      </c>
      <c r="H120" s="111" t="str">
        <f>'Est. production and costs 2024'!H61</f>
        <v>confidential</v>
      </c>
    </row>
    <row r="121" spans="2:10" x14ac:dyDescent="0.2">
      <c r="H121" s="105"/>
    </row>
    <row r="122" spans="2:10" x14ac:dyDescent="0.2">
      <c r="B122" s="69" t="s">
        <v>462</v>
      </c>
      <c r="H122" s="66"/>
    </row>
    <row r="123" spans="2:10" x14ac:dyDescent="0.2">
      <c r="B123" s="2" t="s">
        <v>463</v>
      </c>
      <c r="F123" s="2" t="s">
        <v>92</v>
      </c>
      <c r="H123" s="26" t="str">
        <f>'Est. production and costs 2024'!H64</f>
        <v>confidential</v>
      </c>
      <c r="J123" s="22" t="s">
        <v>546</v>
      </c>
    </row>
    <row r="124" spans="2:10" x14ac:dyDescent="0.2">
      <c r="B124" s="2" t="s">
        <v>147</v>
      </c>
      <c r="F124" s="2" t="s">
        <v>148</v>
      </c>
      <c r="H124" s="26" t="str">
        <f>'Est. production and costs 2024'!H65</f>
        <v>confidential</v>
      </c>
    </row>
    <row r="125" spans="2:10" x14ac:dyDescent="0.2">
      <c r="B125" s="2" t="s">
        <v>464</v>
      </c>
      <c r="F125" s="2" t="s">
        <v>150</v>
      </c>
      <c r="H125" s="111" t="str">
        <f>'Est. production and costs 2024'!H66</f>
        <v>confidential</v>
      </c>
    </row>
    <row r="128" spans="2:10" s="8" customFormat="1" x14ac:dyDescent="0.2">
      <c r="B128" s="8" t="s">
        <v>206</v>
      </c>
    </row>
    <row r="130" spans="2:10" x14ac:dyDescent="0.2">
      <c r="B130" s="1" t="s">
        <v>137</v>
      </c>
    </row>
    <row r="132" spans="2:10" x14ac:dyDescent="0.2">
      <c r="B132" s="2" t="s">
        <v>207</v>
      </c>
      <c r="F132" s="2" t="s">
        <v>92</v>
      </c>
      <c r="H132" s="27">
        <f>H26-H27</f>
        <v>60874000</v>
      </c>
    </row>
    <row r="133" spans="2:10" x14ac:dyDescent="0.2">
      <c r="B133" s="2" t="s">
        <v>208</v>
      </c>
      <c r="F133" s="2" t="s">
        <v>92</v>
      </c>
      <c r="H133" s="27">
        <f>H132-H28</f>
        <v>42178000</v>
      </c>
    </row>
    <row r="134" spans="2:10" x14ac:dyDescent="0.2">
      <c r="B134" s="2" t="s">
        <v>209</v>
      </c>
      <c r="F134" s="2" t="s">
        <v>92</v>
      </c>
      <c r="H134" s="27">
        <f>H133/H29</f>
        <v>2811866.6666666665</v>
      </c>
    </row>
    <row r="136" spans="2:10" x14ac:dyDescent="0.2">
      <c r="B136" s="2" t="s">
        <v>210</v>
      </c>
      <c r="F136" s="2" t="s">
        <v>92</v>
      </c>
      <c r="H136" s="22">
        <f>H132-(DATE(2016,1,1)-DATE(2010,8,20))/365.25*H134</f>
        <v>45784996.121378049</v>
      </c>
    </row>
    <row r="137" spans="2:10" x14ac:dyDescent="0.2">
      <c r="B137" s="2" t="s">
        <v>360</v>
      </c>
      <c r="F137" s="2" t="s">
        <v>92</v>
      </c>
      <c r="H137" s="77">
        <f>H136-(2021-2015)*H134</f>
        <v>28913796.121378049</v>
      </c>
      <c r="J137" s="66"/>
    </row>
    <row r="138" spans="2:10" x14ac:dyDescent="0.2">
      <c r="B138" s="2" t="s">
        <v>361</v>
      </c>
      <c r="F138" s="2" t="s">
        <v>92</v>
      </c>
      <c r="H138" s="77">
        <f>H136-(2022-2015)*H134</f>
        <v>26101929.454711385</v>
      </c>
    </row>
    <row r="139" spans="2:10" x14ac:dyDescent="0.2">
      <c r="B139" s="2" t="s">
        <v>362</v>
      </c>
      <c r="F139" s="2" t="s">
        <v>92</v>
      </c>
      <c r="H139" s="77">
        <f>AVERAGE(H137,H138)</f>
        <v>27507862.788044717</v>
      </c>
    </row>
    <row r="140" spans="2:10" x14ac:dyDescent="0.2">
      <c r="B140" s="2" t="s">
        <v>363</v>
      </c>
      <c r="F140" s="2" t="s">
        <v>92</v>
      </c>
      <c r="H140" s="77">
        <f>H136-(2023-2015)*H134</f>
        <v>23290062.788044717</v>
      </c>
    </row>
    <row r="141" spans="2:10" x14ac:dyDescent="0.2">
      <c r="B141" s="2" t="s">
        <v>364</v>
      </c>
      <c r="F141" s="2" t="s">
        <v>92</v>
      </c>
      <c r="H141" s="77">
        <f>H136-(2024-2015)*H134</f>
        <v>20478196.121378049</v>
      </c>
    </row>
    <row r="142" spans="2:10" x14ac:dyDescent="0.2">
      <c r="B142" s="2" t="s">
        <v>365</v>
      </c>
      <c r="F142" s="2" t="s">
        <v>92</v>
      </c>
      <c r="H142" s="77">
        <f>AVERAGE(H140,H141)</f>
        <v>21884129.454711385</v>
      </c>
    </row>
    <row r="145" spans="2:10" x14ac:dyDescent="0.2">
      <c r="B145" s="1" t="s">
        <v>211</v>
      </c>
    </row>
    <row r="147" spans="2:10" x14ac:dyDescent="0.2">
      <c r="B147" s="4" t="s">
        <v>144</v>
      </c>
    </row>
    <row r="148" spans="2:10" x14ac:dyDescent="0.2">
      <c r="B148" s="69" t="s">
        <v>145</v>
      </c>
    </row>
    <row r="149" spans="2:10" x14ac:dyDescent="0.2">
      <c r="B149" s="2" t="s">
        <v>212</v>
      </c>
      <c r="F149" s="2" t="s">
        <v>92</v>
      </c>
      <c r="H149" s="77">
        <f>H36/H37</f>
        <v>83665.729729729734</v>
      </c>
    </row>
    <row r="150" spans="2:10" x14ac:dyDescent="0.2">
      <c r="B150" s="2" t="s">
        <v>366</v>
      </c>
      <c r="F150" s="2" t="s">
        <v>92</v>
      </c>
      <c r="H150" s="77">
        <f>H36-(DATE(2023,1,1)-H38)/365.25*H149</f>
        <v>215907.40418447193</v>
      </c>
      <c r="J150" s="66"/>
    </row>
    <row r="152" spans="2:10" x14ac:dyDescent="0.2">
      <c r="B152" s="69" t="s">
        <v>151</v>
      </c>
    </row>
    <row r="153" spans="2:10" x14ac:dyDescent="0.2">
      <c r="B153" s="2" t="s">
        <v>367</v>
      </c>
      <c r="H153" s="101"/>
    </row>
    <row r="156" spans="2:10" x14ac:dyDescent="0.2">
      <c r="B156" s="4" t="s">
        <v>153</v>
      </c>
    </row>
    <row r="157" spans="2:10" x14ac:dyDescent="0.2">
      <c r="B157" s="69" t="s">
        <v>151</v>
      </c>
    </row>
    <row r="158" spans="2:10" x14ac:dyDescent="0.2">
      <c r="B158" s="2" t="s">
        <v>212</v>
      </c>
      <c r="F158" s="2" t="s">
        <v>92</v>
      </c>
      <c r="H158" s="77">
        <f>H50/H51</f>
        <v>1200</v>
      </c>
    </row>
    <row r="159" spans="2:10" x14ac:dyDescent="0.2">
      <c r="B159" s="2" t="s">
        <v>381</v>
      </c>
      <c r="F159" s="2" t="s">
        <v>92</v>
      </c>
      <c r="H159" s="77">
        <f>H50-(DATE(2022,1,1)-H52)/365.25*H158</f>
        <v>50.102669404517655</v>
      </c>
    </row>
    <row r="160" spans="2:10" x14ac:dyDescent="0.2">
      <c r="B160" s="2" t="s">
        <v>377</v>
      </c>
      <c r="F160" s="2" t="s">
        <v>92</v>
      </c>
      <c r="H160" s="26">
        <f>H159</f>
        <v>50.102669404517655</v>
      </c>
    </row>
    <row r="161" spans="2:8" x14ac:dyDescent="0.2">
      <c r="B161" s="2" t="s">
        <v>368</v>
      </c>
      <c r="F161" s="2" t="s">
        <v>92</v>
      </c>
      <c r="H161" s="77">
        <f>H159-H160</f>
        <v>0</v>
      </c>
    </row>
    <row r="163" spans="2:8" x14ac:dyDescent="0.2">
      <c r="B163" s="69" t="s">
        <v>151</v>
      </c>
    </row>
    <row r="164" spans="2:8" x14ac:dyDescent="0.2">
      <c r="B164" s="2" t="s">
        <v>212</v>
      </c>
      <c r="F164" s="2" t="s">
        <v>92</v>
      </c>
      <c r="H164" s="77">
        <f>H55/H56</f>
        <v>800</v>
      </c>
    </row>
    <row r="165" spans="2:8" x14ac:dyDescent="0.2">
      <c r="B165" s="2" t="s">
        <v>381</v>
      </c>
      <c r="F165" s="2" t="s">
        <v>92</v>
      </c>
      <c r="H165" s="77">
        <f>H55-(DATE(2022,1,1)-H57)/365.25*H164</f>
        <v>688.29568788501001</v>
      </c>
    </row>
    <row r="166" spans="2:8" x14ac:dyDescent="0.2">
      <c r="B166" s="2" t="s">
        <v>377</v>
      </c>
      <c r="F166" s="2" t="s">
        <v>92</v>
      </c>
      <c r="H166" s="26">
        <f>H165</f>
        <v>688.29568788501001</v>
      </c>
    </row>
    <row r="167" spans="2:8" x14ac:dyDescent="0.2">
      <c r="B167" s="2" t="s">
        <v>368</v>
      </c>
      <c r="F167" s="2" t="s">
        <v>92</v>
      </c>
      <c r="H167" s="77">
        <f>H165-H166</f>
        <v>0</v>
      </c>
    </row>
    <row r="170" spans="2:8" x14ac:dyDescent="0.2">
      <c r="B170" s="4" t="s">
        <v>154</v>
      </c>
    </row>
    <row r="171" spans="2:8" x14ac:dyDescent="0.2">
      <c r="B171" s="69" t="s">
        <v>155</v>
      </c>
    </row>
    <row r="172" spans="2:8" x14ac:dyDescent="0.2">
      <c r="B172" s="2" t="s">
        <v>212</v>
      </c>
      <c r="F172" s="2" t="s">
        <v>92</v>
      </c>
      <c r="H172" s="77">
        <f>H62/H63</f>
        <v>1909</v>
      </c>
    </row>
    <row r="173" spans="2:8" x14ac:dyDescent="0.2">
      <c r="B173" s="2" t="s">
        <v>381</v>
      </c>
      <c r="F173" s="2" t="s">
        <v>92</v>
      </c>
      <c r="H173" s="77">
        <f>H62-(DATE(2022,1,1)-H64)/365.25*H172</f>
        <v>1829.2950034223131</v>
      </c>
    </row>
    <row r="174" spans="2:8" x14ac:dyDescent="0.2">
      <c r="B174" s="2" t="s">
        <v>377</v>
      </c>
      <c r="F174" s="2" t="s">
        <v>92</v>
      </c>
      <c r="H174" s="26">
        <f>H173</f>
        <v>1829.2950034223131</v>
      </c>
    </row>
    <row r="175" spans="2:8" x14ac:dyDescent="0.2">
      <c r="B175" s="2" t="s">
        <v>369</v>
      </c>
      <c r="F175" s="2" t="s">
        <v>92</v>
      </c>
      <c r="H175" s="77">
        <f>H173-H174</f>
        <v>0</v>
      </c>
    </row>
    <row r="178" spans="2:8" x14ac:dyDescent="0.2">
      <c r="B178" s="4" t="s">
        <v>156</v>
      </c>
    </row>
    <row r="179" spans="2:8" x14ac:dyDescent="0.2">
      <c r="B179" s="69" t="s">
        <v>152</v>
      </c>
    </row>
    <row r="180" spans="2:8" x14ac:dyDescent="0.2">
      <c r="B180" s="2" t="s">
        <v>212</v>
      </c>
      <c r="F180" s="2" t="s">
        <v>92</v>
      </c>
      <c r="H180" s="77">
        <f>H69/H70</f>
        <v>3048.75</v>
      </c>
    </row>
    <row r="181" spans="2:8" x14ac:dyDescent="0.2">
      <c r="B181" s="2" t="s">
        <v>370</v>
      </c>
      <c r="F181" s="2" t="s">
        <v>92</v>
      </c>
      <c r="H181" s="77">
        <f>H69-(DATE(2023,1,1)-H71)/365.25*H180</f>
        <v>1510.811088295688</v>
      </c>
    </row>
    <row r="184" spans="2:8" x14ac:dyDescent="0.2">
      <c r="B184" s="4" t="s">
        <v>157</v>
      </c>
    </row>
    <row r="185" spans="2:8" x14ac:dyDescent="0.2">
      <c r="B185" s="69" t="s">
        <v>152</v>
      </c>
    </row>
    <row r="186" spans="2:8" x14ac:dyDescent="0.2">
      <c r="B186" s="2" t="s">
        <v>212</v>
      </c>
      <c r="F186" s="2" t="s">
        <v>92</v>
      </c>
      <c r="H186" s="77">
        <f>H76/H77</f>
        <v>1094.75</v>
      </c>
    </row>
    <row r="187" spans="2:8" x14ac:dyDescent="0.2">
      <c r="B187" s="2" t="s">
        <v>371</v>
      </c>
      <c r="F187" s="2" t="s">
        <v>92</v>
      </c>
      <c r="H187" s="77">
        <f>H76-(DATE(2023,1,1)-H78)/365.25*H186</f>
        <v>1363.7542778918546</v>
      </c>
    </row>
    <row r="190" spans="2:8" x14ac:dyDescent="0.2">
      <c r="B190" s="4" t="s">
        <v>213</v>
      </c>
    </row>
    <row r="191" spans="2:8" x14ac:dyDescent="0.2">
      <c r="B191" s="2" t="s">
        <v>372</v>
      </c>
      <c r="F191" s="2" t="s">
        <v>92</v>
      </c>
      <c r="H191" s="27">
        <f>H150+H161+H167+H175+H181+H187</f>
        <v>218781.96955065947</v>
      </c>
    </row>
    <row r="192" spans="2:8" x14ac:dyDescent="0.2">
      <c r="B192" s="2" t="s">
        <v>373</v>
      </c>
      <c r="F192" s="2" t="s">
        <v>92</v>
      </c>
      <c r="H192" s="27">
        <f>H149+H160+H166+H174+H180+H186</f>
        <v>90376.923090441574</v>
      </c>
    </row>
    <row r="195" spans="2:10" x14ac:dyDescent="0.2">
      <c r="B195" s="1" t="s">
        <v>159</v>
      </c>
    </row>
    <row r="197" spans="2:10" x14ac:dyDescent="0.2">
      <c r="B197" s="69" t="s">
        <v>214</v>
      </c>
    </row>
    <row r="198" spans="2:10" x14ac:dyDescent="0.2">
      <c r="B198" s="2" t="s">
        <v>212</v>
      </c>
      <c r="F198" s="2" t="s">
        <v>92</v>
      </c>
      <c r="H198" s="27" t="e">
        <f>H83/H84</f>
        <v>#VALUE!</v>
      </c>
      <c r="J198" s="22" t="s">
        <v>546</v>
      </c>
    </row>
    <row r="199" spans="2:10" x14ac:dyDescent="0.2">
      <c r="B199" s="2" t="s">
        <v>374</v>
      </c>
      <c r="F199" s="2" t="s">
        <v>92</v>
      </c>
      <c r="H199" s="85" t="e">
        <f>H83-(DATE(2022,1,1)-H85)/365.25*H198</f>
        <v>#VALUE!</v>
      </c>
    </row>
    <row r="200" spans="2:10" x14ac:dyDescent="0.2">
      <c r="B200" s="2" t="s">
        <v>375</v>
      </c>
      <c r="F200" s="2" t="s">
        <v>92</v>
      </c>
      <c r="H200" s="85" t="e">
        <f>H83-(DATE(2023,1,1)-H85)/365.25*H198</f>
        <v>#VALUE!</v>
      </c>
    </row>
    <row r="201" spans="2:10" x14ac:dyDescent="0.2">
      <c r="B201" s="2" t="s">
        <v>376</v>
      </c>
      <c r="F201" s="2" t="s">
        <v>92</v>
      </c>
      <c r="H201" s="27" t="e">
        <f>AVERAGE(H199:H200)</f>
        <v>#VALUE!</v>
      </c>
    </row>
    <row r="202" spans="2:10" x14ac:dyDescent="0.2">
      <c r="B202" s="2" t="s">
        <v>377</v>
      </c>
      <c r="F202" s="2" t="s">
        <v>92</v>
      </c>
      <c r="H202" s="26" t="e">
        <f>H198</f>
        <v>#VALUE!</v>
      </c>
    </row>
    <row r="204" spans="2:10" x14ac:dyDescent="0.2">
      <c r="B204" s="2" t="s">
        <v>378</v>
      </c>
      <c r="F204" s="2" t="s">
        <v>92</v>
      </c>
      <c r="H204" s="85" t="e">
        <f>H83-(DATE(2024,1,1)-H85)/365.25*H198</f>
        <v>#VALUE!</v>
      </c>
      <c r="J204" s="22" t="s">
        <v>546</v>
      </c>
    </row>
    <row r="205" spans="2:10" x14ac:dyDescent="0.2">
      <c r="B205" s="2" t="s">
        <v>379</v>
      </c>
      <c r="F205" s="2" t="s">
        <v>92</v>
      </c>
      <c r="H205" s="85" t="e">
        <f>H83-(DATE(2025,1,1)-H85)/365.25*H198</f>
        <v>#VALUE!</v>
      </c>
    </row>
    <row r="206" spans="2:10" x14ac:dyDescent="0.2">
      <c r="B206" s="2" t="s">
        <v>380</v>
      </c>
      <c r="F206" s="2" t="s">
        <v>92</v>
      </c>
      <c r="H206" s="27" t="e">
        <f>AVERAGE(H204:H205)</f>
        <v>#VALUE!</v>
      </c>
    </row>
    <row r="208" spans="2:10" x14ac:dyDescent="0.2">
      <c r="B208" s="69" t="s">
        <v>215</v>
      </c>
    </row>
    <row r="209" spans="1:10" x14ac:dyDescent="0.2">
      <c r="B209" s="2" t="s">
        <v>212</v>
      </c>
      <c r="F209" s="2" t="s">
        <v>92</v>
      </c>
      <c r="H209" s="27" t="e">
        <f>H87/H88</f>
        <v>#VALUE!</v>
      </c>
      <c r="J209" s="22" t="s">
        <v>546</v>
      </c>
    </row>
    <row r="210" spans="1:10" x14ac:dyDescent="0.2">
      <c r="B210" s="2" t="s">
        <v>374</v>
      </c>
      <c r="F210" s="2" t="s">
        <v>92</v>
      </c>
      <c r="H210" s="85" t="e">
        <f>H87-(DATE(2022,1,1)-H89)/365.25*H209</f>
        <v>#VALUE!</v>
      </c>
    </row>
    <row r="211" spans="1:10" x14ac:dyDescent="0.2">
      <c r="B211" s="2" t="s">
        <v>375</v>
      </c>
      <c r="F211" s="2" t="s">
        <v>92</v>
      </c>
      <c r="H211" s="85" t="e">
        <f>H87-(DATE(2023,1,1)-H89)/365.25*H209</f>
        <v>#VALUE!</v>
      </c>
    </row>
    <row r="212" spans="1:10" x14ac:dyDescent="0.2">
      <c r="B212" s="2" t="s">
        <v>376</v>
      </c>
      <c r="F212" s="2" t="s">
        <v>92</v>
      </c>
      <c r="H212" s="27" t="e">
        <f>AVERAGE(H210:H211)</f>
        <v>#VALUE!</v>
      </c>
    </row>
    <row r="213" spans="1:10" x14ac:dyDescent="0.2">
      <c r="B213" s="2" t="s">
        <v>377</v>
      </c>
      <c r="F213" s="2" t="s">
        <v>92</v>
      </c>
      <c r="H213" s="26" t="e">
        <f>H209</f>
        <v>#VALUE!</v>
      </c>
    </row>
    <row r="215" spans="1:10" x14ac:dyDescent="0.2">
      <c r="A215" s="106"/>
      <c r="B215" s="2" t="s">
        <v>378</v>
      </c>
      <c r="F215" s="2" t="s">
        <v>92</v>
      </c>
      <c r="H215" s="85" t="e">
        <f>H87-(DATE(2024,1,1)-H89)/365.25*H209</f>
        <v>#VALUE!</v>
      </c>
      <c r="J215" s="22" t="s">
        <v>546</v>
      </c>
    </row>
    <row r="216" spans="1:10" x14ac:dyDescent="0.2">
      <c r="B216" s="2" t="s">
        <v>379</v>
      </c>
      <c r="F216" s="2" t="s">
        <v>92</v>
      </c>
      <c r="H216" s="85" t="e">
        <f>H87-(DATE(2025,1,1)-H89)/365.25*H209</f>
        <v>#VALUE!</v>
      </c>
    </row>
    <row r="217" spans="1:10" x14ac:dyDescent="0.2">
      <c r="B217" s="2" t="s">
        <v>380</v>
      </c>
      <c r="F217" s="2" t="s">
        <v>92</v>
      </c>
      <c r="H217" s="27" t="e">
        <f>AVERAGE(H215:H216)</f>
        <v>#VALUE!</v>
      </c>
    </row>
    <row r="220" spans="1:10" x14ac:dyDescent="0.2">
      <c r="B220" s="1" t="s">
        <v>359</v>
      </c>
    </row>
    <row r="222" spans="1:10" x14ac:dyDescent="0.2">
      <c r="B222" s="69" t="s">
        <v>216</v>
      </c>
    </row>
    <row r="223" spans="1:10" x14ac:dyDescent="0.2">
      <c r="B223" s="2" t="s">
        <v>212</v>
      </c>
      <c r="F223" s="2" t="s">
        <v>92</v>
      </c>
      <c r="H223" s="27" t="e">
        <f>H94/H95</f>
        <v>#VALUE!</v>
      </c>
      <c r="J223" s="22" t="s">
        <v>546</v>
      </c>
    </row>
    <row r="224" spans="1:10" x14ac:dyDescent="0.2">
      <c r="B224" s="2" t="s">
        <v>378</v>
      </c>
      <c r="F224" s="2" t="s">
        <v>92</v>
      </c>
      <c r="H224" s="27" t="e">
        <f>H94-(DATE(2024,1,1)-H96)/365.25*H223</f>
        <v>#VALUE!</v>
      </c>
    </row>
    <row r="225" spans="2:11" x14ac:dyDescent="0.2">
      <c r="B225" s="2" t="s">
        <v>379</v>
      </c>
      <c r="F225" s="2" t="s">
        <v>92</v>
      </c>
      <c r="H225" s="27" t="e">
        <f>H94-(DATE(2025,1,1)-H96)/365.25*H223</f>
        <v>#VALUE!</v>
      </c>
    </row>
    <row r="226" spans="2:11" x14ac:dyDescent="0.2">
      <c r="B226" s="2" t="s">
        <v>380</v>
      </c>
      <c r="F226" s="2" t="s">
        <v>92</v>
      </c>
      <c r="H226" s="27" t="e">
        <f>AVERAGE(H224:H225)</f>
        <v>#VALUE!</v>
      </c>
    </row>
    <row r="227" spans="2:11" x14ac:dyDescent="0.2">
      <c r="H227" s="102"/>
    </row>
    <row r="228" spans="2:11" x14ac:dyDescent="0.2">
      <c r="B228" s="2" t="s">
        <v>382</v>
      </c>
      <c r="F228" s="2" t="s">
        <v>92</v>
      </c>
      <c r="H228" s="86" t="e">
        <f>H226*(1-H97)</f>
        <v>#VALUE!</v>
      </c>
      <c r="J228" s="2" t="s">
        <v>396</v>
      </c>
    </row>
    <row r="229" spans="2:11" x14ac:dyDescent="0.2">
      <c r="B229" s="2" t="s">
        <v>383</v>
      </c>
      <c r="F229" s="2" t="s">
        <v>92</v>
      </c>
      <c r="H229" s="86" t="e">
        <f>H223*(1-H97)</f>
        <v>#VALUE!</v>
      </c>
    </row>
    <row r="231" spans="2:11" x14ac:dyDescent="0.2">
      <c r="B231" s="69" t="s">
        <v>217</v>
      </c>
      <c r="K231" s="66"/>
    </row>
    <row r="232" spans="2:11" x14ac:dyDescent="0.2">
      <c r="B232" s="2" t="s">
        <v>212</v>
      </c>
      <c r="F232" s="2" t="s">
        <v>92</v>
      </c>
      <c r="H232" s="27" t="e">
        <f>H99/H100</f>
        <v>#VALUE!</v>
      </c>
      <c r="J232" s="22" t="s">
        <v>546</v>
      </c>
      <c r="K232" s="68"/>
    </row>
    <row r="233" spans="2:11" x14ac:dyDescent="0.2">
      <c r="B233" s="2" t="s">
        <v>378</v>
      </c>
      <c r="F233" s="2" t="s">
        <v>92</v>
      </c>
      <c r="H233" s="27" t="e">
        <f>H99-(DATE(2024,1,1)-H101)/365.25*H232</f>
        <v>#VALUE!</v>
      </c>
      <c r="K233" s="68"/>
    </row>
    <row r="234" spans="2:11" x14ac:dyDescent="0.2">
      <c r="B234" s="2" t="s">
        <v>379</v>
      </c>
      <c r="F234" s="2" t="s">
        <v>92</v>
      </c>
      <c r="H234" s="27" t="e">
        <f>H99-(DATE(2025,1,1)-H101)/365.25*H232</f>
        <v>#VALUE!</v>
      </c>
      <c r="K234" s="68"/>
    </row>
    <row r="235" spans="2:11" x14ac:dyDescent="0.2">
      <c r="B235" s="2" t="s">
        <v>380</v>
      </c>
      <c r="F235" s="2" t="s">
        <v>92</v>
      </c>
      <c r="H235" s="27" t="e">
        <f>AVERAGE(H233:H234)</f>
        <v>#VALUE!</v>
      </c>
      <c r="K235" s="68"/>
    </row>
    <row r="237" spans="2:11" x14ac:dyDescent="0.2">
      <c r="B237" s="2" t="s">
        <v>382</v>
      </c>
      <c r="F237" s="2" t="s">
        <v>92</v>
      </c>
      <c r="H237" s="86" t="e">
        <f>H235*(1-H102)</f>
        <v>#VALUE!</v>
      </c>
      <c r="J237" s="2" t="s">
        <v>396</v>
      </c>
    </row>
    <row r="238" spans="2:11" x14ac:dyDescent="0.2">
      <c r="B238" s="2" t="s">
        <v>383</v>
      </c>
      <c r="F238" s="2" t="s">
        <v>92</v>
      </c>
      <c r="H238" s="86" t="e">
        <f>H232*(1-H102)</f>
        <v>#VALUE!</v>
      </c>
    </row>
    <row r="241" spans="1:10" x14ac:dyDescent="0.2">
      <c r="B241" s="1" t="s">
        <v>468</v>
      </c>
    </row>
    <row r="243" spans="1:10" x14ac:dyDescent="0.2">
      <c r="A243" s="108"/>
      <c r="B243" s="69" t="s">
        <v>498</v>
      </c>
    </row>
    <row r="244" spans="1:10" x14ac:dyDescent="0.2">
      <c r="A244" s="108"/>
      <c r="B244" s="2" t="s">
        <v>212</v>
      </c>
      <c r="F244" s="2" t="s">
        <v>92</v>
      </c>
      <c r="H244" s="27" t="e">
        <f>H108/H109</f>
        <v>#VALUE!</v>
      </c>
      <c r="J244" s="22" t="s">
        <v>546</v>
      </c>
    </row>
    <row r="245" spans="1:10" x14ac:dyDescent="0.2">
      <c r="A245" s="108"/>
      <c r="B245" s="2" t="s">
        <v>474</v>
      </c>
      <c r="F245" s="2" t="s">
        <v>92</v>
      </c>
      <c r="H245" s="86" t="e">
        <f>((DATE(2025,1,1)-H110)/365.25)*H244</f>
        <v>#VALUE!</v>
      </c>
    </row>
    <row r="246" spans="1:10" x14ac:dyDescent="0.2">
      <c r="A246" s="108"/>
      <c r="B246" s="2" t="s">
        <v>472</v>
      </c>
      <c r="F246" s="2" t="s">
        <v>92</v>
      </c>
      <c r="H246" s="26" t="str">
        <f>H108</f>
        <v>confidential</v>
      </c>
    </row>
    <row r="247" spans="1:10" x14ac:dyDescent="0.2">
      <c r="A247" s="108"/>
      <c r="B247" s="2" t="s">
        <v>379</v>
      </c>
      <c r="F247" s="2" t="s">
        <v>92</v>
      </c>
      <c r="H247" s="86" t="e">
        <f>H246-H245</f>
        <v>#VALUE!</v>
      </c>
    </row>
    <row r="248" spans="1:10" x14ac:dyDescent="0.2">
      <c r="A248" s="108"/>
      <c r="B248" s="2" t="s">
        <v>475</v>
      </c>
      <c r="F248" s="2" t="s">
        <v>92</v>
      </c>
      <c r="H248" s="86" t="e">
        <f>AVERAGE(H246:H247)</f>
        <v>#VALUE!</v>
      </c>
    </row>
    <row r="249" spans="1:10" x14ac:dyDescent="0.2">
      <c r="A249" s="108"/>
      <c r="B249" s="2" t="s">
        <v>476</v>
      </c>
      <c r="F249" s="2" t="s">
        <v>473</v>
      </c>
      <c r="H249" s="27" t="e">
        <f>((DATE(2025,1,1)-H110)/365.25)*12</f>
        <v>#VALUE!</v>
      </c>
    </row>
    <row r="250" spans="1:10" x14ac:dyDescent="0.2">
      <c r="A250" s="108"/>
      <c r="B250" s="2" t="s">
        <v>478</v>
      </c>
      <c r="F250" s="2" t="s">
        <v>92</v>
      </c>
      <c r="H250" s="86" t="e">
        <f>H248*(H249/12)</f>
        <v>#VALUE!</v>
      </c>
    </row>
    <row r="252" spans="1:10" x14ac:dyDescent="0.2">
      <c r="B252" s="69" t="s">
        <v>477</v>
      </c>
    </row>
    <row r="253" spans="1:10" x14ac:dyDescent="0.2">
      <c r="B253" s="2" t="s">
        <v>212</v>
      </c>
      <c r="F253" s="2" t="s">
        <v>92</v>
      </c>
      <c r="H253" s="27" t="e">
        <f>H113/H114</f>
        <v>#VALUE!</v>
      </c>
      <c r="J253" s="22" t="s">
        <v>546</v>
      </c>
    </row>
    <row r="254" spans="1:10" x14ac:dyDescent="0.2">
      <c r="B254" s="2" t="s">
        <v>474</v>
      </c>
      <c r="F254" s="2" t="s">
        <v>92</v>
      </c>
      <c r="H254" s="86" t="e">
        <f>((DATE(2025,1,1)-H115)/365.25)*H253</f>
        <v>#VALUE!</v>
      </c>
    </row>
    <row r="255" spans="1:10" x14ac:dyDescent="0.2">
      <c r="B255" s="2" t="s">
        <v>472</v>
      </c>
      <c r="F255" s="2" t="s">
        <v>92</v>
      </c>
      <c r="H255" s="26" t="str">
        <f>H113</f>
        <v>confidential</v>
      </c>
    </row>
    <row r="256" spans="1:10" x14ac:dyDescent="0.2">
      <c r="B256" s="2" t="s">
        <v>379</v>
      </c>
      <c r="F256" s="2" t="s">
        <v>92</v>
      </c>
      <c r="H256" s="86" t="e">
        <f>H255-H254</f>
        <v>#VALUE!</v>
      </c>
    </row>
    <row r="257" spans="1:10" x14ac:dyDescent="0.2">
      <c r="B257" s="2" t="s">
        <v>475</v>
      </c>
      <c r="F257" s="2" t="s">
        <v>92</v>
      </c>
      <c r="H257" s="86" t="e">
        <f>AVERAGE(H255:H256)</f>
        <v>#VALUE!</v>
      </c>
    </row>
    <row r="258" spans="1:10" x14ac:dyDescent="0.2">
      <c r="B258" s="2" t="s">
        <v>476</v>
      </c>
      <c r="F258" s="2" t="s">
        <v>473</v>
      </c>
      <c r="H258" s="27" t="e">
        <f>((DATE(2025,1,1)-H115)/365.25)*12</f>
        <v>#VALUE!</v>
      </c>
    </row>
    <row r="259" spans="1:10" x14ac:dyDescent="0.2">
      <c r="B259" s="2" t="s">
        <v>478</v>
      </c>
      <c r="F259" s="2" t="s">
        <v>92</v>
      </c>
      <c r="H259" s="86" t="e">
        <f>H257*(H258/12)</f>
        <v>#VALUE!</v>
      </c>
    </row>
    <row r="261" spans="1:10" x14ac:dyDescent="0.2">
      <c r="A261" s="106"/>
      <c r="B261" s="69" t="s">
        <v>482</v>
      </c>
    </row>
    <row r="262" spans="1:10" x14ac:dyDescent="0.2">
      <c r="B262" s="2" t="s">
        <v>212</v>
      </c>
      <c r="F262" s="2" t="s">
        <v>92</v>
      </c>
      <c r="H262" s="27" t="e">
        <f>H118/H119</f>
        <v>#VALUE!</v>
      </c>
      <c r="J262" s="22" t="s">
        <v>546</v>
      </c>
    </row>
    <row r="263" spans="1:10" x14ac:dyDescent="0.2">
      <c r="B263" s="2" t="s">
        <v>483</v>
      </c>
      <c r="F263" s="2" t="s">
        <v>92</v>
      </c>
      <c r="H263" s="27" t="e">
        <f>((DATE(2024,1,1)-H120)/365.25)*H262</f>
        <v>#VALUE!</v>
      </c>
    </row>
    <row r="264" spans="1:10" x14ac:dyDescent="0.2">
      <c r="B264" s="2" t="s">
        <v>472</v>
      </c>
      <c r="F264" s="2" t="s">
        <v>92</v>
      </c>
      <c r="H264" s="26" t="str">
        <f>H118</f>
        <v>confidential</v>
      </c>
    </row>
    <row r="265" spans="1:10" x14ac:dyDescent="0.2">
      <c r="B265" s="2" t="s">
        <v>539</v>
      </c>
      <c r="F265" s="2" t="s">
        <v>92</v>
      </c>
      <c r="H265" s="27" t="e">
        <f>H264-H263</f>
        <v>#VALUE!</v>
      </c>
    </row>
    <row r="266" spans="1:10" x14ac:dyDescent="0.2">
      <c r="B266" s="2" t="s">
        <v>474</v>
      </c>
      <c r="F266" s="2" t="s">
        <v>92</v>
      </c>
      <c r="H266" s="26" t="e">
        <f>H262</f>
        <v>#VALUE!</v>
      </c>
    </row>
    <row r="267" spans="1:10" x14ac:dyDescent="0.2">
      <c r="B267" s="2" t="s">
        <v>379</v>
      </c>
      <c r="F267" s="2" t="s">
        <v>92</v>
      </c>
      <c r="H267" s="86" t="e">
        <f>H265-H266</f>
        <v>#VALUE!</v>
      </c>
    </row>
    <row r="268" spans="1:10" x14ac:dyDescent="0.2">
      <c r="B268" s="2" t="s">
        <v>475</v>
      </c>
      <c r="F268" s="2" t="s">
        <v>92</v>
      </c>
      <c r="H268" s="86" t="e">
        <f>AVERAGE(H265,H267)</f>
        <v>#VALUE!</v>
      </c>
    </row>
    <row r="269" spans="1:10" x14ac:dyDescent="0.2">
      <c r="B269" s="2" t="s">
        <v>476</v>
      </c>
      <c r="F269" s="2" t="s">
        <v>473</v>
      </c>
      <c r="H269" s="27" t="e">
        <f>MIN(((DATE(2025,1,1)-H120)/365.25)*12,12)</f>
        <v>#VALUE!</v>
      </c>
    </row>
    <row r="270" spans="1:10" x14ac:dyDescent="0.2">
      <c r="B270" s="2" t="s">
        <v>478</v>
      </c>
      <c r="F270" s="2" t="s">
        <v>92</v>
      </c>
      <c r="H270" s="86" t="e">
        <f>H268*(H269/12)</f>
        <v>#VALUE!</v>
      </c>
    </row>
    <row r="272" spans="1:10" x14ac:dyDescent="0.2">
      <c r="B272" s="69" t="s">
        <v>479</v>
      </c>
    </row>
    <row r="273" spans="2:10" x14ac:dyDescent="0.2">
      <c r="B273" s="2" t="s">
        <v>212</v>
      </c>
      <c r="F273" s="2" t="s">
        <v>92</v>
      </c>
      <c r="H273" s="27" t="e">
        <f>H123/H124</f>
        <v>#VALUE!</v>
      </c>
      <c r="J273" s="22" t="s">
        <v>546</v>
      </c>
    </row>
    <row r="274" spans="2:10" x14ac:dyDescent="0.2">
      <c r="B274" s="2" t="s">
        <v>474</v>
      </c>
      <c r="F274" s="2" t="s">
        <v>92</v>
      </c>
      <c r="H274" s="86" t="e">
        <f>((DATE(2025,1,1)-H125)/365.25)*H273</f>
        <v>#VALUE!</v>
      </c>
    </row>
    <row r="275" spans="2:10" x14ac:dyDescent="0.2">
      <c r="B275" s="2" t="s">
        <v>472</v>
      </c>
      <c r="F275" s="2" t="s">
        <v>92</v>
      </c>
      <c r="H275" s="26" t="str">
        <f>H123</f>
        <v>confidential</v>
      </c>
    </row>
    <row r="276" spans="2:10" x14ac:dyDescent="0.2">
      <c r="B276" s="2" t="s">
        <v>379</v>
      </c>
      <c r="F276" s="2" t="s">
        <v>92</v>
      </c>
      <c r="H276" s="86" t="e">
        <f>H275-H274</f>
        <v>#VALUE!</v>
      </c>
    </row>
    <row r="277" spans="2:10" x14ac:dyDescent="0.2">
      <c r="B277" s="2" t="s">
        <v>475</v>
      </c>
      <c r="F277" s="2" t="s">
        <v>92</v>
      </c>
      <c r="H277" s="86" t="e">
        <f>AVERAGE(H275:H276)</f>
        <v>#VALUE!</v>
      </c>
    </row>
    <row r="278" spans="2:10" x14ac:dyDescent="0.2">
      <c r="B278" s="2" t="s">
        <v>476</v>
      </c>
      <c r="F278" s="2" t="s">
        <v>473</v>
      </c>
      <c r="H278" s="27" t="e">
        <f>((DATE(2025,1,1)-H125)/365.25)*12</f>
        <v>#VALUE!</v>
      </c>
    </row>
    <row r="279" spans="2:10" x14ac:dyDescent="0.2">
      <c r="B279" s="2" t="s">
        <v>478</v>
      </c>
      <c r="F279" s="2" t="s">
        <v>92</v>
      </c>
      <c r="H279" s="86" t="e">
        <f>H277*(H278/12)</f>
        <v>#VALUE!</v>
      </c>
    </row>
    <row r="282" spans="2:10" s="8" customFormat="1" x14ac:dyDescent="0.2">
      <c r="B282" s="8" t="s">
        <v>384</v>
      </c>
      <c r="H282" s="87"/>
    </row>
    <row r="283" spans="2:10" ht="12" customHeight="1" x14ac:dyDescent="0.2"/>
    <row r="284" spans="2:10" ht="12" customHeight="1" x14ac:dyDescent="0.2">
      <c r="B284" s="1" t="s">
        <v>218</v>
      </c>
    </row>
    <row r="285" spans="2:10" ht="12" customHeight="1" x14ac:dyDescent="0.2">
      <c r="B285" s="2" t="s">
        <v>385</v>
      </c>
      <c r="F285" s="2" t="s">
        <v>92</v>
      </c>
      <c r="H285" s="22">
        <v>45516614.641236715</v>
      </c>
    </row>
    <row r="286" spans="2:10" ht="12" customHeight="1" x14ac:dyDescent="0.2">
      <c r="B286" s="2" t="s">
        <v>480</v>
      </c>
      <c r="F286" s="2" t="s">
        <v>92</v>
      </c>
      <c r="H286" s="22">
        <v>4368243.5897571081</v>
      </c>
    </row>
    <row r="287" spans="2:10" ht="12" customHeight="1" x14ac:dyDescent="0.2">
      <c r="B287" s="2" t="s">
        <v>386</v>
      </c>
      <c r="F287" s="2" t="s">
        <v>300</v>
      </c>
      <c r="H287" s="88">
        <f>H285*H20+H286</f>
        <v>7135653.7599443002</v>
      </c>
      <c r="J287" s="2" t="s">
        <v>387</v>
      </c>
    </row>
    <row r="288" spans="2:10" ht="12" customHeight="1" x14ac:dyDescent="0.2"/>
    <row r="289" spans="1:8" s="42" customFormat="1" x14ac:dyDescent="0.2"/>
    <row r="290" spans="1:8" s="8" customFormat="1" x14ac:dyDescent="0.2">
      <c r="B290" s="8" t="s">
        <v>388</v>
      </c>
      <c r="H290" s="87"/>
    </row>
    <row r="291" spans="1:8" ht="12" customHeight="1" x14ac:dyDescent="0.2"/>
    <row r="292" spans="1:8" ht="12" customHeight="1" x14ac:dyDescent="0.2">
      <c r="B292" s="1" t="s">
        <v>137</v>
      </c>
    </row>
    <row r="293" spans="1:8" ht="12" customHeight="1" x14ac:dyDescent="0.2">
      <c r="B293" s="2" t="s">
        <v>389</v>
      </c>
      <c r="F293" s="2" t="s">
        <v>92</v>
      </c>
      <c r="H293" s="26">
        <f>H142</f>
        <v>21884129.454711385</v>
      </c>
    </row>
    <row r="294" spans="1:8" ht="12" customHeight="1" x14ac:dyDescent="0.2">
      <c r="B294" s="2" t="s">
        <v>390</v>
      </c>
      <c r="F294" s="2" t="s">
        <v>92</v>
      </c>
      <c r="H294" s="26">
        <f>H134</f>
        <v>2811866.6666666665</v>
      </c>
    </row>
    <row r="295" spans="1:8" ht="12" customHeight="1" x14ac:dyDescent="0.2">
      <c r="B295" s="2" t="s">
        <v>391</v>
      </c>
      <c r="F295" s="2" t="s">
        <v>353</v>
      </c>
      <c r="H295" s="20">
        <f>H293*$H$21+H294</f>
        <v>4225581.4294410218</v>
      </c>
    </row>
    <row r="296" spans="1:8" ht="12" customHeight="1" x14ac:dyDescent="0.2">
      <c r="B296" s="1"/>
    </row>
    <row r="297" spans="1:8" ht="12" customHeight="1" x14ac:dyDescent="0.2">
      <c r="B297" s="1" t="s">
        <v>211</v>
      </c>
    </row>
    <row r="298" spans="1:8" ht="12" customHeight="1" x14ac:dyDescent="0.2">
      <c r="A298" s="106"/>
      <c r="B298" s="2" t="s">
        <v>394</v>
      </c>
      <c r="F298" s="2" t="s">
        <v>92</v>
      </c>
      <c r="H298" s="26">
        <f>H191</f>
        <v>218781.96955065947</v>
      </c>
    </row>
    <row r="299" spans="1:8" ht="12" customHeight="1" x14ac:dyDescent="0.2">
      <c r="B299" s="2" t="s">
        <v>390</v>
      </c>
      <c r="F299" s="2" t="s">
        <v>92</v>
      </c>
      <c r="H299" s="26">
        <f>H192</f>
        <v>90376.923090441574</v>
      </c>
    </row>
    <row r="300" spans="1:8" ht="12" customHeight="1" x14ac:dyDescent="0.2">
      <c r="B300" s="2" t="s">
        <v>391</v>
      </c>
      <c r="F300" s="2" t="s">
        <v>353</v>
      </c>
      <c r="H300" s="20">
        <f>H298*$H$21+H299</f>
        <v>104510.23832341417</v>
      </c>
    </row>
    <row r="301" spans="1:8" ht="12" customHeight="1" x14ac:dyDescent="0.2">
      <c r="B301" s="1"/>
    </row>
    <row r="302" spans="1:8" ht="12" customHeight="1" x14ac:dyDescent="0.2">
      <c r="B302" s="1" t="s">
        <v>159</v>
      </c>
    </row>
    <row r="303" spans="1:8" ht="12" customHeight="1" x14ac:dyDescent="0.2">
      <c r="A303" s="106"/>
      <c r="B303" s="2" t="s">
        <v>389</v>
      </c>
      <c r="F303" s="2" t="s">
        <v>92</v>
      </c>
      <c r="H303" s="22">
        <v>14857969.88364134</v>
      </c>
    </row>
    <row r="304" spans="1:8" ht="12" customHeight="1" x14ac:dyDescent="0.2">
      <c r="B304" s="2" t="s">
        <v>390</v>
      </c>
      <c r="F304" s="2" t="s">
        <v>92</v>
      </c>
      <c r="H304" s="22">
        <v>1466000</v>
      </c>
    </row>
    <row r="305" spans="2:11" ht="12" customHeight="1" x14ac:dyDescent="0.2">
      <c r="B305" s="2" t="s">
        <v>391</v>
      </c>
      <c r="F305" s="2" t="s">
        <v>353</v>
      </c>
      <c r="H305" s="20">
        <f>H303*$H$21+H304</f>
        <v>2425824.8544832305</v>
      </c>
    </row>
    <row r="306" spans="2:11" ht="12" customHeight="1" x14ac:dyDescent="0.2">
      <c r="B306" s="1"/>
    </row>
    <row r="307" spans="2:11" ht="12" customHeight="1" x14ac:dyDescent="0.2">
      <c r="B307" s="1" t="s">
        <v>359</v>
      </c>
    </row>
    <row r="308" spans="2:11" ht="12" customHeight="1" x14ac:dyDescent="0.2">
      <c r="B308" s="2" t="s">
        <v>389</v>
      </c>
      <c r="F308" s="2" t="s">
        <v>92</v>
      </c>
      <c r="H308" s="22">
        <v>8739240.6518756561</v>
      </c>
      <c r="J308" s="2" t="s">
        <v>396</v>
      </c>
    </row>
    <row r="309" spans="2:11" ht="12" customHeight="1" x14ac:dyDescent="0.2">
      <c r="B309" s="2" t="s">
        <v>390</v>
      </c>
      <c r="F309" s="2" t="s">
        <v>92</v>
      </c>
      <c r="H309" s="22">
        <v>477209.99033333332</v>
      </c>
    </row>
    <row r="310" spans="2:11" ht="12" customHeight="1" x14ac:dyDescent="0.2">
      <c r="B310" s="2" t="s">
        <v>391</v>
      </c>
      <c r="F310" s="2" t="s">
        <v>353</v>
      </c>
      <c r="H310" s="20">
        <f>H308*$H$21+H309</f>
        <v>1041764.9364445007</v>
      </c>
    </row>
    <row r="311" spans="2:11" ht="12" customHeight="1" x14ac:dyDescent="0.2"/>
    <row r="312" spans="2:11" ht="12" customHeight="1" x14ac:dyDescent="0.2">
      <c r="B312" s="1" t="s">
        <v>468</v>
      </c>
    </row>
    <row r="313" spans="2:11" ht="12" customHeight="1" x14ac:dyDescent="0.2">
      <c r="B313" s="2" t="s">
        <v>389</v>
      </c>
      <c r="F313" s="2" t="s">
        <v>92</v>
      </c>
      <c r="H313" s="22">
        <v>1996693.3050255135</v>
      </c>
    </row>
    <row r="314" spans="2:11" ht="12" customHeight="1" x14ac:dyDescent="0.2">
      <c r="B314" s="2" t="s">
        <v>390</v>
      </c>
      <c r="F314" s="2" t="s">
        <v>92</v>
      </c>
      <c r="H314" s="22">
        <v>359423.59529587458</v>
      </c>
    </row>
    <row r="315" spans="2:11" ht="12" customHeight="1" x14ac:dyDescent="0.2">
      <c r="B315" s="2" t="s">
        <v>391</v>
      </c>
      <c r="F315" s="2" t="s">
        <v>353</v>
      </c>
      <c r="H315" s="20">
        <f>H313*$H$21+H314</f>
        <v>488409.98280052276</v>
      </c>
    </row>
    <row r="316" spans="2:11" ht="12" customHeight="1" x14ac:dyDescent="0.2"/>
    <row r="317" spans="2:11" x14ac:dyDescent="0.2">
      <c r="B317" s="2" t="s">
        <v>395</v>
      </c>
      <c r="F317" s="2" t="s">
        <v>92</v>
      </c>
      <c r="H317" s="27">
        <f>SUM(H293,H298,H303,H308,H313)</f>
        <v>47696815.26480455</v>
      </c>
      <c r="J317" s="102"/>
      <c r="K317" s="66"/>
    </row>
    <row r="318" spans="2:11" x14ac:dyDescent="0.2">
      <c r="B318" s="2" t="s">
        <v>392</v>
      </c>
      <c r="F318" s="2" t="s">
        <v>92</v>
      </c>
      <c r="H318" s="27">
        <f>SUM(H294,H299,H304,H309,H314)</f>
        <v>5204877.1753863161</v>
      </c>
      <c r="J318" s="102"/>
      <c r="K318" s="66"/>
    </row>
    <row r="319" spans="2:11" x14ac:dyDescent="0.2">
      <c r="B319" s="2" t="s">
        <v>393</v>
      </c>
      <c r="F319" s="2" t="s">
        <v>353</v>
      </c>
      <c r="H319" s="27">
        <f>SUM(H295,H300,H305,H310,H315)</f>
        <v>8286091.4414926898</v>
      </c>
      <c r="J319" s="102"/>
      <c r="K319" s="66"/>
    </row>
    <row r="327" spans="2:2" x14ac:dyDescent="0.2">
      <c r="B327" s="4" t="s">
        <v>58</v>
      </c>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4FF3-DE2C-420F-A949-298B05D22282}">
  <sheetPr>
    <tabColor rgb="FFFFFFCC"/>
  </sheetPr>
  <dimension ref="A2:JC54"/>
  <sheetViews>
    <sheetView showGridLines="0" zoomScale="85" zoomScaleNormal="85" workbookViewId="0">
      <pane xSplit="6" ySplit="11" topLeftCell="G12" activePane="bottomRight" state="frozen"/>
      <selection activeCell="C53" activeCellId="1" sqref="A4 C53"/>
      <selection pane="topRight" activeCell="C53" activeCellId="1" sqref="A4 C53"/>
      <selection pane="bottomLeft" activeCell="C53" activeCellId="1" sqref="A4 C53"/>
      <selection pane="bottomRight"/>
    </sheetView>
  </sheetViews>
  <sheetFormatPr defaultRowHeight="12.75" x14ac:dyDescent="0.2"/>
  <cols>
    <col min="1" max="1" width="4.7109375" style="2" customWidth="1"/>
    <col min="2" max="2" width="50.85546875" style="2" customWidth="1"/>
    <col min="3" max="3" width="4.7109375" style="2" customWidth="1"/>
    <col min="4" max="5" width="4.5703125" style="2" customWidth="1"/>
    <col min="6" max="6" width="13.7109375" style="2" customWidth="1"/>
    <col min="7" max="7" width="2.7109375" style="2" customWidth="1"/>
    <col min="8" max="8" width="10.5703125" style="2" customWidth="1"/>
    <col min="9" max="11" width="2.7109375" style="2" customWidth="1"/>
    <col min="12" max="12" width="8.85546875" style="2" customWidth="1"/>
    <col min="13" max="13" width="2.7109375" style="2" customWidth="1"/>
    <col min="14" max="25" width="12.85546875" style="2" customWidth="1"/>
    <col min="26" max="26" width="2.7109375" style="2" customWidth="1"/>
    <col min="27" max="16384" width="9.140625" style="2"/>
  </cols>
  <sheetData>
    <row r="2" spans="1:263" s="12" customFormat="1" ht="18" x14ac:dyDescent="0.2">
      <c r="B2" s="12" t="s">
        <v>397</v>
      </c>
    </row>
    <row r="4" spans="1:263" x14ac:dyDescent="0.2">
      <c r="B4" s="18" t="s">
        <v>199</v>
      </c>
      <c r="C4" s="1"/>
      <c r="D4" s="1"/>
    </row>
    <row r="5" spans="1:263" x14ac:dyDescent="0.2">
      <c r="B5" s="2" t="s">
        <v>398</v>
      </c>
      <c r="H5" s="13"/>
    </row>
    <row r="6" spans="1:263" x14ac:dyDescent="0.2">
      <c r="B6" s="2" t="s">
        <v>399</v>
      </c>
      <c r="H6" s="13"/>
    </row>
    <row r="7" spans="1:263" x14ac:dyDescent="0.2">
      <c r="B7" s="2" t="s">
        <v>219</v>
      </c>
      <c r="H7" s="13"/>
    </row>
    <row r="8" spans="1:263" x14ac:dyDescent="0.2">
      <c r="B8" s="4"/>
    </row>
    <row r="10" spans="1:263" customFormat="1" ht="25.5" x14ac:dyDescent="0.2">
      <c r="A10" s="8"/>
      <c r="B10" s="8" t="s">
        <v>11</v>
      </c>
      <c r="C10" s="8"/>
      <c r="D10" s="8"/>
      <c r="E10" s="8"/>
      <c r="F10" s="8" t="s">
        <v>36</v>
      </c>
      <c r="G10" s="8"/>
      <c r="H10" s="8" t="s">
        <v>37</v>
      </c>
      <c r="I10" s="8"/>
      <c r="J10" s="8"/>
      <c r="K10" s="8"/>
      <c r="L10" s="75" t="s">
        <v>163</v>
      </c>
      <c r="M10" s="76"/>
      <c r="N10" s="76" t="s">
        <v>316</v>
      </c>
      <c r="O10" s="76" t="s">
        <v>317</v>
      </c>
      <c r="P10" s="76" t="s">
        <v>318</v>
      </c>
      <c r="Q10" s="76" t="s">
        <v>319</v>
      </c>
      <c r="R10" s="76" t="s">
        <v>320</v>
      </c>
      <c r="S10" s="76" t="s">
        <v>321</v>
      </c>
      <c r="T10" s="76" t="s">
        <v>322</v>
      </c>
      <c r="U10" s="76" t="s">
        <v>323</v>
      </c>
      <c r="V10" s="76" t="s">
        <v>324</v>
      </c>
      <c r="W10" s="76" t="s">
        <v>325</v>
      </c>
      <c r="X10" s="76" t="s">
        <v>326</v>
      </c>
      <c r="Y10" s="76" t="s">
        <v>327</v>
      </c>
      <c r="Z10" s="8"/>
      <c r="AA10" s="8" t="s">
        <v>39</v>
      </c>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row>
    <row r="13" spans="1:263" customFormat="1" x14ac:dyDescent="0.2">
      <c r="A13" s="8"/>
      <c r="B13" s="8" t="s">
        <v>220</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row>
    <row r="14" spans="1:263" customForma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row>
    <row r="15" spans="1:263" customFormat="1" x14ac:dyDescent="0.2">
      <c r="A15" s="2"/>
      <c r="B15" s="1" t="s">
        <v>221</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row>
    <row r="16" spans="1:263" customFormat="1" x14ac:dyDescent="0.2">
      <c r="A16" s="2"/>
      <c r="B16" s="2" t="s">
        <v>165</v>
      </c>
      <c r="C16" s="2"/>
      <c r="D16" s="2"/>
      <c r="E16" s="2"/>
      <c r="F16" s="2" t="s">
        <v>98</v>
      </c>
      <c r="G16" s="2"/>
      <c r="H16" s="2"/>
      <c r="I16" s="2"/>
      <c r="J16" s="2"/>
      <c r="K16" s="2"/>
      <c r="L16" s="2"/>
      <c r="M16" s="2"/>
      <c r="N16" s="89" t="str">
        <f>'Production and fuel costs 2022'!N18</f>
        <v>confidential</v>
      </c>
      <c r="O16" s="89" t="str">
        <f>'Production and fuel costs 2022'!O18</f>
        <v>confidential</v>
      </c>
      <c r="P16" s="89" t="str">
        <f>'Production and fuel costs 2022'!P18</f>
        <v>confidential</v>
      </c>
      <c r="Q16" s="89" t="str">
        <f>'Production and fuel costs 2022'!Q18</f>
        <v>confidential</v>
      </c>
      <c r="R16" s="89" t="str">
        <f>'Production and fuel costs 2022'!R18</f>
        <v>confidential</v>
      </c>
      <c r="S16" s="89" t="str">
        <f>'Production and fuel costs 2022'!S18</f>
        <v>confidential</v>
      </c>
      <c r="T16" s="89" t="str">
        <f>'Production and fuel costs 2022'!T18</f>
        <v>confidential</v>
      </c>
      <c r="U16" s="89" t="str">
        <f>'Production and fuel costs 2022'!U18</f>
        <v>confidential</v>
      </c>
      <c r="V16" s="89" t="str">
        <f>'Production and fuel costs 2022'!V18</f>
        <v>confidential</v>
      </c>
      <c r="W16" s="89" t="str">
        <f>'Production and fuel costs 2022'!W18</f>
        <v>confidential</v>
      </c>
      <c r="X16" s="89" t="str">
        <f>'Production and fuel costs 2022'!X18</f>
        <v>confidential</v>
      </c>
      <c r="Y16" s="89" t="str">
        <f>'Production and fuel costs 2022'!Y18</f>
        <v>confidential</v>
      </c>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row>
    <row r="17" spans="1:263" customFormat="1" x14ac:dyDescent="0.2">
      <c r="A17" s="2"/>
      <c r="B17" s="2" t="s">
        <v>166</v>
      </c>
      <c r="C17" s="2"/>
      <c r="D17" s="2"/>
      <c r="E17" s="2"/>
      <c r="F17" s="2" t="s">
        <v>167</v>
      </c>
      <c r="G17" s="2"/>
      <c r="H17" s="2"/>
      <c r="I17" s="2"/>
      <c r="J17" s="2"/>
      <c r="K17" s="2"/>
      <c r="L17" s="2"/>
      <c r="M17" s="2"/>
      <c r="N17" s="90" t="str">
        <f>'Production and fuel costs 2022'!N19</f>
        <v>confidential</v>
      </c>
      <c r="O17" s="90" t="str">
        <f>'Production and fuel costs 2022'!O19</f>
        <v>confidential</v>
      </c>
      <c r="P17" s="90" t="str">
        <f>'Production and fuel costs 2022'!P19</f>
        <v>confidential</v>
      </c>
      <c r="Q17" s="90" t="str">
        <f>'Production and fuel costs 2022'!Q19</f>
        <v>confidential</v>
      </c>
      <c r="R17" s="90" t="str">
        <f>'Production and fuel costs 2022'!R19</f>
        <v>confidential</v>
      </c>
      <c r="S17" s="90" t="str">
        <f>'Production and fuel costs 2022'!S19</f>
        <v>confidential</v>
      </c>
      <c r="T17" s="90" t="str">
        <f>'Production and fuel costs 2022'!T19</f>
        <v>confidential</v>
      </c>
      <c r="U17" s="90" t="str">
        <f>'Production and fuel costs 2022'!U19</f>
        <v>confidential</v>
      </c>
      <c r="V17" s="90" t="str">
        <f>'Production and fuel costs 2022'!V19</f>
        <v>confidential</v>
      </c>
      <c r="W17" s="90" t="str">
        <f>'Production and fuel costs 2022'!W19</f>
        <v>confidential</v>
      </c>
      <c r="X17" s="90" t="str">
        <f>'Production and fuel costs 2022'!X19</f>
        <v>confidential</v>
      </c>
      <c r="Y17" s="90" t="str">
        <f>'Production and fuel costs 2022'!Y19</f>
        <v>confidential</v>
      </c>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row>
    <row r="18" spans="1:263" customForma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row>
    <row r="19" spans="1:263" customFormat="1" x14ac:dyDescent="0.2">
      <c r="A19" s="2"/>
      <c r="B19" s="18" t="s">
        <v>168</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row>
    <row r="20" spans="1:263" customFormat="1" x14ac:dyDescent="0.2">
      <c r="A20" s="2"/>
      <c r="B20" s="2" t="s">
        <v>169</v>
      </c>
      <c r="C20" s="2"/>
      <c r="D20" s="2"/>
      <c r="E20" s="2"/>
      <c r="F20" s="2" t="s">
        <v>79</v>
      </c>
      <c r="G20" s="2"/>
      <c r="H20" s="2"/>
      <c r="I20" s="2"/>
      <c r="J20" s="2"/>
      <c r="K20" s="2"/>
      <c r="L20" s="2"/>
      <c r="M20" s="2"/>
      <c r="N20" s="90">
        <f>'Production and fuel costs 2022'!N22</f>
        <v>8218397.9999999935</v>
      </c>
      <c r="O20" s="90">
        <f>'Production and fuel costs 2022'!O22</f>
        <v>7290655.9999999935</v>
      </c>
      <c r="P20" s="90">
        <f>'Production and fuel costs 2022'!P22</f>
        <v>7518961.9999999953</v>
      </c>
      <c r="Q20" s="90">
        <f>'Production and fuel costs 2022'!Q22</f>
        <v>7155612.0000000065</v>
      </c>
      <c r="R20" s="90">
        <f>'Production and fuel costs 2022'!R22</f>
        <v>7454322.9999999981</v>
      </c>
      <c r="S20" s="90">
        <f>'Production and fuel costs 2022'!S22</f>
        <v>8731677.0000000168</v>
      </c>
      <c r="T20" s="90">
        <f>'Production and fuel costs 2022'!T22</f>
        <v>8834468.9999999776</v>
      </c>
      <c r="U20" s="90">
        <f>'Production and fuel costs 2022'!U22</f>
        <v>10118177.000000024</v>
      </c>
      <c r="V20" s="90">
        <f>'Production and fuel costs 2022'!V22</f>
        <v>11366112.999999989</v>
      </c>
      <c r="W20" s="90">
        <f>'Production and fuel costs 2022'!W22</f>
        <v>11084408.000000015</v>
      </c>
      <c r="X20" s="90">
        <f>'Production and fuel costs 2022'!X22</f>
        <v>10201369.99999997</v>
      </c>
      <c r="Y20" s="90">
        <f>'Production and fuel costs 2022'!Y22</f>
        <v>9301220.999999987</v>
      </c>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row>
    <row r="21" spans="1:263" customFormat="1" x14ac:dyDescent="0.2">
      <c r="A21" s="2"/>
      <c r="B21" s="2" t="s">
        <v>171</v>
      </c>
      <c r="C21" s="2"/>
      <c r="D21" s="2"/>
      <c r="E21" s="2"/>
      <c r="F21" s="2" t="s">
        <v>79</v>
      </c>
      <c r="G21" s="2"/>
      <c r="H21" s="2"/>
      <c r="I21" s="2"/>
      <c r="J21" s="2"/>
      <c r="K21" s="2"/>
      <c r="L21" s="2"/>
      <c r="M21" s="2"/>
      <c r="N21" s="90">
        <f>'Production and fuel costs 2022'!N23</f>
        <v>2465652.9999999967</v>
      </c>
      <c r="O21" s="90">
        <f>'Production and fuel costs 2022'!O23</f>
        <v>2495311.0000000093</v>
      </c>
      <c r="P21" s="90">
        <f>'Production and fuel costs 2022'!P23</f>
        <v>3701236.9999999981</v>
      </c>
      <c r="Q21" s="90">
        <f>'Production and fuel costs 2022'!Q23</f>
        <v>3825332.9999999986</v>
      </c>
      <c r="R21" s="90">
        <f>'Production and fuel costs 2022'!R23</f>
        <v>4476178.0000000037</v>
      </c>
      <c r="S21" s="90">
        <f>'Production and fuel costs 2022'!S23</f>
        <v>2963669.9999999898</v>
      </c>
      <c r="T21" s="90">
        <f>'Production and fuel costs 2022'!T23</f>
        <v>3011369.0000000205</v>
      </c>
      <c r="U21" s="90">
        <f>'Production and fuel costs 2022'!U23</f>
        <v>2379976.999999979</v>
      </c>
      <c r="V21" s="90">
        <f>'Production and fuel costs 2022'!V23</f>
        <v>1124067.0000000012</v>
      </c>
      <c r="W21" s="90">
        <f>'Production and fuel costs 2022'!W23</f>
        <v>940584.99999999849</v>
      </c>
      <c r="X21" s="90">
        <f>'Production and fuel costs 2022'!X23</f>
        <v>835379.00000000384</v>
      </c>
      <c r="Y21" s="90">
        <f>'Production and fuel costs 2022'!Y23</f>
        <v>1332336.0000000149</v>
      </c>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row>
    <row r="22" spans="1:263" customForma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row>
    <row r="23" spans="1:263" customFormat="1" x14ac:dyDescent="0.2">
      <c r="A23" s="2"/>
      <c r="B23" s="2" t="s">
        <v>173</v>
      </c>
      <c r="C23" s="2"/>
      <c r="D23" s="2"/>
      <c r="E23" s="2"/>
      <c r="F23" s="2" t="s">
        <v>79</v>
      </c>
      <c r="G23" s="2"/>
      <c r="H23" s="2"/>
      <c r="I23" s="2"/>
      <c r="J23" s="2"/>
      <c r="K23" s="2"/>
      <c r="L23" s="2"/>
      <c r="M23" s="2"/>
      <c r="N23" s="77">
        <f>N20+N21</f>
        <v>10684050.999999991</v>
      </c>
      <c r="O23" s="77">
        <f t="shared" ref="O23:Y23" si="0">O20+O21</f>
        <v>9785967.0000000037</v>
      </c>
      <c r="P23" s="77">
        <f t="shared" si="0"/>
        <v>11220198.999999993</v>
      </c>
      <c r="Q23" s="77">
        <f t="shared" si="0"/>
        <v>10980945.000000006</v>
      </c>
      <c r="R23" s="77">
        <f t="shared" si="0"/>
        <v>11930501.000000002</v>
      </c>
      <c r="S23" s="77">
        <f t="shared" si="0"/>
        <v>11695347.000000007</v>
      </c>
      <c r="T23" s="77">
        <f t="shared" si="0"/>
        <v>11845837.999999998</v>
      </c>
      <c r="U23" s="77">
        <f t="shared" si="0"/>
        <v>12498154.000000004</v>
      </c>
      <c r="V23" s="77">
        <f t="shared" si="0"/>
        <v>12490179.999999991</v>
      </c>
      <c r="W23" s="77">
        <f t="shared" si="0"/>
        <v>12024993.000000013</v>
      </c>
      <c r="X23" s="77">
        <f t="shared" si="0"/>
        <v>11036748.999999974</v>
      </c>
      <c r="Y23" s="77">
        <f t="shared" si="0"/>
        <v>10633557.000000002</v>
      </c>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row>
    <row r="24" spans="1:263" customForma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row>
    <row r="25" spans="1:263" customFormat="1" x14ac:dyDescent="0.2">
      <c r="A25" s="2"/>
      <c r="B25" s="2" t="s">
        <v>222</v>
      </c>
      <c r="C25" s="2"/>
      <c r="D25" s="2"/>
      <c r="E25" s="2"/>
      <c r="F25" s="2" t="s">
        <v>97</v>
      </c>
      <c r="G25" s="2"/>
      <c r="H25" s="114">
        <v>0.27365698782011383</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row>
    <row r="26" spans="1:263" customForma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row>
    <row r="27" spans="1:263" customForma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row>
    <row r="28" spans="1:263" customFormat="1" x14ac:dyDescent="0.2">
      <c r="A28" s="8"/>
      <c r="B28" s="8" t="s">
        <v>223</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row>
    <row r="29" spans="1:263"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row>
    <row r="30" spans="1:263" customFormat="1" x14ac:dyDescent="0.2">
      <c r="A30" s="2"/>
      <c r="B30" s="1" t="s">
        <v>174</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row>
    <row r="31" spans="1:263" customFormat="1" x14ac:dyDescent="0.2">
      <c r="A31" s="2"/>
      <c r="B31" s="2" t="s">
        <v>224</v>
      </c>
      <c r="C31" s="2"/>
      <c r="D31" s="2"/>
      <c r="E31" s="2"/>
      <c r="F31" s="2" t="s">
        <v>176</v>
      </c>
      <c r="G31" s="2"/>
      <c r="H31" s="2"/>
      <c r="I31" s="2"/>
      <c r="J31" s="2"/>
      <c r="K31" s="2"/>
      <c r="L31" s="2"/>
      <c r="M31" s="2"/>
      <c r="N31" s="89" t="str">
        <f>'Production and fuel costs 2022'!N31</f>
        <v>confidential</v>
      </c>
      <c r="O31" s="89" t="str">
        <f>'Production and fuel costs 2022'!O31</f>
        <v>confidential</v>
      </c>
      <c r="P31" s="89" t="str">
        <f>'Production and fuel costs 2022'!P31</f>
        <v>confidential</v>
      </c>
      <c r="Q31" s="89" t="str">
        <f>'Production and fuel costs 2022'!Q31</f>
        <v>confidential</v>
      </c>
      <c r="R31" s="89" t="str">
        <f>'Production and fuel costs 2022'!R31</f>
        <v>confidential</v>
      </c>
      <c r="S31" s="89" t="str">
        <f>'Production and fuel costs 2022'!S31</f>
        <v>confidential</v>
      </c>
      <c r="T31" s="89" t="str">
        <f>'Production and fuel costs 2022'!T31</f>
        <v>confidential</v>
      </c>
      <c r="U31" s="89" t="str">
        <f>'Production and fuel costs 2022'!U31</f>
        <v>confidential</v>
      </c>
      <c r="V31" s="89" t="str">
        <f>'Production and fuel costs 2022'!V31</f>
        <v>confidential</v>
      </c>
      <c r="W31" s="89" t="str">
        <f>'Production and fuel costs 2022'!W31</f>
        <v>confidential</v>
      </c>
      <c r="X31" s="89" t="str">
        <f>'Production and fuel costs 2022'!X31</f>
        <v>confidential</v>
      </c>
      <c r="Y31" s="89" t="str">
        <f>'Production and fuel costs 2022'!Y31</f>
        <v>confidential</v>
      </c>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row>
    <row r="32" spans="1:263" customFormat="1" x14ac:dyDescent="0.2">
      <c r="A32" s="2"/>
      <c r="B32" s="2" t="s">
        <v>177</v>
      </c>
      <c r="C32" s="2"/>
      <c r="D32" s="2"/>
      <c r="E32" s="2"/>
      <c r="F32" s="2" t="s">
        <v>79</v>
      </c>
      <c r="G32" s="2"/>
      <c r="H32" s="2"/>
      <c r="I32" s="2"/>
      <c r="J32" s="2"/>
      <c r="K32" s="2"/>
      <c r="L32" s="2"/>
      <c r="M32" s="2"/>
      <c r="N32" s="90" t="str">
        <f>'Production and fuel costs 2022'!N32</f>
        <v>confidential</v>
      </c>
      <c r="O32" s="90" t="str">
        <f>'Production and fuel costs 2022'!O32</f>
        <v>confidential</v>
      </c>
      <c r="P32" s="90" t="str">
        <f>'Production and fuel costs 2022'!P32</f>
        <v>confidential</v>
      </c>
      <c r="Q32" s="90" t="str">
        <f>'Production and fuel costs 2022'!Q32</f>
        <v>confidential</v>
      </c>
      <c r="R32" s="90" t="str">
        <f>'Production and fuel costs 2022'!R32</f>
        <v>confidential</v>
      </c>
      <c r="S32" s="90" t="str">
        <f>'Production and fuel costs 2022'!S32</f>
        <v>confidential</v>
      </c>
      <c r="T32" s="90" t="str">
        <f>'Production and fuel costs 2022'!T32</f>
        <v>confidential</v>
      </c>
      <c r="U32" s="90" t="str">
        <f>'Production and fuel costs 2022'!U32</f>
        <v>confidential</v>
      </c>
      <c r="V32" s="90" t="str">
        <f>'Production and fuel costs 2022'!V32</f>
        <v>confidential</v>
      </c>
      <c r="W32" s="90" t="str">
        <f>'Production and fuel costs 2022'!W32</f>
        <v>confidential</v>
      </c>
      <c r="X32" s="90" t="str">
        <f>'Production and fuel costs 2022'!X32</f>
        <v>confidential</v>
      </c>
      <c r="Y32" s="90" t="str">
        <f>'Production and fuel costs 2022'!Y32</f>
        <v>confidential</v>
      </c>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row>
    <row r="33" spans="1:263" customForma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row>
    <row r="34" spans="1:263" customFormat="1" x14ac:dyDescent="0.2">
      <c r="A34" s="2"/>
      <c r="B34" s="1" t="s">
        <v>225</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row>
    <row r="35" spans="1:263" customFormat="1" x14ac:dyDescent="0.2">
      <c r="A35" s="2"/>
      <c r="B35" s="2" t="s">
        <v>226</v>
      </c>
      <c r="C35" s="2"/>
      <c r="D35" s="2"/>
      <c r="E35" s="2"/>
      <c r="F35" s="2" t="s">
        <v>176</v>
      </c>
      <c r="G35" s="2"/>
      <c r="H35" s="2"/>
      <c r="I35" s="2"/>
      <c r="J35" s="2"/>
      <c r="K35" s="2"/>
      <c r="L35" s="2"/>
      <c r="M35" s="2"/>
      <c r="N35" s="91">
        <f>'Production and fuel costs 2022'!$H$35</f>
        <v>0.16059999999999999</v>
      </c>
      <c r="O35" s="91">
        <f>'Production and fuel costs 2022'!$H$35</f>
        <v>0.16059999999999999</v>
      </c>
      <c r="P35" s="91">
        <f>'Production and fuel costs 2022'!$H$35</f>
        <v>0.16059999999999999</v>
      </c>
      <c r="Q35" s="91">
        <f>'Production and fuel costs 2022'!$H$35</f>
        <v>0.16059999999999999</v>
      </c>
      <c r="R35" s="91">
        <f>'Production and fuel costs 2022'!$H$35</f>
        <v>0.16059999999999999</v>
      </c>
      <c r="S35" s="91">
        <f>'Production and fuel costs 2022'!$H$35</f>
        <v>0.16059999999999999</v>
      </c>
      <c r="T35" s="91">
        <f>'Production and fuel costs 2022'!$H$35</f>
        <v>0.16059999999999999</v>
      </c>
      <c r="U35" s="91">
        <f>'Production and fuel costs 2022'!$H$35</f>
        <v>0.16059999999999999</v>
      </c>
      <c r="V35" s="91">
        <f>'Production and fuel costs 2022'!$H$35</f>
        <v>0.16059999999999999</v>
      </c>
      <c r="W35" s="91">
        <f>'Production and fuel costs 2022'!$H$35</f>
        <v>0.16059999999999999</v>
      </c>
      <c r="X35" s="91">
        <f>'Production and fuel costs 2022'!$H$35</f>
        <v>0.16059999999999999</v>
      </c>
      <c r="Y35" s="91">
        <f>'Production and fuel costs 2022'!$H$35</f>
        <v>0.16059999999999999</v>
      </c>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row>
    <row r="36" spans="1:263"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row>
    <row r="37" spans="1:263" customForma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row>
    <row r="38" spans="1:263" customFormat="1" x14ac:dyDescent="0.2">
      <c r="A38" s="8"/>
      <c r="B38" s="8" t="s">
        <v>400</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row>
    <row r="39" spans="1:263"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row>
    <row r="40" spans="1:263" customFormat="1" x14ac:dyDescent="0.2">
      <c r="A40" s="2"/>
      <c r="B40" s="1" t="s">
        <v>227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row>
    <row r="41" spans="1:263" customFormat="1" x14ac:dyDescent="0.2">
      <c r="A41" s="2"/>
      <c r="B41" s="2" t="s">
        <v>228</v>
      </c>
      <c r="C41" s="2"/>
      <c r="D41" s="2"/>
      <c r="E41" s="2"/>
      <c r="F41" s="2" t="s">
        <v>176</v>
      </c>
      <c r="G41" s="2"/>
      <c r="H41" s="2"/>
      <c r="I41" s="2"/>
      <c r="J41" s="2"/>
      <c r="K41" s="2"/>
      <c r="L41" s="2"/>
      <c r="M41" s="22"/>
      <c r="N41" s="92" t="e">
        <f t="shared" ref="N41:Y41" si="1">N31-N35</f>
        <v>#VALUE!</v>
      </c>
      <c r="O41" s="92" t="e">
        <f t="shared" si="1"/>
        <v>#VALUE!</v>
      </c>
      <c r="P41" s="92" t="e">
        <f t="shared" si="1"/>
        <v>#VALUE!</v>
      </c>
      <c r="Q41" s="92" t="e">
        <f t="shared" si="1"/>
        <v>#VALUE!</v>
      </c>
      <c r="R41" s="92" t="e">
        <f t="shared" si="1"/>
        <v>#VALUE!</v>
      </c>
      <c r="S41" s="92" t="e">
        <f t="shared" si="1"/>
        <v>#VALUE!</v>
      </c>
      <c r="T41" s="92" t="e">
        <f t="shared" si="1"/>
        <v>#VALUE!</v>
      </c>
      <c r="U41" s="92" t="e">
        <f t="shared" si="1"/>
        <v>#VALUE!</v>
      </c>
      <c r="V41" s="92" t="e">
        <f t="shared" si="1"/>
        <v>#VALUE!</v>
      </c>
      <c r="W41" s="92" t="e">
        <f t="shared" si="1"/>
        <v>#VALUE!</v>
      </c>
      <c r="X41" s="92" t="e">
        <f t="shared" si="1"/>
        <v>#VALUE!</v>
      </c>
      <c r="Y41" s="92" t="e">
        <f t="shared" si="1"/>
        <v>#VALUE!</v>
      </c>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row>
    <row r="42" spans="1:263" customFormat="1" x14ac:dyDescent="0.2">
      <c r="A42" s="2"/>
      <c r="B42" s="2" t="s">
        <v>229</v>
      </c>
      <c r="C42" s="2"/>
      <c r="D42" s="2"/>
      <c r="E42" s="2"/>
      <c r="F42" s="2" t="s">
        <v>92</v>
      </c>
      <c r="G42" s="2"/>
      <c r="H42" s="2"/>
      <c r="I42" s="2"/>
      <c r="J42" s="2"/>
      <c r="K42" s="2"/>
      <c r="L42" s="2"/>
      <c r="M42" s="22"/>
      <c r="N42" s="27" t="e">
        <f t="shared" ref="N42:Y42" si="2">N41*N32</f>
        <v>#VALUE!</v>
      </c>
      <c r="O42" s="27" t="e">
        <f t="shared" si="2"/>
        <v>#VALUE!</v>
      </c>
      <c r="P42" s="27" t="e">
        <f t="shared" si="2"/>
        <v>#VALUE!</v>
      </c>
      <c r="Q42" s="27" t="e">
        <f t="shared" si="2"/>
        <v>#VALUE!</v>
      </c>
      <c r="R42" s="27" t="e">
        <f t="shared" si="2"/>
        <v>#VALUE!</v>
      </c>
      <c r="S42" s="27" t="e">
        <f t="shared" si="2"/>
        <v>#VALUE!</v>
      </c>
      <c r="T42" s="27" t="e">
        <f t="shared" si="2"/>
        <v>#VALUE!</v>
      </c>
      <c r="U42" s="27" t="e">
        <f t="shared" si="2"/>
        <v>#VALUE!</v>
      </c>
      <c r="V42" s="27" t="e">
        <f t="shared" si="2"/>
        <v>#VALUE!</v>
      </c>
      <c r="W42" s="27" t="e">
        <f t="shared" si="2"/>
        <v>#VALUE!</v>
      </c>
      <c r="X42" s="27" t="e">
        <f t="shared" si="2"/>
        <v>#VALUE!</v>
      </c>
      <c r="Y42" s="27" t="e">
        <f t="shared" si="2"/>
        <v>#VALUE!</v>
      </c>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row>
    <row r="43" spans="1:263" customForma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row>
    <row r="44" spans="1:263" customFormat="1" x14ac:dyDescent="0.2">
      <c r="A44" s="2"/>
      <c r="B44" s="1" t="s">
        <v>230</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row>
    <row r="45" spans="1:263" customFormat="1" x14ac:dyDescent="0.2">
      <c r="A45" s="2"/>
      <c r="B45" s="2" t="s">
        <v>231</v>
      </c>
      <c r="C45" s="2"/>
      <c r="D45" s="2"/>
      <c r="E45" s="2"/>
      <c r="F45" s="2" t="s">
        <v>92</v>
      </c>
      <c r="G45" s="2"/>
      <c r="H45" s="2"/>
      <c r="I45" s="2"/>
      <c r="J45" s="2"/>
      <c r="K45" s="2"/>
      <c r="L45" s="2"/>
      <c r="M45" s="22"/>
      <c r="N45" s="77" t="e">
        <f t="shared" ref="N45:Y45" si="3">N16*N17</f>
        <v>#VALUE!</v>
      </c>
      <c r="O45" s="77" t="e">
        <f t="shared" si="3"/>
        <v>#VALUE!</v>
      </c>
      <c r="P45" s="77" t="e">
        <f t="shared" si="3"/>
        <v>#VALUE!</v>
      </c>
      <c r="Q45" s="77" t="e">
        <f t="shared" si="3"/>
        <v>#VALUE!</v>
      </c>
      <c r="R45" s="77" t="e">
        <f t="shared" si="3"/>
        <v>#VALUE!</v>
      </c>
      <c r="S45" s="77" t="e">
        <f t="shared" si="3"/>
        <v>#VALUE!</v>
      </c>
      <c r="T45" s="77" t="e">
        <f t="shared" si="3"/>
        <v>#VALUE!</v>
      </c>
      <c r="U45" s="77" t="e">
        <f t="shared" si="3"/>
        <v>#VALUE!</v>
      </c>
      <c r="V45" s="77" t="e">
        <f t="shared" si="3"/>
        <v>#VALUE!</v>
      </c>
      <c r="W45" s="77" t="e">
        <f t="shared" si="3"/>
        <v>#VALUE!</v>
      </c>
      <c r="X45" s="77" t="e">
        <f t="shared" si="3"/>
        <v>#VALUE!</v>
      </c>
      <c r="Y45" s="77" t="e">
        <f t="shared" si="3"/>
        <v>#VALUE!</v>
      </c>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row>
    <row r="46" spans="1:263" customFormat="1" x14ac:dyDescent="0.2">
      <c r="A46" s="2"/>
      <c r="B46" s="2"/>
      <c r="C46" s="2"/>
      <c r="D46" s="2"/>
      <c r="E46" s="2"/>
      <c r="F46" s="2"/>
      <c r="G46" s="2"/>
      <c r="H46" s="2"/>
      <c r="I46" s="2"/>
      <c r="J46" s="2"/>
      <c r="K46" s="2"/>
      <c r="L46" s="2"/>
      <c r="M46" s="2"/>
      <c r="N46" s="68"/>
      <c r="O46" s="68"/>
      <c r="P46" s="68"/>
      <c r="Q46" s="68"/>
      <c r="R46" s="68"/>
      <c r="S46" s="68"/>
      <c r="T46" s="68"/>
      <c r="U46" s="68"/>
      <c r="V46" s="68"/>
      <c r="W46" s="68"/>
      <c r="X46" s="68"/>
      <c r="Y46" s="68"/>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row>
    <row r="47" spans="1:263" customFormat="1" x14ac:dyDescent="0.2">
      <c r="A47" s="2"/>
      <c r="B47" s="2" t="s">
        <v>232</v>
      </c>
      <c r="C47" s="2"/>
      <c r="D47" s="2"/>
      <c r="E47" s="2"/>
      <c r="F47" s="2" t="s">
        <v>92</v>
      </c>
      <c r="G47" s="2"/>
      <c r="H47" s="2"/>
      <c r="I47" s="2"/>
      <c r="J47" s="2"/>
      <c r="K47" s="2"/>
      <c r="L47" s="2"/>
      <c r="M47" s="22"/>
      <c r="N47" s="22">
        <v>119102.54189999984</v>
      </c>
      <c r="O47" s="22">
        <v>288018.89399999985</v>
      </c>
      <c r="P47" s="22">
        <v>151518.99999999977</v>
      </c>
      <c r="Q47" s="22">
        <v>92275.005499999505</v>
      </c>
      <c r="R47" s="22">
        <v>-211415.63000000035</v>
      </c>
      <c r="S47" s="22">
        <v>623189.9849999994</v>
      </c>
      <c r="T47" s="22">
        <v>94148.062000002246</v>
      </c>
      <c r="U47" s="22">
        <v>558415.95499999868</v>
      </c>
      <c r="V47" s="22">
        <v>827074.82259999961</v>
      </c>
      <c r="W47" s="22">
        <v>265650.04499999899</v>
      </c>
      <c r="X47" s="22">
        <v>402033.15500000026</v>
      </c>
      <c r="Y47" s="22">
        <v>500989.34579981398</v>
      </c>
      <c r="Z47" s="2"/>
      <c r="AA47" s="2" t="s">
        <v>401</v>
      </c>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row>
    <row r="48" spans="1:263" customFormat="1" x14ac:dyDescent="0.2">
      <c r="A48" s="2"/>
      <c r="B48" s="2"/>
      <c r="C48" s="2"/>
      <c r="D48" s="2"/>
      <c r="E48" s="2"/>
      <c r="F48" s="2"/>
      <c r="G48" s="2"/>
      <c r="H48" s="2"/>
      <c r="I48" s="2"/>
      <c r="J48" s="2"/>
      <c r="K48" s="2"/>
      <c r="L48" s="2"/>
      <c r="M48" s="2"/>
      <c r="N48" s="68"/>
      <c r="O48" s="68"/>
      <c r="P48" s="68"/>
      <c r="Q48" s="68"/>
      <c r="R48" s="68"/>
      <c r="S48" s="68"/>
      <c r="T48" s="68"/>
      <c r="U48" s="68"/>
      <c r="V48" s="68"/>
      <c r="W48" s="68"/>
      <c r="X48" s="68"/>
      <c r="Y48" s="68"/>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row>
    <row r="49" spans="1:263" customFormat="1" x14ac:dyDescent="0.2">
      <c r="A49" s="2"/>
      <c r="B49" s="2" t="s">
        <v>454</v>
      </c>
      <c r="C49" s="2"/>
      <c r="D49" s="2"/>
      <c r="E49" s="2"/>
      <c r="F49" s="2" t="s">
        <v>300</v>
      </c>
      <c r="G49" s="2"/>
      <c r="H49" s="88">
        <f>SUM(N47:Y47)</f>
        <v>3711001.1817998118</v>
      </c>
      <c r="I49" s="2"/>
      <c r="J49" s="2"/>
      <c r="K49" s="2"/>
      <c r="L49" s="2"/>
      <c r="M49" s="2"/>
      <c r="N49" s="68"/>
      <c r="O49" s="68"/>
      <c r="P49" s="68"/>
      <c r="Q49" s="68"/>
      <c r="R49" s="68"/>
      <c r="S49" s="68"/>
      <c r="T49" s="68"/>
      <c r="U49" s="68"/>
      <c r="V49" s="68"/>
      <c r="W49" s="68"/>
      <c r="X49" s="68"/>
      <c r="Z49" s="2"/>
      <c r="AA49" s="2" t="s">
        <v>402</v>
      </c>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row>
    <row r="50" spans="1:263" customFormat="1" x14ac:dyDescent="0.2">
      <c r="A50" s="2"/>
      <c r="B50" s="2"/>
      <c r="C50" s="2"/>
      <c r="D50" s="2"/>
      <c r="E50" s="2"/>
      <c r="F50" s="2"/>
      <c r="G50" s="2"/>
      <c r="H50" s="2"/>
      <c r="I50" s="2"/>
      <c r="J50" s="2"/>
      <c r="K50" s="2"/>
      <c r="L50" s="2"/>
      <c r="M50" s="2"/>
      <c r="N50" s="2"/>
      <c r="O50" s="2"/>
      <c r="P50" s="2"/>
      <c r="Q50" s="2"/>
      <c r="R50" s="93"/>
      <c r="S50" s="93"/>
      <c r="T50" s="93"/>
      <c r="U50" s="93"/>
      <c r="V50" s="93"/>
      <c r="W50" s="93"/>
      <c r="X50" s="93"/>
      <c r="Y50" s="93"/>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row>
    <row r="54" spans="1:263" x14ac:dyDescent="0.2">
      <c r="B54" s="4" t="s">
        <v>58</v>
      </c>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D05D-F4EF-4FAB-AFA3-9A6D9CD387C5}">
  <sheetPr>
    <tabColor rgb="FFFFFFCC"/>
  </sheetPr>
  <dimension ref="B2:J63"/>
  <sheetViews>
    <sheetView showGridLines="0" zoomScale="85" zoomScaleNormal="85" workbookViewId="0">
      <pane xSplit="6" ySplit="11" topLeftCell="G12" activePane="bottomRight" state="frozen"/>
      <selection activeCell="C53" activeCellId="1" sqref="A4 C53"/>
      <selection pane="topRight" activeCell="C53" activeCellId="1" sqref="A4 C53"/>
      <selection pane="bottomLeft" activeCell="C53" activeCellId="1" sqref="A4 C53"/>
      <selection pane="bottomRight"/>
    </sheetView>
  </sheetViews>
  <sheetFormatPr defaultRowHeight="12.75" x14ac:dyDescent="0.2"/>
  <cols>
    <col min="1" max="1" width="4.7109375" style="2" customWidth="1"/>
    <col min="2" max="2" width="63.5703125" style="2" customWidth="1"/>
    <col min="3" max="3" width="4.7109375" style="2" customWidth="1"/>
    <col min="4"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140625" style="2" customWidth="1"/>
    <col min="22" max="24" width="2.7109375" style="2" customWidth="1"/>
    <col min="25" max="39" width="13.7109375" style="2" customWidth="1"/>
    <col min="40" max="16384" width="9.140625" style="2"/>
  </cols>
  <sheetData>
    <row r="2" spans="2:10" s="12" customFormat="1" ht="18" x14ac:dyDescent="0.2">
      <c r="B2" s="12" t="s">
        <v>403</v>
      </c>
    </row>
    <row r="4" spans="2:10" x14ac:dyDescent="0.2">
      <c r="B4" s="18" t="s">
        <v>199</v>
      </c>
      <c r="C4" s="1"/>
      <c r="D4" s="1"/>
    </row>
    <row r="5" spans="2:10" x14ac:dyDescent="0.2">
      <c r="B5" s="2" t="s">
        <v>233</v>
      </c>
      <c r="H5" s="13"/>
    </row>
    <row r="6" spans="2:10" x14ac:dyDescent="0.2">
      <c r="B6" s="2" t="s">
        <v>234</v>
      </c>
      <c r="H6" s="13"/>
    </row>
    <row r="7" spans="2:10" x14ac:dyDescent="0.2">
      <c r="B7" s="2" t="s">
        <v>235</v>
      </c>
      <c r="H7" s="13"/>
    </row>
    <row r="8" spans="2:10" x14ac:dyDescent="0.2">
      <c r="H8" s="13"/>
    </row>
    <row r="10" spans="2:10" s="8" customFormat="1" x14ac:dyDescent="0.2">
      <c r="B10" s="8" t="s">
        <v>11</v>
      </c>
      <c r="F10" s="8" t="s">
        <v>36</v>
      </c>
      <c r="H10" s="8" t="s">
        <v>37</v>
      </c>
      <c r="J10" s="8" t="s">
        <v>76</v>
      </c>
    </row>
    <row r="13" spans="2:10" s="8" customFormat="1" x14ac:dyDescent="0.2">
      <c r="B13" s="8" t="s">
        <v>404</v>
      </c>
    </row>
    <row r="15" spans="2:10" x14ac:dyDescent="0.2">
      <c r="B15" s="18" t="s">
        <v>405</v>
      </c>
    </row>
    <row r="16" spans="2:10" x14ac:dyDescent="0.2">
      <c r="B16" s="34" t="s">
        <v>298</v>
      </c>
      <c r="F16" s="2" t="s">
        <v>300</v>
      </c>
      <c r="H16" s="26">
        <f>'Est. and realized costs 2022'!H19</f>
        <v>14223082.617278364</v>
      </c>
    </row>
    <row r="17" spans="2:10" x14ac:dyDescent="0.2">
      <c r="B17" s="34" t="s">
        <v>299</v>
      </c>
      <c r="F17" s="2" t="s">
        <v>300</v>
      </c>
      <c r="H17" s="26">
        <f>'Est. and realized costs 2022'!H20</f>
        <v>776845.05269909988</v>
      </c>
    </row>
    <row r="19" spans="2:10" x14ac:dyDescent="0.2">
      <c r="B19" s="2" t="s">
        <v>406</v>
      </c>
      <c r="F19" s="2" t="s">
        <v>79</v>
      </c>
      <c r="H19" s="26">
        <f>'Est. and realized costs 2022'!H23</f>
        <v>132100025</v>
      </c>
    </row>
    <row r="21" spans="2:10" x14ac:dyDescent="0.2">
      <c r="B21" s="1" t="s">
        <v>407</v>
      </c>
    </row>
    <row r="22" spans="2:10" x14ac:dyDescent="0.2">
      <c r="B22" s="2" t="s">
        <v>134</v>
      </c>
      <c r="F22" s="2" t="s">
        <v>300</v>
      </c>
      <c r="H22" s="26">
        <f>'Est. and realized costs 2022'!H32</f>
        <v>7711230</v>
      </c>
    </row>
    <row r="23" spans="2:10" x14ac:dyDescent="0.2">
      <c r="B23" s="2" t="s">
        <v>408</v>
      </c>
      <c r="F23" s="2" t="s">
        <v>300</v>
      </c>
      <c r="H23" s="26">
        <f>'Calculation RAB'!H287</f>
        <v>7135653.7599443002</v>
      </c>
    </row>
    <row r="25" spans="2:10" x14ac:dyDescent="0.2">
      <c r="B25" s="2" t="s">
        <v>409</v>
      </c>
      <c r="F25" s="2" t="s">
        <v>79</v>
      </c>
      <c r="H25" s="26">
        <f>'Production and fuel costs 2022'!J25</f>
        <v>136826480.99999997</v>
      </c>
      <c r="J25" s="13"/>
    </row>
    <row r="27" spans="2:10" x14ac:dyDescent="0.2">
      <c r="B27" s="2" t="s">
        <v>126</v>
      </c>
      <c r="F27" s="2" t="s">
        <v>88</v>
      </c>
      <c r="H27" s="82">
        <f>Parameters!H47</f>
        <v>0.5</v>
      </c>
    </row>
    <row r="30" spans="2:10" s="8" customFormat="1" x14ac:dyDescent="0.2">
      <c r="B30" s="8" t="s">
        <v>410</v>
      </c>
    </row>
    <row r="32" spans="2:10" x14ac:dyDescent="0.2">
      <c r="B32" s="1" t="s">
        <v>411</v>
      </c>
    </row>
    <row r="33" spans="2:10" x14ac:dyDescent="0.2">
      <c r="B33" s="31" t="s">
        <v>236</v>
      </c>
      <c r="F33" s="2" t="s">
        <v>300</v>
      </c>
      <c r="H33" s="26">
        <f>H17</f>
        <v>776845.05269909988</v>
      </c>
      <c r="J33" s="2" t="s">
        <v>237</v>
      </c>
    </row>
    <row r="34" spans="2:10" x14ac:dyDescent="0.2">
      <c r="B34" s="2" t="s">
        <v>412</v>
      </c>
      <c r="F34" s="2" t="s">
        <v>300</v>
      </c>
      <c r="H34" s="77">
        <f>H16-H33</f>
        <v>13446237.564579263</v>
      </c>
      <c r="J34" s="66"/>
    </row>
    <row r="35" spans="2:10" x14ac:dyDescent="0.2">
      <c r="B35" s="2" t="s">
        <v>238</v>
      </c>
      <c r="F35" s="2" t="s">
        <v>420</v>
      </c>
      <c r="H35" s="92">
        <f>H33/H19</f>
        <v>5.8807335782040913E-3</v>
      </c>
      <c r="J35" s="66" t="s">
        <v>239</v>
      </c>
    </row>
    <row r="37" spans="2:10" x14ac:dyDescent="0.2">
      <c r="B37" s="2" t="s">
        <v>413</v>
      </c>
      <c r="F37" s="2" t="s">
        <v>300</v>
      </c>
      <c r="H37" s="27">
        <f>H35*H25</f>
        <v>804640.08120420389</v>
      </c>
    </row>
    <row r="38" spans="2:10" x14ac:dyDescent="0.2">
      <c r="B38" s="2" t="s">
        <v>414</v>
      </c>
      <c r="F38" s="2" t="s">
        <v>300</v>
      </c>
      <c r="H38" s="27">
        <f>H34+H37</f>
        <v>14250877.645783467</v>
      </c>
      <c r="J38" s="2" t="s">
        <v>240</v>
      </c>
    </row>
    <row r="40" spans="2:10" x14ac:dyDescent="0.2">
      <c r="B40" s="1" t="s">
        <v>415</v>
      </c>
    </row>
    <row r="41" spans="2:10" x14ac:dyDescent="0.2">
      <c r="B41" s="2" t="s">
        <v>241</v>
      </c>
      <c r="F41" s="2" t="s">
        <v>300</v>
      </c>
      <c r="H41" s="77">
        <f>SUM(H22:H23)</f>
        <v>14846883.759944301</v>
      </c>
      <c r="J41" s="2" t="s">
        <v>242</v>
      </c>
    </row>
    <row r="44" spans="2:10" s="8" customFormat="1" x14ac:dyDescent="0.2">
      <c r="B44" s="8" t="s">
        <v>243</v>
      </c>
    </row>
    <row r="46" spans="2:10" x14ac:dyDescent="0.2">
      <c r="B46" s="1" t="s">
        <v>416</v>
      </c>
    </row>
    <row r="47" spans="2:10" x14ac:dyDescent="0.2">
      <c r="B47" s="2" t="s">
        <v>417</v>
      </c>
      <c r="F47" s="2" t="s">
        <v>300</v>
      </c>
      <c r="H47" s="77">
        <f>H34*(H25/H19)</f>
        <v>13927335.5069493</v>
      </c>
    </row>
    <row r="48" spans="2:10" x14ac:dyDescent="0.2">
      <c r="B48" s="2" t="s">
        <v>418</v>
      </c>
      <c r="F48" s="2" t="s">
        <v>300</v>
      </c>
      <c r="H48" s="20">
        <f>H34-H47</f>
        <v>-481097.94237003662</v>
      </c>
      <c r="J48" s="2" t="s">
        <v>421</v>
      </c>
    </row>
    <row r="49" spans="2:10" x14ac:dyDescent="0.2">
      <c r="J49" s="17"/>
    </row>
    <row r="51" spans="2:10" s="8" customFormat="1" x14ac:dyDescent="0.2">
      <c r="B51" s="8" t="s">
        <v>244</v>
      </c>
    </row>
    <row r="53" spans="2:10" x14ac:dyDescent="0.2">
      <c r="B53" s="1" t="s">
        <v>245</v>
      </c>
    </row>
    <row r="54" spans="2:10" x14ac:dyDescent="0.2">
      <c r="B54" s="2" t="s">
        <v>419</v>
      </c>
      <c r="F54" s="2" t="s">
        <v>300</v>
      </c>
      <c r="H54" s="27">
        <f>H38-H41</f>
        <v>-596006.11416083388</v>
      </c>
    </row>
    <row r="55" spans="2:10" x14ac:dyDescent="0.2">
      <c r="B55" s="2" t="s">
        <v>246</v>
      </c>
      <c r="F55" s="2" t="s">
        <v>300</v>
      </c>
      <c r="H55" s="20">
        <f>H54*-1*H27</f>
        <v>298003.05708041694</v>
      </c>
      <c r="J55" s="2" t="s">
        <v>422</v>
      </c>
    </row>
    <row r="63" spans="2:10" x14ac:dyDescent="0.2">
      <c r="B63" s="4" t="s">
        <v>58</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79CD2-E787-4B79-8C99-1FA3CFA70B5E}">
  <sheetPr>
    <tabColor rgb="FFFFFFCC"/>
  </sheetPr>
  <dimension ref="B2:AB94"/>
  <sheetViews>
    <sheetView showGridLines="0" zoomScale="85" zoomScaleNormal="85" workbookViewId="0">
      <pane xSplit="6" ySplit="10" topLeftCell="G11" activePane="bottomRight" state="frozen"/>
      <selection activeCell="C53" activeCellId="1" sqref="A4 C53"/>
      <selection pane="topRight" activeCell="C53" activeCellId="1" sqref="A4 C53"/>
      <selection pane="bottomLeft" activeCell="C53" activeCellId="1" sqref="A4 C53"/>
      <selection pane="bottomRight"/>
    </sheetView>
  </sheetViews>
  <sheetFormatPr defaultRowHeight="12.75" x14ac:dyDescent="0.2"/>
  <cols>
    <col min="1" max="1" width="4.7109375" style="2" customWidth="1"/>
    <col min="2" max="2" width="67.28515625" style="2" customWidth="1"/>
    <col min="3" max="3" width="4.7109375" style="2" customWidth="1"/>
    <col min="4" max="5" width="4.5703125" style="2" customWidth="1"/>
    <col min="6" max="6" width="18.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140625" style="2" customWidth="1"/>
    <col min="22" max="24" width="2.7109375" style="2" customWidth="1"/>
    <col min="25" max="39" width="13.7109375" style="2" customWidth="1"/>
    <col min="40" max="16384" width="9.140625" style="2"/>
  </cols>
  <sheetData>
    <row r="2" spans="2:10" s="12" customFormat="1" ht="18" x14ac:dyDescent="0.2">
      <c r="B2" s="12" t="s">
        <v>540</v>
      </c>
    </row>
    <row r="4" spans="2:10" x14ac:dyDescent="0.2">
      <c r="B4" s="18" t="s">
        <v>199</v>
      </c>
      <c r="C4" s="1"/>
      <c r="D4" s="1"/>
    </row>
    <row r="5" spans="2:10" x14ac:dyDescent="0.2">
      <c r="B5" s="2" t="s">
        <v>423</v>
      </c>
      <c r="H5" s="13"/>
    </row>
    <row r="6" spans="2:10" x14ac:dyDescent="0.2">
      <c r="B6" s="2" t="s">
        <v>247</v>
      </c>
      <c r="H6" s="13"/>
    </row>
    <row r="7" spans="2:10" x14ac:dyDescent="0.2">
      <c r="B7" s="19"/>
    </row>
    <row r="9" spans="2:10" s="8" customFormat="1" x14ac:dyDescent="0.2">
      <c r="B9" s="8" t="s">
        <v>11</v>
      </c>
      <c r="F9" s="8" t="s">
        <v>36</v>
      </c>
      <c r="H9" s="8" t="s">
        <v>37</v>
      </c>
      <c r="J9" s="8" t="s">
        <v>76</v>
      </c>
    </row>
    <row r="12" spans="2:10" s="8" customFormat="1" x14ac:dyDescent="0.2">
      <c r="B12" s="8" t="s">
        <v>248</v>
      </c>
    </row>
    <row r="14" spans="2:10" x14ac:dyDescent="0.2">
      <c r="B14" s="2" t="s">
        <v>117</v>
      </c>
      <c r="F14" s="2" t="s">
        <v>88</v>
      </c>
      <c r="H14" s="94">
        <f>Parameters!H28</f>
        <v>-1.7999999999999999E-2</v>
      </c>
    </row>
    <row r="15" spans="2:10" x14ac:dyDescent="0.2">
      <c r="B15" s="2" t="s">
        <v>118</v>
      </c>
      <c r="F15" s="2" t="s">
        <v>88</v>
      </c>
      <c r="H15" s="94">
        <f>Parameters!H29</f>
        <v>4.2999999999999997E-2</v>
      </c>
    </row>
    <row r="16" spans="2:10" x14ac:dyDescent="0.2">
      <c r="B16" s="2" t="s">
        <v>119</v>
      </c>
      <c r="F16" s="2" t="s">
        <v>88</v>
      </c>
      <c r="H16" s="94">
        <f>Parameters!H30</f>
        <v>8.7999999999999995E-2</v>
      </c>
    </row>
    <row r="17" spans="2:14" x14ac:dyDescent="0.2">
      <c r="B17" s="2" t="s">
        <v>290</v>
      </c>
      <c r="F17" s="2" t="s">
        <v>88</v>
      </c>
      <c r="H17" s="94">
        <f>Parameters!H31</f>
        <v>1.9E-2</v>
      </c>
    </row>
    <row r="19" spans="2:14" x14ac:dyDescent="0.2">
      <c r="B19" s="2" t="s">
        <v>445</v>
      </c>
      <c r="F19" s="2" t="s">
        <v>88</v>
      </c>
      <c r="H19" s="94">
        <f>Parameters!H36</f>
        <v>0.03</v>
      </c>
    </row>
    <row r="20" spans="2:14" x14ac:dyDescent="0.2">
      <c r="B20" s="2" t="s">
        <v>444</v>
      </c>
      <c r="F20" s="2" t="s">
        <v>249</v>
      </c>
      <c r="H20" s="95">
        <f>(1+$H$19)^2</f>
        <v>1.0609</v>
      </c>
    </row>
    <row r="23" spans="2:14" s="8" customFormat="1" x14ac:dyDescent="0.2">
      <c r="B23" s="8" t="s">
        <v>424</v>
      </c>
    </row>
    <row r="25" spans="2:14" x14ac:dyDescent="0.2">
      <c r="B25" s="1" t="s">
        <v>425</v>
      </c>
    </row>
    <row r="26" spans="2:14" x14ac:dyDescent="0.2">
      <c r="B26" s="2" t="s">
        <v>426</v>
      </c>
      <c r="F26" s="2" t="s">
        <v>300</v>
      </c>
      <c r="H26" s="26">
        <f>'Est. and realized costs 2022'!H32</f>
        <v>7711230</v>
      </c>
    </row>
    <row r="27" spans="2:14" x14ac:dyDescent="0.2">
      <c r="B27" s="2" t="s">
        <v>250</v>
      </c>
      <c r="F27" s="2" t="s">
        <v>300</v>
      </c>
      <c r="H27" s="26">
        <f>'Est. and realized costs 2022'!H35</f>
        <v>125980</v>
      </c>
    </row>
    <row r="28" spans="2:14" x14ac:dyDescent="0.2">
      <c r="B28" s="2" t="s">
        <v>251</v>
      </c>
      <c r="F28" s="2" t="s">
        <v>88</v>
      </c>
      <c r="H28" s="96">
        <f>'Est. production and costs 2024'!H74</f>
        <v>0.11</v>
      </c>
    </row>
    <row r="30" spans="2:14" x14ac:dyDescent="0.2">
      <c r="B30" s="2" t="s">
        <v>252</v>
      </c>
      <c r="F30" s="2" t="s">
        <v>187</v>
      </c>
      <c r="H30" s="26" t="str">
        <f>'Est. production and costs 2024'!H29</f>
        <v>confidential</v>
      </c>
      <c r="J30" s="2" t="s">
        <v>253</v>
      </c>
      <c r="N30" s="66"/>
    </row>
    <row r="31" spans="2:14" x14ac:dyDescent="0.2">
      <c r="B31" s="2" t="s">
        <v>254</v>
      </c>
      <c r="F31" s="2" t="s">
        <v>187</v>
      </c>
      <c r="H31" s="26" t="str">
        <f>'Est. production and costs 2024'!H38</f>
        <v>confidential</v>
      </c>
      <c r="J31" s="2" t="s">
        <v>253</v>
      </c>
    </row>
    <row r="32" spans="2:14" x14ac:dyDescent="0.2">
      <c r="B32" s="2" t="s">
        <v>438</v>
      </c>
      <c r="F32" s="2" t="s">
        <v>187</v>
      </c>
      <c r="H32" s="22">
        <v>526300</v>
      </c>
      <c r="J32" s="2" t="s">
        <v>255</v>
      </c>
    </row>
    <row r="34" spans="2:12" x14ac:dyDescent="0.2">
      <c r="B34" s="1" t="s">
        <v>427</v>
      </c>
    </row>
    <row r="35" spans="2:12" x14ac:dyDescent="0.2">
      <c r="B35" s="2" t="s">
        <v>256</v>
      </c>
      <c r="F35" s="2" t="s">
        <v>353</v>
      </c>
      <c r="H35" s="26">
        <f>'Calculation RAB'!H295</f>
        <v>4225581.4294410218</v>
      </c>
    </row>
    <row r="36" spans="2:12" x14ac:dyDescent="0.2">
      <c r="B36" s="2" t="s">
        <v>257</v>
      </c>
      <c r="F36" s="2" t="s">
        <v>353</v>
      </c>
      <c r="H36" s="26">
        <f>'Calculation RAB'!H300</f>
        <v>104510.23832341417</v>
      </c>
    </row>
    <row r="37" spans="2:12" x14ac:dyDescent="0.2">
      <c r="B37" s="2" t="s">
        <v>258</v>
      </c>
      <c r="F37" s="2" t="s">
        <v>353</v>
      </c>
      <c r="H37" s="26">
        <f>'Calculation RAB'!H305</f>
        <v>2425824.8544832305</v>
      </c>
    </row>
    <row r="38" spans="2:12" x14ac:dyDescent="0.2">
      <c r="B38" s="2" t="s">
        <v>259</v>
      </c>
      <c r="F38" s="2" t="s">
        <v>353</v>
      </c>
      <c r="H38" s="26">
        <f>'Calculation RAB'!H310</f>
        <v>1041764.9364445007</v>
      </c>
      <c r="L38" s="66"/>
    </row>
    <row r="39" spans="2:12" x14ac:dyDescent="0.2">
      <c r="B39" s="2" t="s">
        <v>481</v>
      </c>
      <c r="F39" s="2" t="s">
        <v>353</v>
      </c>
      <c r="H39" s="26">
        <f>'Calculation RAB'!H315</f>
        <v>488409.98280052276</v>
      </c>
    </row>
    <row r="41" spans="2:12" x14ac:dyDescent="0.2">
      <c r="B41" s="1"/>
    </row>
    <row r="42" spans="2:12" s="8" customFormat="1" x14ac:dyDescent="0.2">
      <c r="B42" s="8" t="s">
        <v>428</v>
      </c>
    </row>
    <row r="44" spans="2:12" x14ac:dyDescent="0.2">
      <c r="B44" s="1" t="s">
        <v>260</v>
      </c>
    </row>
    <row r="45" spans="2:12" x14ac:dyDescent="0.2">
      <c r="B45" s="2" t="s">
        <v>429</v>
      </c>
      <c r="F45" s="2" t="s">
        <v>79</v>
      </c>
      <c r="H45" s="26">
        <f>'Est. production and costs 2024'!H14</f>
        <v>102738899</v>
      </c>
    </row>
    <row r="46" spans="2:12" s="42" customFormat="1" x14ac:dyDescent="0.2">
      <c r="B46" s="2" t="s">
        <v>430</v>
      </c>
      <c r="F46" s="34" t="s">
        <v>79</v>
      </c>
      <c r="H46" s="26">
        <f>'Est. production and costs 2024'!H17</f>
        <v>45143787.243000001</v>
      </c>
      <c r="J46" s="2"/>
    </row>
    <row r="47" spans="2:12" s="42" customFormat="1" x14ac:dyDescent="0.2">
      <c r="B47" s="2" t="s">
        <v>431</v>
      </c>
      <c r="F47" s="34" t="s">
        <v>79</v>
      </c>
      <c r="H47" s="27">
        <f>H45+H46</f>
        <v>147882686.243</v>
      </c>
      <c r="J47" s="2"/>
    </row>
    <row r="49" spans="2:28" x14ac:dyDescent="0.2">
      <c r="B49" s="2" t="s">
        <v>261</v>
      </c>
      <c r="F49" s="2" t="s">
        <v>88</v>
      </c>
      <c r="H49" s="62">
        <f>H46/H47</f>
        <v>0.30526756302505881</v>
      </c>
    </row>
    <row r="51" spans="2:28" s="42" customFormat="1" x14ac:dyDescent="0.2">
      <c r="B51" s="40" t="s">
        <v>262</v>
      </c>
      <c r="J51" s="97"/>
      <c r="M51" s="98"/>
      <c r="AB51" s="74"/>
    </row>
    <row r="52" spans="2:28" s="42" customFormat="1" x14ac:dyDescent="0.2">
      <c r="B52" s="2" t="s">
        <v>263</v>
      </c>
      <c r="C52" s="2"/>
      <c r="D52" s="2"/>
      <c r="E52" s="2"/>
      <c r="F52" s="2" t="s">
        <v>97</v>
      </c>
      <c r="G52" s="2"/>
      <c r="H52" s="89">
        <f>'Fuel costs and income 2022'!H25</f>
        <v>0.27365698782011383</v>
      </c>
      <c r="J52" s="2"/>
      <c r="L52" s="98"/>
      <c r="M52" s="98"/>
      <c r="AB52" s="74"/>
    </row>
    <row r="53" spans="2:28" x14ac:dyDescent="0.2">
      <c r="B53" s="2" t="s">
        <v>349</v>
      </c>
      <c r="F53" s="2" t="s">
        <v>98</v>
      </c>
      <c r="H53" s="89">
        <f>'Est. production and costs 2024'!H20</f>
        <v>1.0392999999999999</v>
      </c>
    </row>
    <row r="56" spans="2:28" s="8" customFormat="1" x14ac:dyDescent="0.2">
      <c r="B56" s="8" t="s">
        <v>432</v>
      </c>
    </row>
    <row r="58" spans="2:28" x14ac:dyDescent="0.2">
      <c r="B58" s="1" t="s">
        <v>433</v>
      </c>
    </row>
    <row r="59" spans="2:28" x14ac:dyDescent="0.2">
      <c r="B59" s="2" t="s">
        <v>264</v>
      </c>
      <c r="F59" s="2" t="s">
        <v>353</v>
      </c>
      <c r="H59" s="27">
        <f>(H26-H27)*(1+H16)*(1+H17)</f>
        <v>8409554.2880000006</v>
      </c>
      <c r="J59" s="2" t="s">
        <v>436</v>
      </c>
    </row>
    <row r="60" spans="2:28" x14ac:dyDescent="0.2">
      <c r="B60" s="2" t="s">
        <v>437</v>
      </c>
      <c r="F60" s="2" t="s">
        <v>353</v>
      </c>
      <c r="H60" s="27">
        <f>H32*(1+H14)*(1+H15)*(1+H16)*(1+H17)</f>
        <v>597629.80102703348</v>
      </c>
    </row>
    <row r="61" spans="2:28" x14ac:dyDescent="0.2">
      <c r="B61" s="2" t="s">
        <v>95</v>
      </c>
      <c r="F61" s="2" t="s">
        <v>353</v>
      </c>
      <c r="H61" s="27">
        <f>SUM(H35:H39)</f>
        <v>8286091.4414926898</v>
      </c>
      <c r="J61" s="102"/>
      <c r="L61" s="66"/>
    </row>
    <row r="62" spans="2:28" x14ac:dyDescent="0.2">
      <c r="B62" s="2" t="s">
        <v>439</v>
      </c>
      <c r="F62" s="2" t="s">
        <v>353</v>
      </c>
      <c r="H62" s="20">
        <f>SUM(H59:H61)</f>
        <v>17293275.530519724</v>
      </c>
      <c r="J62" s="102"/>
      <c r="L62" s="66"/>
    </row>
    <row r="63" spans="2:28" x14ac:dyDescent="0.2">
      <c r="B63" s="1"/>
      <c r="H63" s="66"/>
    </row>
    <row r="64" spans="2:28" x14ac:dyDescent="0.2">
      <c r="B64" s="1" t="s">
        <v>447</v>
      </c>
    </row>
    <row r="65" spans="2:12" x14ac:dyDescent="0.2">
      <c r="B65" s="2" t="s">
        <v>448</v>
      </c>
      <c r="F65" s="2" t="s">
        <v>353</v>
      </c>
      <c r="H65" s="26">
        <f>H62</f>
        <v>17293275.530519724</v>
      </c>
      <c r="J65" s="102"/>
    </row>
    <row r="66" spans="2:12" x14ac:dyDescent="0.2">
      <c r="J66" s="102"/>
    </row>
    <row r="67" spans="2:12" x14ac:dyDescent="0.2">
      <c r="B67" s="4" t="s">
        <v>265</v>
      </c>
    </row>
    <row r="68" spans="2:12" x14ac:dyDescent="0.2">
      <c r="B68" s="2" t="s">
        <v>440</v>
      </c>
      <c r="F68" s="2" t="s">
        <v>300</v>
      </c>
      <c r="H68" s="26">
        <f>'Volume and PS corrections 2022'!H48</f>
        <v>-481097.94237003662</v>
      </c>
    </row>
    <row r="69" spans="2:12" x14ac:dyDescent="0.2">
      <c r="B69" s="2" t="s">
        <v>441</v>
      </c>
      <c r="F69" s="2" t="s">
        <v>300</v>
      </c>
      <c r="H69" s="26">
        <f>'Volume and PS corrections 2022'!H55</f>
        <v>298003.05708041694</v>
      </c>
    </row>
    <row r="70" spans="2:12" x14ac:dyDescent="0.2">
      <c r="B70" s="2" t="s">
        <v>442</v>
      </c>
      <c r="F70" s="2" t="s">
        <v>300</v>
      </c>
      <c r="H70" s="26">
        <f>'Fuel costs and income 2022'!H49</f>
        <v>3711001.1817998118</v>
      </c>
      <c r="J70" s="17"/>
    </row>
    <row r="71" spans="2:12" x14ac:dyDescent="0.2">
      <c r="B71" s="2" t="s">
        <v>443</v>
      </c>
      <c r="F71" s="2" t="s">
        <v>353</v>
      </c>
      <c r="H71" s="27">
        <f>SUM(H68:H70)*H20</f>
        <v>3742755.7899676627</v>
      </c>
      <c r="J71" s="2" t="s">
        <v>266</v>
      </c>
    </row>
    <row r="72" spans="2:12" x14ac:dyDescent="0.2">
      <c r="J72" s="17"/>
    </row>
    <row r="73" spans="2:12" x14ac:dyDescent="0.2">
      <c r="B73" s="4" t="s">
        <v>485</v>
      </c>
      <c r="J73" s="17"/>
    </row>
    <row r="74" spans="2:12" x14ac:dyDescent="0.2">
      <c r="B74" s="2" t="s">
        <v>486</v>
      </c>
      <c r="F74" s="2" t="s">
        <v>300</v>
      </c>
      <c r="H74" s="26">
        <f>'Est. production and costs 2024'!H77</f>
        <v>-172313.24768922944</v>
      </c>
      <c r="J74" s="17"/>
    </row>
    <row r="75" spans="2:12" x14ac:dyDescent="0.2">
      <c r="B75" s="2" t="s">
        <v>489</v>
      </c>
      <c r="F75" s="2" t="s">
        <v>353</v>
      </c>
      <c r="H75" s="27">
        <f>H74*H20</f>
        <v>-182807.1244735035</v>
      </c>
      <c r="J75" s="2" t="s">
        <v>266</v>
      </c>
    </row>
    <row r="76" spans="2:12" x14ac:dyDescent="0.2">
      <c r="J76" s="17"/>
    </row>
    <row r="77" spans="2:12" x14ac:dyDescent="0.2">
      <c r="B77" s="2" t="s">
        <v>446</v>
      </c>
      <c r="F77" s="2" t="s">
        <v>353</v>
      </c>
      <c r="H77" s="20">
        <f>H65+H71+H75</f>
        <v>20853224.196013883</v>
      </c>
      <c r="J77" s="102"/>
      <c r="L77" s="66"/>
    </row>
    <row r="78" spans="2:12" x14ac:dyDescent="0.2">
      <c r="B78" s="1"/>
      <c r="J78" s="102"/>
    </row>
    <row r="79" spans="2:12" x14ac:dyDescent="0.2">
      <c r="B79" s="1"/>
      <c r="H79" s="66"/>
    </row>
    <row r="80" spans="2:12" x14ac:dyDescent="0.2">
      <c r="B80" s="4" t="s">
        <v>267</v>
      </c>
    </row>
    <row r="81" spans="2:10" x14ac:dyDescent="0.2">
      <c r="B81" s="2" t="s">
        <v>449</v>
      </c>
      <c r="F81" s="2" t="s">
        <v>353</v>
      </c>
      <c r="H81" s="20">
        <f>H59*H28</f>
        <v>925050.97168000008</v>
      </c>
      <c r="J81" s="2" t="s">
        <v>450</v>
      </c>
    </row>
    <row r="82" spans="2:10" x14ac:dyDescent="0.2">
      <c r="B82" s="1"/>
    </row>
    <row r="83" spans="2:10" x14ac:dyDescent="0.2">
      <c r="B83" s="1"/>
    </row>
    <row r="84" spans="2:10" s="8" customFormat="1" x14ac:dyDescent="0.2">
      <c r="B84" s="8" t="s">
        <v>451</v>
      </c>
    </row>
    <row r="86" spans="2:10" x14ac:dyDescent="0.2">
      <c r="B86" s="1" t="s">
        <v>268</v>
      </c>
    </row>
    <row r="87" spans="2:10" x14ac:dyDescent="0.2">
      <c r="B87" s="2" t="s">
        <v>452</v>
      </c>
      <c r="F87" s="2" t="s">
        <v>288</v>
      </c>
      <c r="H87" s="99">
        <f>(1-H49)*H53*H52</f>
        <v>0.1975900386149986</v>
      </c>
    </row>
    <row r="94" spans="2:10" x14ac:dyDescent="0.2">
      <c r="B94" s="4" t="s">
        <v>58</v>
      </c>
    </row>
  </sheetData>
  <phoneticPr fontId="33"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H43"/>
  <sheetViews>
    <sheetView showGridLines="0" zoomScale="85" zoomScaleNormal="85" workbookViewId="0">
      <pane ySplit="3" topLeftCell="A4" activePane="bottomLeft" state="frozen"/>
      <selection activeCell="O39" sqref="O39"/>
      <selection pane="bottomLeft"/>
    </sheetView>
  </sheetViews>
  <sheetFormatPr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45</v>
      </c>
    </row>
    <row r="3" spans="2:8" x14ac:dyDescent="0.2">
      <c r="B3" s="28"/>
    </row>
    <row r="4" spans="2:8" x14ac:dyDescent="0.2">
      <c r="B4" s="28"/>
    </row>
    <row r="5" spans="2:8" s="8" customFormat="1" x14ac:dyDescent="0.2">
      <c r="B5" s="8" t="s">
        <v>46</v>
      </c>
    </row>
    <row r="7" spans="2:8" x14ac:dyDescent="0.2">
      <c r="B7" s="2" t="s">
        <v>273</v>
      </c>
    </row>
    <row r="8" spans="2:8" x14ac:dyDescent="0.2">
      <c r="B8" s="2" t="s">
        <v>274</v>
      </c>
      <c r="H8" s="21"/>
    </row>
    <row r="9" spans="2:8" x14ac:dyDescent="0.2">
      <c r="B9" s="2" t="s">
        <v>62</v>
      </c>
    </row>
    <row r="12" spans="2:8" s="8" customFormat="1" x14ac:dyDescent="0.2">
      <c r="B12" s="8" t="s">
        <v>47</v>
      </c>
    </row>
    <row r="14" spans="2:8" x14ac:dyDescent="0.2">
      <c r="B14" s="18" t="s">
        <v>10</v>
      </c>
      <c r="D14" s="18" t="s">
        <v>11</v>
      </c>
      <c r="F14" s="5"/>
    </row>
    <row r="16" spans="2:8" x14ac:dyDescent="0.2">
      <c r="B16" s="23">
        <v>123</v>
      </c>
      <c r="D16" s="2" t="s">
        <v>12</v>
      </c>
    </row>
    <row r="17" spans="2:6" x14ac:dyDescent="0.2">
      <c r="B17" s="26">
        <f>B16</f>
        <v>123</v>
      </c>
      <c r="D17" s="2" t="s">
        <v>48</v>
      </c>
    </row>
    <row r="18" spans="2:6" x14ac:dyDescent="0.2">
      <c r="B18" s="27">
        <f>B17+B16</f>
        <v>246</v>
      </c>
      <c r="D18" s="2" t="s">
        <v>13</v>
      </c>
    </row>
    <row r="19" spans="2:6" x14ac:dyDescent="0.2">
      <c r="B19" s="20">
        <f>B17+B18</f>
        <v>369</v>
      </c>
      <c r="D19" s="2" t="s">
        <v>49</v>
      </c>
      <c r="E19" s="5"/>
      <c r="F19" s="5"/>
    </row>
    <row r="20" spans="2:6" x14ac:dyDescent="0.2">
      <c r="B20" s="10"/>
      <c r="D20" s="2" t="s">
        <v>14</v>
      </c>
      <c r="E20" s="5"/>
    </row>
    <row r="22" spans="2:6" x14ac:dyDescent="0.2">
      <c r="B22" s="19" t="s">
        <v>25</v>
      </c>
    </row>
    <row r="23" spans="2:6" x14ac:dyDescent="0.2">
      <c r="B23" s="22">
        <f>B19+16</f>
        <v>385</v>
      </c>
      <c r="D23" s="2" t="s">
        <v>15</v>
      </c>
    </row>
    <row r="26" spans="2:6" x14ac:dyDescent="0.2">
      <c r="B26" s="18" t="s">
        <v>16</v>
      </c>
    </row>
    <row r="27" spans="2:6" x14ac:dyDescent="0.2">
      <c r="B27" s="1"/>
    </row>
    <row r="28" spans="2:6" x14ac:dyDescent="0.2">
      <c r="B28" s="19" t="s">
        <v>20</v>
      </c>
    </row>
    <row r="29" spans="2:6" x14ac:dyDescent="0.2">
      <c r="B29" s="20" t="s">
        <v>21</v>
      </c>
      <c r="D29" s="2" t="s">
        <v>17</v>
      </c>
    </row>
    <row r="30" spans="2:6" x14ac:dyDescent="0.2">
      <c r="B30" s="23" t="s">
        <v>0</v>
      </c>
      <c r="D30" s="2" t="s">
        <v>18</v>
      </c>
    </row>
    <row r="31" spans="2:6" x14ac:dyDescent="0.2">
      <c r="B31" s="27" t="s">
        <v>22</v>
      </c>
      <c r="D31" s="2" t="s">
        <v>19</v>
      </c>
    </row>
    <row r="32" spans="2:6" x14ac:dyDescent="0.2">
      <c r="D32" s="3"/>
    </row>
    <row r="33" spans="2:4" x14ac:dyDescent="0.2">
      <c r="B33" s="19" t="s">
        <v>23</v>
      </c>
      <c r="D33" s="3"/>
    </row>
    <row r="34" spans="2:4" x14ac:dyDescent="0.2">
      <c r="B34" s="14" t="s">
        <v>1</v>
      </c>
      <c r="D34" s="2" t="s">
        <v>50</v>
      </c>
    </row>
    <row r="35" spans="2:4" x14ac:dyDescent="0.2">
      <c r="B35" s="29" t="s">
        <v>24</v>
      </c>
      <c r="D35" s="2" t="s">
        <v>51</v>
      </c>
    </row>
    <row r="43" spans="2:4" x14ac:dyDescent="0.2">
      <c r="B43" s="4" t="s">
        <v>58</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I27"/>
  <sheetViews>
    <sheetView showGridLines="0" zoomScale="85" zoomScaleNormal="85" workbookViewId="0">
      <pane ySplit="3" topLeftCell="A4" activePane="bottomLeft" state="frozen"/>
      <selection activeCell="O39" sqref="O39"/>
      <selection pane="bottomLeft"/>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0.7109375" style="2" customWidth="1"/>
    <col min="7" max="7" width="34.140625" style="2" customWidth="1"/>
    <col min="8" max="8" width="11.85546875" style="2" customWidth="1"/>
    <col min="9" max="9" width="28.7109375" style="2" customWidth="1"/>
    <col min="10" max="10" width="18.42578125" style="2" customWidth="1"/>
    <col min="11" max="12" width="58.42578125" style="2" customWidth="1"/>
    <col min="13" max="16384" width="9.140625" style="2"/>
  </cols>
  <sheetData>
    <row r="2" spans="2:9" s="7" customFormat="1" ht="18" x14ac:dyDescent="0.2">
      <c r="B2" s="7" t="s">
        <v>26</v>
      </c>
    </row>
    <row r="5" spans="2:9" s="8" customFormat="1" x14ac:dyDescent="0.2">
      <c r="B5" s="8" t="s">
        <v>27</v>
      </c>
    </row>
    <row r="7" spans="2:9" x14ac:dyDescent="0.2">
      <c r="B7" s="4" t="s">
        <v>53</v>
      </c>
    </row>
    <row r="8" spans="2:9" x14ac:dyDescent="0.2">
      <c r="B8" s="4" t="s">
        <v>28</v>
      </c>
    </row>
    <row r="10" spans="2:9" x14ac:dyDescent="0.2">
      <c r="B10" s="30" t="s">
        <v>29</v>
      </c>
      <c r="C10" s="30" t="s">
        <v>30</v>
      </c>
      <c r="D10" s="30" t="s">
        <v>31</v>
      </c>
      <c r="E10" s="30" t="s">
        <v>61</v>
      </c>
      <c r="F10" s="30" t="s">
        <v>52</v>
      </c>
      <c r="G10" s="30" t="s">
        <v>6</v>
      </c>
      <c r="I10" s="17"/>
    </row>
    <row r="11" spans="2:9" x14ac:dyDescent="0.2">
      <c r="B11" s="11"/>
      <c r="C11" s="15" t="s">
        <v>32</v>
      </c>
      <c r="D11" s="15" t="s">
        <v>33</v>
      </c>
      <c r="E11" s="15" t="s">
        <v>43</v>
      </c>
      <c r="F11" s="15" t="s">
        <v>34</v>
      </c>
      <c r="G11" s="15"/>
    </row>
    <row r="12" spans="2:9" x14ac:dyDescent="0.2">
      <c r="B12" s="6">
        <v>1</v>
      </c>
      <c r="C12" s="6" t="s">
        <v>63</v>
      </c>
      <c r="D12" s="6"/>
      <c r="E12" s="6"/>
      <c r="F12" s="33" t="s">
        <v>64</v>
      </c>
      <c r="G12" s="6"/>
    </row>
    <row r="13" spans="2:9" x14ac:dyDescent="0.2">
      <c r="B13" s="6">
        <v>2</v>
      </c>
      <c r="C13" s="6" t="s">
        <v>65</v>
      </c>
      <c r="D13" s="6"/>
      <c r="E13" s="6"/>
      <c r="F13" s="33" t="s">
        <v>66</v>
      </c>
      <c r="G13" s="6"/>
    </row>
    <row r="14" spans="2:9" x14ac:dyDescent="0.2">
      <c r="B14" s="6">
        <v>3</v>
      </c>
      <c r="C14" s="6" t="s">
        <v>67</v>
      </c>
      <c r="D14" s="6"/>
      <c r="E14" s="6"/>
      <c r="F14" s="33" t="s">
        <v>68</v>
      </c>
      <c r="G14" s="6"/>
    </row>
    <row r="15" spans="2:9" x14ac:dyDescent="0.2">
      <c r="B15" s="6">
        <v>4</v>
      </c>
      <c r="C15" s="6" t="s">
        <v>69</v>
      </c>
      <c r="D15" s="6"/>
      <c r="E15" s="6" t="s">
        <v>70</v>
      </c>
      <c r="F15" s="33" t="s">
        <v>71</v>
      </c>
      <c r="G15" s="6"/>
    </row>
    <row r="16" spans="2:9" x14ac:dyDescent="0.2">
      <c r="B16" s="6">
        <v>5</v>
      </c>
      <c r="C16" s="6" t="s">
        <v>72</v>
      </c>
      <c r="D16" s="6"/>
      <c r="E16" s="6" t="s">
        <v>73</v>
      </c>
      <c r="F16" s="33" t="s">
        <v>74</v>
      </c>
      <c r="G16" s="6"/>
    </row>
    <row r="17" spans="2:7" x14ac:dyDescent="0.2">
      <c r="B17" s="6">
        <v>6</v>
      </c>
      <c r="C17" s="6" t="s">
        <v>305</v>
      </c>
      <c r="D17" s="6"/>
      <c r="E17" s="6" t="s">
        <v>73</v>
      </c>
      <c r="F17" s="25" t="s">
        <v>306</v>
      </c>
      <c r="G17" s="6"/>
    </row>
    <row r="18" spans="2:7" x14ac:dyDescent="0.2">
      <c r="B18" s="6">
        <v>7</v>
      </c>
      <c r="C18" s="6" t="s">
        <v>341</v>
      </c>
      <c r="D18" s="6"/>
      <c r="E18" s="6" t="s">
        <v>269</v>
      </c>
      <c r="F18" s="6" t="s">
        <v>312</v>
      </c>
      <c r="G18" s="6"/>
    </row>
    <row r="19" spans="2:7" x14ac:dyDescent="0.2">
      <c r="B19" s="6">
        <v>8</v>
      </c>
      <c r="C19" s="6" t="s">
        <v>309</v>
      </c>
      <c r="D19" s="6"/>
      <c r="E19" s="6" t="s">
        <v>269</v>
      </c>
      <c r="F19" s="6" t="s">
        <v>311</v>
      </c>
      <c r="G19" s="6"/>
    </row>
    <row r="20" spans="2:7" x14ac:dyDescent="0.2">
      <c r="B20" s="6">
        <v>9</v>
      </c>
      <c r="C20" s="6" t="s">
        <v>453</v>
      </c>
      <c r="D20" s="6"/>
      <c r="E20" s="6" t="s">
        <v>269</v>
      </c>
      <c r="F20" s="6" t="s">
        <v>310</v>
      </c>
      <c r="G20" s="6"/>
    </row>
    <row r="21" spans="2:7" x14ac:dyDescent="0.2">
      <c r="B21" s="6">
        <v>10</v>
      </c>
      <c r="C21" s="6" t="s">
        <v>533</v>
      </c>
      <c r="D21" s="6"/>
      <c r="E21" s="6" t="s">
        <v>269</v>
      </c>
      <c r="F21" s="6" t="s">
        <v>467</v>
      </c>
      <c r="G21" s="6"/>
    </row>
    <row r="22" spans="2:7" x14ac:dyDescent="0.2">
      <c r="B22" s="6">
        <v>11</v>
      </c>
      <c r="C22" s="6" t="s">
        <v>487</v>
      </c>
      <c r="D22" s="6"/>
      <c r="E22" s="6" t="s">
        <v>269</v>
      </c>
      <c r="F22" s="6" t="s">
        <v>488</v>
      </c>
      <c r="G22" s="6"/>
    </row>
    <row r="23" spans="2:7" x14ac:dyDescent="0.2">
      <c r="B23" s="6">
        <v>12</v>
      </c>
      <c r="C23" s="6" t="s">
        <v>492</v>
      </c>
      <c r="D23" s="6"/>
      <c r="E23" s="6" t="s">
        <v>269</v>
      </c>
      <c r="F23" s="6" t="s">
        <v>493</v>
      </c>
      <c r="G23" s="6"/>
    </row>
    <row r="26" spans="2:7" x14ac:dyDescent="0.2">
      <c r="B26" s="19"/>
    </row>
    <row r="27" spans="2:7" x14ac:dyDescent="0.2">
      <c r="B27" s="4" t="s">
        <v>58</v>
      </c>
    </row>
  </sheetData>
  <phoneticPr fontId="33" type="noConversion"/>
  <hyperlinks>
    <hyperlink ref="F12" r:id="rId1" location="/CBS/nl/dataset/84046NED/table?ts=1571909504894" xr:uid="{8C176848-1987-400D-BEA6-2A8B79D081AE}"/>
    <hyperlink ref="F13" r:id="rId2" xr:uid="{ED95FDDB-F0C0-455B-A29C-1AE126987C29}"/>
    <hyperlink ref="F15" r:id="rId3" xr:uid="{845DBA17-9CD3-43D7-A54F-FEBA8338CD00}"/>
    <hyperlink ref="F16" r:id="rId4" xr:uid="{8A24756C-1BA6-4795-B3CF-7C3BF33C2846}"/>
    <hyperlink ref="F14" r:id="rId5" xr:uid="{47EF4CB5-3A8A-44AA-83EA-B494D329E451}"/>
    <hyperlink ref="F17" r:id="rId6" display="https://www.acm.nl/nl/publicaties/beschikking-productieprijs-elektriciteit-2022-bonaire-contourglobal-caribisch-nederland" xr:uid="{8B0CE09B-2358-4841-A20C-5C7B1B236941}"/>
  </hyperlinks>
  <pageMargins left="0.75" right="0.75" top="1" bottom="1" header="0.5" footer="0.5"/>
  <pageSetup paperSize="9"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9EB33-9CAE-47A0-BE26-34FBA0DE6824}">
  <sheetPr>
    <tabColor rgb="FFCCFFFF"/>
  </sheetPr>
  <dimension ref="B2:R32"/>
  <sheetViews>
    <sheetView showGridLines="0" tabSelected="1" zoomScale="85" zoomScaleNormal="85" workbookViewId="0">
      <pane xSplit="6" ySplit="10" topLeftCell="G11" activePane="bottomRight" state="frozen"/>
      <selection pane="topRight"/>
      <selection pane="bottomLeft"/>
      <selection pane="bottomRight"/>
    </sheetView>
  </sheetViews>
  <sheetFormatPr defaultRowHeight="12.75" x14ac:dyDescent="0.2"/>
  <cols>
    <col min="1" max="1" width="4.7109375" style="2" customWidth="1"/>
    <col min="2" max="2" width="57.140625" style="2" customWidth="1"/>
    <col min="3" max="5" width="4.7109375" style="2" customWidth="1"/>
    <col min="6" max="6" width="21.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1.7109375" style="2" customWidth="1"/>
    <col min="22" max="24" width="2.7109375" style="2" customWidth="1"/>
    <col min="25" max="39" width="13.7109375" style="2" customWidth="1"/>
    <col min="40" max="16384" width="9.140625" style="2"/>
  </cols>
  <sheetData>
    <row r="2" spans="2:10" s="12" customFormat="1" ht="18" x14ac:dyDescent="0.2">
      <c r="B2" s="12" t="s">
        <v>275</v>
      </c>
    </row>
    <row r="4" spans="2:10" x14ac:dyDescent="0.2">
      <c r="B4" s="1" t="s">
        <v>75</v>
      </c>
      <c r="C4" s="1"/>
      <c r="D4" s="1"/>
    </row>
    <row r="5" spans="2:10" x14ac:dyDescent="0.2">
      <c r="B5" s="2" t="s">
        <v>276</v>
      </c>
      <c r="H5" s="13"/>
    </row>
    <row r="6" spans="2:10" x14ac:dyDescent="0.2">
      <c r="B6" s="2" t="s">
        <v>277</v>
      </c>
      <c r="H6" s="13"/>
    </row>
    <row r="7" spans="2:10" x14ac:dyDescent="0.2">
      <c r="B7" s="4"/>
    </row>
    <row r="9" spans="2:10" s="8" customFormat="1" x14ac:dyDescent="0.2">
      <c r="B9" s="8" t="s">
        <v>11</v>
      </c>
      <c r="F9" s="8" t="s">
        <v>36</v>
      </c>
      <c r="H9" s="8" t="s">
        <v>37</v>
      </c>
      <c r="J9" s="8" t="s">
        <v>76</v>
      </c>
    </row>
    <row r="12" spans="2:10" s="8" customFormat="1" x14ac:dyDescent="0.2">
      <c r="B12" s="8" t="s">
        <v>278</v>
      </c>
    </row>
    <row r="14" spans="2:10" x14ac:dyDescent="0.2">
      <c r="B14" s="1" t="s">
        <v>77</v>
      </c>
    </row>
    <row r="15" spans="2:10" x14ac:dyDescent="0.2">
      <c r="B15" s="2" t="s">
        <v>279</v>
      </c>
      <c r="F15" s="34" t="s">
        <v>280</v>
      </c>
      <c r="H15" s="35">
        <f>'Total income 2024'!H77</f>
        <v>20853224.196013883</v>
      </c>
    </row>
    <row r="16" spans="2:10" x14ac:dyDescent="0.2">
      <c r="B16" s="2" t="s">
        <v>78</v>
      </c>
      <c r="F16" s="2" t="s">
        <v>79</v>
      </c>
      <c r="H16" s="35">
        <f>'Total income 2024'!H47</f>
        <v>147882686.243</v>
      </c>
    </row>
    <row r="17" spans="2:18" x14ac:dyDescent="0.2">
      <c r="B17" s="2" t="s">
        <v>281</v>
      </c>
      <c r="F17" s="2" t="s">
        <v>288</v>
      </c>
      <c r="H17" s="36">
        <f>H15/H16</f>
        <v>0.14101193808278531</v>
      </c>
    </row>
    <row r="18" spans="2:18" x14ac:dyDescent="0.2">
      <c r="B18" s="2" t="s">
        <v>282</v>
      </c>
      <c r="F18" s="2" t="s">
        <v>288</v>
      </c>
      <c r="H18" s="37">
        <f>ROUND(H17,5)</f>
        <v>0.14101</v>
      </c>
      <c r="J18" s="2" t="s">
        <v>80</v>
      </c>
      <c r="O18" s="104"/>
    </row>
    <row r="19" spans="2:18" x14ac:dyDescent="0.2">
      <c r="H19" s="38"/>
    </row>
    <row r="20" spans="2:18" x14ac:dyDescent="0.2">
      <c r="B20" s="2" t="s">
        <v>283</v>
      </c>
      <c r="F20" s="2" t="s">
        <v>288</v>
      </c>
      <c r="H20" s="37">
        <f>'Total income 2024'!H87</f>
        <v>0.1975900386149986</v>
      </c>
      <c r="J20" s="2" t="s">
        <v>81</v>
      </c>
      <c r="M20" s="104"/>
      <c r="N20" s="24"/>
    </row>
    <row r="21" spans="2:18" x14ac:dyDescent="0.2">
      <c r="M21" s="104"/>
      <c r="N21" s="24"/>
    </row>
    <row r="22" spans="2:18" x14ac:dyDescent="0.2">
      <c r="B22" s="2" t="s">
        <v>284</v>
      </c>
      <c r="F22" s="2" t="s">
        <v>288</v>
      </c>
      <c r="H22" s="36">
        <f>H18+H20</f>
        <v>0.3386000386149986</v>
      </c>
      <c r="M22" s="104"/>
      <c r="N22" s="24"/>
    </row>
    <row r="23" spans="2:18" x14ac:dyDescent="0.2">
      <c r="B23" s="2" t="s">
        <v>285</v>
      </c>
      <c r="F23" s="2" t="s">
        <v>288</v>
      </c>
      <c r="H23" s="37">
        <f>ROUND(H22,5)</f>
        <v>0.33860000000000001</v>
      </c>
      <c r="J23" s="2" t="s">
        <v>82</v>
      </c>
      <c r="M23" s="104"/>
      <c r="O23" s="104"/>
      <c r="P23" s="24"/>
      <c r="Q23" s="104"/>
      <c r="R23" s="104"/>
    </row>
    <row r="24" spans="2:18" x14ac:dyDescent="0.2">
      <c r="H24" s="39"/>
    </row>
    <row r="26" spans="2:18" x14ac:dyDescent="0.2">
      <c r="B26" s="1" t="s">
        <v>83</v>
      </c>
    </row>
    <row r="27" spans="2:18" x14ac:dyDescent="0.2">
      <c r="B27" s="2" t="s">
        <v>286</v>
      </c>
      <c r="F27" s="34" t="s">
        <v>280</v>
      </c>
      <c r="H27" s="26">
        <f>'Total income 2024'!H62</f>
        <v>17293275.530519724</v>
      </c>
      <c r="J27" s="2" t="s">
        <v>289</v>
      </c>
    </row>
    <row r="28" spans="2:18" x14ac:dyDescent="0.2">
      <c r="B28" s="2" t="s">
        <v>287</v>
      </c>
      <c r="F28" s="34" t="s">
        <v>280</v>
      </c>
      <c r="H28" s="20">
        <f>'Total income 2024'!H81</f>
        <v>925050.97168000008</v>
      </c>
      <c r="J28" s="2" t="s">
        <v>289</v>
      </c>
    </row>
    <row r="31" spans="2:18" x14ac:dyDescent="0.2">
      <c r="B31" s="5"/>
    </row>
    <row r="32" spans="2:18" x14ac:dyDescent="0.2">
      <c r="B32" s="4" t="s">
        <v>58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3C23-067A-4034-AE2B-AE7EA9DE5862}">
  <sheetPr>
    <tabColor rgb="FFCCFFFF"/>
  </sheetPr>
  <dimension ref="A1:G75"/>
  <sheetViews>
    <sheetView showGridLines="0" topLeftCell="A9" zoomScale="85" zoomScaleNormal="85" workbookViewId="0"/>
  </sheetViews>
  <sheetFormatPr defaultRowHeight="12.75" x14ac:dyDescent="0.2"/>
  <cols>
    <col min="1" max="1" width="4.7109375" style="2" customWidth="1"/>
    <col min="2" max="2" width="3.7109375" style="2" customWidth="1"/>
    <col min="3" max="3" width="60" style="2" customWidth="1"/>
    <col min="4" max="4" width="26" style="2" customWidth="1"/>
    <col min="5" max="5" width="15.140625" style="2" customWidth="1"/>
    <col min="6" max="6" width="3.42578125" style="2" customWidth="1"/>
    <col min="7" max="7" width="68.28515625" style="2" customWidth="1"/>
    <col min="8" max="13" width="11.7109375" style="2" customWidth="1"/>
    <col min="14" max="16" width="2.7109375" style="2" customWidth="1"/>
    <col min="17" max="31" width="13.7109375" style="2" customWidth="1"/>
    <col min="32" max="16384" width="9.140625" style="2"/>
  </cols>
  <sheetData>
    <row r="1" spans="1:6" x14ac:dyDescent="0.2">
      <c r="A1" s="106"/>
    </row>
    <row r="2" spans="1:6" s="12" customFormat="1" ht="18" x14ac:dyDescent="0.2">
      <c r="C2" s="7" t="s">
        <v>84</v>
      </c>
    </row>
    <row r="3" spans="1:6" x14ac:dyDescent="0.2">
      <c r="C3" s="34"/>
    </row>
    <row r="4" spans="1:6" x14ac:dyDescent="0.2">
      <c r="B4" s="1"/>
      <c r="C4" s="18" t="s">
        <v>11</v>
      </c>
      <c r="D4" s="1"/>
    </row>
    <row r="5" spans="1:6" x14ac:dyDescent="0.2">
      <c r="C5" s="2" t="s">
        <v>499</v>
      </c>
    </row>
    <row r="7" spans="1:6" x14ac:dyDescent="0.2">
      <c r="B7" s="4"/>
    </row>
    <row r="9" spans="1:6" s="8" customFormat="1" x14ac:dyDescent="0.2">
      <c r="C9" s="8" t="s">
        <v>85</v>
      </c>
      <c r="D9" s="8" t="s">
        <v>36</v>
      </c>
      <c r="E9" s="8" t="s">
        <v>37</v>
      </c>
    </row>
    <row r="11" spans="1:6" x14ac:dyDescent="0.2">
      <c r="C11" s="40" t="s">
        <v>500</v>
      </c>
      <c r="D11" s="2" t="s">
        <v>280</v>
      </c>
      <c r="E11" s="41">
        <f>'Production price 2024'!H18</f>
        <v>0.14101</v>
      </c>
    </row>
    <row r="12" spans="1:6" x14ac:dyDescent="0.2">
      <c r="C12" s="40"/>
    </row>
    <row r="13" spans="1:6" s="42" customFormat="1" ht="13.5" thickBot="1" x14ac:dyDescent="0.25">
      <c r="C13" s="40"/>
    </row>
    <row r="14" spans="1:6" s="42" customFormat="1" x14ac:dyDescent="0.2">
      <c r="B14" s="43"/>
      <c r="C14" s="44"/>
      <c r="D14" s="44"/>
      <c r="E14" s="44"/>
      <c r="F14" s="45"/>
    </row>
    <row r="15" spans="1:6" s="8" customFormat="1" x14ac:dyDescent="0.2">
      <c r="B15" s="46"/>
      <c r="C15" s="8" t="s">
        <v>501</v>
      </c>
      <c r="F15" s="47"/>
    </row>
    <row r="16" spans="1:6" s="42" customFormat="1" x14ac:dyDescent="0.2">
      <c r="B16" s="48"/>
      <c r="F16" s="49"/>
    </row>
    <row r="17" spans="2:6" s="42" customFormat="1" x14ac:dyDescent="0.2">
      <c r="B17" s="48"/>
      <c r="C17" s="50" t="s">
        <v>86</v>
      </c>
      <c r="F17" s="49"/>
    </row>
    <row r="18" spans="2:6" s="42" customFormat="1" x14ac:dyDescent="0.2">
      <c r="B18" s="48"/>
      <c r="C18" s="50"/>
      <c r="F18" s="49"/>
    </row>
    <row r="19" spans="2:6" s="42" customFormat="1" x14ac:dyDescent="0.2">
      <c r="B19" s="48"/>
      <c r="F19" s="49"/>
    </row>
    <row r="20" spans="2:6" s="42" customFormat="1" x14ac:dyDescent="0.2">
      <c r="B20" s="48"/>
      <c r="C20" s="40" t="s">
        <v>87</v>
      </c>
      <c r="F20" s="49"/>
    </row>
    <row r="21" spans="2:6" s="42" customFormat="1" x14ac:dyDescent="0.2">
      <c r="B21" s="48"/>
      <c r="C21" s="2" t="s">
        <v>291</v>
      </c>
      <c r="D21" s="42" t="s">
        <v>88</v>
      </c>
      <c r="E21" s="51">
        <f>Parameters!H41</f>
        <v>6.08E-2</v>
      </c>
      <c r="F21" s="49"/>
    </row>
    <row r="22" spans="2:6" s="42" customFormat="1" x14ac:dyDescent="0.2">
      <c r="B22" s="48"/>
      <c r="C22" s="2" t="s">
        <v>292</v>
      </c>
      <c r="D22" s="42" t="s">
        <v>88</v>
      </c>
      <c r="E22" s="51">
        <f>Parameters!H42</f>
        <v>6.4600000000000005E-2</v>
      </c>
      <c r="F22" s="49"/>
    </row>
    <row r="23" spans="2:6" s="42" customFormat="1" x14ac:dyDescent="0.2">
      <c r="B23" s="48"/>
      <c r="C23" s="2" t="s">
        <v>534</v>
      </c>
      <c r="D23" s="42" t="s">
        <v>88</v>
      </c>
      <c r="E23" s="51">
        <f>Parameters!H28</f>
        <v>-1.7999999999999999E-2</v>
      </c>
      <c r="F23" s="49"/>
    </row>
    <row r="24" spans="2:6" s="42" customFormat="1" x14ac:dyDescent="0.2">
      <c r="B24" s="48"/>
      <c r="C24" s="2" t="s">
        <v>89</v>
      </c>
      <c r="D24" s="42" t="s">
        <v>88</v>
      </c>
      <c r="E24" s="51">
        <f>Parameters!H29</f>
        <v>4.2999999999999997E-2</v>
      </c>
      <c r="F24" s="49"/>
    </row>
    <row r="25" spans="2:6" s="42" customFormat="1" x14ac:dyDescent="0.2">
      <c r="B25" s="48"/>
      <c r="C25" s="2" t="s">
        <v>90</v>
      </c>
      <c r="D25" s="42" t="s">
        <v>88</v>
      </c>
      <c r="E25" s="51">
        <f>Parameters!H30</f>
        <v>8.7999999999999995E-2</v>
      </c>
      <c r="F25" s="49"/>
    </row>
    <row r="26" spans="2:6" s="42" customFormat="1" x14ac:dyDescent="0.2">
      <c r="B26" s="48"/>
      <c r="C26" s="2" t="s">
        <v>502</v>
      </c>
      <c r="D26" s="42" t="s">
        <v>88</v>
      </c>
      <c r="E26" s="51">
        <f>Parameters!H31</f>
        <v>1.9E-2</v>
      </c>
      <c r="F26" s="49"/>
    </row>
    <row r="27" spans="2:6" s="42" customFormat="1" x14ac:dyDescent="0.2">
      <c r="B27" s="48"/>
      <c r="C27" s="2" t="s">
        <v>503</v>
      </c>
      <c r="D27" s="42" t="s">
        <v>88</v>
      </c>
      <c r="E27" s="51">
        <f>Parameters!H36</f>
        <v>0.03</v>
      </c>
      <c r="F27" s="49"/>
    </row>
    <row r="28" spans="2:6" s="42" customFormat="1" x14ac:dyDescent="0.2">
      <c r="B28" s="48"/>
      <c r="C28" s="42" t="s">
        <v>91</v>
      </c>
      <c r="D28" s="42" t="s">
        <v>88</v>
      </c>
      <c r="E28" s="51">
        <f>Parameters!H47</f>
        <v>0.5</v>
      </c>
      <c r="F28" s="49"/>
    </row>
    <row r="29" spans="2:6" s="42" customFormat="1" x14ac:dyDescent="0.2">
      <c r="B29" s="48"/>
      <c r="F29" s="49"/>
    </row>
    <row r="30" spans="2:6" s="42" customFormat="1" x14ac:dyDescent="0.2">
      <c r="B30" s="48"/>
      <c r="C30" s="40" t="s">
        <v>504</v>
      </c>
      <c r="F30" s="49"/>
    </row>
    <row r="31" spans="2:6" s="42" customFormat="1" x14ac:dyDescent="0.2">
      <c r="B31" s="48"/>
      <c r="C31" s="2" t="s">
        <v>505</v>
      </c>
      <c r="D31" s="2" t="s">
        <v>92</v>
      </c>
      <c r="E31" s="52">
        <f>SUM('Calculation RAB'!H293,'Calculation RAB'!H298,'Calculation RAB'!H303)</f>
        <v>36960881.307903379</v>
      </c>
      <c r="F31" s="53"/>
    </row>
    <row r="32" spans="2:6" s="42" customFormat="1" x14ac:dyDescent="0.2">
      <c r="B32" s="48"/>
      <c r="C32" s="2" t="s">
        <v>506</v>
      </c>
      <c r="D32" s="2" t="s">
        <v>92</v>
      </c>
      <c r="E32" s="52">
        <f>SUM('Calculation RAB'!H294,'Calculation RAB'!H299,'Calculation RAB'!H304)</f>
        <v>4368243.5897571081</v>
      </c>
      <c r="F32" s="53"/>
    </row>
    <row r="33" spans="2:7" s="42" customFormat="1" x14ac:dyDescent="0.2">
      <c r="B33" s="48"/>
      <c r="C33" s="2" t="s">
        <v>507</v>
      </c>
      <c r="D33" s="2" t="s">
        <v>508</v>
      </c>
      <c r="E33" s="52">
        <f>'Total income 2024'!H26</f>
        <v>7711230</v>
      </c>
      <c r="F33" s="53"/>
    </row>
    <row r="34" spans="2:7" s="42" customFormat="1" x14ac:dyDescent="0.2">
      <c r="B34" s="48"/>
      <c r="C34" s="18"/>
      <c r="D34" s="2"/>
      <c r="E34" s="2"/>
      <c r="F34" s="53"/>
    </row>
    <row r="35" spans="2:7" s="42" customFormat="1" x14ac:dyDescent="0.2">
      <c r="B35" s="48"/>
      <c r="C35" s="1" t="s">
        <v>509</v>
      </c>
      <c r="D35" s="2"/>
      <c r="E35" s="2"/>
      <c r="F35" s="53"/>
      <c r="G35" s="2"/>
    </row>
    <row r="36" spans="2:7" s="42" customFormat="1" x14ac:dyDescent="0.2">
      <c r="B36" s="48"/>
      <c r="C36" s="2" t="s">
        <v>93</v>
      </c>
      <c r="D36" s="2" t="s">
        <v>280</v>
      </c>
      <c r="E36" s="52">
        <f>'Total income 2024'!H59</f>
        <v>8409554.2880000006</v>
      </c>
      <c r="F36" s="53"/>
    </row>
    <row r="37" spans="2:7" s="42" customFormat="1" x14ac:dyDescent="0.2">
      <c r="B37" s="48"/>
      <c r="C37" s="2" t="s">
        <v>94</v>
      </c>
      <c r="D37" s="2" t="s">
        <v>280</v>
      </c>
      <c r="E37" s="52">
        <f>'Total income 2024'!H60</f>
        <v>597629.80102703348</v>
      </c>
      <c r="F37" s="53"/>
    </row>
    <row r="38" spans="2:7" s="42" customFormat="1" x14ac:dyDescent="0.2">
      <c r="B38" s="48"/>
      <c r="C38" s="2" t="s">
        <v>510</v>
      </c>
      <c r="D38" s="2" t="s">
        <v>280</v>
      </c>
      <c r="E38" s="115" t="s">
        <v>546</v>
      </c>
      <c r="F38" s="53"/>
    </row>
    <row r="39" spans="2:7" s="42" customFormat="1" x14ac:dyDescent="0.2">
      <c r="B39" s="48"/>
      <c r="C39" s="2" t="s">
        <v>511</v>
      </c>
      <c r="D39" s="2" t="s">
        <v>92</v>
      </c>
      <c r="E39" s="52">
        <f>'Calculation RAB'!H308</f>
        <v>8739240.6518756561</v>
      </c>
      <c r="F39" s="53"/>
    </row>
    <row r="40" spans="2:7" s="42" customFormat="1" x14ac:dyDescent="0.2">
      <c r="B40" s="48"/>
      <c r="C40" s="2" t="s">
        <v>512</v>
      </c>
      <c r="D40" s="2" t="s">
        <v>92</v>
      </c>
      <c r="E40" s="52">
        <f>'Calculation RAB'!H309</f>
        <v>477209.99033333332</v>
      </c>
      <c r="F40" s="53"/>
    </row>
    <row r="41" spans="2:7" s="42" customFormat="1" x14ac:dyDescent="0.2">
      <c r="B41" s="48"/>
      <c r="C41" s="2" t="s">
        <v>541</v>
      </c>
      <c r="D41" s="2" t="s">
        <v>280</v>
      </c>
      <c r="E41" s="115" t="s">
        <v>546</v>
      </c>
      <c r="F41" s="53"/>
    </row>
    <row r="42" spans="2:7" s="42" customFormat="1" x14ac:dyDescent="0.2">
      <c r="B42" s="48"/>
      <c r="C42" s="2" t="s">
        <v>513</v>
      </c>
      <c r="D42" s="2" t="s">
        <v>92</v>
      </c>
      <c r="E42" s="52">
        <f>'Calculation RAB'!H313</f>
        <v>1996693.3050255135</v>
      </c>
      <c r="F42" s="53"/>
    </row>
    <row r="43" spans="2:7" s="42" customFormat="1" x14ac:dyDescent="0.2">
      <c r="B43" s="48"/>
      <c r="C43" s="2" t="s">
        <v>514</v>
      </c>
      <c r="D43" s="2" t="s">
        <v>92</v>
      </c>
      <c r="E43" s="52">
        <f>'Calculation RAB'!H314</f>
        <v>359423.59529587458</v>
      </c>
      <c r="F43" s="53"/>
    </row>
    <row r="44" spans="2:7" s="42" customFormat="1" x14ac:dyDescent="0.2">
      <c r="B44" s="48"/>
      <c r="C44" s="2" t="s">
        <v>95</v>
      </c>
      <c r="D44" s="2" t="s">
        <v>280</v>
      </c>
      <c r="E44" s="52">
        <f>'Total income 2024'!H61</f>
        <v>8286091.4414926898</v>
      </c>
      <c r="F44" s="53"/>
    </row>
    <row r="45" spans="2:7" s="42" customFormat="1" x14ac:dyDescent="0.2">
      <c r="B45" s="48"/>
      <c r="C45" s="2" t="s">
        <v>515</v>
      </c>
      <c r="D45" s="2" t="s">
        <v>280</v>
      </c>
      <c r="E45" s="52">
        <f>'Total income 2024'!H62</f>
        <v>17293275.530519724</v>
      </c>
      <c r="F45" s="53"/>
    </row>
    <row r="46" spans="2:7" s="42" customFormat="1" x14ac:dyDescent="0.2">
      <c r="B46" s="48"/>
      <c r="D46" s="2"/>
      <c r="F46" s="49"/>
    </row>
    <row r="47" spans="2:7" s="42" customFormat="1" x14ac:dyDescent="0.2">
      <c r="B47" s="48"/>
      <c r="C47" s="1" t="s">
        <v>516</v>
      </c>
      <c r="D47" s="2"/>
      <c r="E47" s="2"/>
      <c r="F47" s="53"/>
      <c r="G47" s="2"/>
    </row>
    <row r="48" spans="2:7" s="42" customFormat="1" x14ac:dyDescent="0.2">
      <c r="B48" s="48"/>
      <c r="C48" s="42" t="s">
        <v>517</v>
      </c>
      <c r="D48" s="2" t="s">
        <v>508</v>
      </c>
      <c r="E48" s="52">
        <f>'Volume and PS corrections 2022'!H48</f>
        <v>-481097.94237003662</v>
      </c>
      <c r="F48" s="49"/>
    </row>
    <row r="49" spans="2:6" s="42" customFormat="1" x14ac:dyDescent="0.2">
      <c r="B49" s="48"/>
      <c r="C49" s="42" t="s">
        <v>518</v>
      </c>
      <c r="D49" s="2" t="s">
        <v>508</v>
      </c>
      <c r="E49" s="52">
        <f>'Volume and PS corrections 2022'!H55</f>
        <v>298003.05708041694</v>
      </c>
      <c r="F49" s="49"/>
    </row>
    <row r="50" spans="2:6" s="42" customFormat="1" x14ac:dyDescent="0.2">
      <c r="B50" s="48"/>
      <c r="C50" s="42" t="s">
        <v>519</v>
      </c>
      <c r="D50" s="2" t="s">
        <v>508</v>
      </c>
      <c r="E50" s="52">
        <f>'Fuel costs and income 2022'!H49</f>
        <v>3711001.1817998118</v>
      </c>
      <c r="F50" s="49"/>
    </row>
    <row r="51" spans="2:6" s="42" customFormat="1" x14ac:dyDescent="0.2">
      <c r="B51" s="48"/>
      <c r="C51" s="40"/>
      <c r="D51" s="2"/>
      <c r="F51" s="49"/>
    </row>
    <row r="52" spans="2:6" s="42" customFormat="1" x14ac:dyDescent="0.2">
      <c r="B52" s="48"/>
      <c r="C52" s="40" t="s">
        <v>530</v>
      </c>
      <c r="D52" s="2"/>
      <c r="F52" s="49"/>
    </row>
    <row r="53" spans="2:6" s="42" customFormat="1" x14ac:dyDescent="0.2">
      <c r="B53" s="48"/>
      <c r="C53" s="110" t="s">
        <v>531</v>
      </c>
      <c r="D53" s="2" t="s">
        <v>508</v>
      </c>
      <c r="E53" s="52">
        <f>'Est. production and costs 2024'!H77</f>
        <v>-172313.24768922944</v>
      </c>
      <c r="F53" s="49"/>
    </row>
    <row r="54" spans="2:6" s="42" customFormat="1" x14ac:dyDescent="0.2">
      <c r="B54" s="48"/>
      <c r="C54" s="40"/>
      <c r="D54" s="2"/>
      <c r="F54" s="49"/>
    </row>
    <row r="55" spans="2:6" s="42" customFormat="1" x14ac:dyDescent="0.2">
      <c r="B55" s="48"/>
      <c r="C55" s="40" t="s">
        <v>96</v>
      </c>
      <c r="D55" s="2"/>
      <c r="F55" s="49"/>
    </row>
    <row r="56" spans="2:6" s="42" customFormat="1" x14ac:dyDescent="0.2">
      <c r="B56" s="48"/>
      <c r="C56" s="2" t="s">
        <v>520</v>
      </c>
      <c r="D56" s="2" t="s">
        <v>79</v>
      </c>
      <c r="E56" s="52">
        <f>'Est. production and costs 2024'!H15</f>
        <v>36200000</v>
      </c>
      <c r="F56" s="53"/>
    </row>
    <row r="57" spans="2:6" s="42" customFormat="1" x14ac:dyDescent="0.2">
      <c r="B57" s="48"/>
      <c r="C57" s="2" t="s">
        <v>521</v>
      </c>
      <c r="D57" s="2" t="s">
        <v>79</v>
      </c>
      <c r="E57" s="52">
        <f>'Est. production and costs 2024'!H16</f>
        <v>8943787.2430000007</v>
      </c>
      <c r="F57" s="53"/>
    </row>
    <row r="58" spans="2:6" s="42" customFormat="1" x14ac:dyDescent="0.2">
      <c r="B58" s="48"/>
      <c r="C58" s="2" t="s">
        <v>522</v>
      </c>
      <c r="D58" s="2" t="s">
        <v>79</v>
      </c>
      <c r="E58" s="52">
        <f>'Est. production and costs 2024'!H14</f>
        <v>102738899</v>
      </c>
      <c r="F58" s="53"/>
    </row>
    <row r="59" spans="2:6" s="42" customFormat="1" x14ac:dyDescent="0.2">
      <c r="B59" s="48"/>
      <c r="C59" s="2" t="s">
        <v>523</v>
      </c>
      <c r="D59" s="2" t="s">
        <v>79</v>
      </c>
      <c r="E59" s="52">
        <f>SUM(E56:E58)</f>
        <v>147882686.243</v>
      </c>
      <c r="F59" s="53"/>
    </row>
    <row r="60" spans="2:6" s="42" customFormat="1" x14ac:dyDescent="0.2">
      <c r="B60" s="48"/>
      <c r="C60" s="2" t="s">
        <v>529</v>
      </c>
      <c r="D60" s="2" t="s">
        <v>97</v>
      </c>
      <c r="E60" s="54">
        <f>'Fuel costs and income 2022'!H25</f>
        <v>0.27365698782011383</v>
      </c>
      <c r="F60" s="53"/>
    </row>
    <row r="61" spans="2:6" s="42" customFormat="1" x14ac:dyDescent="0.2">
      <c r="B61" s="48"/>
      <c r="C61" s="2" t="s">
        <v>524</v>
      </c>
      <c r="D61" s="2" t="s">
        <v>88</v>
      </c>
      <c r="E61" s="51">
        <f>(E56+E57)/E59</f>
        <v>0.30526756302505881</v>
      </c>
      <c r="F61" s="53"/>
    </row>
    <row r="62" spans="2:6" s="42" customFormat="1" x14ac:dyDescent="0.2">
      <c r="B62" s="48"/>
      <c r="C62" s="2" t="s">
        <v>525</v>
      </c>
      <c r="D62" s="2" t="s">
        <v>98</v>
      </c>
      <c r="E62" s="54">
        <f>'Est. production and costs 2024'!H20</f>
        <v>1.0392999999999999</v>
      </c>
      <c r="F62" s="53"/>
    </row>
    <row r="63" spans="2:6" s="42" customFormat="1" x14ac:dyDescent="0.2">
      <c r="B63" s="48"/>
      <c r="C63" s="42" t="s">
        <v>526</v>
      </c>
      <c r="D63" s="2" t="s">
        <v>528</v>
      </c>
      <c r="E63" s="55">
        <f>'Production price 2024'!H20</f>
        <v>0.1975900386149986</v>
      </c>
      <c r="F63" s="49"/>
    </row>
    <row r="64" spans="2:6" s="42" customFormat="1" x14ac:dyDescent="0.2">
      <c r="B64" s="48"/>
      <c r="C64" s="42" t="s">
        <v>527</v>
      </c>
      <c r="D64" s="2" t="s">
        <v>528</v>
      </c>
      <c r="E64" s="55">
        <f>'Production price 2024'!H23</f>
        <v>0.33860000000000001</v>
      </c>
      <c r="F64" s="49"/>
    </row>
    <row r="65" spans="2:6" s="42" customFormat="1" x14ac:dyDescent="0.2">
      <c r="B65" s="48"/>
      <c r="D65" s="2"/>
      <c r="F65" s="49"/>
    </row>
    <row r="66" spans="2:6" s="42" customFormat="1" x14ac:dyDescent="0.2">
      <c r="B66" s="48"/>
      <c r="C66" s="40" t="s">
        <v>99</v>
      </c>
      <c r="D66" s="2"/>
      <c r="F66" s="49"/>
    </row>
    <row r="67" spans="2:6" s="42" customFormat="1" x14ac:dyDescent="0.2">
      <c r="B67" s="48"/>
      <c r="C67" s="2" t="s">
        <v>287</v>
      </c>
      <c r="D67" s="2" t="s">
        <v>280</v>
      </c>
      <c r="E67" s="52">
        <f>'Production price 2024'!H28</f>
        <v>925050.97168000008</v>
      </c>
      <c r="F67" s="49"/>
    </row>
    <row r="68" spans="2:6" s="42" customFormat="1" ht="13.5" thickBot="1" x14ac:dyDescent="0.25">
      <c r="B68" s="56"/>
      <c r="C68" s="57"/>
      <c r="D68" s="57"/>
      <c r="E68" s="57"/>
      <c r="F68" s="58"/>
    </row>
    <row r="69" spans="2:6" s="42" customFormat="1" x14ac:dyDescent="0.2"/>
    <row r="70" spans="2:6" x14ac:dyDescent="0.2">
      <c r="C70" s="40"/>
    </row>
    <row r="71" spans="2:6" x14ac:dyDescent="0.2">
      <c r="C71" s="40"/>
    </row>
    <row r="72" spans="2:6" x14ac:dyDescent="0.2">
      <c r="C72" s="40"/>
    </row>
    <row r="74" spans="2:6" x14ac:dyDescent="0.2">
      <c r="B74" s="5"/>
    </row>
    <row r="75" spans="2:6" x14ac:dyDescent="0.2">
      <c r="B75" s="4" t="s">
        <v>58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8989B-B8DD-4A10-81CE-495D05790C5E}">
  <sheetPr>
    <tabColor theme="0" tint="-4.9989318521683403E-2"/>
  </sheetPr>
  <dimension ref="B2:B8"/>
  <sheetViews>
    <sheetView showGridLines="0" zoomScale="85" zoomScaleNormal="85" workbookViewId="0">
      <selection activeCell="C53" activeCellId="1" sqref="A4 C53"/>
    </sheetView>
  </sheetViews>
  <sheetFormatPr defaultRowHeight="12.75" x14ac:dyDescent="0.2"/>
  <cols>
    <col min="1" max="16384" width="9.140625" style="14"/>
  </cols>
  <sheetData>
    <row r="2" spans="2:2" x14ac:dyDescent="0.2">
      <c r="B2" s="32" t="s">
        <v>59</v>
      </c>
    </row>
    <row r="3" spans="2:2" x14ac:dyDescent="0.2">
      <c r="B3" s="32" t="s">
        <v>60</v>
      </c>
    </row>
    <row r="7" spans="2:2" x14ac:dyDescent="0.2">
      <c r="B7" s="32"/>
    </row>
    <row r="8" spans="2:2" x14ac:dyDescent="0.2">
      <c r="B8" s="3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40941-25C2-475A-9D11-B02168169A11}">
  <sheetPr>
    <tabColor rgb="FFE1FFE1"/>
  </sheetPr>
  <dimension ref="B2:N52"/>
  <sheetViews>
    <sheetView showGridLines="0" zoomScale="85" zoomScaleNormal="85" workbookViewId="0">
      <pane xSplit="6" ySplit="15" topLeftCell="G16" activePane="bottomRight" state="frozen"/>
      <selection activeCell="C53" activeCellId="1" sqref="A4 C53"/>
      <selection pane="topRight" activeCell="C53" activeCellId="1" sqref="A4 C53"/>
      <selection pane="bottomLeft" activeCell="C53" activeCellId="1" sqref="A4 C53"/>
      <selection pane="bottomRight"/>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38.42578125" style="2" customWidth="1"/>
    <col min="11" max="11" width="2.7109375" style="2" customWidth="1"/>
    <col min="12" max="12" width="13.7109375" style="2" customWidth="1"/>
    <col min="13" max="13" width="2.7109375" style="2" customWidth="1"/>
    <col min="14" max="28" width="13.7109375" style="2" customWidth="1"/>
    <col min="29" max="16384" width="9.140625" style="2"/>
  </cols>
  <sheetData>
    <row r="2" spans="2:12" s="12" customFormat="1" ht="18" x14ac:dyDescent="0.2">
      <c r="B2" s="12" t="s">
        <v>100</v>
      </c>
    </row>
    <row r="4" spans="2:12" x14ac:dyDescent="0.2">
      <c r="B4" s="18" t="s">
        <v>101</v>
      </c>
      <c r="C4" s="1"/>
      <c r="D4" s="1"/>
    </row>
    <row r="5" spans="2:12" x14ac:dyDescent="0.2">
      <c r="B5" s="2" t="s">
        <v>102</v>
      </c>
      <c r="H5" s="13"/>
    </row>
    <row r="6" spans="2:12" x14ac:dyDescent="0.2">
      <c r="H6" s="13"/>
    </row>
    <row r="7" spans="2:12" x14ac:dyDescent="0.2">
      <c r="B7" s="19" t="s">
        <v>103</v>
      </c>
      <c r="H7" s="13"/>
    </row>
    <row r="8" spans="2:12" x14ac:dyDescent="0.2">
      <c r="B8" s="4" t="s">
        <v>104</v>
      </c>
    </row>
    <row r="9" spans="2:12" x14ac:dyDescent="0.2">
      <c r="B9" s="4" t="s">
        <v>105</v>
      </c>
    </row>
    <row r="10" spans="2:12" x14ac:dyDescent="0.2">
      <c r="B10" s="19" t="s">
        <v>106</v>
      </c>
    </row>
    <row r="12" spans="2:12" x14ac:dyDescent="0.2">
      <c r="B12" s="103" t="s">
        <v>455</v>
      </c>
    </row>
    <row r="14" spans="2:12" s="8" customFormat="1" x14ac:dyDescent="0.2">
      <c r="B14" s="8" t="s">
        <v>11</v>
      </c>
      <c r="F14" s="8" t="s">
        <v>36</v>
      </c>
      <c r="H14" s="8" t="s">
        <v>37</v>
      </c>
      <c r="J14" s="8" t="s">
        <v>40</v>
      </c>
      <c r="L14" s="8" t="s">
        <v>39</v>
      </c>
    </row>
    <row r="17" spans="2:14" s="8" customFormat="1" x14ac:dyDescent="0.2">
      <c r="B17" s="8" t="s">
        <v>107</v>
      </c>
    </row>
    <row r="19" spans="2:14" x14ac:dyDescent="0.2">
      <c r="B19" s="2" t="s">
        <v>434</v>
      </c>
      <c r="F19" s="2" t="s">
        <v>108</v>
      </c>
      <c r="H19" s="59">
        <v>105.11</v>
      </c>
      <c r="J19" s="2" t="s">
        <v>109</v>
      </c>
    </row>
    <row r="20" spans="2:14" x14ac:dyDescent="0.2">
      <c r="B20" s="2" t="s">
        <v>110</v>
      </c>
      <c r="F20" s="2" t="s">
        <v>108</v>
      </c>
      <c r="H20" s="59">
        <v>100.07</v>
      </c>
    </row>
    <row r="21" spans="2:14" x14ac:dyDescent="0.2">
      <c r="B21" s="2" t="s">
        <v>111</v>
      </c>
      <c r="F21" s="2" t="s">
        <v>108</v>
      </c>
      <c r="H21" s="59">
        <v>104.4</v>
      </c>
    </row>
    <row r="22" spans="2:14" x14ac:dyDescent="0.2">
      <c r="B22" s="2" t="s">
        <v>112</v>
      </c>
      <c r="F22" s="2" t="s">
        <v>108</v>
      </c>
      <c r="H22" s="59">
        <v>117.17</v>
      </c>
    </row>
    <row r="23" spans="2:14" x14ac:dyDescent="0.2">
      <c r="B23" s="2" t="s">
        <v>456</v>
      </c>
      <c r="F23" s="2" t="s">
        <v>108</v>
      </c>
      <c r="H23" s="59">
        <v>119.38</v>
      </c>
    </row>
    <row r="25" spans="2:14" x14ac:dyDescent="0.2">
      <c r="B25" s="2" t="s">
        <v>113</v>
      </c>
      <c r="F25" s="2" t="s">
        <v>108</v>
      </c>
      <c r="H25" s="59">
        <v>103.19</v>
      </c>
      <c r="J25" s="2" t="s">
        <v>114</v>
      </c>
    </row>
    <row r="26" spans="2:14" x14ac:dyDescent="0.2">
      <c r="B26" s="2" t="s">
        <v>115</v>
      </c>
      <c r="F26" s="2" t="s">
        <v>108</v>
      </c>
      <c r="H26" s="60">
        <f>H25*(H21/H20)</f>
        <v>107.65500149895075</v>
      </c>
      <c r="L26" s="2" t="s">
        <v>116</v>
      </c>
    </row>
    <row r="28" spans="2:14" x14ac:dyDescent="0.2">
      <c r="B28" s="2" t="s">
        <v>117</v>
      </c>
      <c r="F28" s="2" t="s">
        <v>88</v>
      </c>
      <c r="H28" s="62">
        <f>ROUND(H25/H19-1,3)</f>
        <v>-1.7999999999999999E-2</v>
      </c>
      <c r="J28" s="2" t="s">
        <v>109</v>
      </c>
      <c r="L28" s="2" t="s">
        <v>435</v>
      </c>
    </row>
    <row r="29" spans="2:14" x14ac:dyDescent="0.2">
      <c r="B29" s="2" t="s">
        <v>118</v>
      </c>
      <c r="F29" s="2" t="s">
        <v>88</v>
      </c>
      <c r="H29" s="62">
        <f>ROUND(H26/H25-1,3)</f>
        <v>4.2999999999999997E-2</v>
      </c>
      <c r="J29" s="100"/>
      <c r="L29" s="13"/>
      <c r="N29" s="17"/>
    </row>
    <row r="30" spans="2:14" x14ac:dyDescent="0.2">
      <c r="B30" s="2" t="s">
        <v>119</v>
      </c>
      <c r="F30" s="2" t="s">
        <v>88</v>
      </c>
      <c r="H30" s="62">
        <f>ROUND(H22/H26-1,3)</f>
        <v>8.7999999999999995E-2</v>
      </c>
      <c r="L30" s="2" t="s">
        <v>120</v>
      </c>
      <c r="N30" s="17"/>
    </row>
    <row r="31" spans="2:14" x14ac:dyDescent="0.2">
      <c r="B31" s="2" t="s">
        <v>290</v>
      </c>
      <c r="F31" s="2" t="s">
        <v>88</v>
      </c>
      <c r="H31" s="62">
        <f>ROUND(H23/H22-1,3)</f>
        <v>1.9E-2</v>
      </c>
    </row>
    <row r="34" spans="2:12" s="8" customFormat="1" x14ac:dyDescent="0.2">
      <c r="B34" s="8" t="s">
        <v>121</v>
      </c>
    </row>
    <row r="36" spans="2:12" x14ac:dyDescent="0.2">
      <c r="B36" s="2" t="s">
        <v>122</v>
      </c>
      <c r="F36" s="2" t="s">
        <v>88</v>
      </c>
      <c r="H36" s="63">
        <v>0.03</v>
      </c>
      <c r="J36" s="2" t="s">
        <v>67</v>
      </c>
    </row>
    <row r="37" spans="2:12" x14ac:dyDescent="0.2">
      <c r="L37" s="17"/>
    </row>
    <row r="39" spans="2:12" s="8" customFormat="1" x14ac:dyDescent="0.2">
      <c r="B39" s="8" t="s">
        <v>123</v>
      </c>
    </row>
    <row r="41" spans="2:12" x14ac:dyDescent="0.2">
      <c r="B41" s="2" t="s">
        <v>291</v>
      </c>
      <c r="F41" s="2" t="s">
        <v>88</v>
      </c>
      <c r="H41" s="61">
        <v>6.08E-2</v>
      </c>
      <c r="J41" s="2" t="s">
        <v>124</v>
      </c>
    </row>
    <row r="42" spans="2:12" x14ac:dyDescent="0.2">
      <c r="B42" s="2" t="s">
        <v>292</v>
      </c>
      <c r="F42" s="2" t="s">
        <v>88</v>
      </c>
      <c r="H42" s="61">
        <v>6.4600000000000005E-2</v>
      </c>
      <c r="J42" s="2" t="s">
        <v>125</v>
      </c>
      <c r="L42" s="17"/>
    </row>
    <row r="45" spans="2:12" s="8" customFormat="1" x14ac:dyDescent="0.2">
      <c r="B45" s="8" t="s">
        <v>126</v>
      </c>
    </row>
    <row r="47" spans="2:12" x14ac:dyDescent="0.2">
      <c r="B47" s="2" t="s">
        <v>126</v>
      </c>
      <c r="F47" s="2" t="s">
        <v>88</v>
      </c>
      <c r="H47" s="61">
        <v>0.5</v>
      </c>
      <c r="L47" s="2" t="s">
        <v>127</v>
      </c>
    </row>
    <row r="52" spans="2:2" x14ac:dyDescent="0.2">
      <c r="B52" s="4" t="s">
        <v>58</v>
      </c>
    </row>
  </sheetData>
  <phoneticPr fontId="3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81F2-F9AD-456D-86D5-78F9976FADDE}">
  <sheetPr>
    <tabColor rgb="FFE1FFE1"/>
  </sheetPr>
  <dimension ref="A2:AB114"/>
  <sheetViews>
    <sheetView showGridLines="0" zoomScale="85" zoomScaleNormal="85" workbookViewId="0">
      <pane xSplit="6" ySplit="14" topLeftCell="G15" activePane="bottomRight" state="frozen"/>
      <selection activeCell="C53" activeCellId="1" sqref="A4 C53"/>
      <selection pane="topRight" activeCell="C53" activeCellId="1" sqref="A4 C53"/>
      <selection pane="bottomLeft" activeCell="C53" activeCellId="1" sqref="A4 C53"/>
      <selection pane="bottomRight"/>
    </sheetView>
  </sheetViews>
  <sheetFormatPr defaultRowHeight="12.75" x14ac:dyDescent="0.2"/>
  <cols>
    <col min="1" max="1" width="4.7109375" style="2" customWidth="1"/>
    <col min="2" max="2" width="55.5703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45.7109375" style="2" customWidth="1"/>
    <col min="11" max="11" width="2.7109375" style="2" customWidth="1"/>
    <col min="12" max="12" width="13.7109375" style="2" customWidth="1"/>
    <col min="13" max="13" width="2.7109375" style="2" customWidth="1"/>
    <col min="14" max="28" width="13.7109375" style="2" customWidth="1"/>
    <col min="29" max="16384" width="9.140625" style="2"/>
  </cols>
  <sheetData>
    <row r="2" spans="2:12" s="12" customFormat="1" ht="18" x14ac:dyDescent="0.2">
      <c r="B2" s="12" t="s">
        <v>293</v>
      </c>
    </row>
    <row r="4" spans="2:12" x14ac:dyDescent="0.2">
      <c r="B4" s="18" t="s">
        <v>101</v>
      </c>
      <c r="C4" s="1"/>
      <c r="D4" s="1"/>
    </row>
    <row r="5" spans="2:12" x14ac:dyDescent="0.2">
      <c r="B5" s="2" t="s">
        <v>294</v>
      </c>
      <c r="H5" s="13"/>
    </row>
    <row r="6" spans="2:12" x14ac:dyDescent="0.2">
      <c r="B6" s="2" t="s">
        <v>295</v>
      </c>
      <c r="H6" s="13"/>
    </row>
    <row r="7" spans="2:12" x14ac:dyDescent="0.2">
      <c r="H7" s="13"/>
    </row>
    <row r="8" spans="2:12" x14ac:dyDescent="0.2">
      <c r="B8" s="19" t="s">
        <v>103</v>
      </c>
      <c r="H8" s="13"/>
    </row>
    <row r="9" spans="2:12" x14ac:dyDescent="0.2">
      <c r="B9" s="19" t="s">
        <v>128</v>
      </c>
    </row>
    <row r="10" spans="2:12" x14ac:dyDescent="0.2">
      <c r="B10" s="19" t="s">
        <v>129</v>
      </c>
    </row>
    <row r="11" spans="2:12" x14ac:dyDescent="0.2">
      <c r="B11" s="4"/>
    </row>
    <row r="13" spans="2:12" s="8" customFormat="1" x14ac:dyDescent="0.2">
      <c r="B13" s="8" t="s">
        <v>11</v>
      </c>
      <c r="F13" s="8" t="s">
        <v>36</v>
      </c>
      <c r="H13" s="8" t="s">
        <v>37</v>
      </c>
      <c r="J13" s="8" t="s">
        <v>40</v>
      </c>
      <c r="L13" s="8" t="s">
        <v>39</v>
      </c>
    </row>
    <row r="16" spans="2:12" s="8" customFormat="1" x14ac:dyDescent="0.2">
      <c r="B16" s="8" t="s">
        <v>296</v>
      </c>
    </row>
    <row r="18" spans="1:12" x14ac:dyDescent="0.2">
      <c r="B18" s="18" t="s">
        <v>297</v>
      </c>
    </row>
    <row r="19" spans="1:12" x14ac:dyDescent="0.2">
      <c r="A19" s="34"/>
      <c r="B19" s="34" t="s">
        <v>298</v>
      </c>
      <c r="F19" s="2" t="s">
        <v>300</v>
      </c>
      <c r="H19" s="23">
        <v>14223082.617278364</v>
      </c>
      <c r="J19" s="2" t="s">
        <v>307</v>
      </c>
    </row>
    <row r="20" spans="1:12" x14ac:dyDescent="0.2">
      <c r="A20" s="34"/>
      <c r="B20" s="34" t="s">
        <v>299</v>
      </c>
      <c r="F20" s="2" t="s">
        <v>300</v>
      </c>
      <c r="H20" s="23">
        <v>776845.05269909988</v>
      </c>
      <c r="J20" s="2" t="s">
        <v>338</v>
      </c>
      <c r="L20" s="17"/>
    </row>
    <row r="21" spans="1:12" x14ac:dyDescent="0.2">
      <c r="F21" s="34"/>
      <c r="H21" s="34"/>
    </row>
    <row r="22" spans="1:12" x14ac:dyDescent="0.2">
      <c r="B22" s="1" t="s">
        <v>83</v>
      </c>
      <c r="L22" s="17"/>
    </row>
    <row r="23" spans="1:12" x14ac:dyDescent="0.2">
      <c r="B23" s="2" t="s">
        <v>301</v>
      </c>
      <c r="F23" s="2" t="s">
        <v>79</v>
      </c>
      <c r="H23" s="23">
        <v>132100025</v>
      </c>
      <c r="J23" s="2" t="s">
        <v>339</v>
      </c>
    </row>
    <row r="26" spans="1:12" s="8" customFormat="1" x14ac:dyDescent="0.2">
      <c r="B26" s="8" t="s">
        <v>302</v>
      </c>
    </row>
    <row r="27" spans="1:12" x14ac:dyDescent="0.2">
      <c r="A27" s="64"/>
    </row>
    <row r="28" spans="1:12" x14ac:dyDescent="0.2">
      <c r="A28" s="64"/>
      <c r="B28" s="18" t="s">
        <v>130</v>
      </c>
    </row>
    <row r="29" spans="1:12" x14ac:dyDescent="0.2">
      <c r="A29" s="64"/>
      <c r="B29" s="2" t="s">
        <v>131</v>
      </c>
      <c r="F29" s="2" t="s">
        <v>300</v>
      </c>
      <c r="H29" s="22" t="s">
        <v>546</v>
      </c>
      <c r="J29" s="2" t="s">
        <v>308</v>
      </c>
    </row>
    <row r="30" spans="1:12" x14ac:dyDescent="0.2">
      <c r="A30" s="64"/>
      <c r="B30" s="2" t="s">
        <v>132</v>
      </c>
      <c r="F30" s="2" t="s">
        <v>300</v>
      </c>
      <c r="H30" s="22" t="s">
        <v>546</v>
      </c>
      <c r="J30" s="2" t="s">
        <v>308</v>
      </c>
      <c r="L30" s="17"/>
    </row>
    <row r="31" spans="1:12" x14ac:dyDescent="0.2">
      <c r="A31" s="64"/>
      <c r="B31" s="2" t="s">
        <v>133</v>
      </c>
      <c r="F31" s="2" t="s">
        <v>300</v>
      </c>
      <c r="H31" s="22" t="s">
        <v>546</v>
      </c>
      <c r="J31" s="2" t="s">
        <v>308</v>
      </c>
      <c r="L31" s="65"/>
    </row>
    <row r="32" spans="1:12" x14ac:dyDescent="0.2">
      <c r="A32" s="64"/>
      <c r="B32" s="2" t="s">
        <v>134</v>
      </c>
      <c r="F32" s="2" t="s">
        <v>300</v>
      </c>
      <c r="H32" s="22">
        <v>7711230</v>
      </c>
    </row>
    <row r="33" spans="2:13" x14ac:dyDescent="0.2">
      <c r="J33" s="66"/>
    </row>
    <row r="34" spans="2:13" x14ac:dyDescent="0.2">
      <c r="B34" s="1" t="s">
        <v>135</v>
      </c>
      <c r="J34" s="66"/>
    </row>
    <row r="35" spans="2:13" x14ac:dyDescent="0.2">
      <c r="B35" s="2" t="s">
        <v>136</v>
      </c>
      <c r="F35" s="2" t="s">
        <v>300</v>
      </c>
      <c r="H35" s="23">
        <v>125980</v>
      </c>
      <c r="J35" s="66" t="s">
        <v>331</v>
      </c>
    </row>
    <row r="36" spans="2:13" x14ac:dyDescent="0.2">
      <c r="J36" s="66"/>
    </row>
    <row r="37" spans="2:13" x14ac:dyDescent="0.2">
      <c r="H37" s="66"/>
    </row>
    <row r="38" spans="2:13" s="8" customFormat="1" x14ac:dyDescent="0.2">
      <c r="B38" s="8" t="s">
        <v>303</v>
      </c>
    </row>
    <row r="40" spans="2:13" s="1" customFormat="1" x14ac:dyDescent="0.2">
      <c r="B40" s="1" t="s">
        <v>137</v>
      </c>
      <c r="J40" s="17"/>
    </row>
    <row r="41" spans="2:13" s="1" customFormat="1" x14ac:dyDescent="0.2">
      <c r="J41" s="17"/>
    </row>
    <row r="42" spans="2:13" x14ac:dyDescent="0.2">
      <c r="B42" s="2" t="s">
        <v>138</v>
      </c>
      <c r="F42" s="2" t="s">
        <v>92</v>
      </c>
      <c r="H42" s="23">
        <v>61734000</v>
      </c>
      <c r="J42" s="4" t="s">
        <v>337</v>
      </c>
    </row>
    <row r="43" spans="2:13" x14ac:dyDescent="0.2">
      <c r="B43" s="2" t="s">
        <v>139</v>
      </c>
      <c r="F43" s="2" t="s">
        <v>92</v>
      </c>
      <c r="H43" s="23">
        <v>860000</v>
      </c>
      <c r="M43" s="21"/>
    </row>
    <row r="44" spans="2:13" x14ac:dyDescent="0.2">
      <c r="B44" s="2" t="s">
        <v>140</v>
      </c>
      <c r="F44" s="2" t="s">
        <v>92</v>
      </c>
      <c r="H44" s="23">
        <v>18696000</v>
      </c>
      <c r="L44" s="67"/>
    </row>
    <row r="45" spans="2:13" x14ac:dyDescent="0.2">
      <c r="B45" s="2" t="s">
        <v>141</v>
      </c>
      <c r="F45" s="2" t="s">
        <v>142</v>
      </c>
      <c r="H45" s="23">
        <v>15</v>
      </c>
      <c r="L45" s="67"/>
      <c r="M45" s="21"/>
    </row>
    <row r="46" spans="2:13" x14ac:dyDescent="0.2">
      <c r="M46" s="21"/>
    </row>
    <row r="48" spans="2:13" x14ac:dyDescent="0.2">
      <c r="B48" s="1" t="s">
        <v>143</v>
      </c>
    </row>
    <row r="49" spans="2:12" x14ac:dyDescent="0.2">
      <c r="L49" s="68"/>
    </row>
    <row r="50" spans="2:12" x14ac:dyDescent="0.2">
      <c r="B50" s="4" t="s">
        <v>144</v>
      </c>
      <c r="L50" s="68"/>
    </row>
    <row r="51" spans="2:12" x14ac:dyDescent="0.2">
      <c r="B51" s="69" t="s">
        <v>145</v>
      </c>
    </row>
    <row r="52" spans="2:12" x14ac:dyDescent="0.2">
      <c r="B52" s="2" t="s">
        <v>146</v>
      </c>
      <c r="F52" s="2" t="s">
        <v>92</v>
      </c>
      <c r="H52" s="23">
        <v>773908</v>
      </c>
      <c r="J52" s="4" t="s">
        <v>337</v>
      </c>
    </row>
    <row r="53" spans="2:12" x14ac:dyDescent="0.2">
      <c r="B53" s="2" t="s">
        <v>147</v>
      </c>
      <c r="F53" s="2" t="s">
        <v>148</v>
      </c>
      <c r="H53" s="23">
        <v>9.25</v>
      </c>
    </row>
    <row r="54" spans="2:12" x14ac:dyDescent="0.2">
      <c r="B54" s="2" t="s">
        <v>149</v>
      </c>
      <c r="F54" s="2" t="s">
        <v>150</v>
      </c>
      <c r="H54" s="70">
        <v>42491</v>
      </c>
    </row>
    <row r="56" spans="2:12" x14ac:dyDescent="0.2">
      <c r="B56" s="69" t="s">
        <v>151</v>
      </c>
    </row>
    <row r="57" spans="2:12" x14ac:dyDescent="0.2">
      <c r="B57" s="2" t="s">
        <v>146</v>
      </c>
      <c r="F57" s="2" t="s">
        <v>92</v>
      </c>
      <c r="H57" s="23">
        <v>59734</v>
      </c>
      <c r="J57" s="4" t="s">
        <v>337</v>
      </c>
    </row>
    <row r="58" spans="2:12" x14ac:dyDescent="0.2">
      <c r="B58" s="2" t="s">
        <v>147</v>
      </c>
      <c r="F58" s="2" t="s">
        <v>148</v>
      </c>
      <c r="H58" s="23">
        <v>5</v>
      </c>
    </row>
    <row r="59" spans="2:12" x14ac:dyDescent="0.2">
      <c r="B59" s="2" t="s">
        <v>149</v>
      </c>
      <c r="F59" s="2" t="s">
        <v>150</v>
      </c>
      <c r="H59" s="70">
        <v>42538</v>
      </c>
    </row>
    <row r="62" spans="2:12" x14ac:dyDescent="0.2">
      <c r="B62" s="4" t="s">
        <v>153</v>
      </c>
    </row>
    <row r="63" spans="2:12" x14ac:dyDescent="0.2">
      <c r="B63" s="69" t="s">
        <v>151</v>
      </c>
    </row>
    <row r="64" spans="2:12" x14ac:dyDescent="0.2">
      <c r="B64" s="2" t="s">
        <v>146</v>
      </c>
      <c r="F64" s="2" t="s">
        <v>92</v>
      </c>
      <c r="H64" s="23">
        <v>6000</v>
      </c>
      <c r="J64" s="4" t="s">
        <v>337</v>
      </c>
    </row>
    <row r="65" spans="2:12" x14ac:dyDescent="0.2">
      <c r="B65" s="2" t="s">
        <v>147</v>
      </c>
      <c r="F65" s="2" t="s">
        <v>148</v>
      </c>
      <c r="H65" s="23">
        <v>5</v>
      </c>
    </row>
    <row r="66" spans="2:12" x14ac:dyDescent="0.2">
      <c r="B66" s="2" t="s">
        <v>149</v>
      </c>
      <c r="F66" s="2" t="s">
        <v>150</v>
      </c>
      <c r="H66" s="70">
        <v>42751</v>
      </c>
    </row>
    <row r="68" spans="2:12" x14ac:dyDescent="0.2">
      <c r="B68" s="69" t="s">
        <v>151</v>
      </c>
    </row>
    <row r="69" spans="2:12" x14ac:dyDescent="0.2">
      <c r="B69" s="2" t="s">
        <v>146</v>
      </c>
      <c r="F69" s="2" t="s">
        <v>92</v>
      </c>
      <c r="H69" s="71">
        <v>4000</v>
      </c>
      <c r="J69" s="4" t="s">
        <v>337</v>
      </c>
    </row>
    <row r="70" spans="2:12" x14ac:dyDescent="0.2">
      <c r="B70" s="2" t="s">
        <v>147</v>
      </c>
      <c r="F70" s="2" t="s">
        <v>148</v>
      </c>
      <c r="H70" s="71">
        <v>5</v>
      </c>
      <c r="L70" s="66"/>
    </row>
    <row r="71" spans="2:12" x14ac:dyDescent="0.2">
      <c r="B71" s="2" t="s">
        <v>149</v>
      </c>
      <c r="F71" s="2" t="s">
        <v>150</v>
      </c>
      <c r="H71" s="70">
        <v>43050</v>
      </c>
      <c r="L71" s="66"/>
    </row>
    <row r="72" spans="2:12" x14ac:dyDescent="0.2">
      <c r="L72" s="66"/>
    </row>
    <row r="74" spans="2:12" x14ac:dyDescent="0.2">
      <c r="B74" s="4" t="s">
        <v>154</v>
      </c>
    </row>
    <row r="75" spans="2:12" x14ac:dyDescent="0.2">
      <c r="B75" s="69" t="s">
        <v>155</v>
      </c>
    </row>
    <row r="76" spans="2:12" x14ac:dyDescent="0.2">
      <c r="B76" s="2" t="s">
        <v>146</v>
      </c>
      <c r="F76" s="2" t="s">
        <v>92</v>
      </c>
      <c r="H76" s="23">
        <v>7636</v>
      </c>
      <c r="J76" s="4" t="s">
        <v>337</v>
      </c>
    </row>
    <row r="77" spans="2:12" x14ac:dyDescent="0.2">
      <c r="B77" s="2" t="s">
        <v>147</v>
      </c>
      <c r="F77" s="2" t="s">
        <v>148</v>
      </c>
      <c r="H77" s="23">
        <v>4</v>
      </c>
    </row>
    <row r="78" spans="2:12" x14ac:dyDescent="0.2">
      <c r="B78" s="2" t="s">
        <v>149</v>
      </c>
      <c r="F78" s="2" t="s">
        <v>150</v>
      </c>
      <c r="H78" s="70">
        <v>43451</v>
      </c>
    </row>
    <row r="81" spans="2:12" x14ac:dyDescent="0.2">
      <c r="B81" s="4" t="s">
        <v>156</v>
      </c>
    </row>
    <row r="82" spans="2:12" x14ac:dyDescent="0.2">
      <c r="B82" s="69" t="s">
        <v>152</v>
      </c>
    </row>
    <row r="83" spans="2:12" x14ac:dyDescent="0.2">
      <c r="B83" s="2" t="s">
        <v>146</v>
      </c>
      <c r="F83" s="2" t="s">
        <v>92</v>
      </c>
      <c r="H83" s="23">
        <v>12195</v>
      </c>
      <c r="J83" s="4" t="s">
        <v>337</v>
      </c>
      <c r="L83" s="17"/>
    </row>
    <row r="84" spans="2:12" x14ac:dyDescent="0.2">
      <c r="B84" s="2" t="s">
        <v>147</v>
      </c>
      <c r="F84" s="2" t="s">
        <v>148</v>
      </c>
      <c r="H84" s="23">
        <v>4</v>
      </c>
    </row>
    <row r="85" spans="2:12" x14ac:dyDescent="0.2">
      <c r="B85" s="2" t="s">
        <v>149</v>
      </c>
      <c r="F85" s="2" t="s">
        <v>150</v>
      </c>
      <c r="H85" s="70">
        <v>43647</v>
      </c>
    </row>
    <row r="88" spans="2:12" x14ac:dyDescent="0.2">
      <c r="B88" s="4" t="s">
        <v>157</v>
      </c>
    </row>
    <row r="89" spans="2:12" x14ac:dyDescent="0.2">
      <c r="B89" s="69" t="s">
        <v>152</v>
      </c>
    </row>
    <row r="90" spans="2:12" x14ac:dyDescent="0.2">
      <c r="B90" s="2" t="s">
        <v>146</v>
      </c>
      <c r="F90" s="2" t="s">
        <v>92</v>
      </c>
      <c r="H90" s="23">
        <v>4379</v>
      </c>
      <c r="J90" s="4" t="s">
        <v>337</v>
      </c>
    </row>
    <row r="91" spans="2:12" x14ac:dyDescent="0.2">
      <c r="B91" s="2" t="s">
        <v>147</v>
      </c>
      <c r="F91" s="2" t="s">
        <v>148</v>
      </c>
      <c r="H91" s="23">
        <v>4</v>
      </c>
    </row>
    <row r="92" spans="2:12" x14ac:dyDescent="0.2">
      <c r="B92" s="2" t="s">
        <v>149</v>
      </c>
      <c r="F92" s="2" t="s">
        <v>150</v>
      </c>
      <c r="H92" s="70">
        <v>43921</v>
      </c>
    </row>
    <row r="95" spans="2:12" x14ac:dyDescent="0.2">
      <c r="B95" s="4" t="s">
        <v>158</v>
      </c>
    </row>
    <row r="98" spans="1:28" x14ac:dyDescent="0.2">
      <c r="B98" s="4" t="s">
        <v>304</v>
      </c>
      <c r="J98" s="2" t="s">
        <v>332</v>
      </c>
    </row>
    <row r="99" spans="1:28" x14ac:dyDescent="0.2">
      <c r="B99" s="4"/>
    </row>
    <row r="101" spans="1:28" x14ac:dyDescent="0.2">
      <c r="B101" s="1" t="s">
        <v>159</v>
      </c>
      <c r="M101" s="13"/>
      <c r="AB101" s="72"/>
    </row>
    <row r="102" spans="1:28" x14ac:dyDescent="0.2">
      <c r="M102" s="13"/>
      <c r="AB102" s="72"/>
    </row>
    <row r="103" spans="1:28" s="42" customFormat="1" x14ac:dyDescent="0.2">
      <c r="A103" s="2"/>
      <c r="B103" s="42" t="s">
        <v>160</v>
      </c>
      <c r="F103" s="42" t="s">
        <v>92</v>
      </c>
      <c r="G103" s="2"/>
      <c r="H103" s="22" t="s">
        <v>546</v>
      </c>
      <c r="J103" s="4" t="s">
        <v>337</v>
      </c>
      <c r="L103" s="17"/>
      <c r="M103" s="13"/>
      <c r="Q103" s="73"/>
      <c r="AB103" s="74"/>
    </row>
    <row r="104" spans="1:28" s="42" customFormat="1" x14ac:dyDescent="0.2">
      <c r="A104" s="2"/>
      <c r="B104" s="42" t="s">
        <v>147</v>
      </c>
      <c r="F104" s="42" t="s">
        <v>148</v>
      </c>
      <c r="H104" s="22" t="s">
        <v>546</v>
      </c>
      <c r="J104" s="2"/>
      <c r="M104" s="13"/>
      <c r="Q104" s="2"/>
      <c r="AB104" s="74"/>
    </row>
    <row r="105" spans="1:28" s="42" customFormat="1" x14ac:dyDescent="0.2">
      <c r="A105" s="2"/>
      <c r="B105" s="42" t="s">
        <v>149</v>
      </c>
      <c r="F105" s="42" t="s">
        <v>150</v>
      </c>
      <c r="H105" s="22" t="s">
        <v>546</v>
      </c>
      <c r="J105" s="2"/>
      <c r="M105" s="13"/>
      <c r="Q105" s="2"/>
      <c r="AB105" s="74"/>
    </row>
    <row r="106" spans="1:28" s="42" customFormat="1" x14ac:dyDescent="0.2">
      <c r="G106" s="2"/>
      <c r="J106" s="2"/>
      <c r="M106" s="13"/>
      <c r="AB106" s="74"/>
    </row>
    <row r="107" spans="1:28" s="42" customFormat="1" x14ac:dyDescent="0.2">
      <c r="B107" s="42" t="s">
        <v>161</v>
      </c>
      <c r="F107" s="42" t="s">
        <v>92</v>
      </c>
      <c r="H107" s="22" t="s">
        <v>546</v>
      </c>
      <c r="J107" s="4" t="s">
        <v>337</v>
      </c>
      <c r="M107" s="13"/>
      <c r="Q107" s="2"/>
      <c r="AB107" s="74"/>
    </row>
    <row r="108" spans="1:28" s="42" customFormat="1" x14ac:dyDescent="0.2">
      <c r="B108" s="42" t="s">
        <v>147</v>
      </c>
      <c r="F108" s="42" t="s">
        <v>148</v>
      </c>
      <c r="H108" s="22" t="s">
        <v>546</v>
      </c>
      <c r="J108" s="2"/>
      <c r="L108" s="65"/>
      <c r="M108" s="13"/>
      <c r="AB108" s="74"/>
    </row>
    <row r="109" spans="1:28" s="42" customFormat="1" x14ac:dyDescent="0.2">
      <c r="B109" s="42" t="s">
        <v>149</v>
      </c>
      <c r="F109" s="42" t="s">
        <v>150</v>
      </c>
      <c r="H109" s="22" t="s">
        <v>546</v>
      </c>
      <c r="J109" s="2"/>
      <c r="M109" s="13"/>
      <c r="Q109" s="2"/>
      <c r="AB109" s="74"/>
    </row>
    <row r="114" spans="2:2" x14ac:dyDescent="0.2">
      <c r="B114" s="4" t="s">
        <v>58</v>
      </c>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1E55-6FA7-4D03-8E93-B05D74660320}">
  <sheetPr>
    <tabColor rgb="FFE1FFE1"/>
  </sheetPr>
  <dimension ref="A2:KF41"/>
  <sheetViews>
    <sheetView showGridLines="0" zoomScale="85" zoomScaleNormal="85" workbookViewId="0">
      <pane xSplit="6" ySplit="13" topLeftCell="G14" activePane="bottomRight" state="frozen"/>
      <selection activeCell="C53" activeCellId="1" sqref="A4 C53"/>
      <selection pane="topRight" activeCell="C53" activeCellId="1" sqref="A4 C53"/>
      <selection pane="bottomLeft" activeCell="C53" activeCellId="1" sqref="A4 C53"/>
      <selection pane="bottomRight"/>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2.140625" style="2" customWidth="1"/>
    <col min="9" max="9" width="2.7109375" style="2" customWidth="1"/>
    <col min="10" max="10" width="12.140625" style="2" customWidth="1"/>
    <col min="11" max="11" width="2.7109375" style="2" customWidth="1"/>
    <col min="12" max="12" width="9" style="2" customWidth="1"/>
    <col min="13" max="13" width="2.7109375" style="2" customWidth="1"/>
    <col min="14" max="25" width="11.5703125" style="2" customWidth="1"/>
    <col min="26" max="26" width="3.85546875" style="2" customWidth="1"/>
    <col min="27" max="27" width="36.28515625" style="2" customWidth="1"/>
    <col min="28" max="28" width="3.28515625" style="2" customWidth="1"/>
    <col min="29" max="16384" width="9.140625" style="2"/>
  </cols>
  <sheetData>
    <row r="2" spans="1:267" s="12" customFormat="1" ht="18" x14ac:dyDescent="0.2">
      <c r="B2" s="12" t="s">
        <v>313</v>
      </c>
    </row>
    <row r="4" spans="1:267" x14ac:dyDescent="0.2">
      <c r="B4" s="18" t="s">
        <v>101</v>
      </c>
      <c r="C4" s="1"/>
      <c r="D4" s="1"/>
    </row>
    <row r="5" spans="1:267" x14ac:dyDescent="0.2">
      <c r="B5" s="2" t="s">
        <v>314</v>
      </c>
      <c r="H5" s="13"/>
    </row>
    <row r="6" spans="1:267" x14ac:dyDescent="0.2">
      <c r="H6" s="13"/>
    </row>
    <row r="7" spans="1:267" x14ac:dyDescent="0.2">
      <c r="B7" s="19" t="s">
        <v>103</v>
      </c>
      <c r="H7" s="13"/>
    </row>
    <row r="8" spans="1:267" x14ac:dyDescent="0.2">
      <c r="B8" s="4" t="s">
        <v>162</v>
      </c>
    </row>
    <row r="9" spans="1:267" x14ac:dyDescent="0.2">
      <c r="B9" s="4" t="s">
        <v>315</v>
      </c>
    </row>
    <row r="10" spans="1:267" x14ac:dyDescent="0.2">
      <c r="B10" s="4"/>
    </row>
    <row r="12" spans="1:267" customFormat="1" ht="25.5" x14ac:dyDescent="0.2">
      <c r="A12" s="8"/>
      <c r="B12" s="8" t="s">
        <v>11</v>
      </c>
      <c r="C12" s="8"/>
      <c r="D12" s="8"/>
      <c r="E12" s="8"/>
      <c r="F12" s="8" t="s">
        <v>36</v>
      </c>
      <c r="G12" s="8"/>
      <c r="H12" s="8" t="s">
        <v>37</v>
      </c>
      <c r="I12" s="8"/>
      <c r="J12" s="8" t="s">
        <v>38</v>
      </c>
      <c r="K12" s="8"/>
      <c r="L12" s="75" t="s">
        <v>163</v>
      </c>
      <c r="M12" s="8"/>
      <c r="N12" s="76" t="s">
        <v>316</v>
      </c>
      <c r="O12" s="76" t="s">
        <v>317</v>
      </c>
      <c r="P12" s="76" t="s">
        <v>318</v>
      </c>
      <c r="Q12" s="76" t="s">
        <v>319</v>
      </c>
      <c r="R12" s="76" t="s">
        <v>320</v>
      </c>
      <c r="S12" s="76" t="s">
        <v>321</v>
      </c>
      <c r="T12" s="76" t="s">
        <v>322</v>
      </c>
      <c r="U12" s="76" t="s">
        <v>323</v>
      </c>
      <c r="V12" s="76" t="s">
        <v>324</v>
      </c>
      <c r="W12" s="76" t="s">
        <v>325</v>
      </c>
      <c r="X12" s="76" t="s">
        <v>326</v>
      </c>
      <c r="Y12" s="76" t="s">
        <v>327</v>
      </c>
      <c r="Z12" s="8"/>
      <c r="AA12" s="8" t="s">
        <v>40</v>
      </c>
      <c r="AB12" s="8"/>
      <c r="AC12" s="8" t="s">
        <v>39</v>
      </c>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row>
    <row r="15" spans="1:267" customFormat="1" x14ac:dyDescent="0.2">
      <c r="A15" s="8"/>
      <c r="B15" s="8" t="s">
        <v>328</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row>
    <row r="16" spans="1:267" customForma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row>
    <row r="17" spans="1:292" customFormat="1" x14ac:dyDescent="0.2">
      <c r="A17" s="2"/>
      <c r="B17" s="1" t="s">
        <v>164</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row>
    <row r="18" spans="1:292" customFormat="1" x14ac:dyDescent="0.2">
      <c r="A18" s="2"/>
      <c r="B18" s="2" t="s">
        <v>165</v>
      </c>
      <c r="C18" s="2"/>
      <c r="D18" s="2"/>
      <c r="E18" s="2"/>
      <c r="F18" s="2" t="s">
        <v>98</v>
      </c>
      <c r="G18" s="2"/>
      <c r="H18" s="2"/>
      <c r="I18" s="2"/>
      <c r="J18" s="2"/>
      <c r="K18" s="2"/>
      <c r="L18" s="2"/>
      <c r="M18" s="2"/>
      <c r="N18" s="22" t="s">
        <v>546</v>
      </c>
      <c r="O18" s="22" t="s">
        <v>546</v>
      </c>
      <c r="P18" s="22" t="s">
        <v>546</v>
      </c>
      <c r="Q18" s="22" t="s">
        <v>546</v>
      </c>
      <c r="R18" s="22" t="s">
        <v>546</v>
      </c>
      <c r="S18" s="22" t="s">
        <v>546</v>
      </c>
      <c r="T18" s="22" t="s">
        <v>546</v>
      </c>
      <c r="U18" s="22" t="s">
        <v>546</v>
      </c>
      <c r="V18" s="22" t="s">
        <v>546</v>
      </c>
      <c r="W18" s="22" t="s">
        <v>546</v>
      </c>
      <c r="X18" s="22" t="s">
        <v>546</v>
      </c>
      <c r="Y18" s="22" t="s">
        <v>546</v>
      </c>
      <c r="Z18" s="2"/>
      <c r="AA18" s="2" t="s">
        <v>340</v>
      </c>
      <c r="AB18" s="2"/>
      <c r="AC18" s="17"/>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row>
    <row r="19" spans="1:292" customFormat="1" x14ac:dyDescent="0.2">
      <c r="A19" s="2"/>
      <c r="B19" s="2" t="s">
        <v>166</v>
      </c>
      <c r="C19" s="2"/>
      <c r="D19" s="2"/>
      <c r="E19" s="2"/>
      <c r="F19" s="2" t="s">
        <v>167</v>
      </c>
      <c r="G19" s="2"/>
      <c r="H19" s="2"/>
      <c r="I19" s="2"/>
      <c r="J19" s="2"/>
      <c r="K19" s="2"/>
      <c r="L19" s="2"/>
      <c r="M19" s="2"/>
      <c r="N19" s="22" t="s">
        <v>546</v>
      </c>
      <c r="O19" s="22" t="s">
        <v>546</v>
      </c>
      <c r="P19" s="22" t="s">
        <v>546</v>
      </c>
      <c r="Q19" s="22" t="s">
        <v>546</v>
      </c>
      <c r="R19" s="22" t="s">
        <v>546</v>
      </c>
      <c r="S19" s="22" t="s">
        <v>546</v>
      </c>
      <c r="T19" s="22" t="s">
        <v>546</v>
      </c>
      <c r="U19" s="22" t="s">
        <v>546</v>
      </c>
      <c r="V19" s="22" t="s">
        <v>546</v>
      </c>
      <c r="W19" s="22" t="s">
        <v>546</v>
      </c>
      <c r="X19" s="22" t="s">
        <v>546</v>
      </c>
      <c r="Y19" s="22" t="s">
        <v>546</v>
      </c>
      <c r="Z19" s="2"/>
      <c r="AA19" s="2" t="s">
        <v>335</v>
      </c>
      <c r="AB19" s="2"/>
      <c r="AC19" s="17"/>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row>
    <row r="20" spans="1:292" customFormat="1" x14ac:dyDescent="0.2">
      <c r="A20" s="2"/>
      <c r="B20" s="2"/>
      <c r="C20" s="2"/>
      <c r="D20" s="2"/>
      <c r="E20" s="2"/>
      <c r="F20" s="2"/>
      <c r="G20" s="2"/>
      <c r="H20" s="2"/>
      <c r="I20" s="2"/>
      <c r="J20" s="2"/>
      <c r="K20" s="2"/>
      <c r="L20" s="2"/>
      <c r="M20" s="2"/>
      <c r="N20" s="67"/>
      <c r="O20" s="67"/>
      <c r="P20" s="67"/>
      <c r="Q20" s="67"/>
      <c r="R20" s="67"/>
      <c r="S20" s="67"/>
      <c r="T20" s="67"/>
      <c r="U20" s="67"/>
      <c r="V20" s="67"/>
      <c r="W20" s="67"/>
      <c r="X20" s="67"/>
      <c r="Y20" s="67"/>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row>
    <row r="21" spans="1:292" customFormat="1" x14ac:dyDescent="0.2">
      <c r="A21" s="2"/>
      <c r="B21" s="18" t="s">
        <v>168</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row>
    <row r="22" spans="1:292" customFormat="1" x14ac:dyDescent="0.2">
      <c r="A22" s="2"/>
      <c r="B22" s="2" t="s">
        <v>169</v>
      </c>
      <c r="C22" s="2"/>
      <c r="D22" s="2"/>
      <c r="E22" s="2"/>
      <c r="F22" s="2" t="s">
        <v>79</v>
      </c>
      <c r="G22" s="2"/>
      <c r="H22" s="2"/>
      <c r="I22" s="2"/>
      <c r="J22" s="27">
        <f>SUM(N22:Y22)</f>
        <v>107275385.99999996</v>
      </c>
      <c r="K22" s="2"/>
      <c r="L22" s="2"/>
      <c r="M22" s="2"/>
      <c r="N22" s="23">
        <v>8218397.9999999935</v>
      </c>
      <c r="O22" s="23">
        <v>7290655.9999999935</v>
      </c>
      <c r="P22" s="23">
        <v>7518961.9999999953</v>
      </c>
      <c r="Q22" s="23">
        <v>7155612.0000000065</v>
      </c>
      <c r="R22" s="23">
        <v>7454322.9999999981</v>
      </c>
      <c r="S22" s="23">
        <v>8731677.0000000168</v>
      </c>
      <c r="T22" s="23">
        <v>8834468.9999999776</v>
      </c>
      <c r="U22" s="23">
        <v>10118177.000000024</v>
      </c>
      <c r="V22" s="23">
        <v>11366112.999999989</v>
      </c>
      <c r="W22" s="23">
        <v>11084408.000000015</v>
      </c>
      <c r="X22" s="23">
        <v>10201369.99999997</v>
      </c>
      <c r="Y22" s="23">
        <v>9301220.999999987</v>
      </c>
      <c r="Z22" s="2"/>
      <c r="AA22" s="2" t="s">
        <v>333</v>
      </c>
      <c r="AB22" s="2"/>
      <c r="AC22" s="2" t="s">
        <v>170</v>
      </c>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row>
    <row r="23" spans="1:292" customFormat="1" x14ac:dyDescent="0.2">
      <c r="A23" s="2"/>
      <c r="B23" s="2" t="s">
        <v>171</v>
      </c>
      <c r="C23" s="2"/>
      <c r="D23" s="2"/>
      <c r="E23" s="2"/>
      <c r="F23" s="2" t="s">
        <v>79</v>
      </c>
      <c r="G23" s="2"/>
      <c r="H23" s="2"/>
      <c r="I23" s="2"/>
      <c r="J23" s="27">
        <f>SUM(N23:Y23)</f>
        <v>29551095.000000011</v>
      </c>
      <c r="K23" s="2"/>
      <c r="L23" s="2"/>
      <c r="M23" s="2"/>
      <c r="N23" s="23">
        <v>2465652.9999999967</v>
      </c>
      <c r="O23" s="23">
        <v>2495311.0000000093</v>
      </c>
      <c r="P23" s="23">
        <v>3701236.9999999981</v>
      </c>
      <c r="Q23" s="23">
        <v>3825332.9999999986</v>
      </c>
      <c r="R23" s="23">
        <v>4476178.0000000037</v>
      </c>
      <c r="S23" s="23">
        <v>2963669.9999999898</v>
      </c>
      <c r="T23" s="23">
        <v>3011369.0000000205</v>
      </c>
      <c r="U23" s="23">
        <v>2379976.999999979</v>
      </c>
      <c r="V23" s="23">
        <v>1124067.0000000012</v>
      </c>
      <c r="W23" s="23">
        <v>940584.99999999849</v>
      </c>
      <c r="X23" s="23">
        <v>835379.00000000384</v>
      </c>
      <c r="Y23" s="23">
        <v>1332336.0000000149</v>
      </c>
      <c r="Z23" s="2"/>
      <c r="AA23" s="2" t="s">
        <v>334</v>
      </c>
      <c r="AB23" s="2"/>
      <c r="AC23" s="2" t="s">
        <v>172</v>
      </c>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row>
    <row r="24" spans="1:292" customForma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17"/>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row>
    <row r="25" spans="1:292" customFormat="1" x14ac:dyDescent="0.2">
      <c r="A25" s="2"/>
      <c r="B25" s="2" t="s">
        <v>173</v>
      </c>
      <c r="C25" s="2"/>
      <c r="D25" s="2"/>
      <c r="E25" s="2"/>
      <c r="F25" s="2" t="s">
        <v>79</v>
      </c>
      <c r="G25" s="2"/>
      <c r="H25" s="2"/>
      <c r="I25" s="2"/>
      <c r="J25" s="27">
        <f>SUM(N25:Y25)</f>
        <v>136826480.99999997</v>
      </c>
      <c r="K25" s="2"/>
      <c r="L25" s="2"/>
      <c r="M25" s="2"/>
      <c r="N25" s="77">
        <f t="shared" ref="N25:Y25" si="0">N22+N23</f>
        <v>10684050.999999991</v>
      </c>
      <c r="O25" s="77">
        <f t="shared" si="0"/>
        <v>9785967.0000000037</v>
      </c>
      <c r="P25" s="77">
        <f t="shared" si="0"/>
        <v>11220198.999999993</v>
      </c>
      <c r="Q25" s="77">
        <f t="shared" si="0"/>
        <v>10980945.000000006</v>
      </c>
      <c r="R25" s="77">
        <f t="shared" si="0"/>
        <v>11930501.000000002</v>
      </c>
      <c r="S25" s="77">
        <f t="shared" si="0"/>
        <v>11695347.000000007</v>
      </c>
      <c r="T25" s="77">
        <f t="shared" si="0"/>
        <v>11845837.999999998</v>
      </c>
      <c r="U25" s="77">
        <f t="shared" si="0"/>
        <v>12498154.000000004</v>
      </c>
      <c r="V25" s="77">
        <f t="shared" si="0"/>
        <v>12490179.999999991</v>
      </c>
      <c r="W25" s="77">
        <f t="shared" si="0"/>
        <v>12024993.000000013</v>
      </c>
      <c r="X25" s="77">
        <f t="shared" si="0"/>
        <v>11036748.999999974</v>
      </c>
      <c r="Y25" s="77">
        <f t="shared" si="0"/>
        <v>10633557.000000002</v>
      </c>
      <c r="Z25" s="2"/>
      <c r="AA25" s="2"/>
      <c r="AB25" s="2"/>
      <c r="AC25" s="17"/>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row>
    <row r="26" spans="1:292" customFormat="1" x14ac:dyDescent="0.2">
      <c r="A26" s="2"/>
      <c r="B26" s="2"/>
      <c r="C26" s="2"/>
      <c r="D26" s="2"/>
      <c r="E26" s="2"/>
      <c r="F26" s="2"/>
      <c r="G26" s="2"/>
      <c r="H26" s="2"/>
      <c r="I26" s="2"/>
      <c r="J26" s="2"/>
      <c r="K26" s="2"/>
      <c r="L26" s="2"/>
      <c r="M26" s="2"/>
      <c r="N26" s="67"/>
      <c r="O26" s="67"/>
      <c r="P26" s="67"/>
      <c r="Q26" s="67"/>
      <c r="R26" s="67"/>
      <c r="S26" s="67"/>
      <c r="T26" s="67"/>
      <c r="U26" s="67"/>
      <c r="V26" s="67"/>
      <c r="W26" s="67"/>
      <c r="X26" s="67"/>
      <c r="Y26" s="67"/>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row>
    <row r="27" spans="1:292" x14ac:dyDescent="0.2">
      <c r="H27" s="66"/>
      <c r="N27" s="78"/>
      <c r="O27" s="78"/>
      <c r="P27" s="78"/>
      <c r="Q27" s="78"/>
      <c r="R27" s="78"/>
      <c r="S27" s="78"/>
      <c r="T27" s="78"/>
      <c r="U27" s="78"/>
      <c r="V27" s="78"/>
      <c r="W27" s="78"/>
      <c r="X27" s="78"/>
      <c r="Y27" s="78"/>
    </row>
    <row r="28" spans="1:292" customFormat="1" x14ac:dyDescent="0.2">
      <c r="A28" s="8"/>
      <c r="B28" s="8" t="s">
        <v>329</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row>
    <row r="29" spans="1:292"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row>
    <row r="30" spans="1:292" customFormat="1" x14ac:dyDescent="0.2">
      <c r="A30" s="2"/>
      <c r="B30" s="1" t="s">
        <v>174</v>
      </c>
      <c r="C30" s="2"/>
      <c r="D30" s="2"/>
      <c r="E30" s="2"/>
      <c r="F30" s="2"/>
      <c r="G30" s="2"/>
      <c r="H30" s="2"/>
      <c r="I30" s="2"/>
      <c r="J30" s="2"/>
      <c r="K30" s="2"/>
      <c r="L30" s="2"/>
      <c r="M30" s="2"/>
      <c r="N30" s="2"/>
      <c r="O30" s="2"/>
      <c r="P30" s="2"/>
      <c r="Q30" s="2"/>
      <c r="R30" s="2"/>
      <c r="S30" s="2"/>
      <c r="T30" s="2"/>
      <c r="U30" s="2"/>
      <c r="V30" s="2"/>
      <c r="W30" s="2"/>
      <c r="X30" s="17"/>
      <c r="Y30" s="17"/>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row>
    <row r="31" spans="1:292" customFormat="1" x14ac:dyDescent="0.2">
      <c r="A31" s="106"/>
      <c r="B31" s="2" t="s">
        <v>175</v>
      </c>
      <c r="C31" s="2"/>
      <c r="D31" s="2"/>
      <c r="E31" s="2"/>
      <c r="F31" s="2" t="s">
        <v>176</v>
      </c>
      <c r="G31" s="2"/>
      <c r="H31" s="2"/>
      <c r="I31" s="2"/>
      <c r="J31" s="2"/>
      <c r="K31" s="2"/>
      <c r="L31" s="2"/>
      <c r="M31" s="2"/>
      <c r="N31" s="22" t="s">
        <v>546</v>
      </c>
      <c r="O31" s="22" t="s">
        <v>546</v>
      </c>
      <c r="P31" s="22" t="s">
        <v>546</v>
      </c>
      <c r="Q31" s="22" t="s">
        <v>546</v>
      </c>
      <c r="R31" s="22" t="s">
        <v>546</v>
      </c>
      <c r="S31" s="22" t="s">
        <v>546</v>
      </c>
      <c r="T31" s="22" t="s">
        <v>546</v>
      </c>
      <c r="U31" s="22" t="s">
        <v>546</v>
      </c>
      <c r="V31" s="22" t="s">
        <v>546</v>
      </c>
      <c r="W31" s="22" t="s">
        <v>546</v>
      </c>
      <c r="X31" s="22" t="s">
        <v>546</v>
      </c>
      <c r="Y31" s="22" t="s">
        <v>546</v>
      </c>
      <c r="Z31" s="2"/>
      <c r="AA31" s="2" t="s">
        <v>457</v>
      </c>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row>
    <row r="32" spans="1:292" customFormat="1" x14ac:dyDescent="0.2">
      <c r="A32" s="2"/>
      <c r="B32" s="2" t="s">
        <v>177</v>
      </c>
      <c r="C32" s="2"/>
      <c r="D32" s="2"/>
      <c r="E32" s="2"/>
      <c r="F32" s="2" t="s">
        <v>79</v>
      </c>
      <c r="G32" s="2"/>
      <c r="H32" s="2"/>
      <c r="I32" s="2"/>
      <c r="J32" s="2"/>
      <c r="K32" s="2"/>
      <c r="L32" s="2"/>
      <c r="M32" s="2"/>
      <c r="N32" s="22" t="s">
        <v>546</v>
      </c>
      <c r="O32" s="22" t="s">
        <v>546</v>
      </c>
      <c r="P32" s="22" t="s">
        <v>546</v>
      </c>
      <c r="Q32" s="22" t="s">
        <v>546</v>
      </c>
      <c r="R32" s="22" t="s">
        <v>546</v>
      </c>
      <c r="S32" s="22" t="s">
        <v>546</v>
      </c>
      <c r="T32" s="22" t="s">
        <v>546</v>
      </c>
      <c r="U32" s="22" t="s">
        <v>546</v>
      </c>
      <c r="V32" s="22" t="s">
        <v>546</v>
      </c>
      <c r="W32" s="22" t="s">
        <v>546</v>
      </c>
      <c r="X32" s="22" t="s">
        <v>546</v>
      </c>
      <c r="Y32" s="22" t="s">
        <v>546</v>
      </c>
      <c r="Z32" s="2"/>
      <c r="AA32" s="2" t="s">
        <v>457</v>
      </c>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row>
    <row r="33" spans="1:292" customForma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17"/>
      <c r="AD33" s="2"/>
      <c r="AE33" s="2"/>
      <c r="AF33" s="2"/>
      <c r="AG33" s="2"/>
      <c r="AH33" s="2"/>
      <c r="AI33" s="2"/>
      <c r="AJ33" s="2"/>
      <c r="AK33" s="2"/>
      <c r="AL33" s="2"/>
      <c r="AM33" s="2"/>
      <c r="AN33" s="2"/>
      <c r="AO33" s="2"/>
      <c r="AP33" s="2"/>
      <c r="AQ33" s="2"/>
      <c r="AR33" s="2"/>
      <c r="AS33" s="2"/>
      <c r="AT33" s="2"/>
      <c r="AU33" s="2"/>
      <c r="AV33" s="2"/>
      <c r="AW33" s="2"/>
      <c r="AX33" s="2"/>
      <c r="AY33" s="2"/>
      <c r="AZ33" s="2"/>
      <c r="BA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row>
    <row r="34" spans="1:292" customFormat="1" x14ac:dyDescent="0.2">
      <c r="A34" s="2"/>
      <c r="B34" s="1" t="s">
        <v>330</v>
      </c>
      <c r="C34" s="2"/>
      <c r="D34" s="2"/>
      <c r="E34" s="2"/>
      <c r="F34" s="2"/>
      <c r="G34" s="2"/>
      <c r="H34" s="2"/>
      <c r="I34" s="2"/>
      <c r="J34" s="2"/>
      <c r="K34" s="2"/>
      <c r="L34" s="2"/>
      <c r="M34" s="2"/>
      <c r="N34" s="66"/>
      <c r="O34" s="66"/>
      <c r="P34" s="66"/>
      <c r="Q34" s="66"/>
      <c r="R34" s="66"/>
      <c r="S34" s="66"/>
      <c r="T34" s="66"/>
      <c r="U34" s="66"/>
      <c r="V34" s="66"/>
      <c r="W34" s="66"/>
      <c r="X34" s="66"/>
      <c r="Y34" s="66"/>
      <c r="Z34" s="2"/>
      <c r="AA34" s="2"/>
      <c r="AB34" s="2"/>
      <c r="AC34" s="17"/>
      <c r="AD34" s="2"/>
      <c r="AE34" s="2"/>
      <c r="AF34" s="2"/>
      <c r="AG34" s="2"/>
      <c r="AH34" s="2"/>
      <c r="AI34" s="2"/>
      <c r="AJ34" s="2"/>
      <c r="AK34" s="2"/>
      <c r="AL34" s="2"/>
      <c r="AM34" s="2"/>
      <c r="AN34" s="2"/>
      <c r="AO34" s="2"/>
      <c r="AP34" s="2"/>
      <c r="AQ34" s="2"/>
      <c r="AR34" s="2"/>
      <c r="AS34" s="2"/>
      <c r="AT34" s="2"/>
      <c r="AU34" s="2"/>
      <c r="AV34" s="2"/>
      <c r="AW34" s="2"/>
      <c r="AX34" s="2"/>
      <c r="AY34" s="2"/>
      <c r="AZ34" s="2"/>
      <c r="BA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row>
    <row r="35" spans="1:292" customFormat="1" x14ac:dyDescent="0.2">
      <c r="A35" s="2"/>
      <c r="B35" s="2" t="s">
        <v>178</v>
      </c>
      <c r="C35" s="2"/>
      <c r="D35" s="2"/>
      <c r="E35" s="2"/>
      <c r="F35" s="2" t="s">
        <v>176</v>
      </c>
      <c r="G35" s="2"/>
      <c r="H35" s="79">
        <v>0.16059999999999999</v>
      </c>
      <c r="I35" s="2"/>
      <c r="J35" s="2"/>
      <c r="K35" s="2"/>
      <c r="M35" s="2"/>
      <c r="N35" s="67"/>
      <c r="O35" s="67"/>
      <c r="P35" s="67"/>
      <c r="Q35" s="67"/>
      <c r="R35" s="67"/>
      <c r="S35" s="67"/>
      <c r="T35" s="67"/>
      <c r="U35" s="67"/>
      <c r="V35" s="67"/>
      <c r="W35" s="67"/>
      <c r="X35" s="67"/>
      <c r="Y35" s="67"/>
      <c r="Z35" s="2"/>
      <c r="AA35" s="2" t="s">
        <v>336</v>
      </c>
      <c r="AB35" s="2"/>
      <c r="AC35" s="17"/>
      <c r="AD35" s="2"/>
      <c r="AE35" s="2"/>
      <c r="AF35" s="2"/>
      <c r="AG35" s="2"/>
      <c r="AH35" s="2"/>
      <c r="AI35" s="2"/>
      <c r="AJ35" s="2"/>
      <c r="AK35" s="2"/>
      <c r="AL35" s="2"/>
      <c r="AM35" s="2"/>
      <c r="AN35" s="2"/>
      <c r="AO35" s="2"/>
      <c r="AP35" s="2"/>
      <c r="AQ35" s="2"/>
      <c r="AR35" s="2"/>
      <c r="AS35" s="2"/>
      <c r="AT35" s="2"/>
      <c r="AU35" s="2"/>
      <c r="AV35" s="2"/>
      <c r="AW35" s="2"/>
      <c r="AX35" s="2"/>
      <c r="AY35" s="2"/>
      <c r="AZ35" s="2"/>
      <c r="BA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row>
    <row r="36" spans="1:292" customFormat="1" x14ac:dyDescent="0.2">
      <c r="A36" s="2"/>
      <c r="B36" s="2"/>
      <c r="C36" s="2"/>
      <c r="D36" s="2"/>
      <c r="E36" s="2"/>
      <c r="F36" s="2"/>
      <c r="G36" s="2"/>
      <c r="H36" s="2"/>
      <c r="I36" s="2"/>
      <c r="J36" s="2"/>
      <c r="K36" s="2"/>
      <c r="L36" s="2"/>
      <c r="M36" s="2"/>
      <c r="N36" s="80"/>
      <c r="O36" s="80"/>
      <c r="P36" s="80"/>
      <c r="Q36" s="80"/>
      <c r="R36" s="67"/>
      <c r="S36" s="67"/>
      <c r="T36" s="67"/>
      <c r="U36" s="67"/>
      <c r="V36" s="67"/>
      <c r="W36" s="67"/>
      <c r="X36" s="67"/>
      <c r="Y36" s="67"/>
      <c r="Z36" s="2"/>
      <c r="AA36" s="2"/>
      <c r="AB36" s="2"/>
      <c r="AC36" s="17"/>
      <c r="AD36" s="2"/>
      <c r="AE36" s="2"/>
      <c r="AF36" s="2"/>
      <c r="AG36" s="2"/>
      <c r="AH36" s="2"/>
      <c r="AI36" s="2"/>
      <c r="AJ36" s="2"/>
      <c r="AK36" s="2"/>
      <c r="AL36" s="2"/>
      <c r="AM36" s="2"/>
      <c r="AN36" s="2"/>
      <c r="AO36" s="2"/>
      <c r="AP36" s="2"/>
      <c r="AQ36" s="2"/>
      <c r="AR36" s="2"/>
      <c r="AS36" s="2"/>
      <c r="AT36" s="2"/>
      <c r="AU36" s="2"/>
      <c r="AV36" s="2"/>
      <c r="AW36" s="2"/>
      <c r="AX36" s="2"/>
      <c r="AY36" s="2"/>
      <c r="AZ36" s="2"/>
      <c r="BA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row>
    <row r="37" spans="1:292" x14ac:dyDescent="0.2">
      <c r="N37" s="34"/>
      <c r="O37" s="34"/>
      <c r="P37" s="34"/>
      <c r="Q37" s="34"/>
      <c r="R37" s="34"/>
      <c r="S37" s="34"/>
      <c r="T37" s="34"/>
      <c r="U37" s="34"/>
      <c r="V37" s="34"/>
      <c r="W37" s="34"/>
      <c r="X37" s="34"/>
      <c r="Y37" s="34"/>
    </row>
    <row r="41" spans="1:292" x14ac:dyDescent="0.2">
      <c r="B41" s="4" t="s">
        <v>58</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DAB9D1-B815-4B0E-93E7-4496A7FE99F6}">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4b38974-1436-4631-a0be-797faa579778"/>
    <ds:schemaRef ds:uri="http://schemas.microsoft.com/office/infopath/2007/PartnerControls"/>
    <ds:schemaRef ds:uri="http://purl.org/dc/terms/"/>
    <ds:schemaRef ds:uri="5e7bef76-b888-41a2-a261-5f525b37d47e"/>
    <ds:schemaRef ds:uri="http://www.w3.org/XML/1998/namespace"/>
    <ds:schemaRef ds:uri="http://purl.org/dc/dcmitype/"/>
  </ds:schemaRefs>
</ds:datastoreItem>
</file>

<file path=customXml/itemProps2.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4.xml><?xml version="1.0" encoding="utf-8"?>
<ds:datastoreItem xmlns:ds="http://schemas.openxmlformats.org/officeDocument/2006/customXml" ds:itemID="{29821432-9D6D-4FB8-B669-75517133F5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Cover sheet</vt:lpstr>
      <vt:lpstr>Explanation</vt:lpstr>
      <vt:lpstr>Sources and specifics</vt:lpstr>
      <vt:lpstr>Production price 2024</vt:lpstr>
      <vt:lpstr>Dictum and Appendix</vt:lpstr>
      <vt:lpstr>Input --&gt;</vt:lpstr>
      <vt:lpstr>Parameters</vt:lpstr>
      <vt:lpstr>Est. and realized costs 2022</vt:lpstr>
      <vt:lpstr>Production and fuel costs 2022</vt:lpstr>
      <vt:lpstr>Est. production and costs 2024</vt:lpstr>
      <vt:lpstr>Calculations --&gt;</vt:lpstr>
      <vt:lpstr>Calculation RAB</vt:lpstr>
      <vt:lpstr>Fuel costs and income 2022</vt:lpstr>
      <vt:lpstr>Volume and PS corrections 2022</vt:lpstr>
      <vt:lpstr>Total income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2023-12-13T10:28:01Z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