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124226"/>
  <xr:revisionPtr revIDLastSave="0" documentId="8_{1C0ADFD5-CC8F-4C13-B046-556BAC07BD0E}" xr6:coauthVersionLast="47" xr6:coauthVersionMax="47" xr10:uidLastSave="{00000000-0000-0000-0000-000000000000}"/>
  <bookViews>
    <workbookView xWindow="-120" yWindow="-120" windowWidth="29040" windowHeight="15720" tabRatio="999" firstSheet="1" activeTab="3" xr2:uid="{00000000-000D-0000-FFFF-FFFF00000000}"/>
  </bookViews>
  <sheets>
    <sheet name="Titelblad" sheetId="9" r:id="rId1"/>
    <sheet name="Toelichting" sheetId="10" r:id="rId2"/>
    <sheet name="Bronnen en toepassingen" sheetId="11" r:id="rId3"/>
    <sheet name="Resultaat" sheetId="41" r:id="rId4"/>
    <sheet name="Input --&gt;" sheetId="25" r:id="rId5"/>
    <sheet name="Reguleringsdata" sheetId="18" r:id="rId6"/>
    <sheet name="Parameters" sheetId="33" r:id="rId7"/>
    <sheet name="Data cv-ketels" sheetId="34" r:id="rId8"/>
    <sheet name="Gastarieven" sheetId="35" r:id="rId9"/>
    <sheet name="Berekeningen --&gt;" sheetId="15" r:id="rId10"/>
    <sheet name="Huurtarieven ind." sheetId="42" r:id="rId11"/>
    <sheet name="Huurtarieven coll." sheetId="49" r:id="rId12"/>
    <sheet name="Cv-ketels" sheetId="47" r:id="rId13"/>
    <sheet name="Vaste kosten" sheetId="39" r:id="rId14"/>
    <sheet name="Variabele kosten" sheetId="48"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5" i="41" l="1"/>
  <c r="I57" i="39"/>
  <c r="G37" i="48"/>
  <c r="K68" i="18" a="1"/>
  <c r="K68" i="18" s="1"/>
  <c r="I37" i="39" l="1"/>
  <c r="G33" i="33"/>
  <c r="G26" i="49"/>
  <c r="G27" i="49"/>
  <c r="G28" i="49"/>
  <c r="G29" i="49"/>
  <c r="G30" i="49"/>
  <c r="G31" i="49"/>
  <c r="G74" i="49" s="1"/>
  <c r="J58" i="41" s="1"/>
  <c r="G32" i="49"/>
  <c r="G33" i="49"/>
  <c r="G34" i="49"/>
  <c r="G25" i="49"/>
  <c r="G68" i="49" s="1"/>
  <c r="J52" i="41" s="1"/>
  <c r="G16" i="49"/>
  <c r="G17" i="49" s="1"/>
  <c r="G15" i="49"/>
  <c r="G77" i="49" l="1"/>
  <c r="J61" i="41" s="1"/>
  <c r="G69" i="49"/>
  <c r="J53" i="41" s="1"/>
  <c r="G75" i="49"/>
  <c r="J59" i="41" s="1"/>
  <c r="G71" i="49"/>
  <c r="J55" i="41" s="1"/>
  <c r="G42" i="49"/>
  <c r="G45" i="49"/>
  <c r="G41" i="49"/>
  <c r="G44" i="49"/>
  <c r="G73" i="49"/>
  <c r="J57" i="41" s="1"/>
  <c r="G43" i="49"/>
  <c r="G39" i="49"/>
  <c r="G76" i="49"/>
  <c r="J60" i="41" s="1"/>
  <c r="G72" i="49"/>
  <c r="J56" i="41" s="1"/>
  <c r="G46" i="49"/>
  <c r="G38" i="49"/>
  <c r="G57" i="49" s="1"/>
  <c r="I53" i="41" s="1"/>
  <c r="G40" i="49"/>
  <c r="G37" i="49"/>
  <c r="G60" i="49" l="1"/>
  <c r="I56" i="41" s="1"/>
  <c r="G65" i="49"/>
  <c r="I61" i="41" s="1"/>
  <c r="G62" i="49"/>
  <c r="I58" i="41" s="1"/>
  <c r="G64" i="49"/>
  <c r="I60" i="41" s="1"/>
  <c r="G56" i="49"/>
  <c r="I52" i="41" s="1"/>
  <c r="G59" i="49"/>
  <c r="I55" i="41" s="1"/>
  <c r="G63" i="49"/>
  <c r="I59" i="41" s="1"/>
  <c r="G61" i="49"/>
  <c r="I57" i="41" s="1"/>
  <c r="G47" i="35" l="1"/>
  <c r="N68" i="18" l="1" a="1"/>
  <c r="N68" i="18" s="1"/>
  <c r="J68" i="18" a="1"/>
  <c r="J68" i="18" s="1"/>
  <c r="L68" i="18" a="1"/>
  <c r="L68" i="18" s="1"/>
  <c r="I68" i="18" a="1"/>
  <c r="I68" i="18" s="1"/>
  <c r="G17" i="18"/>
  <c r="G18" i="18"/>
  <c r="G19" i="18"/>
  <c r="G16" i="18"/>
  <c r="L27" i="47"/>
  <c r="L28" i="47"/>
  <c r="I27" i="47"/>
  <c r="I28" i="47"/>
  <c r="I26" i="47"/>
  <c r="G15" i="47"/>
  <c r="G16" i="47"/>
  <c r="G17" i="47"/>
  <c r="G14" i="47"/>
  <c r="G31" i="33"/>
  <c r="G30" i="33"/>
  <c r="G29" i="33"/>
  <c r="G28" i="33"/>
  <c r="M35" i="18" l="1"/>
  <c r="L35" i="18"/>
  <c r="W35" i="18"/>
  <c r="V35" i="18"/>
  <c r="I36" i="18"/>
  <c r="W36" i="18"/>
  <c r="V36" i="18"/>
  <c r="M36" i="18"/>
  <c r="L36" i="18"/>
  <c r="T34" i="18"/>
  <c r="W34" i="18"/>
  <c r="V34" i="18"/>
  <c r="M34" i="18"/>
  <c r="L34" i="18"/>
  <c r="L40" i="18" s="1" a="1"/>
  <c r="L40" i="18" s="1"/>
  <c r="S37" i="18"/>
  <c r="M37" i="18"/>
  <c r="L37" i="18"/>
  <c r="W37" i="18"/>
  <c r="V37" i="18"/>
  <c r="O20" i="42"/>
  <c r="N20" i="42"/>
  <c r="T37" i="18"/>
  <c r="Q34" i="18"/>
  <c r="J34" i="18"/>
  <c r="P37" i="18"/>
  <c r="I34" i="18"/>
  <c r="J37" i="18"/>
  <c r="O34" i="18"/>
  <c r="O36" i="18"/>
  <c r="S34" i="18"/>
  <c r="S36" i="18"/>
  <c r="Q37" i="18"/>
  <c r="I35" i="18"/>
  <c r="I37" i="18"/>
  <c r="J36" i="18"/>
  <c r="P34" i="18"/>
  <c r="P36" i="18"/>
  <c r="T36" i="18"/>
  <c r="Q36" i="18"/>
  <c r="P35" i="18"/>
  <c r="T35" i="18"/>
  <c r="J35" i="18"/>
  <c r="O35" i="18"/>
  <c r="O37" i="18"/>
  <c r="S35" i="18"/>
  <c r="Q35" i="18"/>
  <c r="W40" i="18" l="1" a="1"/>
  <c r="W40" i="18" s="1"/>
  <c r="G21" i="49" s="1"/>
  <c r="J40" i="18" a="1"/>
  <c r="J40" i="18" s="1"/>
  <c r="F67" i="41" s="1"/>
  <c r="G22" i="49"/>
  <c r="G53" i="49" s="1"/>
  <c r="F49" i="41" s="1"/>
  <c r="G52" i="49"/>
  <c r="F48" i="41" s="1"/>
  <c r="F71" i="41"/>
  <c r="M40" i="18" a="1"/>
  <c r="M40" i="18" s="1"/>
  <c r="V40" i="18" a="1"/>
  <c r="V40" i="18" s="1"/>
  <c r="Q40" i="18" a="1"/>
  <c r="Q40" i="18" s="1"/>
  <c r="F80" i="41" s="1"/>
  <c r="T40" i="18" a="1"/>
  <c r="T40" i="18" s="1"/>
  <c r="O21" i="42" s="1"/>
  <c r="S40" i="18" a="1"/>
  <c r="S40" i="18" s="1"/>
  <c r="P40" i="18" a="1"/>
  <c r="P40" i="18" s="1"/>
  <c r="F79" i="41" s="1"/>
  <c r="O40" i="18" a="1"/>
  <c r="O40" i="18" s="1"/>
  <c r="I40" i="18" a="1"/>
  <c r="I40" i="18" s="1"/>
  <c r="F66" i="41" s="1"/>
  <c r="F68" i="41" l="1"/>
  <c r="I27" i="39"/>
  <c r="G20" i="49"/>
  <c r="G51" i="49" s="1"/>
  <c r="F47" i="41" s="1"/>
  <c r="F72" i="41"/>
  <c r="F73" i="41"/>
  <c r="F76" i="41"/>
  <c r="F78" i="41"/>
  <c r="F77" i="41"/>
  <c r="I16" i="39"/>
  <c r="G16" i="39"/>
  <c r="G15" i="42"/>
  <c r="G26" i="39" l="1"/>
  <c r="G20" i="35"/>
  <c r="J38" i="34" l="1"/>
  <c r="I26" i="39"/>
  <c r="G24" i="35"/>
  <c r="G17" i="35"/>
  <c r="G50" i="35" l="1"/>
  <c r="I28" i="48" l="1"/>
  <c r="I29" i="48"/>
  <c r="I30" i="48"/>
  <c r="I31" i="48"/>
  <c r="G29" i="48"/>
  <c r="G30" i="48"/>
  <c r="G31" i="48"/>
  <c r="G28" i="48"/>
  <c r="G27" i="39"/>
  <c r="I22" i="48"/>
  <c r="I23" i="48"/>
  <c r="I24" i="48"/>
  <c r="G23" i="48"/>
  <c r="G24" i="48"/>
  <c r="G22" i="48"/>
  <c r="F27" i="41"/>
  <c r="I33" i="48"/>
  <c r="G33" i="48"/>
  <c r="I21" i="48"/>
  <c r="G21" i="48"/>
  <c r="G38" i="47"/>
  <c r="G43" i="47"/>
  <c r="I20" i="47"/>
  <c r="J20" i="47"/>
  <c r="J26" i="47" s="1"/>
  <c r="I21" i="47"/>
  <c r="J21" i="47"/>
  <c r="J27" i="47" s="1"/>
  <c r="I22" i="47"/>
  <c r="J22" i="47"/>
  <c r="J28" i="47" s="1"/>
  <c r="I23" i="47"/>
  <c r="I29" i="47" s="1"/>
  <c r="J23" i="47"/>
  <c r="J29" i="47" s="1"/>
  <c r="M32" i="47"/>
  <c r="J32" i="47"/>
  <c r="I60" i="39"/>
  <c r="G60" i="39"/>
  <c r="I56" i="39"/>
  <c r="N21" i="42"/>
  <c r="J21" i="42"/>
  <c r="R20" i="42"/>
  <c r="R36" i="42" s="1"/>
  <c r="Q20" i="42"/>
  <c r="Q36" i="42" s="1"/>
  <c r="J20" i="42"/>
  <c r="K20" i="42"/>
  <c r="L20" i="42"/>
  <c r="I20" i="42"/>
  <c r="G17" i="42"/>
  <c r="G16" i="42"/>
  <c r="G26" i="42" s="1"/>
  <c r="I36" i="42" l="1"/>
  <c r="L36" i="42"/>
  <c r="K36" i="42"/>
  <c r="G25" i="48"/>
  <c r="G32" i="48"/>
  <c r="I25" i="48"/>
  <c r="I32" i="48"/>
  <c r="K25" i="42"/>
  <c r="L25" i="42"/>
  <c r="Q25" i="42"/>
  <c r="I25" i="42"/>
  <c r="N25" i="42"/>
  <c r="N27" i="42" s="1"/>
  <c r="R25" i="42"/>
  <c r="J25" i="42"/>
  <c r="J27" i="42" s="1"/>
  <c r="O25" i="42"/>
  <c r="O27" i="42" s="1"/>
  <c r="R44" i="42"/>
  <c r="K37" i="41" s="1"/>
  <c r="I32" i="47" l="1"/>
  <c r="I27" i="42"/>
  <c r="R27" i="42"/>
  <c r="L27" i="42"/>
  <c r="K27" i="42"/>
  <c r="Q27" i="42"/>
  <c r="G30" i="39" l="1"/>
  <c r="I28" i="39"/>
  <c r="I29" i="39" s="1"/>
  <c r="G28" i="39"/>
  <c r="G29" i="39" s="1"/>
  <c r="G23" i="39"/>
  <c r="I21" i="39"/>
  <c r="I22" i="39" s="1"/>
  <c r="G21" i="39"/>
  <c r="G22" i="39" s="1"/>
  <c r="G34" i="33"/>
  <c r="G32" i="33"/>
  <c r="I39" i="34"/>
  <c r="L21" i="47" s="1"/>
  <c r="I40" i="34"/>
  <c r="L22" i="47" s="1"/>
  <c r="I41" i="34"/>
  <c r="L23" i="47" s="1"/>
  <c r="L29" i="47" s="1"/>
  <c r="I38" i="34"/>
  <c r="L20" i="47" s="1"/>
  <c r="L26" i="47" s="1"/>
  <c r="J39" i="34"/>
  <c r="M21" i="47" s="1"/>
  <c r="M27" i="47" s="1"/>
  <c r="J40" i="34"/>
  <c r="M22" i="47" s="1"/>
  <c r="M28" i="47" s="1"/>
  <c r="J41" i="34"/>
  <c r="M23" i="47" s="1"/>
  <c r="M29" i="47" s="1"/>
  <c r="M20" i="47"/>
  <c r="M26" i="47" s="1"/>
  <c r="I21" i="34"/>
  <c r="G19" i="39" s="1"/>
  <c r="G39" i="47" l="1"/>
  <c r="G40" i="47" s="1"/>
  <c r="G44" i="47"/>
  <c r="L32" i="47"/>
  <c r="G33" i="47" s="1"/>
  <c r="G90" i="33"/>
  <c r="G62" i="33"/>
  <c r="I51" i="39" s="1"/>
  <c r="G96" i="33"/>
  <c r="G35" i="39"/>
  <c r="G36" i="39" s="1"/>
  <c r="G94" i="33"/>
  <c r="F23" i="41" s="1"/>
  <c r="G88" i="33"/>
  <c r="I42" i="39"/>
  <c r="I43" i="39" s="1"/>
  <c r="I44" i="39" s="1"/>
  <c r="F24" i="41" l="1"/>
  <c r="J14" i="41"/>
  <c r="G45" i="47"/>
  <c r="I20" i="39" s="1"/>
  <c r="I19" i="39"/>
  <c r="I35" i="39" s="1"/>
  <c r="I36" i="39" s="1"/>
  <c r="G20" i="39" l="1"/>
  <c r="G51" i="35" l="1"/>
  <c r="G52" i="35" l="1"/>
  <c r="G51" i="39" s="1"/>
  <c r="J28" i="42" l="1"/>
  <c r="J29" i="42" s="1"/>
  <c r="J31" i="42" s="1"/>
  <c r="I38" i="39"/>
  <c r="I39" i="39" s="1"/>
  <c r="I18" i="48"/>
  <c r="I36" i="48" s="1"/>
  <c r="G18" i="48"/>
  <c r="G36" i="48" s="1"/>
  <c r="B14" i="10"/>
  <c r="Q28" i="42" l="1"/>
  <c r="Q29" i="42" s="1"/>
  <c r="Q37" i="42" s="1"/>
  <c r="Q40" i="42" s="1"/>
  <c r="N28" i="42"/>
  <c r="N29" i="42" s="1"/>
  <c r="N31" i="42" s="1"/>
  <c r="F33" i="41" s="1"/>
  <c r="L28" i="42"/>
  <c r="L29" i="42" s="1"/>
  <c r="L37" i="42" s="1"/>
  <c r="L40" i="42" s="1"/>
  <c r="O28" i="42"/>
  <c r="O29" i="42" s="1"/>
  <c r="O31" i="42" s="1"/>
  <c r="F34" i="41" s="1"/>
  <c r="I28" i="42"/>
  <c r="I29" i="42" s="1"/>
  <c r="K28" i="42"/>
  <c r="K29" i="42" s="1"/>
  <c r="K37" i="42" s="1"/>
  <c r="R28" i="42"/>
  <c r="R29" i="42" s="1"/>
  <c r="R37" i="42" s="1"/>
  <c r="R45" i="42" s="1"/>
  <c r="K38" i="41" s="1"/>
  <c r="I45" i="39"/>
  <c r="I46" i="39" s="1"/>
  <c r="I52" i="39" s="1"/>
  <c r="I53" i="39" s="1"/>
  <c r="G37" i="39"/>
  <c r="G38" i="39" s="1"/>
  <c r="G39" i="39" s="1"/>
  <c r="I37" i="48"/>
  <c r="G42" i="39"/>
  <c r="G43" i="39" s="1"/>
  <c r="G44" i="39" s="1"/>
  <c r="G45" i="39" s="1"/>
  <c r="G46" i="39" s="1"/>
  <c r="F32" i="41"/>
  <c r="B15" i="10"/>
  <c r="K40" i="42" l="1"/>
  <c r="K41" i="42" s="1"/>
  <c r="K45" i="42"/>
  <c r="I38" i="41" s="1"/>
  <c r="I37" i="42"/>
  <c r="I40" i="42" s="1"/>
  <c r="I41" i="42" s="1"/>
  <c r="I44" i="42" s="1"/>
  <c r="H37" i="41" s="1"/>
  <c r="Q41" i="42"/>
  <c r="Q44" i="42" s="1"/>
  <c r="F41" i="41" s="1"/>
  <c r="G52" i="39"/>
  <c r="G53" i="39" s="1"/>
  <c r="G61" i="39" s="1"/>
  <c r="I20" i="41"/>
  <c r="K20" i="41"/>
  <c r="H20" i="41"/>
  <c r="I19" i="41"/>
  <c r="K19" i="41"/>
  <c r="H19" i="41"/>
  <c r="B16" i="10"/>
  <c r="B20" i="10" s="1"/>
  <c r="I45" i="42" l="1"/>
  <c r="H38" i="41" s="1"/>
  <c r="Q45" i="42"/>
  <c r="F42" i="41" s="1"/>
  <c r="K44" i="42"/>
  <c r="I37" i="41" s="1"/>
  <c r="L41" i="42"/>
  <c r="L44" i="42" s="1"/>
  <c r="J37" i="41" s="1"/>
  <c r="I62" i="39"/>
  <c r="H14" i="41"/>
  <c r="I14" i="41"/>
  <c r="K14" i="41"/>
  <c r="L45" i="42" l="1"/>
  <c r="J38" i="41" s="1"/>
  <c r="H16" i="41"/>
  <c r="I16" i="41"/>
  <c r="K16"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B20" authorId="0" shapeId="0" xr:uid="{00000000-0006-0000-0300-000001000000}">
      <text>
        <r>
          <rPr>
            <sz val="8"/>
            <color indexed="81"/>
            <rFont val="Tahoma"/>
            <family val="2"/>
          </rPr>
          <t xml:space="preserve">In alle gevallen wordt een (groep van) roze cel(len) voorzien van een notitie die uitlegt wat er bijzonder is aan de betreffende gegevens of berekening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Auteur</author>
  </authors>
  <commentList>
    <comment ref="I15" authorId="0" shapeId="0" xr:uid="{B01F2374-7156-4676-9773-C61F394DE245}">
      <text>
        <r>
          <rPr>
            <sz val="9"/>
            <color indexed="81"/>
            <rFont val="Tahoma"/>
            <family val="2"/>
          </rPr>
          <t>Kosten zijn door Panteia geïndexeerd. ACM heeft deze indexatie ongedaan gemaakt. Hierdoor vallen de gemiddelde kosten lager uit dan vermeld in de bron.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<sst xmlns="http://schemas.openxmlformats.org/spreadsheetml/2006/main" count="1230" uniqueCount="597">
  <si>
    <t>Titelblad</t>
  </si>
  <si>
    <t>Over dit bestand</t>
  </si>
  <si>
    <t>Zaaknummer</t>
  </si>
  <si>
    <t>Titel</t>
  </si>
  <si>
    <t>Ondertitel</t>
  </si>
  <si>
    <t>Hoort bij besluit(en):</t>
  </si>
  <si>
    <t>Hoort bij onderzoek/publicatie ACM:</t>
  </si>
  <si>
    <t>Kenmerk besluit(en)</t>
  </si>
  <si>
    <t>Samenhang met andere rekenbestanden</t>
  </si>
  <si>
    <t>Overig opmerkingen</t>
  </si>
  <si>
    <t>Over de status van dit bestand</t>
  </si>
  <si>
    <t>Disclaimer</t>
  </si>
  <si>
    <t>Toelichting bij de werking van dit model</t>
  </si>
  <si>
    <t>Legenda voor gebruik van celkleuren en tabkleuren</t>
  </si>
  <si>
    <t>Beschrijving</t>
  </si>
  <si>
    <t>Waarde die zonder berekening wordt overgenomen uit een andere cel</t>
  </si>
  <si>
    <t>Berekende waarde</t>
  </si>
  <si>
    <t>Cel is niet van toepassing (dus leeg, niet nul), maar er wordt door een formule wel naar verwezen</t>
  </si>
  <si>
    <t>Bijzonderheden:</t>
  </si>
  <si>
    <t>Bronnenoverzicht en specifieke toepassingen</t>
  </si>
  <si>
    <t>Bronnenoverzicht</t>
  </si>
  <si>
    <t>Exacte bestandsnaam</t>
  </si>
  <si>
    <t>Eenheid</t>
  </si>
  <si>
    <t>Constante</t>
  </si>
  <si>
    <t>Beschrijving gegevens</t>
  </si>
  <si>
    <t>Toelichting bij bijzonderheden</t>
  </si>
  <si>
    <t>Data</t>
  </si>
  <si>
    <t>Berekening</t>
  </si>
  <si>
    <t>Resultaat</t>
  </si>
  <si>
    <t>Tabkleur</t>
  </si>
  <si>
    <t>Tabblad met input</t>
  </si>
  <si>
    <t>Tabblad met berekeningen</t>
  </si>
  <si>
    <t>Input --&gt;</t>
  </si>
  <si>
    <t>Celkleur getallen</t>
  </si>
  <si>
    <t>Tabbladen die het model vormen</t>
  </si>
  <si>
    <t>Toelichting</t>
  </si>
  <si>
    <t>Tabbladen ten behoeve van begrip</t>
  </si>
  <si>
    <t>Tabblad met resultaten/output</t>
  </si>
  <si>
    <t>Leeg tabblad dat wordt gebruikt als index/markering voor een serie tabbladen (kleur: licht grijs)</t>
  </si>
  <si>
    <t>Omschrijving</t>
  </si>
  <si>
    <t>Bronverwijzing</t>
  </si>
  <si>
    <t>Opmerking</t>
  </si>
  <si>
    <t>Toelichting bij dit bestand</t>
  </si>
  <si>
    <t>Nr.</t>
  </si>
  <si>
    <t xml:space="preserve">Verkorte naam </t>
  </si>
  <si>
    <t>Beschrijving berekening</t>
  </si>
  <si>
    <t>Beschrijving resultaat</t>
  </si>
  <si>
    <t xml:space="preserve">Bij inhoudelijke verschillen tussen de berekening in dit bestand en de berekening zoals die volgt uit het bijbehorende besluit, is het besluit leidend. </t>
  </si>
  <si>
    <t>Zoals gebruikt in dit bestand</t>
  </si>
  <si>
    <t>In onderstaand overzicht houdt ACM bij welke bronnen gebruikt zijn voor de data en berekeningen in dit bestand.</t>
  </si>
  <si>
    <t>Ieder inputblad heeft een kolom 'bronverwijzing', waarin gebruikte bronnen met een verkorte naam worden aangeduid. Deze bronnen worden verder toegelicht in deze tabel.</t>
  </si>
  <si>
    <t>Mogelijkheden van bezwaar en beroep staan open tegen het besluit waarbij dit bestand hoort (zie kenmerken hierboven)</t>
  </si>
  <si>
    <t>Data en input (bron wordt vermeld)</t>
  </si>
  <si>
    <t>Berekende waarde die wordt opgehaald op een ander tabblad, incl. (eind)resultaat van berekening</t>
  </si>
  <si>
    <t>Gestandaardiseerde tabbladen, omvat tenminste: 'Titelblad', 'Toelichting' en 'Bronnen en toepassingen' (kleur: ACM-lichtpaars)</t>
  </si>
  <si>
    <t>Definitief? (ja/nee)</t>
  </si>
  <si>
    <t>Indien publicatie, datum van dit bestand:</t>
  </si>
  <si>
    <t>Indien definitief, wordt bestand openbaar en/of gepubliceerd? (ja/nee)</t>
  </si>
  <si>
    <t>Juridisch integraal onderdeel van bovenstaande besluit(en) (ja/nee)?</t>
  </si>
  <si>
    <t>Indien publicatie, bevat bedrijfsvertrouwelijke gegevens? (ja/nee)</t>
  </si>
  <si>
    <t>[ EINDE TABBLAD ]</t>
  </si>
  <si>
    <t>Naam bestand</t>
  </si>
  <si>
    <t>Aanvullende gegevens bestand</t>
  </si>
  <si>
    <t>Datum/wijze ontvangst, versie nr., URL, etc.</t>
  </si>
  <si>
    <t>Dit blad dient als scheidingstabblad en moet leeg blijven</t>
  </si>
  <si>
    <t>Op dit blad mogen geen teksten, gegevens of berekeningen worden opgenomen</t>
  </si>
  <si>
    <t>Waarde of berekening die speciale aandacht vraagt (zie toelichting in notitie)</t>
  </si>
  <si>
    <t>Prijspeil</t>
  </si>
  <si>
    <t>Aanschaf- en installatiekosten</t>
  </si>
  <si>
    <t>EUR, excl BTW</t>
  </si>
  <si>
    <t>Meerkosten per kW &gt; 25kW</t>
  </si>
  <si>
    <t>CW3</t>
  </si>
  <si>
    <t>CW4</t>
  </si>
  <si>
    <t>CW5</t>
  </si>
  <si>
    <t>CW6</t>
  </si>
  <si>
    <t>pp 2016 - 2024</t>
  </si>
  <si>
    <t>pp 2026</t>
  </si>
  <si>
    <t>Consumentenprijsindex (CPI)</t>
  </si>
  <si>
    <t>CPI 2018</t>
  </si>
  <si>
    <t>CPI 2019</t>
  </si>
  <si>
    <t>CPI 2020</t>
  </si>
  <si>
    <t>CPI 2021</t>
  </si>
  <si>
    <t>CPI 2022</t>
  </si>
  <si>
    <t>CPI 2023</t>
  </si>
  <si>
    <t>CPI 2024</t>
  </si>
  <si>
    <t>CPI 2025</t>
  </si>
  <si>
    <t>tabelcorrectiefactor 2025</t>
  </si>
  <si>
    <t>CPI 2026</t>
  </si>
  <si>
    <t>Mutatie CPI van 2017 naar 2026</t>
  </si>
  <si>
    <t>tabelcorrectiefactor 2026</t>
  </si>
  <si>
    <t>Algemene Parameters</t>
  </si>
  <si>
    <t>BTW</t>
  </si>
  <si>
    <t>BTW op omzet uit warmtetarieven</t>
  </si>
  <si>
    <t>Wet op de omzetbelasting 1968, artikel 9, lid 1.</t>
  </si>
  <si>
    <t>Parameters voor variabele leveringstarieven</t>
  </si>
  <si>
    <t>Energiebelasting</t>
  </si>
  <si>
    <t>Energiebelasting gas 2026, verbruik t/m 1000 m3</t>
  </si>
  <si>
    <t>Energiebelasting gas 2026, verbruik 1000 - 170.000 m3</t>
  </si>
  <si>
    <t>Maximale energiebelasting gas voor warmtetarieven</t>
  </si>
  <si>
    <t>Warmtebesluit, artikel 4, lid 1, onderdeel c.</t>
  </si>
  <si>
    <t>CBS en Wet Inkomstenbelasting 2001, artikel 10.2, lid 1 en lid 2.</t>
  </si>
  <si>
    <t>%</t>
  </si>
  <si>
    <t>#</t>
  </si>
  <si>
    <t>pp 2024</t>
  </si>
  <si>
    <t>VR: warmtevraag voor ruimteverwarming als deel van de totale warmtevraag</t>
  </si>
  <si>
    <t xml:space="preserve">VT: warmtevraag voor warm tapwater als deel van de totale warmtevraag </t>
  </si>
  <si>
    <t>η ruimte: gemiddeld opwekrendement voor ruimteverwarming</t>
  </si>
  <si>
    <t>η tap: gemiddeld opwekrendement voor warm tapwater</t>
  </si>
  <si>
    <t>Forfaitaire tarieven</t>
  </si>
  <si>
    <t>Tot en met een vermogen van 3 kilowatt</t>
  </si>
  <si>
    <t>EUR, incl BTW/jaar</t>
  </si>
  <si>
    <t>pp 2017</t>
  </si>
  <si>
    <t>Opslag per kilowatt &gt;3 kilowatt</t>
  </si>
  <si>
    <t>EUR, incl BTW/kW/jaar</t>
  </si>
  <si>
    <t>Koude</t>
  </si>
  <si>
    <t>Basistarief voor aansluitingen voor de levering van koude</t>
  </si>
  <si>
    <t>Opslag per kilowatt voor aansluiting boven 2 kilowatt</t>
  </si>
  <si>
    <t>CVg: de bovenwaarde van de verbrandingswaarde van aardgas</t>
  </si>
  <si>
    <t>GJ/Nm3</t>
  </si>
  <si>
    <t>Parameters voor huurtarieven en vaste leveringstarieven</t>
  </si>
  <si>
    <t>Afschrijvingstermijnen</t>
  </si>
  <si>
    <t>Gemiddelde levensduur individuele cv-ketel</t>
  </si>
  <si>
    <t>Jaren</t>
  </si>
  <si>
    <t>Gemiddelde levensduur afleverset</t>
  </si>
  <si>
    <t>Gemiddelde levensduur cv-ketel van 1000kW</t>
  </si>
  <si>
    <t>Meetkosten op basis van meettarieven</t>
  </si>
  <si>
    <t>Meettarief gas voor een G6 aansluiting 2026</t>
  </si>
  <si>
    <t>Besluit meettarieven gas 2026</t>
  </si>
  <si>
    <t>Onderhoudscontracten cv-ketels</t>
  </si>
  <si>
    <t>Wegingsfactor gemiddelde kosten all-in contracten</t>
  </si>
  <si>
    <t>Wegingsfactor gemiddelde kosten overige contracttypen</t>
  </si>
  <si>
    <t>Warmte, categorie B en D</t>
  </si>
  <si>
    <t xml:space="preserve">Warmte, niet direct geschikt voor ruimteverwarming en verwarming van tapwater (cat. C) </t>
  </si>
  <si>
    <t>Maximale tarieven voor koude zijn vastgesteld op een vast bedrag, met correctie voor inflatie</t>
  </si>
  <si>
    <t>Maximale tarieven voor categorie C warmte zijn vastgesteld op een vast bedrag, met correctie voor inflatie</t>
  </si>
  <si>
    <t>Berekend met cijfers van het CBS, conform de methode in de Wet Inkomstenbelasting artikel 10.2.</t>
  </si>
  <si>
    <t>Gemiddelde jaarlijkse vaste kosten 1000kW aansluiting</t>
  </si>
  <si>
    <t>Deler ten behoeve van opslag per kW &gt;100kW</t>
  </si>
  <si>
    <t>Operationele kosten afleverset van 1.000kW</t>
  </si>
  <si>
    <t xml:space="preserve">Operationele kosten cv-ketel van 1.000kW </t>
  </si>
  <si>
    <t>Collectieve afleversets, overig</t>
  </si>
  <si>
    <t>Onderhoudskosten als percentage investeringswaarde</t>
  </si>
  <si>
    <t>Nominale WACC voor belasting</t>
  </si>
  <si>
    <t>Vaste G1-tarieven gaslevering éénjaarscontracten</t>
  </si>
  <si>
    <t>Totale aansluitingen vaste G1-tarieven gaslevering éénjaarscontracten</t>
  </si>
  <si>
    <t>Variabele G1-tarieven per gasleverancier</t>
  </si>
  <si>
    <t>Delta</t>
  </si>
  <si>
    <t>Eneco</t>
  </si>
  <si>
    <t>Energiedirect</t>
  </si>
  <si>
    <t>ENGIE</t>
  </si>
  <si>
    <t>Essent</t>
  </si>
  <si>
    <t>Greenchoice</t>
  </si>
  <si>
    <t>Budget Thuis</t>
  </si>
  <si>
    <t>Oxxio</t>
  </si>
  <si>
    <t>VandeBron</t>
  </si>
  <si>
    <t>Vattenfall</t>
  </si>
  <si>
    <t>Gemiddelde</t>
  </si>
  <si>
    <t>Gegevens gasleveranciers</t>
  </si>
  <si>
    <t xml:space="preserve">Gegevens die door ACM zijn ontvangen van gasleveranciers in het kader van artikel 44, tweede lid van de Gaswet. </t>
  </si>
  <si>
    <t>Coteq</t>
  </si>
  <si>
    <t>Enexis</t>
  </si>
  <si>
    <t>Liander</t>
  </si>
  <si>
    <t>Rendo</t>
  </si>
  <si>
    <t>Stedin</t>
  </si>
  <si>
    <t>Westland</t>
  </si>
  <si>
    <t>Rekenvolumes TOTV voor G6 aansluitingen</t>
  </si>
  <si>
    <t>Transportafhankelijke verbruikerstarieven (TAVT)</t>
  </si>
  <si>
    <t>Rekencapaciteit voor G6 aansluitingen</t>
  </si>
  <si>
    <t>Periodieke aansluittarieven (PA) voor G6 aansluitingen</t>
  </si>
  <si>
    <t>Categorie A</t>
  </si>
  <si>
    <t>Categorie B</t>
  </si>
  <si>
    <t>Categorie C</t>
  </si>
  <si>
    <t>Categorie D</t>
  </si>
  <si>
    <t>Aanschaf- en installatiekosten meest voorkomende cv-ketel van 1.000kW</t>
  </si>
  <si>
    <t>pp 2023</t>
  </si>
  <si>
    <t>Gemiddelde aanschaf- en installatiekosten CW4 cv-ketel 2016-2019</t>
  </si>
  <si>
    <t>Gemiddelde aanschaf- en installatiekosten CW4 cv-ketel 2020-2021</t>
  </si>
  <si>
    <t>Gemiddelde aanschaf- en installatiekosten CW4 cv-ketel 2022-2023</t>
  </si>
  <si>
    <t>pp 2021</t>
  </si>
  <si>
    <t>Onderhoudscontracten uit 2022</t>
  </si>
  <si>
    <t>pp 2022</t>
  </si>
  <si>
    <t>Onderhoudscontracten uit 2023</t>
  </si>
  <si>
    <t>Onderhoudscontracten uit 2024</t>
  </si>
  <si>
    <t>Collectieve cv-ketels</t>
  </si>
  <si>
    <t>Aanschafwaarde collectieve cv-ketels</t>
  </si>
  <si>
    <t>Individuele cv-ketels: aanschaf- en installatiekosten</t>
  </si>
  <si>
    <t>Kosten
(EUR, ex. BTW)</t>
  </si>
  <si>
    <t>Aantallen
(#)</t>
  </si>
  <si>
    <t>Brongegevens</t>
  </si>
  <si>
    <t>Gemiddelde kosten</t>
  </si>
  <si>
    <t>Individuele cv ketels: onderhoudskosten</t>
  </si>
  <si>
    <t>nominaal</t>
  </si>
  <si>
    <t>Rapport DNV, pagina 1</t>
  </si>
  <si>
    <t>Addendum bij rapporten Panteia, Tabel 3</t>
  </si>
  <si>
    <t>Addendum bij rapporten Panteia, Tabel 4</t>
  </si>
  <si>
    <t>Onderhoudscontracten geïndexeerd</t>
  </si>
  <si>
    <t>Mutatie CPI van medio 2023 naar 2026</t>
  </si>
  <si>
    <t>Gewogen gemiddelde onderhoudskosten</t>
  </si>
  <si>
    <t>Gegevens netbeheerders</t>
  </si>
  <si>
    <t>Gemiddelde netbeheerkosten</t>
  </si>
  <si>
    <t>Individueel</t>
  </si>
  <si>
    <t>Collectief</t>
  </si>
  <si>
    <t>Gebruikskosten gas</t>
  </si>
  <si>
    <t>Aanschaf- en installatiekosten cv-ketel</t>
  </si>
  <si>
    <t>Jaarlijkse operationele kosten cv-ketel</t>
  </si>
  <si>
    <t>Gemiddelde levensduur cv-ketel</t>
  </si>
  <si>
    <t>jaren</t>
  </si>
  <si>
    <t>Gemiddelde resterende levensduur cv-ketel</t>
  </si>
  <si>
    <t>Onderhoudskosten collectieve cv-ketels</t>
  </si>
  <si>
    <t>Operationele kosten cv-ketel van 1.000kW</t>
  </si>
  <si>
    <t>EUR, ex BTW</t>
  </si>
  <si>
    <t>Mutatie CPI van 2022 naar 2026</t>
  </si>
  <si>
    <t>Mutatie CPI van 2023 naar 2026</t>
  </si>
  <si>
    <t>De ACM doet de aanname dat cv-ketels in gebruik gemiddeld genomen voor de helft zijn afgeschreven.</t>
  </si>
  <si>
    <t>Gebruikskosten warmte</t>
  </si>
  <si>
    <t>Aanschaf- en installatiekosten afleverset</t>
  </si>
  <si>
    <t>Jaarlijkse operationele kosten afleverset</t>
  </si>
  <si>
    <t>Gemiddelde resterende levensduur afleverset</t>
  </si>
  <si>
    <t>Berekenen gebruikskosten</t>
  </si>
  <si>
    <t>Gegevens gas</t>
  </si>
  <si>
    <t>Gegevens warmte</t>
  </si>
  <si>
    <t>Gemiddelde restwaarde cv-ketel</t>
  </si>
  <si>
    <t>Jaarlijkse vermogenskostenvergoeding</t>
  </si>
  <si>
    <t>Jaarlijkse kapitaalkosten cv-ketel</t>
  </si>
  <si>
    <t>WACC</t>
  </si>
  <si>
    <t>Jaarlijkse afschrijving cv-ketel</t>
  </si>
  <si>
    <t>Jaarlijkse gebruikskosten cv-ketel</t>
  </si>
  <si>
    <t>Jaarlijkse afschrijving afleverset</t>
  </si>
  <si>
    <t>Gemiddelde restwaarde afleverset</t>
  </si>
  <si>
    <t>Jaarlijkse kapitaalkosten afleverset</t>
  </si>
  <si>
    <t>Jaarlijkse gebruikskosten afleverset</t>
  </si>
  <si>
    <t>∆Gk: verschil in gebruikskosten tussen gas en warmte</t>
  </si>
  <si>
    <t>EUR, excl BTW/jaar</t>
  </si>
  <si>
    <t>EUR, excl BTW/kW/jaar</t>
  </si>
  <si>
    <t>Vaste leveringstarieven warmte</t>
  </si>
  <si>
    <t>VKg: vaste kosten gas</t>
  </si>
  <si>
    <t>VKw: vaste kosten voor warmte</t>
  </si>
  <si>
    <t>Ow &gt;3 kW: opslag extra vermogen &gt;3 kW</t>
  </si>
  <si>
    <t>η: brandstofrendement van het warmteproces</t>
  </si>
  <si>
    <t>Variabele leveringstarieven warmte</t>
  </si>
  <si>
    <t>Parameters</t>
  </si>
  <si>
    <t>Energetische waarde aardgasgebruik</t>
  </si>
  <si>
    <t>Opslag vermogen centrale aansluiting</t>
  </si>
  <si>
    <t>Opslag per kW &gt;100kW</t>
  </si>
  <si>
    <t>EUR, excl BTW per kW</t>
  </si>
  <si>
    <t>Berekenen vaste kosten warmte</t>
  </si>
  <si>
    <t>Berekenen VKw</t>
  </si>
  <si>
    <t>De ACM doet de aanname dat afleversets in gebruik gemiddeld genomen voor de helft zijn afgeschreven.</t>
  </si>
  <si>
    <t>Opslag WW</t>
  </si>
  <si>
    <t>Opslag kW</t>
  </si>
  <si>
    <t>Ophalen gegevens voor berekeningen</t>
  </si>
  <si>
    <t>Drempelwaarde significantie voor op- of afslagen</t>
  </si>
  <si>
    <t>EUR, excl BTW per maand</t>
  </si>
  <si>
    <t>Kosten afleversets en aanvullende functionalteiten</t>
  </si>
  <si>
    <t>Basistarieven</t>
  </si>
  <si>
    <t>Vermogenskostenvergoeding</t>
  </si>
  <si>
    <t>GKw onderdeel a: kapitaalkosten afleverset</t>
  </si>
  <si>
    <t>Huurtarief afleverset</t>
  </si>
  <si>
    <t>Op- of afslagen functionaliteiten</t>
  </si>
  <si>
    <t>(Verschil aan) aanschaf- en installatiekosten</t>
  </si>
  <si>
    <t>(Verschil aan) jaarlijkse kapitaalkosten</t>
  </si>
  <si>
    <t>Stelt de ACM functionaliteiten vast?</t>
  </si>
  <si>
    <t>WAAR/ONWAAR</t>
  </si>
  <si>
    <t>Aanvullende functionaliteiten na toets voor significantie</t>
  </si>
  <si>
    <t>Eenmalige bijdrage / teruggave</t>
  </si>
  <si>
    <t>Jaarlijkse opslag/afslag</t>
  </si>
  <si>
    <t>Significantie op- en afslagen</t>
  </si>
  <si>
    <t>EUR, excl BTW / maand</t>
  </si>
  <si>
    <t>Toets voor significantie is niet van toepassing op opslag per kW, want deze kan meerdere keren in rekening gebracht worden, afhankelijk van het vermogen van de afleverset van de afnemer.</t>
  </si>
  <si>
    <t>Jaarlijkse operationele kosten</t>
  </si>
  <si>
    <t>Jaarlijkse afschrijving</t>
  </si>
  <si>
    <t>Factor voor warmte categorie B en D</t>
  </si>
  <si>
    <t>Gegevens all-in contracten</t>
  </si>
  <si>
    <t>Gegevens alle contracten</t>
  </si>
  <si>
    <t>Gegevens overige contracttypen</t>
  </si>
  <si>
    <t>Kosten all-in
(EUR, ex. BTW)</t>
  </si>
  <si>
    <t>Aantal all-in
(#)</t>
  </si>
  <si>
    <t>Kosten overig
(EUR, ex. BTW)</t>
  </si>
  <si>
    <t>Aantal overig
(#)</t>
  </si>
  <si>
    <t>Gegevens onderhoudskosten</t>
  </si>
  <si>
    <t>EUR, excl. btw</t>
  </si>
  <si>
    <t>Onderhoudskosten individuele cv-ketels</t>
  </si>
  <si>
    <t>Kosten collectieve cv-ketels</t>
  </si>
  <si>
    <t>Variabel leveringstarief warmte</t>
  </si>
  <si>
    <t>Het maximale vaste leveringstarief voor categorie B en D warmte is vastgesteld als de helft van het betreffende tarief voor categorie A warmte.</t>
  </si>
  <si>
    <t>VKw: vaste kosten voor warmte, cat. B en D</t>
  </si>
  <si>
    <t>Opslag per kW &gt;100kW, cat. B en D</t>
  </si>
  <si>
    <t>EUR, ex btw</t>
  </si>
  <si>
    <t>Basistarieven afleversets</t>
  </si>
  <si>
    <t>Basistarief gecombineerde afleverset</t>
  </si>
  <si>
    <t>Basistarief enkel ruimteverwarming</t>
  </si>
  <si>
    <t>Basistarief enkel warm tapwater</t>
  </si>
  <si>
    <t>Overige functionaliteiten</t>
  </si>
  <si>
    <t>Bijdrage warmtewisselaar</t>
  </si>
  <si>
    <t>Opslag warmtewisselaar</t>
  </si>
  <si>
    <t>Eenmalige bijdrage/teruggave</t>
  </si>
  <si>
    <t>Alleen rv</t>
  </si>
  <si>
    <t>Op of afslag vermogen</t>
  </si>
  <si>
    <t>Maximumtarieven levering koude</t>
  </si>
  <si>
    <t>VKk: vaste kosten voor levering van koude</t>
  </si>
  <si>
    <t>Ok &gt;2 kW: opslag kosten &gt;2kW</t>
  </si>
  <si>
    <t>Meettarief warmte</t>
  </si>
  <si>
    <t>Aanschaf- en installatiekosten collectieve cv-ketels</t>
  </si>
  <si>
    <t>Aanschaf- en installatiekosten cv-ketel van 1.000kW</t>
  </si>
  <si>
    <t>Gemiddelde kosten per contractype en wegingsfactor</t>
  </si>
  <si>
    <t>Werkelijke energiebelasting gas 2026</t>
  </si>
  <si>
    <t>Zie Warmtebesluit artikel 4, lid 1, onderdeel c, subonderdeel 1°.</t>
  </si>
  <si>
    <t>EUR, excl BTW / m3</t>
  </si>
  <si>
    <t>Gemiddelde gebruiksafhankelijke gasprijs (Pg1 en Pg2)</t>
  </si>
  <si>
    <t>Pg1 en Pg2 zoals bedoeld in Warmtebesluit artikel 4, lid 1, onderdeel c.</t>
  </si>
  <si>
    <t>Waarde</t>
  </si>
  <si>
    <t>Gemiddelde variabele tarieven gas</t>
  </si>
  <si>
    <t>Gemiddelde vaste tarieven gas</t>
  </si>
  <si>
    <t>Gemiddelde variabele G1-tarieven gasleveranciers</t>
  </si>
  <si>
    <t>EUR, excl. BTW, per jaar</t>
  </si>
  <si>
    <t>EUR, excl. BTW, per m3</t>
  </si>
  <si>
    <t>Rekenvolumes voor transportafhankelijke verbruikerstarieven G6 aansluitingen</t>
  </si>
  <si>
    <t>Kosten collectieve afleversets</t>
  </si>
  <si>
    <t>Gemiddelde tarieven gas</t>
  </si>
  <si>
    <t>Gegevens gebruikskosten</t>
  </si>
  <si>
    <t>Gegevens per bedrijf</t>
  </si>
  <si>
    <t>Tarieven per tariefcategorie</t>
  </si>
  <si>
    <t>Onderhoudscontracten uit 2021</t>
  </si>
  <si>
    <t>Gemiddelde aanschaf- en installatiekosten CW4 cv-ketel 2024</t>
  </si>
  <si>
    <t>Gemiddelde aanschaf- en installatiekosten CW4 cv-ketel 2016-2024</t>
  </si>
  <si>
    <t>Addendum bij rapporten Panteia, Tabel 2</t>
  </si>
  <si>
    <t>EUR, excl BTW / GJ</t>
  </si>
  <si>
    <t>EUR, ex btw, per kW</t>
  </si>
  <si>
    <t>EUR, ex btw, per GJ</t>
  </si>
  <si>
    <t>Rekenvolumes voor periodieke aansluittarieven G6 aansluitingen</t>
  </si>
  <si>
    <t>Transportonafhankelijke verbruikerstarieven (TOVT) voor G6 aansluitingen</t>
  </si>
  <si>
    <t>Factor vaste tarieven warmte, categorie B en D</t>
  </si>
  <si>
    <t>Warmte alleen voor ruimteverwarming (cat. B) of alleen tapwater (cat. D)</t>
  </si>
  <si>
    <t>ACM/25/193670</t>
  </si>
  <si>
    <t>Berekening leverings- en huurtarieven warmte 2026</t>
  </si>
  <si>
    <t>Tarievenbesluit warmte 2026</t>
  </si>
  <si>
    <t>Gemiddelde vaste G1-tarieven gaslevering éénjaarscontracten</t>
  </si>
  <si>
    <t>Maximumtarieven warmte 2026</t>
  </si>
  <si>
    <t>Dit tabblad geeft een overzicht van de berekende maximumtarieven.</t>
  </si>
  <si>
    <t>Wet op de omzetbelasting 1968</t>
  </si>
  <si>
    <t>wetten.nl - Regeling - Wet op de omzetbelasting 1968 - BWBR0002629</t>
  </si>
  <si>
    <t>CBS</t>
  </si>
  <si>
    <t>Jaarmutatie consumentenprijsindex; vanaf 1963</t>
  </si>
  <si>
    <t>Warmtebesluit</t>
  </si>
  <si>
    <t>Warmteregeling</t>
  </si>
  <si>
    <t xml:space="preserve">Toelichting wijziging warmteregeling 2019 </t>
  </si>
  <si>
    <t>https://zoek.officielebekendmakingen.nl/stcrt-2019-19827.html#d17e1016</t>
  </si>
  <si>
    <t>Wet Inkomstenbelasting 2001</t>
  </si>
  <si>
    <t>Intern rekenbestand ACM</t>
  </si>
  <si>
    <t>n.v.t.</t>
  </si>
  <si>
    <t xml:space="preserve">In dit interne rekenbestand verzamelt de ACM data van de 20 grootste warmtebedrijven om zo de parameters voor de maximumtarieven te bepalen. </t>
  </si>
  <si>
    <t>Tarievencode gas</t>
  </si>
  <si>
    <t>Rapport Panteia 2022-2023</t>
  </si>
  <si>
    <t xml:space="preserve">Panteia, “Inzicht in de kosten voor aanschaf en installatie nieuwe cv-combiketel: Een onderzoek onder Nederlandse consumenten.” Zoetermeer, 18 september 2023. </t>
  </si>
  <si>
    <t>Rapport Panteia 2020-2021</t>
  </si>
  <si>
    <t xml:space="preserve">Panteia, “Inzicht in de kosten voor aanschaf en installatie nieuwe cv-combiketel: Een onderzoek onder Nederlandse consumenten.” Zoetermeer, 30 september 2021. </t>
  </si>
  <si>
    <t>Rapport Panteia 2016-2019</t>
  </si>
  <si>
    <t xml:space="preserve">Panteia, “Inzicht in de kosten voor aanschaf en installatie nieuwe cv-combiketel: Een onderzoek onder Nederlandse consumenten.” Zoetermeer, 17 december 2019. </t>
  </si>
  <si>
    <t>Addendum bij rapporten Panteia</t>
  </si>
  <si>
    <t>Rapport DNV</t>
  </si>
  <si>
    <t>Dit bedrag moet met de onderstaande tabelcorrectiefactoren, niet de reguliere CPI, voor inflatie gecorrigeerd worden.</t>
  </si>
  <si>
    <t>Op dit tabblad worden parameters opgehaald die in de regelgeving zijn vastgesteld.</t>
  </si>
  <si>
    <t>Parameters op dit tabblad zijn gegroepeerd naar de tarieven waarvoor deze bestemd zijn.</t>
  </si>
  <si>
    <t>Reguleringsdata</t>
  </si>
  <si>
    <t>WACC afleversets</t>
  </si>
  <si>
    <t>Data cv-ketels</t>
  </si>
  <si>
    <t>Op dit tabblad worden gegevens over de kosten van cv-ketels opgehaald.</t>
  </si>
  <si>
    <t>Deze gegevens zijn afkomstig uit onderzoek dat in opdracht van de ACM is uitgevoerd.</t>
  </si>
  <si>
    <t>De betreffende onderzoeksrapporten zijn als bijlage bij dit tarievenbesluit gepubliceerd.</t>
  </si>
  <si>
    <t>Gastarieven</t>
  </si>
  <si>
    <t>Berekening cv-ketels</t>
  </si>
  <si>
    <t>Op dit tabblad worden gemiddelde kosten voor cv-ketels berekend.</t>
  </si>
  <si>
    <t>Kosten cv-ketels worden berekend op basis van onderzoeken naar de kosten van cv-ketels.</t>
  </si>
  <si>
    <t>Vaste kosten warmte</t>
  </si>
  <si>
    <t>Variabele kosten warmte</t>
  </si>
  <si>
    <t>Door een wijziging van het Warmtebesluit peilt de ACM gegevens van gasleveranciers op 3 momenten.</t>
  </si>
  <si>
    <t>Op dit tabblad worden de gebruiksafhankelijke leveringstarieven berekend. Gebruiksafhankelijke leveringstarieven bestaan uit een gemiddelde gasprijs voor 1-jaarscontracten, energiebelasting, en een omrekenfactor naar m3 gas naar GJ warmte. Deze omrekenfactor is in de regelgeving voorgeschreven.</t>
  </si>
  <si>
    <t>Op dit tabblad worden vaste kosten voor warmte (VKw) berekend. VKw vormt het vaste leveringstarief voor warmte categorie A, B en D, en de basis voor de opslag per kW voor centrale aansluitingen. VKw is VKg (zie 'gastarieven') plus het verschil in gebruikskosten tussen gas en warmte. Gebruikskosten gas en warmte worden berekend obv respectievelijk de kosten van cv-ketels en afleversets.</t>
  </si>
  <si>
    <t>Op dit tabblad worden gegevens opgehaald die de ACM heeft opgevraagd bij warmteleveranciers. Dit tabblad bevat alleen sectorgemiddelden. Gegevens op bedrijfsniveau zijn vertrouwelijk, de ACM maakt deze niet openbaar.</t>
  </si>
  <si>
    <t>Vaste tarieven voor gas (netbeheer + vast tarief leverancier), zoals bedoeld in Warmtebesluit artikel 3 lid 1.</t>
  </si>
  <si>
    <t>Aanschaf- en installatiekosten voor cv-ketels moeten vergeleken worden met aanschaf- en installatiekosten voor afleversets (∆Gk: verschil in gebruikskosten). De kosten voor collectieve cv-ketels komen uit 2023, de kosten voor collectieve afleversets uit de jaren 2016-2024. Vanwege inflatie is dit een oneerlijke vergelijking. Om dit recht te trekken indexeert de ACM de kosten voor cv-ketels terug naar het gemiddelde prijspeil uit de periode 2016-2024.</t>
  </si>
  <si>
    <t>pp 2016-2024</t>
  </si>
  <si>
    <t>Berekenen variabele kosten warmte</t>
  </si>
  <si>
    <t>Vkw en de opslag per kW &gt;100kW voor categorie B (alleen RV) en categorie D (alleen WTW) warmte zijn in het Warmtebesluit vastgesteld als de helft van deze bedragen voor categorie A (RV en WTW) warmte.</t>
  </si>
  <si>
    <t>Formule uit Warmtebesluit artikel 3 lid 1. VKw in kolom G is het vast leveringstarief voor categorie A (RV en WTW) warmte, VKw in kolom I is de basis voor de opslag voor centrale aansluitingen.</t>
  </si>
  <si>
    <t>Bijdrage alleen ruimteverwarming geldt per kW vanaf 25 kW</t>
  </si>
  <si>
    <t>Opslag alleen ruimteverwarming geldt per kW vanaf 25 kW</t>
  </si>
  <si>
    <t xml:space="preserve">VR: warmtevraag voor ruimteverwarming </t>
  </si>
  <si>
    <t>VT: warmtevraag voor warm tapwater</t>
  </si>
  <si>
    <t>η ruimte</t>
  </si>
  <si>
    <t>η tap</t>
  </si>
  <si>
    <t>Belastingplan 2026</t>
  </si>
  <si>
    <t>Tarievenbesluit gas, Coteq, 2026</t>
  </si>
  <si>
    <t>Tarievenbesluit gas, Enexis, 2026</t>
  </si>
  <si>
    <t>Tarievenbesluit gas, Liander, 2026</t>
  </si>
  <si>
    <t>Tarievenbesluit gas, Rendo, 2026</t>
  </si>
  <si>
    <t>Tarievenbesluit gas, Stedin, 2026</t>
  </si>
  <si>
    <t>Tarievenbesluit gas, Westland, 2026</t>
  </si>
  <si>
    <t>wetten.nl - Regeling - Warmtebesluit - BWBR0033940</t>
  </si>
  <si>
    <t>wetten.nl - Regeling - Warmteregeling - BWBR0033862</t>
  </si>
  <si>
    <t>wetten.nl - Regeling - Wet inkomstenbelasting 2001 - BWBR0011353</t>
  </si>
  <si>
    <t>wetten.nl - Regeling - Tarievencode gas - BWBR0037948</t>
  </si>
  <si>
    <t>Tarievenbesluit meters regionale netbeheerders gas 2026</t>
  </si>
  <si>
    <t>Rapport Panteia 2024-2025</t>
  </si>
  <si>
    <t>Berekening WACC afleversets 2026-2028</t>
  </si>
  <si>
    <t>Mutatie CPI van 2021 naar 2026</t>
  </si>
  <si>
    <t>&lt;31 GJ</t>
  </si>
  <si>
    <t>&gt;=31 GJ</t>
  </si>
  <si>
    <t>Door een wijziging van het Warmtebesluit stelt de ACM een tarief vast tot 31 GJ en een vanaf 31 GJ.</t>
  </si>
  <si>
    <t>Aansluitingen, afsluitingen, onderhoudskosten</t>
  </si>
  <si>
    <t>Aansluitingen</t>
  </si>
  <si>
    <t>Afsluitingen</t>
  </si>
  <si>
    <t>&lt;100kW</t>
  </si>
  <si>
    <t>&gt;100kW</t>
  </si>
  <si>
    <t>Tijdelijk</t>
  </si>
  <si>
    <t>def. Ind.</t>
  </si>
  <si>
    <t>def. Cent.</t>
  </si>
  <si>
    <t>RV + WTW</t>
  </si>
  <si>
    <t>RV</t>
  </si>
  <si>
    <t>Aantallen</t>
  </si>
  <si>
    <t>Totaal aantal 2021</t>
  </si>
  <si>
    <t>Totaal aantal 2022</t>
  </si>
  <si>
    <t>Totaal aantal 2023</t>
  </si>
  <si>
    <t>Totaal aantal 2024</t>
  </si>
  <si>
    <t>Gemiddelde kosten, oorspronkelijk prijspeil</t>
  </si>
  <si>
    <t>Sectorgemiddelde 2021</t>
  </si>
  <si>
    <t>Sectorgemiddelde 2022</t>
  </si>
  <si>
    <t>Sectorgemiddelde 2023</t>
  </si>
  <si>
    <t>Sectorgemiddelde 2024</t>
  </si>
  <si>
    <t>Gemiddelde kosten, prijspeil 2026</t>
  </si>
  <si>
    <t>Gemiddelde tbv tarieven 2026</t>
  </si>
  <si>
    <t>Aanschaf- en installatiekosten afleversets</t>
  </si>
  <si>
    <t>Individueel gecombineerd</t>
  </si>
  <si>
    <t>Aanv. Functionaliteiten</t>
  </si>
  <si>
    <t>WW</t>
  </si>
  <si>
    <t>Totaal aantal 2016</t>
  </si>
  <si>
    <t>Totaal aantal 2017</t>
  </si>
  <si>
    <t>Totaal aantal 2018</t>
  </si>
  <si>
    <t>Totaal aantal 2019</t>
  </si>
  <si>
    <t>Totaal aantal 2020</t>
  </si>
  <si>
    <t>Gemiddelde aanschaf- en installatiekosten</t>
  </si>
  <si>
    <t>Sectorgemiddelde 2016</t>
  </si>
  <si>
    <t>pp 2016</t>
  </si>
  <si>
    <t>Sectorgemiddelde 2017</t>
  </si>
  <si>
    <t>Sectorgemiddelde 2018</t>
  </si>
  <si>
    <t>pp 2018</t>
  </si>
  <si>
    <t>Sectorgemiddelde 2019</t>
  </si>
  <si>
    <t>pp 2019</t>
  </si>
  <si>
    <t>Sectorgemiddelde 2020</t>
  </si>
  <si>
    <t>pp 2020</t>
  </si>
  <si>
    <t>Mutaties CPI</t>
  </si>
  <si>
    <t>Mutatie CPI van 2024 naar 2026</t>
  </si>
  <si>
    <t>Maximale leveringstarieven</t>
  </si>
  <si>
    <t>Aan- en afsluittarieven</t>
  </si>
  <si>
    <t>Afsluittarieven</t>
  </si>
  <si>
    <t>Aansluittarieven t/m 25 meter</t>
  </si>
  <si>
    <t>Tijdelijk, individueel</t>
  </si>
  <si>
    <t>Tijdelijk, centraal</t>
  </si>
  <si>
    <t>Definitief, centraal</t>
  </si>
  <si>
    <t>Gewogen gemiddelde variabele G1-tarieven</t>
  </si>
  <si>
    <r>
      <t xml:space="preserve">Dit tabblad bevat de gemiddelde leverings- en netbeheertarieven voor gas en de gegevens waaruit deze zijn opgebouwd. Gegevens van individuele gasleveranciers zijn vertouwelijk en daarom gelakt. De variabele G1 tarieven zijn </t>
    </r>
    <r>
      <rPr>
        <u/>
        <sz val="10"/>
        <rFont val="Arial"/>
        <family val="2"/>
      </rPr>
      <t xml:space="preserve">exclusief </t>
    </r>
    <r>
      <rPr>
        <sz val="10"/>
        <rFont val="Arial"/>
        <family val="2"/>
      </rPr>
      <t>energiebelasting</t>
    </r>
  </si>
  <si>
    <t>Variabele tarieven gas, exclusief energiebelasting</t>
  </si>
  <si>
    <t>Kosten afleversets met vermogen van 0 - 50 kW</t>
  </si>
  <si>
    <t>Kosten afleversets met vermogen van 51 - 75 kW</t>
  </si>
  <si>
    <t>Kosten afleversets met vermogen van 76 - 125 kW</t>
  </si>
  <si>
    <t>Kosten afleversets met vermogen van 126 - 200 kW</t>
  </si>
  <si>
    <t>Kosten afleversets met vermogen van 201 - 400 kW</t>
  </si>
  <si>
    <t>Kosten afleversets met vermogen van 401 - 750 kW</t>
  </si>
  <si>
    <t>Kosten afleversets met vermogen van 751 - 1250 kW</t>
  </si>
  <si>
    <t>Kosten afleversets met vermogen van 1251 - 2000 kW</t>
  </si>
  <si>
    <t>Kosten afleversets met vermogen van 2001 - 4000 kW</t>
  </si>
  <si>
    <t>Kosten afleversets met vermogen van 4001 kW en hoger</t>
  </si>
  <si>
    <t>Operationele kosten</t>
  </si>
  <si>
    <t>Meerlengte</t>
  </si>
  <si>
    <t>Onderhoudskosten ind.</t>
  </si>
  <si>
    <t>Onderhoudskosten coll.</t>
  </si>
  <si>
    <t>Gegevens voor vermogensafhankelijke tarieven</t>
  </si>
  <si>
    <t>Kosten individuele afleversets enkel ruimteverwarming (25kW)</t>
  </si>
  <si>
    <t>Op dit tabblad worden huurtarieven voor individuele afleversets (incl. op- en afslagen) berekend. Huurtarieven worden berekend op basis van de werkelijke kosten van afleversets.</t>
  </si>
  <si>
    <t>Jaarlijkse onderhoudskosten collectief gecombineerd</t>
  </si>
  <si>
    <t>Jaarlijkse onderhoudskosten collectief ruimteverwarming</t>
  </si>
  <si>
    <t>EUR</t>
  </si>
  <si>
    <t>Jaarlijkse kapitaalkosten collectieve afleversets</t>
  </si>
  <si>
    <t>Afleversets met vermogen van 0 - 50 kW</t>
  </si>
  <si>
    <t>Afleversets met vermogen van 51 - 75 kW</t>
  </si>
  <si>
    <t>Afleversets met vermogen van 76 - 125 kW</t>
  </si>
  <si>
    <t>Afleversets met vermogen van 126 - 200 kW</t>
  </si>
  <si>
    <t>Afleversets met vermogen van 201 - 400 kW</t>
  </si>
  <si>
    <t>Afleversets met vermogen van 401 - 750 kW</t>
  </si>
  <si>
    <t>Afleversets met vermogen van 751 - 1250 kW</t>
  </si>
  <si>
    <t>Afleversets met vermogen van 1251 - 2000 kW</t>
  </si>
  <si>
    <t>Afleversets met vermogen van 2001 - 4000 kW</t>
  </si>
  <si>
    <t>Afleversets met vermogen van 4001 kW en hoger</t>
  </si>
  <si>
    <t>Tarieven collectieve afleversets</t>
  </si>
  <si>
    <t>Huurtarieven collectieve afleversets</t>
  </si>
  <si>
    <t>Basistarief collectief gecombineerd</t>
  </si>
  <si>
    <t>Basistarief collectief ruimteverwarming</t>
  </si>
  <si>
    <t>Basistarief collectief warm tapwater</t>
  </si>
  <si>
    <t>Jaarlijkse op/afslag voor afwijkend vermogen</t>
  </si>
  <si>
    <t>Nominaal</t>
  </si>
  <si>
    <t>De ACM heeft vrijwel geen waarnemingen voor onderhoudskosten voor collectieve afleversets alleen tapwater. Daarom doet de ACM de aanname dat deze onderhoudskosten gelijk zijn aan de onderhoudskosten voor collectieve afleversets alleen ruimteverwarming.</t>
  </si>
  <si>
    <t>Maximale huurtarieven individuele afleversets</t>
  </si>
  <si>
    <t>Op/afslag</t>
  </si>
  <si>
    <t>Jaarlijkse op/afslag voor afwijkend vermogen collectieve afleversets</t>
  </si>
  <si>
    <t>Maximale huurtarieven collectieve afleversets</t>
  </si>
  <si>
    <t>Eenmalige bijdrage/teruggave voor afwijkend vermogen</t>
  </si>
  <si>
    <t>Aanschaf- en installatiekosten collectieve afleversets</t>
  </si>
  <si>
    <t>Jaarlijkse onderhoudskosten collectief warm tapwater</t>
  </si>
  <si>
    <t>Meerlengtetarieven per meter boven 25 meter</t>
  </si>
  <si>
    <t>Meerlengtetarief centrale aansluitingen &gt; 1250 kW</t>
  </si>
  <si>
    <t>Meerlengtetarief centrale aansluitingen 100 - 1250 kW</t>
  </si>
  <si>
    <t>Meerlengtetarief aansluitingen t/m 100 kW</t>
  </si>
  <si>
    <t>Aansluittarief centrale aansluitingen 100 - 1250 kW</t>
  </si>
  <si>
    <t>Aansluittarief centrale aansluitingen &gt; 1250 kW</t>
  </si>
  <si>
    <t>Aansluittarief aansluitingen t/m 100 kW</t>
  </si>
  <si>
    <t>Gemiddelde kosten 2021 - 2024</t>
  </si>
  <si>
    <t>Gemiddelde kosten 2016 -2024</t>
  </si>
  <si>
    <t>Op dit tabblad worden huurtarieven voor collectieve afleversets (incl. op- en afslagen) berekend. Huurtarieven worden berekend op basis van de werkelijke kosten van afleversets.</t>
  </si>
  <si>
    <t>Huurtarieven individuele afleversets</t>
  </si>
  <si>
    <t>RV (25kW)</t>
  </si>
  <si>
    <t>WTW (CW4)</t>
  </si>
  <si>
    <t>Voor het basistarief voor afleversets RV en WTW gaat de ACM uit van de aanschaf- en installatiekosten van een standaard afleverset (gecombineerd CW4).</t>
  </si>
  <si>
    <t>Aanvullende functionaliteiten voor toets voor significantie</t>
  </si>
  <si>
    <t>Toets voor significantie</t>
  </si>
  <si>
    <t>Tarievenbesluit Coteq gas 2026</t>
  </si>
  <si>
    <t>Tarievenbesluit Enexis gas 2026</t>
  </si>
  <si>
    <t>Tarievenbesluit Liander gas 2026</t>
  </si>
  <si>
    <t>Tarievenbesluit Rendo gas 2026</t>
  </si>
  <si>
    <t>Tarievenbesluit Stedin gas 2026</t>
  </si>
  <si>
    <t>Tarievenbesluit Westland gas 2026</t>
  </si>
  <si>
    <t>Rapport Panteia 2024-2025, Tabel 10</t>
  </si>
  <si>
    <t>Rapport Panteia 2024-2025, Tabel 13</t>
  </si>
  <si>
    <t xml:space="preserve">Panteia, “Inzicht in de kosten voor aanschaf en installatie nieuwe cv-combiketel: Een onderzoek onder Nederlandse consumenten.” Zoetermeer, 16 oktober 2025. </t>
  </si>
  <si>
    <t>Mutatie CPI van medio 2023 naar medio 2020</t>
  </si>
  <si>
    <t>Nominale vermogenskostenvoet</t>
  </si>
  <si>
    <t>Peilmoment september</t>
  </si>
  <si>
    <t>Peilmoment oktober</t>
  </si>
  <si>
    <t>Peilmoment november</t>
  </si>
  <si>
    <t>Rapport Panteia 2024-2025, tabel 4</t>
  </si>
  <si>
    <t>Warmteregeling, artikel 2, lid 2.</t>
  </si>
  <si>
    <t xml:space="preserve">Nominale vermogenskostenvoet </t>
  </si>
  <si>
    <t>CBS, Jaarmutatie CPI</t>
  </si>
  <si>
    <t>Toelichting wijziging warmteregeling 2019</t>
  </si>
  <si>
    <t>Maandelijkse opslag/afslag aanvullende functionaliteit</t>
  </si>
  <si>
    <t>Individueel, gedeeltelijk (koude)</t>
  </si>
  <si>
    <t>Variabel leveringstarief warmte tot 31 GJ</t>
  </si>
  <si>
    <t>Variabel leveringstarief warmte vanaf 31 GJ</t>
  </si>
  <si>
    <t>Belastingplan 2026 | Ministerie van Financiën - Rijksoverheid</t>
  </si>
  <si>
    <t>Tarievenbesluit RENDO gas 2026 | ACM</t>
  </si>
  <si>
    <t>Tarievenbesluit Coteq gas 2026 | ACM</t>
  </si>
  <si>
    <t>Tarievenbesluit Enexis gas 2026 | ACM</t>
  </si>
  <si>
    <t>Tarievenbesluit Liander gas 2026 | ACM</t>
  </si>
  <si>
    <t>Tarievenbesluit Stedin gas 2026 | ACM</t>
  </si>
  <si>
    <t>Tarievenbesluit Westland gas 2026 | ACM</t>
  </si>
  <si>
    <t>Tarievenbesluit meters regionale netbeheerders gas 2026 - ACM.nl</t>
  </si>
  <si>
    <t>Dit bestand betreft bijlage 1 van het tarievenbesluit warmte 2026</t>
  </si>
  <si>
    <t>ACM/UIT/646231</t>
  </si>
  <si>
    <t>Ja</t>
  </si>
  <si>
    <t>ACM tarievenbladen gas 2026</t>
  </si>
  <si>
    <t>Rapport Panteia 2016-2019, tabel 4</t>
  </si>
  <si>
    <t>Rapport Panteia 2020-2021, tabel 4</t>
  </si>
  <si>
    <t>Rapport Panteia 2022-2023, tabel 4</t>
  </si>
  <si>
    <t>Deze rekenmodule bevat alle gegevens die nodig zijn om de leverings- en huurtarieven warmte 2026 te berekenen.</t>
  </si>
  <si>
    <t>https://opendata.cbs.nl/#/CBS/nl/dataset/70936ned/table?dl=CBADA</t>
  </si>
  <si>
    <t>Tarievencode gas art. 2.22.6.b.</t>
  </si>
  <si>
    <t>Definitief, individueel</t>
  </si>
  <si>
    <t>Nee</t>
  </si>
  <si>
    <t>Warmteregeling, artikel 3, lid 2.</t>
  </si>
  <si>
    <t>Warmtebesluit, artikel 3, lid 2 en lid 6.</t>
  </si>
  <si>
    <t>Warmteregeling, artikel 2, lid 3, onderdeel a.</t>
  </si>
  <si>
    <t>Warmteregeling, artikel 2, lid 3, onderdeel b.</t>
  </si>
  <si>
    <t>Warmteregeling, artikel 3a, lid 1, onderdeel a.</t>
  </si>
  <si>
    <t>Warmteregeling, artikel 3a, lid 1, onderdeel b.</t>
  </si>
  <si>
    <t>Warmteregeling, artikel 3, lid 1, onderdeel a.</t>
  </si>
  <si>
    <t>Warmteregeling, artikel 3, lid 1, onderdeel b.</t>
  </si>
  <si>
    <t>Warmteregeling, artikel 3, lid 1, onderdeel c.</t>
  </si>
  <si>
    <t>Warmteregeling, artikel 3, lid 1, onderdeel d.</t>
  </si>
  <si>
    <t>Warmteregeling, artikel 2, lid 4, onderdeel a.</t>
  </si>
  <si>
    <t>Warmtebesluit, artikel 3, lid 5.</t>
  </si>
  <si>
    <t>Warmteregeling, artikel 2, lid 4, onderdeel d, subonderdeel i.</t>
  </si>
  <si>
    <t>Warmteregeling, artikel 2, lid 4, onderdeel b, subonderdeel i.</t>
  </si>
  <si>
    <t>Warmtebesluit, Nota van toelichting, hoofdstuk 2.4.</t>
  </si>
  <si>
    <r>
      <t>Voor huishoudens met een verbruik tussen 500 en 4000 m</t>
    </r>
    <r>
      <rPr>
        <vertAlign val="superscript"/>
        <sz val="10"/>
        <rFont val="Arial"/>
        <family val="2"/>
      </rPr>
      <t>3</t>
    </r>
    <r>
      <rPr>
        <sz val="10"/>
        <rFont val="Arial"/>
        <family val="2"/>
      </rPr>
      <t xml:space="preserve"> gas geldt een rekencapaciteit van 3 (Tarievencode gas art. 2.22.6.b.) Een gemiddeld huishouden verbruikt ongeveer 1500 m</t>
    </r>
    <r>
      <rPr>
        <vertAlign val="superscript"/>
        <sz val="10"/>
        <rFont val="Arial"/>
        <family val="2"/>
      </rPr>
      <t>3</t>
    </r>
    <r>
      <rPr>
        <sz val="10"/>
        <rFont val="Arial"/>
        <family val="2"/>
      </rPr>
      <t xml:space="preserve"> gas. De ACM gaat daarom uit van een rekencapaciteit van 3.</t>
    </r>
  </si>
  <si>
    <t>Warmteregeling artikel 2, lid 4, onderdeel b, subonderdeel i schrijft voor dat onderhoudskosten van 1000kW cv-ketels gelijk zijn aan 3% van de investeringskosten.</t>
  </si>
  <si>
    <t>Formule uit Warmteregeling artikel 2, lid 2.</t>
  </si>
  <si>
    <t>Formule uit Warmtebesluit artikel 3, lid 5.</t>
  </si>
  <si>
    <t>Formule uit Warmtebesluit artikel 4, lid 2.</t>
  </si>
  <si>
    <t>Uit deze parameters volgt dat 1 GJ warmte gelijk is aan 32,68 m3 gas; 1/(η * CVg) = 32,68.</t>
  </si>
  <si>
    <t>Formule uit Warmtebesluit artikel 4, lid 1, onderdeel a en b.</t>
  </si>
  <si>
    <t>Gepubliceerd als bijlage bij tarievenbesluit warmte 2026.</t>
  </si>
  <si>
    <t>Besluit van 10 september 2013, houdende regels ter uitvoering van de Warmtewet (Warmtebesluit).</t>
  </si>
  <si>
    <t>Regeling van de Minister van Economische Zaken van 4 september 2013, nr. WJZ/ 13132689, houdende uitvoering van het Warmtebesluit en de Warmtewet (Warmteregeling).</t>
  </si>
  <si>
    <t>Regeling van de Minister van Economische Zaken en Klimaat van 2 april 2019, nr. WJZ / 19065655, tot wijziging van de Warmteregeling (wegnemen knelpunten n.a.v. evaluatie Warmtewet).</t>
  </si>
  <si>
    <t>Wet van 11 mei 2000 tot vaststelling van de Wet inkomstenbelasting 2001 (Belastingherziening 2001).</t>
  </si>
  <si>
    <t>Kosten van een onderhoudscontract naar aanschafjaar.</t>
  </si>
  <si>
    <t>DNV, "Onderzoek naar de aanschaf- en installatieprijs van een 1000 kW gasketel." Groningen, 8 november 2023.</t>
  </si>
  <si>
    <t>In de tariefbesluiten van voorgaande jaren bepaalde de ACM de CPI aan de hand van de relatieve wijziging van de consumentenprijsindex, berekend uit het quotiënt van deze prijsindex, gepubliceerd in de vierde maand voorafgaand aan het jaar t, en van deze prijsindex, gepubliceerd in de zestiende maand voorgaande aan het jaar t, zoals maandelijks vastgesteld door het Centraal Bureau voor de Statistiek. Voor het bepalen van de maximum leveringstarieven voor het jaar 2026 hanteert de ACM opnieuw deze definitie.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</si>
</sst>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quot;€&quot;\ * #,##0_ ;_ &quot;€&quot;\ * \-#,##0_ ;_ &quot;€&quot;\ * &quot;-&quot;_ ;_ @_ "/>
    <numFmt numFmtId="41" formatCode="_ * #,##0_ ;_ * \-#,##0_ ;_ * &quot;-&quot;_ ;_ @_ "/>
    <numFmt numFmtId="44" formatCode="_ &quot;€&quot;\ * #,##0.00_ ;_ &quot;€&quot;\ * \-#,##0.00_ ;_ &quot;€&quot;\ * &quot;-&quot;??_ ;_ @_ "/>
    <numFmt numFmtId="43" formatCode="_ * #,##0.00_ ;_ * \-#,##0.00_ ;_ * &quot;-&quot;??_ ;_ @_ "/>
    <numFmt numFmtId="164" formatCode="0.0%"/>
    <numFmt numFmtId="165" formatCode="_ * #,##0.00_ ;_ * \-#,##0.00_ ;_ * &quot;-&quot;_ ;_ @_ "/>
    <numFmt numFmtId="166" formatCode="_ * #,##0.0000_ ;_ * \-#,##0.0000_ ;_ * &quot;-&quot;_ ;_ @_ "/>
    <numFmt numFmtId="167" formatCode="_ * #,##0.00000_ ;_ * \-#,##0.00000_ ;_ * &quot;-&quot;_ ;_ @_ "/>
    <numFmt numFmtId="168" formatCode="_ * #,##0.0_ ;_ * \-#,##0.0_ ;_ * &quot;-&quot;_ ;_ @_ "/>
    <numFmt numFmtId="169" formatCode="_ * #,##0_ ;_ * \-#,##0_ ;_ * &quot;-&quot;??_ ;_ @_ "/>
  </numFmts>
  <fonts count="33" x14ac:knownFonts="1">
    <font>
      <sz val="10"/>
      <color theme="1"/>
      <name val="Arial"/>
      <family val="2"/>
    </font>
    <font>
      <sz val="10"/>
      <color theme="1"/>
      <name val="Arial"/>
      <family val="2"/>
    </font>
    <font>
      <sz val="11"/>
      <color rgb="FF006100"/>
      <name val="Calibri"/>
      <family val="2"/>
      <scheme val="minor"/>
    </font>
    <font>
      <sz val="11"/>
      <color rgb="FF9C0006"/>
      <name val="Calibri"/>
      <family val="2"/>
      <scheme val="minor"/>
    </font>
    <font>
      <sz val="11"/>
      <color rgb="FF9C6500"/>
      <name val="Calibri"/>
      <family val="2"/>
      <scheme val="minor"/>
    </font>
    <font>
      <sz val="10"/>
      <name val="Arial"/>
      <family val="2"/>
    </font>
    <font>
      <b/>
      <sz val="10"/>
      <name val="Arial"/>
      <family val="2"/>
    </font>
    <font>
      <sz val="10"/>
      <name val="Arial"/>
      <family val="2"/>
    </font>
    <font>
      <b/>
      <sz val="14"/>
      <color theme="0"/>
      <name val="Arial"/>
      <family val="2"/>
    </font>
    <font>
      <i/>
      <sz val="10"/>
      <name val="Arial"/>
      <family val="2"/>
    </font>
    <font>
      <b/>
      <sz val="10"/>
      <color rgb="FFFF0000"/>
      <name val="Arial"/>
      <family val="2"/>
    </font>
    <font>
      <sz val="8"/>
      <color indexed="81"/>
      <name val="Tahoma"/>
      <family val="2"/>
    </font>
    <font>
      <b/>
      <sz val="10"/>
      <color theme="0"/>
      <name val="Arial"/>
      <family val="2"/>
    </font>
    <font>
      <sz val="10"/>
      <color rgb="FFFF0000"/>
      <name val="Arial"/>
      <family val="2"/>
    </font>
    <font>
      <sz val="11"/>
      <color theme="1"/>
      <name val="Calibri"/>
      <family val="2"/>
      <scheme val="minor"/>
    </font>
    <font>
      <sz val="10"/>
      <color rgb="FF3F3F76"/>
      <name val="Arial"/>
      <family val="2"/>
    </font>
    <font>
      <b/>
      <sz val="10"/>
      <color rgb="FF3F3F3F"/>
      <name val="Arial"/>
      <family val="2"/>
    </font>
    <font>
      <b/>
      <sz val="10"/>
      <color rgb="FFFA7D00"/>
      <name val="Arial"/>
      <family val="2"/>
    </font>
    <font>
      <sz val="10"/>
      <color rgb="FFFA7D00"/>
      <name val="Arial"/>
      <family val="2"/>
    </font>
    <font>
      <u/>
      <sz val="11"/>
      <color theme="10"/>
      <name val="Calibri"/>
      <family val="2"/>
      <scheme val="minor"/>
    </font>
    <font>
      <u/>
      <sz val="10"/>
      <color theme="10"/>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i/>
      <sz val="10"/>
      <color rgb="FF7F7F7F"/>
      <name val="Arial"/>
      <family val="2"/>
    </font>
    <font>
      <b/>
      <sz val="10"/>
      <color theme="1"/>
      <name val="Arial"/>
      <family val="2"/>
    </font>
    <font>
      <sz val="10"/>
      <color theme="0"/>
      <name val="Arial"/>
      <family val="2"/>
    </font>
    <font>
      <u/>
      <sz val="11"/>
      <color theme="11"/>
      <name val="Calibri"/>
      <family val="2"/>
      <scheme val="minor"/>
    </font>
    <font>
      <u/>
      <sz val="10"/>
      <name val="Arial"/>
      <family val="2"/>
    </font>
    <font>
      <sz val="8"/>
      <name val="Arial"/>
      <family val="2"/>
    </font>
    <font>
      <sz val="9"/>
      <color indexed="81"/>
      <name val="Tahoma"/>
      <family val="2"/>
    </font>
    <font>
      <vertAlign val="superscript"/>
      <sz val="10"/>
      <name val="Arial"/>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5F1F7A"/>
        <bgColor indexed="64"/>
      </patternFill>
    </fill>
    <fill>
      <patternFill patternType="solid">
        <fgColor rgb="FFFF00FF"/>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theme="0" tint="-4.9989318521683403E-2"/>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rgb="FFCCC8D9"/>
        <bgColor indexed="64"/>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99FF99"/>
        <bgColor indexed="64"/>
      </patternFill>
    </fill>
    <fill>
      <patternFill patternType="solid">
        <fgColor rgb="FFE1FFE1"/>
        <bgColor indexed="64"/>
      </patternFill>
    </fill>
    <fill>
      <patternFill patternType="solid">
        <fgColor rgb="FFCCCCFF"/>
        <bgColor indexed="64"/>
      </patternFill>
    </fill>
    <fill>
      <patternFill patternType="solid">
        <fgColor theme="0"/>
        <bgColor indexed="64"/>
      </patternFill>
    </fill>
    <fill>
      <patternFill patternType="solid">
        <fgColor theme="1"/>
        <bgColor indexed="64"/>
      </patternFill>
    </fill>
  </fills>
  <borders count="12">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68">
    <xf numFmtId="0" fontId="0" fillId="0" borderId="0">
      <alignment vertical="top"/>
    </xf>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0" borderId="0">
      <alignment vertical="top"/>
    </xf>
    <xf numFmtId="49" fontId="8" fillId="5" borderId="1">
      <alignment vertical="top"/>
    </xf>
    <xf numFmtId="49" fontId="6" fillId="16" borderId="1">
      <alignment vertical="top"/>
    </xf>
    <xf numFmtId="49" fontId="6" fillId="0" borderId="0">
      <alignment vertical="top"/>
    </xf>
    <xf numFmtId="41" fontId="5" fillId="9" borderId="0">
      <alignment vertical="top"/>
    </xf>
    <xf numFmtId="41" fontId="5" fillId="8" borderId="0">
      <alignment vertical="top"/>
    </xf>
    <xf numFmtId="41" fontId="5" fillId="7" borderId="0">
      <alignment vertical="top"/>
    </xf>
    <xf numFmtId="41" fontId="5" fillId="43" borderId="0">
      <alignment vertical="top"/>
    </xf>
    <xf numFmtId="41" fontId="5" fillId="6" borderId="0">
      <alignment vertical="top"/>
    </xf>
    <xf numFmtId="41" fontId="5" fillId="10" borderId="0">
      <alignment vertical="top"/>
    </xf>
    <xf numFmtId="49" fontId="10" fillId="0" borderId="0">
      <alignment vertical="top"/>
    </xf>
    <xf numFmtId="49" fontId="9" fillId="0" borderId="0">
      <alignment vertical="top"/>
    </xf>
    <xf numFmtId="0" fontId="15" fillId="12" borderId="3" applyNumberFormat="0" applyAlignment="0" applyProtection="0"/>
    <xf numFmtId="0" fontId="16" fillId="13" borderId="4" applyNumberFormat="0" applyAlignment="0" applyProtection="0"/>
    <xf numFmtId="0" fontId="17" fillId="13" borderId="3" applyNumberFormat="0" applyAlignment="0" applyProtection="0"/>
    <xf numFmtId="0" fontId="18" fillId="0" borderId="5" applyNumberFormat="0" applyFill="0" applyAlignment="0" applyProtection="0"/>
    <xf numFmtId="0" fontId="12" fillId="14" borderId="6" applyNumberFormat="0" applyAlignment="0" applyProtection="0"/>
    <xf numFmtId="0" fontId="14" fillId="15" borderId="7" applyNumberFormat="0" applyFont="0" applyAlignment="0" applyProtection="0"/>
    <xf numFmtId="0" fontId="19" fillId="0" borderId="0" applyNumberFormat="0" applyFill="0" applyBorder="0" applyAlignment="0" applyProtection="0"/>
    <xf numFmtId="43" fontId="14" fillId="0" borderId="0" applyFont="0" applyFill="0" applyBorder="0" applyAlignment="0" applyProtection="0"/>
    <xf numFmtId="41" fontId="14" fillId="0" borderId="0" applyFont="0" applyFill="0" applyBorder="0" applyAlignment="0" applyProtection="0"/>
    <xf numFmtId="44" fontId="14" fillId="0" borderId="0" applyFont="0" applyFill="0" applyBorder="0" applyAlignment="0" applyProtection="0"/>
    <xf numFmtId="42" fontId="14" fillId="0" borderId="0" applyFont="0" applyFill="0" applyBorder="0" applyAlignment="0" applyProtection="0"/>
    <xf numFmtId="9" fontId="14" fillId="0" borderId="0" applyFont="0" applyFill="0" applyBorder="0" applyAlignment="0" applyProtection="0"/>
    <xf numFmtId="0" fontId="21" fillId="0" borderId="0" applyNumberFormat="0" applyFill="0" applyBorder="0" applyAlignment="0" applyProtection="0"/>
    <xf numFmtId="0" fontId="22" fillId="0" borderId="8" applyNumberFormat="0" applyFill="0" applyAlignment="0" applyProtection="0"/>
    <xf numFmtId="0" fontId="23" fillId="0" borderId="9" applyNumberFormat="0" applyFill="0" applyAlignment="0" applyProtection="0"/>
    <xf numFmtId="0" fontId="24" fillId="0" borderId="10" applyNumberFormat="0" applyFill="0" applyAlignment="0" applyProtection="0"/>
    <xf numFmtId="0" fontId="24" fillId="0" borderId="0" applyNumberFormat="0" applyFill="0" applyBorder="0" applyAlignment="0" applyProtection="0"/>
    <xf numFmtId="0" fontId="13" fillId="0" borderId="0" applyNumberFormat="0" applyFill="0" applyBorder="0" applyAlignment="0" applyProtection="0"/>
    <xf numFmtId="0" fontId="25" fillId="0" borderId="0" applyNumberFormat="0" applyFill="0" applyBorder="0" applyAlignment="0" applyProtection="0"/>
    <xf numFmtId="0" fontId="26" fillId="0" borderId="11" applyNumberFormat="0" applyFill="0" applyAlignment="0" applyProtection="0"/>
    <xf numFmtId="0" fontId="2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27" fillId="40" borderId="0" applyNumberFormat="0" applyBorder="0" applyAlignment="0" applyProtection="0"/>
    <xf numFmtId="0" fontId="28" fillId="0" borderId="0" applyNumberFormat="0" applyFill="0" applyBorder="0" applyAlignment="0" applyProtection="0"/>
    <xf numFmtId="49" fontId="20" fillId="0" borderId="0" applyFill="0" applyBorder="0" applyAlignment="0" applyProtection="0"/>
    <xf numFmtId="43" fontId="5" fillId="41" borderId="0" applyNumberFormat="0">
      <alignment vertical="top"/>
    </xf>
    <xf numFmtId="10" fontId="5" fillId="0" borderId="0" applyFont="0" applyFill="0" applyBorder="0" applyAlignment="0" applyProtection="0">
      <alignment vertical="top"/>
    </xf>
    <xf numFmtId="41" fontId="5" fillId="42" borderId="0">
      <alignment vertical="top"/>
    </xf>
    <xf numFmtId="41" fontId="5" fillId="44" borderId="0">
      <alignment vertical="top"/>
    </xf>
    <xf numFmtId="43" fontId="5" fillId="8" borderId="0" applyFont="0" applyFill="0" applyBorder="0" applyAlignment="0" applyProtection="0">
      <alignment vertical="top"/>
    </xf>
    <xf numFmtId="41" fontId="5" fillId="43" borderId="0">
      <alignment vertical="top"/>
    </xf>
  </cellStyleXfs>
  <cellXfs count="109">
    <xf numFmtId="0" fontId="0" fillId="0" borderId="0" xfId="0">
      <alignment vertical="top"/>
    </xf>
    <xf numFmtId="0" fontId="6" fillId="0" borderId="0" xfId="4" applyFont="1">
      <alignment vertical="top"/>
    </xf>
    <xf numFmtId="0" fontId="5" fillId="0" borderId="0" xfId="4">
      <alignment vertical="top"/>
    </xf>
    <xf numFmtId="0" fontId="7" fillId="0" borderId="0" xfId="4" applyFont="1">
      <alignment vertical="top"/>
    </xf>
    <xf numFmtId="0" fontId="9" fillId="0" borderId="0" xfId="4" applyFont="1">
      <alignment vertical="top"/>
    </xf>
    <xf numFmtId="0" fontId="10" fillId="0" borderId="0" xfId="4" applyFont="1">
      <alignment vertical="top"/>
    </xf>
    <xf numFmtId="0" fontId="5" fillId="0" borderId="2" xfId="4" applyBorder="1">
      <alignment vertical="top"/>
    </xf>
    <xf numFmtId="49" fontId="8" fillId="5" borderId="1" xfId="5">
      <alignment vertical="top"/>
    </xf>
    <xf numFmtId="49" fontId="6" fillId="16" borderId="1" xfId="6">
      <alignment vertical="top"/>
    </xf>
    <xf numFmtId="0" fontId="5" fillId="0" borderId="0" xfId="4" applyFill="1">
      <alignment vertical="top"/>
    </xf>
    <xf numFmtId="0" fontId="7" fillId="0" borderId="2" xfId="4" applyFont="1" applyBorder="1" applyAlignment="1">
      <alignment horizontal="left" vertical="top" wrapText="1"/>
    </xf>
    <xf numFmtId="0" fontId="5" fillId="0" borderId="2" xfId="4" applyBorder="1" applyAlignment="1">
      <alignment horizontal="left" vertical="top" wrapText="1"/>
    </xf>
    <xf numFmtId="0" fontId="10" fillId="0" borderId="0" xfId="4" applyFont="1" applyFill="1">
      <alignment vertical="top"/>
    </xf>
    <xf numFmtId="1" fontId="5" fillId="0" borderId="0" xfId="4" applyNumberFormat="1" applyFill="1">
      <alignment vertical="top"/>
    </xf>
    <xf numFmtId="49" fontId="7" fillId="16" borderId="2" xfId="6" applyFont="1" applyBorder="1">
      <alignment vertical="top"/>
    </xf>
    <xf numFmtId="0" fontId="8" fillId="5" borderId="1" xfId="5" applyNumberFormat="1">
      <alignment vertical="top"/>
    </xf>
    <xf numFmtId="0" fontId="13" fillId="0" borderId="0" xfId="4" applyFont="1">
      <alignment vertical="top"/>
    </xf>
    <xf numFmtId="49" fontId="12" fillId="5" borderId="2" xfId="5" applyFont="1" applyBorder="1">
      <alignment vertical="top"/>
    </xf>
    <xf numFmtId="0" fontId="5" fillId="11" borderId="0" xfId="4" applyFill="1">
      <alignment vertical="top"/>
    </xf>
    <xf numFmtId="49" fontId="7" fillId="16" borderId="0" xfId="6" applyFont="1" applyBorder="1">
      <alignment vertical="top"/>
    </xf>
    <xf numFmtId="0" fontId="5" fillId="0" borderId="0" xfId="4" applyAlignment="1">
      <alignment vertical="top"/>
    </xf>
    <xf numFmtId="0" fontId="5" fillId="0" borderId="0" xfId="4" applyFont="1">
      <alignment vertical="top"/>
    </xf>
    <xf numFmtId="49" fontId="5" fillId="16" borderId="2" xfId="6" applyFont="1" applyBorder="1">
      <alignment vertical="top"/>
    </xf>
    <xf numFmtId="0" fontId="5" fillId="0" borderId="2" xfId="4" applyFont="1" applyBorder="1">
      <alignment vertical="top"/>
    </xf>
    <xf numFmtId="0" fontId="7" fillId="0" borderId="0" xfId="4" applyFont="1" applyFill="1" applyBorder="1" applyAlignment="1">
      <alignment horizontal="left" vertical="top" wrapText="1"/>
    </xf>
    <xf numFmtId="49" fontId="10" fillId="0" borderId="0" xfId="14">
      <alignment vertical="top"/>
    </xf>
    <xf numFmtId="49" fontId="6" fillId="0" borderId="0" xfId="7">
      <alignment vertical="top"/>
    </xf>
    <xf numFmtId="49" fontId="9" fillId="0" borderId="0" xfId="15">
      <alignment vertical="top"/>
    </xf>
    <xf numFmtId="41" fontId="5" fillId="9" borderId="0" xfId="8">
      <alignment vertical="top"/>
    </xf>
    <xf numFmtId="9" fontId="5" fillId="0" borderId="0" xfId="4" applyNumberFormat="1">
      <alignment vertical="top"/>
    </xf>
    <xf numFmtId="41" fontId="5" fillId="7" borderId="0" xfId="10">
      <alignment vertical="top"/>
    </xf>
    <xf numFmtId="41" fontId="5" fillId="43" borderId="0" xfId="11">
      <alignment vertical="top"/>
    </xf>
    <xf numFmtId="0" fontId="5" fillId="0" borderId="2" xfId="4" applyFont="1" applyBorder="1" applyAlignment="1">
      <alignment horizontal="left" vertical="top" wrapText="1"/>
    </xf>
    <xf numFmtId="41" fontId="5" fillId="10" borderId="0" xfId="13">
      <alignment vertical="top"/>
    </xf>
    <xf numFmtId="41" fontId="5" fillId="8" borderId="0" xfId="9">
      <alignment vertical="top"/>
    </xf>
    <xf numFmtId="0" fontId="9" fillId="11" borderId="0" xfId="4" applyFont="1" applyFill="1">
      <alignment vertical="top"/>
    </xf>
    <xf numFmtId="49" fontId="5" fillId="0" borderId="0" xfId="7" applyFont="1">
      <alignment vertical="top"/>
    </xf>
    <xf numFmtId="0" fontId="5" fillId="41" borderId="0" xfId="62" applyNumberFormat="1">
      <alignment vertical="top"/>
    </xf>
    <xf numFmtId="164" fontId="5" fillId="43" borderId="0" xfId="63" applyNumberFormat="1" applyFill="1">
      <alignment vertical="top"/>
    </xf>
    <xf numFmtId="165" fontId="5" fillId="8" borderId="0" xfId="9" applyNumberFormat="1">
      <alignment vertical="top"/>
    </xf>
    <xf numFmtId="9" fontId="5" fillId="43" borderId="0" xfId="63" applyNumberFormat="1" applyFill="1">
      <alignment vertical="top"/>
    </xf>
    <xf numFmtId="165" fontId="5" fillId="43" borderId="0" xfId="11" applyNumberFormat="1">
      <alignment vertical="top"/>
    </xf>
    <xf numFmtId="166" fontId="5" fillId="43" borderId="0" xfId="11" applyNumberFormat="1">
      <alignment vertical="top"/>
    </xf>
    <xf numFmtId="167" fontId="5" fillId="43" borderId="0" xfId="11" applyNumberFormat="1">
      <alignment vertical="top"/>
    </xf>
    <xf numFmtId="165" fontId="5" fillId="0" borderId="0" xfId="4" applyNumberFormat="1">
      <alignment vertical="top"/>
    </xf>
    <xf numFmtId="9" fontId="5" fillId="43" borderId="0" xfId="11" applyNumberFormat="1">
      <alignment vertical="top"/>
    </xf>
    <xf numFmtId="49" fontId="6" fillId="16" borderId="1" xfId="6" applyAlignment="1">
      <alignment horizontal="center" vertical="top" wrapText="1"/>
    </xf>
    <xf numFmtId="49" fontId="6" fillId="16" borderId="1" xfId="6" applyAlignment="1">
      <alignment horizontal="center" vertical="top"/>
    </xf>
    <xf numFmtId="165" fontId="5" fillId="7" borderId="0" xfId="10" applyNumberFormat="1">
      <alignment vertical="top"/>
    </xf>
    <xf numFmtId="168" fontId="5" fillId="8" borderId="0" xfId="9" applyNumberFormat="1">
      <alignment vertical="top"/>
    </xf>
    <xf numFmtId="41" fontId="5" fillId="43" borderId="0" xfId="11" applyNumberFormat="1">
      <alignment vertical="top"/>
    </xf>
    <xf numFmtId="41" fontId="5" fillId="0" borderId="0" xfId="4" applyNumberFormat="1">
      <alignment vertical="top"/>
    </xf>
    <xf numFmtId="49" fontId="6" fillId="16" borderId="1" xfId="6" applyAlignment="1">
      <alignment horizontal="center" vertical="top"/>
    </xf>
    <xf numFmtId="165" fontId="5" fillId="10" borderId="0" xfId="13" applyNumberFormat="1">
      <alignment vertical="top"/>
    </xf>
    <xf numFmtId="41" fontId="5" fillId="10" borderId="0" xfId="13" applyNumberFormat="1">
      <alignment vertical="top"/>
    </xf>
    <xf numFmtId="9" fontId="5" fillId="10" borderId="0" xfId="13" applyNumberFormat="1">
      <alignment vertical="top"/>
    </xf>
    <xf numFmtId="165" fontId="5" fillId="9" borderId="0" xfId="8" applyNumberFormat="1">
      <alignment vertical="top"/>
    </xf>
    <xf numFmtId="43" fontId="5" fillId="0" borderId="0" xfId="4" applyNumberFormat="1">
      <alignment vertical="top"/>
    </xf>
    <xf numFmtId="2" fontId="5" fillId="10" borderId="0" xfId="13" applyNumberFormat="1">
      <alignment vertical="top"/>
    </xf>
    <xf numFmtId="41" fontId="5" fillId="41" borderId="0" xfId="62" applyNumberFormat="1">
      <alignment vertical="top"/>
    </xf>
    <xf numFmtId="167" fontId="5" fillId="10" borderId="0" xfId="13" applyNumberFormat="1">
      <alignment vertical="top"/>
    </xf>
    <xf numFmtId="49" fontId="6" fillId="16" borderId="1" xfId="6" applyAlignment="1">
      <alignment horizontal="center" vertical="top"/>
    </xf>
    <xf numFmtId="165" fontId="5" fillId="41" borderId="0" xfId="62" applyNumberFormat="1">
      <alignment vertical="top"/>
    </xf>
    <xf numFmtId="49" fontId="6" fillId="16" borderId="1" xfId="6" applyFont="1">
      <alignment vertical="top"/>
    </xf>
    <xf numFmtId="0" fontId="26" fillId="45" borderId="0" xfId="0" applyFont="1" applyFill="1" applyAlignment="1"/>
    <xf numFmtId="0" fontId="5" fillId="0" borderId="2" xfId="4" applyBorder="1" applyAlignment="1">
      <alignment vertical="top" wrapText="1"/>
    </xf>
    <xf numFmtId="0" fontId="5" fillId="0" borderId="0" xfId="4" applyFont="1" applyAlignment="1">
      <alignment horizontal="left" vertical="top" wrapText="1"/>
    </xf>
    <xf numFmtId="49" fontId="20" fillId="0" borderId="2" xfId="61" applyBorder="1" applyAlignment="1">
      <alignment vertical="top" wrapText="1"/>
    </xf>
    <xf numFmtId="49" fontId="20" fillId="0" borderId="2" xfId="61" applyBorder="1" applyAlignment="1">
      <alignment vertical="top"/>
    </xf>
    <xf numFmtId="43" fontId="5" fillId="43" borderId="0" xfId="66" applyFill="1">
      <alignment vertical="top"/>
    </xf>
    <xf numFmtId="49" fontId="6" fillId="0" borderId="0" xfId="7" applyFont="1">
      <alignment vertical="top"/>
    </xf>
    <xf numFmtId="2" fontId="5" fillId="8" borderId="0" xfId="9" applyNumberFormat="1">
      <alignment vertical="top"/>
    </xf>
    <xf numFmtId="2" fontId="5" fillId="10" borderId="0" xfId="63" applyNumberFormat="1" applyFill="1">
      <alignment vertical="top"/>
    </xf>
    <xf numFmtId="167" fontId="5" fillId="8" borderId="0" xfId="9" applyNumberFormat="1">
      <alignment vertical="top"/>
    </xf>
    <xf numFmtId="49" fontId="6" fillId="16" borderId="1" xfId="6" applyAlignment="1">
      <alignment horizontal="center" vertical="top"/>
    </xf>
    <xf numFmtId="166" fontId="5" fillId="9" borderId="0" xfId="8" applyNumberFormat="1">
      <alignment vertical="top"/>
    </xf>
    <xf numFmtId="166" fontId="5" fillId="10" borderId="0" xfId="13" applyNumberFormat="1">
      <alignment vertical="top"/>
    </xf>
    <xf numFmtId="166" fontId="5" fillId="0" borderId="0" xfId="4" applyNumberFormat="1">
      <alignment vertical="top"/>
    </xf>
    <xf numFmtId="167" fontId="5" fillId="0" borderId="0" xfId="4" applyNumberFormat="1">
      <alignment vertical="top"/>
    </xf>
    <xf numFmtId="0" fontId="26" fillId="0" borderId="0" xfId="0" applyFont="1">
      <alignment vertical="top"/>
    </xf>
    <xf numFmtId="166" fontId="5" fillId="8" borderId="0" xfId="9" applyNumberFormat="1">
      <alignment vertical="top"/>
    </xf>
    <xf numFmtId="164" fontId="5" fillId="10" borderId="0" xfId="13" applyNumberFormat="1">
      <alignment vertical="top"/>
    </xf>
    <xf numFmtId="43" fontId="5" fillId="8" borderId="0" xfId="66">
      <alignment vertical="top"/>
    </xf>
    <xf numFmtId="43" fontId="5" fillId="0" borderId="0" xfId="66" applyFill="1">
      <alignment vertical="top"/>
    </xf>
    <xf numFmtId="43" fontId="5" fillId="10" borderId="0" xfId="66" applyFill="1">
      <alignment vertical="top"/>
    </xf>
    <xf numFmtId="43" fontId="5" fillId="41" borderId="0" xfId="66" applyFill="1">
      <alignment vertical="top"/>
    </xf>
    <xf numFmtId="43" fontId="5" fillId="9" borderId="0" xfId="66" applyFill="1">
      <alignment vertical="top"/>
    </xf>
    <xf numFmtId="43" fontId="5" fillId="46" borderId="0" xfId="66" applyNumberFormat="1" applyFill="1">
      <alignment vertical="top"/>
    </xf>
    <xf numFmtId="43" fontId="5" fillId="46" borderId="0" xfId="11" applyNumberFormat="1" applyFill="1" applyAlignment="1">
      <alignment horizontal="right" vertical="top"/>
    </xf>
    <xf numFmtId="43" fontId="5" fillId="46" borderId="0" xfId="66" applyFill="1">
      <alignment vertical="top"/>
    </xf>
    <xf numFmtId="41" fontId="5" fillId="46" borderId="0" xfId="11" applyFill="1" applyAlignment="1">
      <alignment horizontal="right" vertical="top"/>
    </xf>
    <xf numFmtId="41" fontId="5" fillId="46" borderId="0" xfId="11" applyFill="1">
      <alignment vertical="top"/>
    </xf>
    <xf numFmtId="165" fontId="5" fillId="46" borderId="0" xfId="11" applyNumberFormat="1" applyFill="1" applyAlignment="1">
      <alignment horizontal="right" vertical="top"/>
    </xf>
    <xf numFmtId="169" fontId="5" fillId="46" borderId="0" xfId="66" applyNumberFormat="1" applyFill="1">
      <alignment vertical="top"/>
    </xf>
    <xf numFmtId="10" fontId="5" fillId="43" borderId="0" xfId="63" applyNumberFormat="1" applyFill="1">
      <alignment vertical="top"/>
    </xf>
    <xf numFmtId="0" fontId="5" fillId="0" borderId="2" xfId="4" applyFill="1" applyBorder="1" applyAlignment="1">
      <alignment vertical="top" wrapText="1"/>
    </xf>
    <xf numFmtId="14" fontId="5" fillId="0" borderId="2" xfId="4" applyNumberFormat="1" applyFill="1" applyBorder="1" applyAlignment="1">
      <alignment horizontal="left" vertical="top" wrapText="1"/>
    </xf>
    <xf numFmtId="0" fontId="5" fillId="0" borderId="2" xfId="4" applyFill="1" applyBorder="1" applyAlignment="1">
      <alignment horizontal="left" vertical="top" wrapText="1"/>
    </xf>
    <xf numFmtId="49" fontId="20" fillId="0" borderId="2" xfId="61" applyFill="1" applyBorder="1" applyAlignment="1">
      <alignment vertical="top" wrapText="1"/>
    </xf>
    <xf numFmtId="10" fontId="5" fillId="10" borderId="0" xfId="13" applyNumberFormat="1">
      <alignment vertical="top"/>
    </xf>
    <xf numFmtId="0" fontId="5" fillId="0" borderId="0" xfId="4" applyFont="1" applyFill="1" applyBorder="1" applyAlignment="1">
      <alignment horizontal="left" vertical="top" wrapText="1"/>
    </xf>
    <xf numFmtId="0" fontId="7" fillId="0" borderId="0" xfId="4" applyFont="1" applyFill="1" applyBorder="1" applyAlignment="1">
      <alignment horizontal="left" vertical="top" wrapText="1"/>
    </xf>
    <xf numFmtId="49" fontId="6" fillId="16" borderId="1" xfId="6" applyAlignment="1">
      <alignment horizontal="center" vertical="top"/>
    </xf>
    <xf numFmtId="0" fontId="5" fillId="0" borderId="0" xfId="4" applyFont="1" applyAlignment="1">
      <alignment horizontal="left" vertical="top" wrapText="1"/>
    </xf>
    <xf numFmtId="0" fontId="5" fillId="0" borderId="0" xfId="4" applyFill="1" applyAlignment="1">
      <alignment horizontal="left" vertical="top" wrapText="1"/>
    </xf>
    <xf numFmtId="49" fontId="6" fillId="0" borderId="0" xfId="7" applyAlignment="1">
      <alignment horizontal="center" vertical="top"/>
    </xf>
    <xf numFmtId="49" fontId="6" fillId="0" borderId="0" xfId="7" applyFont="1" applyAlignment="1">
      <alignment horizontal="center" vertical="top"/>
    </xf>
    <xf numFmtId="49" fontId="5" fillId="0" borderId="0" xfId="7" applyFont="1" applyAlignment="1">
      <alignment horizontal="center" vertical="top"/>
    </xf>
    <xf numFmtId="0" fontId="5" fillId="0" borderId="0" xfId="4" applyAlignment="1">
      <alignment horizontal="left" vertical="top" wrapText="1"/>
    </xf>
  </cellXfs>
  <cellStyles count="68">
    <cellStyle name="_kop1 Bladtitel" xfId="5" xr:uid="{00000000-0005-0000-0000-000000000000}"/>
    <cellStyle name="_kop2 Bloktitel" xfId="6" xr:uid="{00000000-0005-0000-0000-000001000000}"/>
    <cellStyle name="_kop3 Subkop" xfId="7" xr:uid="{00000000-0005-0000-0000-000002000000}"/>
    <cellStyle name="20% - Accent1" xfId="37" builtinId="30" hidden="1"/>
    <cellStyle name="20% - Accent2" xfId="41" builtinId="34" hidden="1"/>
    <cellStyle name="20% - Accent3" xfId="45" builtinId="38" hidden="1"/>
    <cellStyle name="20% - Accent4" xfId="49" builtinId="42" hidden="1"/>
    <cellStyle name="20% - Accent5" xfId="53" builtinId="46" hidden="1"/>
    <cellStyle name="20% - Accent6" xfId="57" builtinId="50" hidden="1"/>
    <cellStyle name="40% - Accent1" xfId="38" builtinId="31" hidden="1"/>
    <cellStyle name="40% - Accent2" xfId="42" builtinId="35" hidden="1"/>
    <cellStyle name="40% - Accent3" xfId="46" builtinId="39" hidden="1"/>
    <cellStyle name="40% - Accent4" xfId="50" builtinId="43" hidden="1"/>
    <cellStyle name="40% - Accent5" xfId="54" builtinId="47" hidden="1"/>
    <cellStyle name="40% - Accent6" xfId="58" builtinId="51" hidden="1"/>
    <cellStyle name="60% - Accent1" xfId="39" builtinId="32" hidden="1"/>
    <cellStyle name="60% - Accent2" xfId="43" builtinId="36" hidden="1"/>
    <cellStyle name="60% - Accent3" xfId="47" builtinId="40" hidden="1"/>
    <cellStyle name="60% - Accent4" xfId="51" builtinId="44" hidden="1"/>
    <cellStyle name="60% - Accent5" xfId="55" builtinId="48" hidden="1"/>
    <cellStyle name="60% - Accent6" xfId="59" builtinId="52" hidden="1"/>
    <cellStyle name="Accent1" xfId="36" builtinId="29" hidden="1"/>
    <cellStyle name="Accent2" xfId="40" builtinId="33" hidden="1"/>
    <cellStyle name="Accent3" xfId="44" builtinId="37" hidden="1"/>
    <cellStyle name="Accent4" xfId="48" builtinId="41" hidden="1"/>
    <cellStyle name="Accent5" xfId="52" builtinId="45" hidden="1"/>
    <cellStyle name="Accent6" xfId="56" builtinId="49" hidden="1"/>
    <cellStyle name="Berekening" xfId="18" builtinId="22" hidden="1"/>
    <cellStyle name="Cel (tussen)resultaat" xfId="8" xr:uid="{00000000-0005-0000-0000-00001C000000}"/>
    <cellStyle name="Cel Berekening" xfId="9" xr:uid="{00000000-0005-0000-0000-00001D000000}"/>
    <cellStyle name="Cel Bijzonderheid" xfId="10" xr:uid="{00000000-0005-0000-0000-00001E000000}"/>
    <cellStyle name="Cel Dataverzoek" xfId="64" xr:uid="{00000000-0005-0000-0000-00001F000000}"/>
    <cellStyle name="Cel Input" xfId="11" xr:uid="{00000000-0005-0000-0000-000020000000}"/>
    <cellStyle name="Cel Input 2 3" xfId="67" xr:uid="{95F94471-9504-4A3E-A5DF-59F616E518CE}"/>
    <cellStyle name="Cel input database" xfId="65" xr:uid="{D3BE9B27-7433-43F4-96C8-5DBCFAF23CCF}"/>
    <cellStyle name="Cel n.v.t. (leeg)" xfId="62" xr:uid="{00000000-0005-0000-0000-000021000000}"/>
    <cellStyle name="Cel PM extern" xfId="12" xr:uid="{00000000-0005-0000-0000-000022000000}"/>
    <cellStyle name="Cel Verwijzing" xfId="13" xr:uid="{00000000-0005-0000-0000-000023000000}"/>
    <cellStyle name="Controlecel" xfId="20" builtinId="23" hidden="1"/>
    <cellStyle name="Gekoppelde cel" xfId="19" builtinId="24" hidden="1"/>
    <cellStyle name="Gevolgde hyperlink" xfId="60" builtinId="9" hidden="1"/>
    <cellStyle name="Goed" xfId="1" builtinId="26" hidden="1"/>
    <cellStyle name="Hyperlink" xfId="22" builtinId="8" hidden="1"/>
    <cellStyle name="Hyperlink" xfId="61" builtinId="8" customBuiltin="1"/>
    <cellStyle name="Invoer" xfId="16" builtinId="20" hidden="1"/>
    <cellStyle name="Komma" xfId="23" builtinId="3" hidden="1"/>
    <cellStyle name="Komma" xfId="66" builtinId="3"/>
    <cellStyle name="Komma [0]" xfId="24" builtinId="6" hidden="1"/>
    <cellStyle name="Kop 1" xfId="29" builtinId="16" hidden="1"/>
    <cellStyle name="Kop 2" xfId="30" builtinId="17" hidden="1"/>
    <cellStyle name="Kop 3" xfId="31" builtinId="18" hidden="1"/>
    <cellStyle name="Kop 4" xfId="32" builtinId="19" hidden="1"/>
    <cellStyle name="Neutraal" xfId="3" builtinId="28" hidden="1"/>
    <cellStyle name="Notitie" xfId="21" builtinId="10" hidden="1"/>
    <cellStyle name="Ongeldig" xfId="2" builtinId="27" hidden="1"/>
    <cellStyle name="Opm. INTERN" xfId="14" xr:uid="{00000000-0005-0000-0000-000035000000}"/>
    <cellStyle name="Procent" xfId="27" builtinId="5" hidden="1"/>
    <cellStyle name="Procent" xfId="63" builtinId="5"/>
    <cellStyle name="Standaard" xfId="0" builtinId="0" customBuiltin="1"/>
    <cellStyle name="Standaard ACM-DE" xfId="4" xr:uid="{00000000-0005-0000-0000-000039000000}"/>
    <cellStyle name="Titel" xfId="28" builtinId="15" hidden="1"/>
    <cellStyle name="Toelichting" xfId="15" xr:uid="{00000000-0005-0000-0000-00003B000000}"/>
    <cellStyle name="Totaal" xfId="35" builtinId="25" hidden="1"/>
    <cellStyle name="Uitvoer" xfId="17" builtinId="21" hidden="1"/>
    <cellStyle name="Valuta" xfId="25" builtinId="4" hidden="1"/>
    <cellStyle name="Valuta [0]" xfId="26" builtinId="7" hidden="1"/>
    <cellStyle name="Verklarende tekst" xfId="34" builtinId="53" hidden="1"/>
    <cellStyle name="Waarschuwingstekst" xfId="33" builtinId="11" hidden="1"/>
  </cellStyles>
  <dxfs count="0"/>
  <tableStyles count="0" defaultTableStyle="TableStyleMedium2" defaultPivotStyle="PivotStyleLight16"/>
  <colors>
    <mruColors>
      <color rgb="FFE1FFE1"/>
      <color rgb="FF99FF99"/>
      <color rgb="FFFFFFCC"/>
      <color rgb="FFCCC8D9"/>
      <color rgb="FFCCFFCC"/>
      <color rgb="FFCCFF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66675</xdr:colOff>
      <xdr:row>3</xdr:row>
      <xdr:rowOff>133351</xdr:rowOff>
    </xdr:from>
    <xdr:to>
      <xdr:col>1</xdr:col>
      <xdr:colOff>1905000</xdr:colOff>
      <xdr:row>10</xdr:row>
      <xdr:rowOff>94480</xdr:rowOff>
    </xdr:to>
    <xdr:pic>
      <xdr:nvPicPr>
        <xdr:cNvPr id="2" name="Afbeelding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57175" y="685801"/>
          <a:ext cx="1838325" cy="109460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rijksfinancien.nl/belastingplan-2026" TargetMode="External"/><Relationship Id="rId13" Type="http://schemas.openxmlformats.org/officeDocument/2006/relationships/hyperlink" Target="https://www.acm.nl/nl/publicaties/tarievenbesluit-stedin-gas-2026" TargetMode="External"/><Relationship Id="rId3" Type="http://schemas.openxmlformats.org/officeDocument/2006/relationships/hyperlink" Target="https://wetten.overheid.nl/BWBR0033862/2025-01-01" TargetMode="External"/><Relationship Id="rId7" Type="http://schemas.openxmlformats.org/officeDocument/2006/relationships/hyperlink" Target="https://wetten.overheid.nl/BWBR0037948/2025-04-04" TargetMode="External"/><Relationship Id="rId12" Type="http://schemas.openxmlformats.org/officeDocument/2006/relationships/hyperlink" Target="https://www.acm.nl/nl/publicaties/tarievenbesluit-liander-gas-2026" TargetMode="External"/><Relationship Id="rId2" Type="http://schemas.openxmlformats.org/officeDocument/2006/relationships/hyperlink" Target="https://wetten.overheid.nl/BWBR0033940/2025-01-01" TargetMode="External"/><Relationship Id="rId16" Type="http://schemas.openxmlformats.org/officeDocument/2006/relationships/printerSettings" Target="../printerSettings/printerSettings3.bin"/><Relationship Id="rId1" Type="http://schemas.openxmlformats.org/officeDocument/2006/relationships/hyperlink" Target="https://opendata.cbs.nl/" TargetMode="External"/><Relationship Id="rId6" Type="http://schemas.openxmlformats.org/officeDocument/2006/relationships/hyperlink" Target="https://wetten.overheid.nl/BWBR0002629/2025-01-01" TargetMode="External"/><Relationship Id="rId11" Type="http://schemas.openxmlformats.org/officeDocument/2006/relationships/hyperlink" Target="https://www.acm.nl/nl/publicaties/tarievenbesluit-enexis-gas-2026" TargetMode="External"/><Relationship Id="rId5" Type="http://schemas.openxmlformats.org/officeDocument/2006/relationships/hyperlink" Target="https://wetten.overheid.nl/BWBR0011353/2025-07-19" TargetMode="External"/><Relationship Id="rId15" Type="http://schemas.openxmlformats.org/officeDocument/2006/relationships/hyperlink" Target="https://www.acm.nl/nl/publicaties/tarievenbesluit-meters-regionale-netbeheerders-gas-2026" TargetMode="External"/><Relationship Id="rId10" Type="http://schemas.openxmlformats.org/officeDocument/2006/relationships/hyperlink" Target="https://www.acm.nl/nl/publicaties/tarievenbesluit-coteq-gas-2026" TargetMode="External"/><Relationship Id="rId4" Type="http://schemas.openxmlformats.org/officeDocument/2006/relationships/hyperlink" Target="https://zoek.officielebekendmakingen.nl/stcrt-2019-19827.html" TargetMode="External"/><Relationship Id="rId9" Type="http://schemas.openxmlformats.org/officeDocument/2006/relationships/hyperlink" Target="https://www.acm.nl/nl/publicaties/tarievenbesluit-rendo-gas-2026" TargetMode="External"/><Relationship Id="rId14" Type="http://schemas.openxmlformats.org/officeDocument/2006/relationships/hyperlink" Target="https://www.acm.nl/nl/publicaties/tarievenbesluit-westland-gas-2026"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8D9"/>
  </sheetPr>
  <dimension ref="B2:E45"/>
  <sheetViews>
    <sheetView showGridLines="0" zoomScale="85" zoomScaleNormal="85" workbookViewId="0">
      <pane ySplit="3" topLeftCell="A4" activePane="bottomLeft" state="frozen"/>
      <selection activeCell="O39" sqref="O39"/>
      <selection pane="bottomLeft" activeCell="C30" sqref="C30:C32"/>
    </sheetView>
  </sheetViews>
  <sheetFormatPr defaultColWidth="9.140625" defaultRowHeight="12.75" x14ac:dyDescent="0.2"/>
  <cols>
    <col min="1" max="1" width="5.7109375" style="2" customWidth="1"/>
    <col min="2" max="2" width="43.7109375" style="2" customWidth="1"/>
    <col min="3" max="3" width="91.85546875" style="2" customWidth="1"/>
    <col min="4" max="4" width="5.7109375" style="2" customWidth="1"/>
    <col min="5" max="16384" width="9.140625" style="2"/>
  </cols>
  <sheetData>
    <row r="2" spans="2:5" s="7" customFormat="1" ht="18" x14ac:dyDescent="0.2">
      <c r="B2" s="7" t="s">
        <v>0</v>
      </c>
    </row>
    <row r="6" spans="2:5" x14ac:dyDescent="0.2">
      <c r="B6" s="3"/>
    </row>
    <row r="13" spans="2:5" s="8" customFormat="1" x14ac:dyDescent="0.2">
      <c r="B13" s="8" t="s">
        <v>1</v>
      </c>
    </row>
    <row r="14" spans="2:5" s="9" customFormat="1" x14ac:dyDescent="0.2"/>
    <row r="15" spans="2:5" x14ac:dyDescent="0.2">
      <c r="B15" s="10" t="s">
        <v>2</v>
      </c>
      <c r="C15" s="11" t="s">
        <v>333</v>
      </c>
      <c r="E15" s="25"/>
    </row>
    <row r="16" spans="2:5" x14ac:dyDescent="0.2">
      <c r="B16" s="10" t="s">
        <v>3</v>
      </c>
      <c r="C16" s="11" t="s">
        <v>334</v>
      </c>
    </row>
    <row r="17" spans="2:3" x14ac:dyDescent="0.2">
      <c r="B17" s="10" t="s">
        <v>4</v>
      </c>
      <c r="C17" s="11"/>
    </row>
    <row r="18" spans="2:3" x14ac:dyDescent="0.2">
      <c r="B18" s="10" t="s">
        <v>5</v>
      </c>
      <c r="C18" s="11" t="s">
        <v>335</v>
      </c>
    </row>
    <row r="19" spans="2:3" x14ac:dyDescent="0.2">
      <c r="B19" s="10" t="s">
        <v>6</v>
      </c>
      <c r="C19" s="11"/>
    </row>
    <row r="20" spans="2:3" x14ac:dyDescent="0.2">
      <c r="B20" s="10" t="s">
        <v>7</v>
      </c>
      <c r="C20" s="11" t="s">
        <v>556</v>
      </c>
    </row>
    <row r="21" spans="2:3" x14ac:dyDescent="0.2">
      <c r="B21" s="10" t="s">
        <v>8</v>
      </c>
      <c r="C21" s="11" t="s">
        <v>348</v>
      </c>
    </row>
    <row r="22" spans="2:3" x14ac:dyDescent="0.2">
      <c r="B22" s="10" t="s">
        <v>9</v>
      </c>
      <c r="C22" s="11" t="s">
        <v>555</v>
      </c>
    </row>
    <row r="26" spans="2:3" s="8" customFormat="1" x14ac:dyDescent="0.2">
      <c r="B26" s="8" t="s">
        <v>10</v>
      </c>
    </row>
    <row r="28" spans="2:3" x14ac:dyDescent="0.2">
      <c r="B28" s="32" t="s">
        <v>55</v>
      </c>
      <c r="C28" s="11" t="s">
        <v>557</v>
      </c>
    </row>
    <row r="29" spans="2:3" ht="25.5" x14ac:dyDescent="0.2">
      <c r="B29" s="32" t="s">
        <v>57</v>
      </c>
      <c r="C29" s="11" t="s">
        <v>557</v>
      </c>
    </row>
    <row r="30" spans="2:3" x14ac:dyDescent="0.2">
      <c r="B30" s="32" t="s">
        <v>56</v>
      </c>
      <c r="C30" s="96">
        <v>45996</v>
      </c>
    </row>
    <row r="31" spans="2:3" ht="25.5" x14ac:dyDescent="0.2">
      <c r="B31" s="32" t="s">
        <v>58</v>
      </c>
      <c r="C31" s="97" t="s">
        <v>557</v>
      </c>
    </row>
    <row r="32" spans="2:3" ht="25.5" x14ac:dyDescent="0.2">
      <c r="B32" s="32" t="s">
        <v>59</v>
      </c>
      <c r="C32" s="97" t="s">
        <v>566</v>
      </c>
    </row>
    <row r="33" spans="2:4" x14ac:dyDescent="0.2">
      <c r="B33" s="10" t="s">
        <v>9</v>
      </c>
      <c r="C33" s="11"/>
    </row>
    <row r="35" spans="2:4" x14ac:dyDescent="0.2">
      <c r="B35" s="100" t="s">
        <v>51</v>
      </c>
      <c r="C35" s="101"/>
      <c r="D35" s="5"/>
    </row>
    <row r="36" spans="2:4" x14ac:dyDescent="0.2">
      <c r="B36" s="24"/>
      <c r="C36" s="24"/>
      <c r="D36" s="5"/>
    </row>
    <row r="38" spans="2:4" s="8" customFormat="1" x14ac:dyDescent="0.2">
      <c r="B38" s="8" t="s">
        <v>11</v>
      </c>
    </row>
    <row r="40" spans="2:4" x14ac:dyDescent="0.2">
      <c r="B40" s="2" t="s">
        <v>47</v>
      </c>
    </row>
    <row r="43" spans="2:4" x14ac:dyDescent="0.2">
      <c r="B43" s="27" t="s">
        <v>60</v>
      </c>
    </row>
    <row r="45" spans="2:4" x14ac:dyDescent="0.2">
      <c r="B45" s="4"/>
    </row>
  </sheetData>
  <mergeCells count="1">
    <mergeCell ref="B35:C35"/>
  </mergeCells>
  <pageMargins left="0.75" right="0.75" top="1" bottom="1" header="0.5" footer="0.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B2:B3"/>
  <sheetViews>
    <sheetView showGridLines="0" zoomScale="85" zoomScaleNormal="85" workbookViewId="0">
      <selection activeCell="L59" sqref="L59"/>
    </sheetView>
  </sheetViews>
  <sheetFormatPr defaultColWidth="9.140625" defaultRowHeight="12.75" x14ac:dyDescent="0.2"/>
  <cols>
    <col min="1" max="1" width="5.7109375" style="18" customWidth="1"/>
    <col min="2" max="16384" width="9.140625" style="18"/>
  </cols>
  <sheetData>
    <row r="2" spans="2:2" x14ac:dyDescent="0.2">
      <c r="B2" s="35" t="s">
        <v>64</v>
      </c>
    </row>
    <row r="3" spans="2:2" x14ac:dyDescent="0.2">
      <c r="B3" s="35" t="s">
        <v>65</v>
      </c>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37BD8-A041-4B17-B330-1F959CBB50D9}">
  <sheetPr>
    <tabColor rgb="FFFFFFCC"/>
  </sheetPr>
  <dimension ref="B2:T48"/>
  <sheetViews>
    <sheetView showGridLines="0" zoomScale="85" zoomScaleNormal="85" workbookViewId="0">
      <pane xSplit="5" ySplit="10" topLeftCell="F11" activePane="bottomRight" state="frozen"/>
      <selection pane="topRight" activeCell="F1" sqref="F1"/>
      <selection pane="bottomLeft" activeCell="A13" sqref="A13"/>
      <selection pane="bottomRight" activeCell="G49" sqref="G49"/>
    </sheetView>
  </sheetViews>
  <sheetFormatPr defaultColWidth="9.140625" defaultRowHeight="12.75" x14ac:dyDescent="0.2"/>
  <cols>
    <col min="1" max="1" width="5.7109375" style="2" customWidth="1"/>
    <col min="2" max="2" width="41.42578125" style="2" customWidth="1"/>
    <col min="3" max="3" width="6.5703125" style="2" customWidth="1"/>
    <col min="4" max="4" width="13.7109375" style="2" customWidth="1"/>
    <col min="5" max="5" width="14.28515625" style="2" customWidth="1"/>
    <col min="6" max="6" width="2.7109375" style="2" customWidth="1"/>
    <col min="7" max="7" width="13.28515625" style="2" customWidth="1"/>
    <col min="8" max="8" width="2.7109375" style="2" customWidth="1"/>
    <col min="9" max="9" width="13.7109375" style="2" customWidth="1"/>
    <col min="10" max="10" width="11.28515625" style="2" customWidth="1"/>
    <col min="11" max="11" width="13.7109375" style="2" customWidth="1"/>
    <col min="12" max="12" width="11.7109375" style="2" customWidth="1"/>
    <col min="13" max="13" width="2.7109375" style="2" customWidth="1"/>
    <col min="14" max="15" width="13.7109375" style="2" customWidth="1"/>
    <col min="16" max="16" width="2.7109375" style="2" customWidth="1"/>
    <col min="17" max="18" width="13.7109375" style="2" customWidth="1"/>
    <col min="19" max="19" width="2.7109375" style="2" customWidth="1"/>
    <col min="20" max="20" width="80.140625" style="2" customWidth="1"/>
    <col min="21" max="27" width="13.7109375" style="2" customWidth="1"/>
    <col min="28" max="16384" width="9.140625" style="2"/>
  </cols>
  <sheetData>
    <row r="2" spans="2:20" s="15" customFormat="1" ht="18" x14ac:dyDescent="0.2">
      <c r="B2" s="15" t="s">
        <v>518</v>
      </c>
    </row>
    <row r="4" spans="2:20" x14ac:dyDescent="0.2">
      <c r="B4" s="26" t="s">
        <v>45</v>
      </c>
    </row>
    <row r="5" spans="2:20" ht="12.75" customHeight="1" x14ac:dyDescent="0.2">
      <c r="B5" s="103" t="s">
        <v>478</v>
      </c>
      <c r="C5" s="103"/>
      <c r="D5" s="103"/>
      <c r="E5" s="103"/>
    </row>
    <row r="6" spans="2:20" x14ac:dyDescent="0.2">
      <c r="B6" s="103"/>
      <c r="C6" s="103"/>
      <c r="D6" s="103"/>
      <c r="E6" s="103"/>
    </row>
    <row r="7" spans="2:20" x14ac:dyDescent="0.2">
      <c r="B7" s="103"/>
      <c r="C7" s="103"/>
      <c r="D7" s="103"/>
      <c r="E7" s="103"/>
    </row>
    <row r="9" spans="2:20" s="8" customFormat="1" x14ac:dyDescent="0.2">
      <c r="B9" s="8" t="s">
        <v>39</v>
      </c>
      <c r="D9" s="8" t="s">
        <v>22</v>
      </c>
      <c r="E9" s="8" t="s">
        <v>67</v>
      </c>
      <c r="G9" s="8" t="s">
        <v>23</v>
      </c>
      <c r="I9" s="8" t="s">
        <v>71</v>
      </c>
      <c r="J9" s="8" t="s">
        <v>72</v>
      </c>
      <c r="K9" s="8" t="s">
        <v>73</v>
      </c>
      <c r="L9" s="8" t="s">
        <v>74</v>
      </c>
      <c r="N9" s="8" t="s">
        <v>519</v>
      </c>
      <c r="O9" s="8" t="s">
        <v>520</v>
      </c>
      <c r="Q9" s="8" t="s">
        <v>248</v>
      </c>
      <c r="R9" s="8" t="s">
        <v>249</v>
      </c>
      <c r="T9" s="8" t="s">
        <v>41</v>
      </c>
    </row>
    <row r="12" spans="2:20" s="8" customFormat="1" x14ac:dyDescent="0.2">
      <c r="B12" s="8" t="s">
        <v>250</v>
      </c>
    </row>
    <row r="14" spans="2:20" x14ac:dyDescent="0.2">
      <c r="B14" s="26" t="s">
        <v>240</v>
      </c>
    </row>
    <row r="15" spans="2:20" x14ac:dyDescent="0.2">
      <c r="B15" s="2" t="s">
        <v>534</v>
      </c>
      <c r="D15" s="2" t="s">
        <v>101</v>
      </c>
      <c r="G15" s="99">
        <f>Parameters!G14</f>
        <v>5.9299999999999999E-2</v>
      </c>
    </row>
    <row r="16" spans="2:20" x14ac:dyDescent="0.2">
      <c r="B16" s="2" t="s">
        <v>123</v>
      </c>
      <c r="D16" s="2" t="s">
        <v>122</v>
      </c>
      <c r="G16" s="33">
        <f>Parameters!G47</f>
        <v>15</v>
      </c>
    </row>
    <row r="17" spans="2:20" x14ac:dyDescent="0.2">
      <c r="B17" s="2" t="s">
        <v>251</v>
      </c>
      <c r="D17" s="2" t="s">
        <v>252</v>
      </c>
      <c r="G17" s="53">
        <f>Parameters!G42</f>
        <v>1</v>
      </c>
    </row>
    <row r="19" spans="2:20" x14ac:dyDescent="0.2">
      <c r="B19" s="1" t="s">
        <v>253</v>
      </c>
    </row>
    <row r="20" spans="2:20" x14ac:dyDescent="0.2">
      <c r="B20" s="2" t="s">
        <v>68</v>
      </c>
      <c r="D20" s="2" t="s">
        <v>69</v>
      </c>
      <c r="E20" s="9" t="s">
        <v>75</v>
      </c>
      <c r="I20" s="84">
        <f>Reguleringsdata!I68</f>
        <v>1575.3698065677013</v>
      </c>
      <c r="J20" s="84">
        <f>Reguleringsdata!J68</f>
        <v>1233.0160999614047</v>
      </c>
      <c r="K20" s="84">
        <f>Reguleringsdata!K68</f>
        <v>1215.3421305375371</v>
      </c>
      <c r="L20" s="84">
        <f>Reguleringsdata!L68</f>
        <v>1145.0280737327189</v>
      </c>
      <c r="M20" s="83"/>
      <c r="N20" s="84">
        <f>Reguleringsdata!J68</f>
        <v>1233.0160999614047</v>
      </c>
      <c r="O20" s="84">
        <f>Reguleringsdata!J68</f>
        <v>1233.0160999614047</v>
      </c>
      <c r="P20" s="83"/>
      <c r="Q20" s="84">
        <f>Reguleringsdata!N68</f>
        <v>337.41966742891225</v>
      </c>
      <c r="R20" s="84">
        <f>Reguleringsdata!G85</f>
        <v>74.671675723178964</v>
      </c>
      <c r="T20" s="2" t="s">
        <v>521</v>
      </c>
    </row>
    <row r="21" spans="2:20" x14ac:dyDescent="0.2">
      <c r="B21" s="2" t="s">
        <v>269</v>
      </c>
      <c r="D21" s="2" t="s">
        <v>69</v>
      </c>
      <c r="E21" s="2" t="s">
        <v>76</v>
      </c>
      <c r="I21" s="85"/>
      <c r="J21" s="84">
        <f>Reguleringsdata!S40</f>
        <v>28.774290436851651</v>
      </c>
      <c r="K21" s="85"/>
      <c r="L21" s="85"/>
      <c r="M21" s="83"/>
      <c r="N21" s="84">
        <f>Reguleringsdata!T40</f>
        <v>33.389151447943512</v>
      </c>
      <c r="O21" s="84">
        <f>Reguleringsdata!T40</f>
        <v>33.389151447943512</v>
      </c>
      <c r="P21" s="83"/>
      <c r="Q21" s="83"/>
      <c r="R21" s="83"/>
    </row>
    <row r="23" spans="2:20" s="8" customFormat="1" x14ac:dyDescent="0.2">
      <c r="B23" s="8" t="s">
        <v>254</v>
      </c>
    </row>
    <row r="25" spans="2:20" x14ac:dyDescent="0.2">
      <c r="B25" s="2" t="s">
        <v>270</v>
      </c>
      <c r="D25" s="2" t="s">
        <v>69</v>
      </c>
      <c r="E25" s="2" t="s">
        <v>76</v>
      </c>
      <c r="I25" s="82">
        <f>I20/G16</f>
        <v>105.02465377118008</v>
      </c>
      <c r="J25" s="82">
        <f>J20/G16</f>
        <v>82.201073330760309</v>
      </c>
      <c r="K25" s="82">
        <f>K20/G16</f>
        <v>81.022808702502473</v>
      </c>
      <c r="L25" s="82">
        <f>L20/G16</f>
        <v>76.335204915514595</v>
      </c>
      <c r="M25" s="83"/>
      <c r="N25" s="82">
        <f>N20/G16</f>
        <v>82.201073330760309</v>
      </c>
      <c r="O25" s="82">
        <f>O20/G16</f>
        <v>82.201073330760309</v>
      </c>
      <c r="P25" s="83"/>
      <c r="Q25" s="82">
        <f>Q20/G16</f>
        <v>22.494644495260818</v>
      </c>
      <c r="R25" s="82">
        <f>R20/G16</f>
        <v>4.9781117148785974</v>
      </c>
    </row>
    <row r="26" spans="2:20" x14ac:dyDescent="0.2">
      <c r="B26" s="2" t="s">
        <v>217</v>
      </c>
      <c r="D26" s="2" t="s">
        <v>122</v>
      </c>
      <c r="G26" s="49">
        <f>G16/2</f>
        <v>7.5</v>
      </c>
      <c r="I26" s="83"/>
      <c r="J26" s="83"/>
      <c r="K26" s="83"/>
      <c r="L26" s="83"/>
      <c r="M26" s="83"/>
      <c r="N26" s="83"/>
      <c r="O26" s="83"/>
      <c r="P26" s="83"/>
      <c r="Q26" s="83"/>
      <c r="R26" s="83"/>
      <c r="T26" s="2" t="s">
        <v>247</v>
      </c>
    </row>
    <row r="27" spans="2:20" x14ac:dyDescent="0.2">
      <c r="B27" s="2" t="s">
        <v>228</v>
      </c>
      <c r="D27" s="2" t="s">
        <v>69</v>
      </c>
      <c r="E27" s="2" t="s">
        <v>76</v>
      </c>
      <c r="I27" s="82">
        <f>I25*G26</f>
        <v>787.68490328385064</v>
      </c>
      <c r="J27" s="82">
        <f>J25*G26</f>
        <v>616.50804998070237</v>
      </c>
      <c r="K27" s="82">
        <f>K25*G26</f>
        <v>607.67106526876853</v>
      </c>
      <c r="L27" s="82">
        <f>L25*G26</f>
        <v>572.51403686635945</v>
      </c>
      <c r="M27" s="83"/>
      <c r="N27" s="82">
        <f>N25*G26</f>
        <v>616.50804998070237</v>
      </c>
      <c r="O27" s="82">
        <f>O25*G26</f>
        <v>616.50804998070237</v>
      </c>
      <c r="P27" s="83"/>
      <c r="Q27" s="82">
        <f>Q25*G26</f>
        <v>168.70983371445612</v>
      </c>
      <c r="R27" s="82">
        <f>R25*G26</f>
        <v>37.335837861589482</v>
      </c>
    </row>
    <row r="28" spans="2:20" x14ac:dyDescent="0.2">
      <c r="B28" s="2" t="s">
        <v>255</v>
      </c>
      <c r="D28" s="2" t="s">
        <v>69</v>
      </c>
      <c r="E28" s="2" t="s">
        <v>76</v>
      </c>
      <c r="I28" s="82">
        <f>I27*G15</f>
        <v>46.70971476473234</v>
      </c>
      <c r="J28" s="82">
        <f>J27*G15</f>
        <v>36.558927363855652</v>
      </c>
      <c r="K28" s="82">
        <f>K27*G15</f>
        <v>36.034894170437973</v>
      </c>
      <c r="L28" s="82">
        <f>L27*G15</f>
        <v>33.950082386175112</v>
      </c>
      <c r="M28" s="83"/>
      <c r="N28" s="82">
        <f>N27*G15</f>
        <v>36.558927363855652</v>
      </c>
      <c r="O28" s="82">
        <f>O27*G15</f>
        <v>36.558927363855652</v>
      </c>
      <c r="P28" s="83"/>
      <c r="Q28" s="82">
        <f>Q27*G15</f>
        <v>10.004493139267248</v>
      </c>
      <c r="R28" s="82">
        <f>R27*G15</f>
        <v>2.214015185192256</v>
      </c>
    </row>
    <row r="29" spans="2:20" x14ac:dyDescent="0.2">
      <c r="B29" s="2" t="s">
        <v>256</v>
      </c>
      <c r="D29" s="2" t="s">
        <v>69</v>
      </c>
      <c r="E29" s="2" t="s">
        <v>76</v>
      </c>
      <c r="I29" s="82">
        <f>I25+I28</f>
        <v>151.73436853591244</v>
      </c>
      <c r="J29" s="82">
        <f>J25+J28</f>
        <v>118.76000069461597</v>
      </c>
      <c r="K29" s="82">
        <f>K25+K28</f>
        <v>117.05770287294044</v>
      </c>
      <c r="L29" s="82">
        <f>L25+L28</f>
        <v>110.28528730168971</v>
      </c>
      <c r="M29" s="83"/>
      <c r="N29" s="82">
        <f>N25+N28</f>
        <v>118.76000069461597</v>
      </c>
      <c r="O29" s="82">
        <f>O25+O28</f>
        <v>118.76000069461597</v>
      </c>
      <c r="P29" s="83"/>
      <c r="Q29" s="82">
        <f>Q25+Q28</f>
        <v>32.499137634528068</v>
      </c>
      <c r="R29" s="82">
        <f>R25+R28</f>
        <v>7.1921269000708534</v>
      </c>
    </row>
    <row r="30" spans="2:20" x14ac:dyDescent="0.2">
      <c r="I30" s="83"/>
      <c r="J30" s="83"/>
      <c r="K30" s="83"/>
      <c r="L30" s="83"/>
      <c r="M30" s="83"/>
      <c r="N30" s="83"/>
      <c r="O30" s="83"/>
      <c r="P30" s="83"/>
      <c r="Q30" s="83"/>
      <c r="R30" s="83"/>
    </row>
    <row r="31" spans="2:20" x14ac:dyDescent="0.2">
      <c r="B31" s="2" t="s">
        <v>257</v>
      </c>
      <c r="D31" s="2" t="s">
        <v>69</v>
      </c>
      <c r="E31" s="2" t="s">
        <v>76</v>
      </c>
      <c r="I31" s="85"/>
      <c r="J31" s="86">
        <f>J29+J21</f>
        <v>147.53429113146763</v>
      </c>
      <c r="K31" s="85"/>
      <c r="L31" s="85"/>
      <c r="M31" s="83"/>
      <c r="N31" s="86">
        <f>N29+N21</f>
        <v>152.14915214255947</v>
      </c>
      <c r="O31" s="86">
        <f>O29+O21</f>
        <v>152.14915214255947</v>
      </c>
      <c r="P31" s="83"/>
      <c r="Q31" s="83"/>
      <c r="R31" s="83"/>
    </row>
    <row r="33" spans="2:20" s="8" customFormat="1" x14ac:dyDescent="0.2">
      <c r="B33" s="8" t="s">
        <v>258</v>
      </c>
    </row>
    <row r="35" spans="2:20" x14ac:dyDescent="0.2">
      <c r="B35" s="1" t="s">
        <v>522</v>
      </c>
    </row>
    <row r="36" spans="2:20" x14ac:dyDescent="0.2">
      <c r="B36" s="2" t="s">
        <v>259</v>
      </c>
      <c r="D36" s="2" t="s">
        <v>69</v>
      </c>
      <c r="E36" s="2" t="s">
        <v>76</v>
      </c>
      <c r="I36" s="82">
        <f>I20-$J20</f>
        <v>342.35370660629656</v>
      </c>
      <c r="J36" s="85"/>
      <c r="K36" s="82">
        <f>K20-$J20</f>
        <v>-17.673969423867675</v>
      </c>
      <c r="L36" s="82">
        <f>L20-$J20</f>
        <v>-87.98802622868584</v>
      </c>
      <c r="M36" s="83"/>
      <c r="N36" s="85"/>
      <c r="O36" s="85"/>
      <c r="P36" s="83"/>
      <c r="Q36" s="84">
        <f t="shared" ref="Q36:R36" si="0">Q20</f>
        <v>337.41966742891225</v>
      </c>
      <c r="R36" s="84">
        <f t="shared" si="0"/>
        <v>74.671675723178964</v>
      </c>
    </row>
    <row r="37" spans="2:20" x14ac:dyDescent="0.2">
      <c r="B37" s="2" t="s">
        <v>260</v>
      </c>
      <c r="D37" s="2" t="s">
        <v>69</v>
      </c>
      <c r="E37" s="2" t="s">
        <v>76</v>
      </c>
      <c r="I37" s="82">
        <f>I29-$J29</f>
        <v>32.97436784129647</v>
      </c>
      <c r="J37" s="85"/>
      <c r="K37" s="82">
        <f>K29-$J29</f>
        <v>-1.7022978216755291</v>
      </c>
      <c r="L37" s="82">
        <f>L29-$J29</f>
        <v>-8.4747133929262617</v>
      </c>
      <c r="M37" s="83"/>
      <c r="N37" s="85"/>
      <c r="O37" s="85"/>
      <c r="P37" s="83"/>
      <c r="Q37" s="84">
        <f t="shared" ref="Q37:R37" si="1">Q29</f>
        <v>32.499137634528068</v>
      </c>
      <c r="R37" s="84">
        <f t="shared" si="1"/>
        <v>7.1921269000708534</v>
      </c>
    </row>
    <row r="38" spans="2:20" x14ac:dyDescent="0.2">
      <c r="I38" s="83"/>
      <c r="J38" s="83"/>
      <c r="K38" s="83"/>
      <c r="L38" s="83"/>
      <c r="M38" s="83"/>
      <c r="N38" s="83"/>
      <c r="O38" s="83"/>
      <c r="P38" s="83"/>
      <c r="Q38" s="83"/>
      <c r="R38" s="83"/>
    </row>
    <row r="39" spans="2:20" x14ac:dyDescent="0.2">
      <c r="B39" s="1" t="s">
        <v>523</v>
      </c>
      <c r="I39" s="83"/>
      <c r="J39" s="83"/>
      <c r="K39" s="83"/>
      <c r="L39" s="83"/>
      <c r="M39" s="83"/>
      <c r="N39" s="83"/>
      <c r="O39" s="83"/>
      <c r="P39" s="83"/>
      <c r="Q39" s="83"/>
      <c r="R39" s="83"/>
    </row>
    <row r="40" spans="2:20" x14ac:dyDescent="0.2">
      <c r="B40" s="2" t="s">
        <v>543</v>
      </c>
      <c r="D40" s="2" t="s">
        <v>69</v>
      </c>
      <c r="I40" s="82">
        <f>I37/12</f>
        <v>2.7478639867747057</v>
      </c>
      <c r="J40" s="85"/>
      <c r="K40" s="82">
        <f>K37/12</f>
        <v>-0.1418581518062941</v>
      </c>
      <c r="L40" s="82">
        <f>L37/12</f>
        <v>-0.70622611607718844</v>
      </c>
      <c r="M40" s="83"/>
      <c r="N40" s="85"/>
      <c r="O40" s="85"/>
      <c r="P40" s="83"/>
      <c r="Q40" s="82">
        <f>Q37/12</f>
        <v>2.7082614695440057</v>
      </c>
      <c r="R40" s="85"/>
      <c r="T40" s="108" t="s">
        <v>268</v>
      </c>
    </row>
    <row r="41" spans="2:20" x14ac:dyDescent="0.2">
      <c r="B41" s="2" t="s">
        <v>261</v>
      </c>
      <c r="D41" s="2" t="s">
        <v>262</v>
      </c>
      <c r="I41" s="34" t="b">
        <f>(I40&lt;$G17)</f>
        <v>0</v>
      </c>
      <c r="J41" s="37"/>
      <c r="K41" s="34" t="b">
        <f>(K40&gt;$G17)</f>
        <v>0</v>
      </c>
      <c r="L41" s="34" t="b">
        <f>(L40&gt;$G17)</f>
        <v>0</v>
      </c>
      <c r="N41" s="37"/>
      <c r="O41" s="37"/>
      <c r="Q41" s="34" t="b">
        <f>(Q40&gt;$G17)</f>
        <v>1</v>
      </c>
      <c r="R41" s="37"/>
      <c r="T41" s="108"/>
    </row>
    <row r="43" spans="2:20" x14ac:dyDescent="0.2">
      <c r="B43" s="1" t="s">
        <v>263</v>
      </c>
    </row>
    <row r="44" spans="2:20" x14ac:dyDescent="0.2">
      <c r="B44" s="2" t="s">
        <v>264</v>
      </c>
      <c r="D44" s="2" t="s">
        <v>69</v>
      </c>
      <c r="I44" s="28">
        <f>I41*I36</f>
        <v>0</v>
      </c>
      <c r="J44" s="37"/>
      <c r="K44" s="28">
        <f>K41*K36</f>
        <v>0</v>
      </c>
      <c r="L44" s="28">
        <f>L41*L36</f>
        <v>0</v>
      </c>
      <c r="N44" s="37"/>
      <c r="O44" s="37"/>
      <c r="Q44" s="86">
        <f>Q41*Q36</f>
        <v>337.41966742891225</v>
      </c>
      <c r="R44" s="86">
        <f>R36</f>
        <v>74.671675723178964</v>
      </c>
    </row>
    <row r="45" spans="2:20" x14ac:dyDescent="0.2">
      <c r="B45" s="2" t="s">
        <v>265</v>
      </c>
      <c r="D45" s="2" t="s">
        <v>69</v>
      </c>
      <c r="I45" s="28">
        <f>I37*I41</f>
        <v>0</v>
      </c>
      <c r="J45" s="37"/>
      <c r="K45" s="28">
        <f>K37*K41</f>
        <v>0</v>
      </c>
      <c r="L45" s="28">
        <f>L37*L41</f>
        <v>0</v>
      </c>
      <c r="N45" s="37"/>
      <c r="O45" s="37"/>
      <c r="Q45" s="86">
        <f>Q37*Q41</f>
        <v>32.499137634528068</v>
      </c>
      <c r="R45" s="86">
        <f>R37</f>
        <v>7.1921269000708534</v>
      </c>
    </row>
    <row r="48" spans="2:20" x14ac:dyDescent="0.2">
      <c r="B48" s="27" t="s">
        <v>60</v>
      </c>
    </row>
  </sheetData>
  <mergeCells count="2">
    <mergeCell ref="T40:T41"/>
    <mergeCell ref="B5:E7"/>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3BA9F-F70B-4B0D-89A5-DD361C970663}">
  <sheetPr>
    <tabColor rgb="FFFFFFCC"/>
  </sheetPr>
  <dimension ref="B2:I80"/>
  <sheetViews>
    <sheetView showGridLines="0" zoomScale="85" zoomScaleNormal="85" workbookViewId="0">
      <pane xSplit="5" ySplit="10" topLeftCell="F11" activePane="bottomRight" state="frozen"/>
      <selection pane="topRight" activeCell="F1" sqref="F1"/>
      <selection pane="bottomLeft" activeCell="A13" sqref="A13"/>
      <selection pane="bottomRight" activeCell="I22" sqref="I22"/>
    </sheetView>
  </sheetViews>
  <sheetFormatPr defaultColWidth="9.140625" defaultRowHeight="12.75" x14ac:dyDescent="0.2"/>
  <cols>
    <col min="1" max="1" width="5.7109375" style="2" customWidth="1"/>
    <col min="2" max="2" width="41.42578125" style="2" customWidth="1"/>
    <col min="3" max="3" width="6.5703125" style="2" customWidth="1"/>
    <col min="4" max="4" width="13.7109375" style="2" customWidth="1"/>
    <col min="5" max="5" width="14.28515625" style="2" customWidth="1"/>
    <col min="6" max="6" width="2.7109375" style="2" customWidth="1"/>
    <col min="7" max="7" width="13.7109375" style="2" customWidth="1"/>
    <col min="8" max="8" width="2.7109375" style="2" customWidth="1"/>
    <col min="9" max="9" width="80.140625" style="2" customWidth="1"/>
    <col min="10" max="16" width="13.7109375" style="2" customWidth="1"/>
    <col min="17" max="16384" width="9.140625" style="2"/>
  </cols>
  <sheetData>
    <row r="2" spans="2:9" s="15" customFormat="1" ht="18" x14ac:dyDescent="0.2">
      <c r="B2" s="15" t="s">
        <v>494</v>
      </c>
    </row>
    <row r="4" spans="2:9" x14ac:dyDescent="0.2">
      <c r="B4" s="26" t="s">
        <v>45</v>
      </c>
    </row>
    <row r="5" spans="2:9" x14ac:dyDescent="0.2">
      <c r="B5" s="103" t="s">
        <v>517</v>
      </c>
      <c r="C5" s="103"/>
      <c r="D5" s="103"/>
      <c r="E5" s="103"/>
    </row>
    <row r="6" spans="2:9" x14ac:dyDescent="0.2">
      <c r="B6" s="103"/>
      <c r="C6" s="103"/>
      <c r="D6" s="103"/>
      <c r="E6" s="103"/>
    </row>
    <row r="7" spans="2:9" x14ac:dyDescent="0.2">
      <c r="B7" s="103"/>
      <c r="C7" s="103"/>
      <c r="D7" s="103"/>
      <c r="E7" s="103"/>
    </row>
    <row r="9" spans="2:9" s="8" customFormat="1" x14ac:dyDescent="0.2">
      <c r="B9" s="8" t="s">
        <v>39</v>
      </c>
      <c r="D9" s="8" t="s">
        <v>22</v>
      </c>
      <c r="E9" s="8" t="s">
        <v>67</v>
      </c>
      <c r="G9" s="8" t="s">
        <v>23</v>
      </c>
      <c r="I9" s="8" t="s">
        <v>41</v>
      </c>
    </row>
    <row r="12" spans="2:9" s="8" customFormat="1" x14ac:dyDescent="0.2">
      <c r="B12" s="8" t="s">
        <v>317</v>
      </c>
    </row>
    <row r="14" spans="2:9" x14ac:dyDescent="0.2">
      <c r="B14" s="26" t="s">
        <v>240</v>
      </c>
    </row>
    <row r="15" spans="2:9" x14ac:dyDescent="0.2">
      <c r="B15" s="2" t="s">
        <v>540</v>
      </c>
      <c r="D15" s="2" t="s">
        <v>101</v>
      </c>
      <c r="G15" s="81">
        <f>Parameters!G14</f>
        <v>5.9299999999999999E-2</v>
      </c>
    </row>
    <row r="16" spans="2:9" x14ac:dyDescent="0.2">
      <c r="B16" s="2" t="s">
        <v>123</v>
      </c>
      <c r="D16" s="2" t="s">
        <v>122</v>
      </c>
      <c r="G16" s="33">
        <f>Parameters!G47</f>
        <v>15</v>
      </c>
    </row>
    <row r="17" spans="2:9" x14ac:dyDescent="0.2">
      <c r="B17" s="2" t="s">
        <v>217</v>
      </c>
      <c r="D17" s="2" t="s">
        <v>122</v>
      </c>
      <c r="G17" s="49">
        <f>G16/2</f>
        <v>7.5</v>
      </c>
      <c r="I17" s="2" t="s">
        <v>247</v>
      </c>
    </row>
    <row r="19" spans="2:9" x14ac:dyDescent="0.2">
      <c r="B19" s="79" t="s">
        <v>472</v>
      </c>
      <c r="C19"/>
      <c r="D19"/>
      <c r="E19"/>
      <c r="G19" s="83"/>
    </row>
    <row r="20" spans="2:9" x14ac:dyDescent="0.2">
      <c r="B20" t="s">
        <v>479</v>
      </c>
      <c r="C20"/>
      <c r="D20" t="s">
        <v>481</v>
      </c>
      <c r="E20" s="2" t="s">
        <v>76</v>
      </c>
      <c r="G20" s="84">
        <f>Reguleringsdata!V40</f>
        <v>687.05963078828233</v>
      </c>
    </row>
    <row r="21" spans="2:9" x14ac:dyDescent="0.2">
      <c r="B21" t="s">
        <v>480</v>
      </c>
      <c r="C21"/>
      <c r="D21" t="s">
        <v>481</v>
      </c>
      <c r="E21" s="2" t="s">
        <v>76</v>
      </c>
      <c r="G21" s="84">
        <f>Reguleringsdata!W40</f>
        <v>710.27226687335849</v>
      </c>
    </row>
    <row r="22" spans="2:9" x14ac:dyDescent="0.2">
      <c r="B22" t="s">
        <v>507</v>
      </c>
      <c r="C22"/>
      <c r="D22" t="s">
        <v>481</v>
      </c>
      <c r="E22" s="2" t="s">
        <v>76</v>
      </c>
      <c r="G22" s="84">
        <f>G21</f>
        <v>710.27226687335849</v>
      </c>
      <c r="I22" s="2" t="s">
        <v>500</v>
      </c>
    </row>
    <row r="23" spans="2:9" x14ac:dyDescent="0.2">
      <c r="B23"/>
      <c r="C23"/>
      <c r="D23"/>
      <c r="E23"/>
      <c r="G23" s="83"/>
    </row>
    <row r="24" spans="2:9" x14ac:dyDescent="0.2">
      <c r="B24" s="79" t="s">
        <v>506</v>
      </c>
      <c r="C24"/>
      <c r="D24"/>
      <c r="E24"/>
      <c r="G24" s="83"/>
    </row>
    <row r="25" spans="2:9" x14ac:dyDescent="0.2">
      <c r="B25" t="s">
        <v>462</v>
      </c>
      <c r="C25"/>
      <c r="D25" t="s">
        <v>481</v>
      </c>
      <c r="E25" s="2" t="s">
        <v>499</v>
      </c>
      <c r="G25" s="84">
        <f>Reguleringsdata!G73</f>
        <v>12392.24</v>
      </c>
    </row>
    <row r="26" spans="2:9" x14ac:dyDescent="0.2">
      <c r="B26" t="s">
        <v>463</v>
      </c>
      <c r="C26"/>
      <c r="D26" t="s">
        <v>481</v>
      </c>
      <c r="E26" s="2" t="s">
        <v>499</v>
      </c>
      <c r="G26" s="84">
        <f>Reguleringsdata!G74</f>
        <v>17705.650000000001</v>
      </c>
    </row>
    <row r="27" spans="2:9" x14ac:dyDescent="0.2">
      <c r="B27" t="s">
        <v>464</v>
      </c>
      <c r="C27"/>
      <c r="D27" t="s">
        <v>481</v>
      </c>
      <c r="E27" s="2" t="s">
        <v>499</v>
      </c>
      <c r="G27" s="84">
        <f>Reguleringsdata!G75</f>
        <v>21162.99</v>
      </c>
    </row>
    <row r="28" spans="2:9" x14ac:dyDescent="0.2">
      <c r="B28" t="s">
        <v>465</v>
      </c>
      <c r="C28"/>
      <c r="D28" t="s">
        <v>481</v>
      </c>
      <c r="E28" s="2" t="s">
        <v>499</v>
      </c>
      <c r="G28" s="84">
        <f>Reguleringsdata!G76</f>
        <v>25525.69</v>
      </c>
    </row>
    <row r="29" spans="2:9" x14ac:dyDescent="0.2">
      <c r="B29" t="s">
        <v>466</v>
      </c>
      <c r="C29"/>
      <c r="D29" t="s">
        <v>481</v>
      </c>
      <c r="E29" s="2" t="s">
        <v>499</v>
      </c>
      <c r="G29" s="84">
        <f>Reguleringsdata!G77</f>
        <v>32342.31</v>
      </c>
    </row>
    <row r="30" spans="2:9" x14ac:dyDescent="0.2">
      <c r="B30" t="s">
        <v>467</v>
      </c>
      <c r="C30"/>
      <c r="D30" t="s">
        <v>481</v>
      </c>
      <c r="E30" s="2" t="s">
        <v>499</v>
      </c>
      <c r="G30" s="84">
        <f>Reguleringsdata!G78</f>
        <v>41576.6</v>
      </c>
    </row>
    <row r="31" spans="2:9" x14ac:dyDescent="0.2">
      <c r="B31" t="s">
        <v>468</v>
      </c>
      <c r="C31"/>
      <c r="D31" t="s">
        <v>481</v>
      </c>
      <c r="E31" s="2" t="s">
        <v>499</v>
      </c>
      <c r="G31" s="84">
        <f>Reguleringsdata!G79</f>
        <v>51478.97</v>
      </c>
    </row>
    <row r="32" spans="2:9" x14ac:dyDescent="0.2">
      <c r="B32" t="s">
        <v>469</v>
      </c>
      <c r="C32"/>
      <c r="D32" t="s">
        <v>481</v>
      </c>
      <c r="E32" s="2" t="s">
        <v>499</v>
      </c>
      <c r="G32" s="84">
        <f>Reguleringsdata!G80</f>
        <v>62091.26</v>
      </c>
    </row>
    <row r="33" spans="2:7" x14ac:dyDescent="0.2">
      <c r="B33" t="s">
        <v>470</v>
      </c>
      <c r="C33"/>
      <c r="D33" t="s">
        <v>481</v>
      </c>
      <c r="E33" s="2" t="s">
        <v>499</v>
      </c>
      <c r="G33" s="84">
        <f>Reguleringsdata!G81</f>
        <v>78672.679999999993</v>
      </c>
    </row>
    <row r="34" spans="2:7" x14ac:dyDescent="0.2">
      <c r="B34" t="s">
        <v>471</v>
      </c>
      <c r="C34"/>
      <c r="D34" t="s">
        <v>481</v>
      </c>
      <c r="E34" s="2" t="s">
        <v>499</v>
      </c>
      <c r="G34" s="84">
        <f>Reguleringsdata!G82</f>
        <v>102810.5</v>
      </c>
    </row>
    <row r="35" spans="2:7" x14ac:dyDescent="0.2">
      <c r="B35"/>
      <c r="C35"/>
      <c r="D35"/>
      <c r="E35"/>
      <c r="G35" s="83"/>
    </row>
    <row r="36" spans="2:7" x14ac:dyDescent="0.2">
      <c r="B36" s="79" t="s">
        <v>482</v>
      </c>
      <c r="C36"/>
      <c r="D36"/>
      <c r="E36"/>
    </row>
    <row r="37" spans="2:7" x14ac:dyDescent="0.2">
      <c r="B37" t="s">
        <v>483</v>
      </c>
      <c r="C37"/>
      <c r="D37" t="s">
        <v>481</v>
      </c>
      <c r="E37" s="2" t="s">
        <v>499</v>
      </c>
      <c r="G37" s="82">
        <f t="shared" ref="G37:G46" si="0">G25/$G$16+G25*($G$17/$G$16)*$G$15</f>
        <v>1193.5792493333333</v>
      </c>
    </row>
    <row r="38" spans="2:7" x14ac:dyDescent="0.2">
      <c r="B38" t="s">
        <v>484</v>
      </c>
      <c r="C38"/>
      <c r="D38" t="s">
        <v>481</v>
      </c>
      <c r="E38" s="2" t="s">
        <v>499</v>
      </c>
      <c r="G38" s="82">
        <f t="shared" si="0"/>
        <v>1705.3491891666667</v>
      </c>
    </row>
    <row r="39" spans="2:7" x14ac:dyDescent="0.2">
      <c r="B39" t="s">
        <v>485</v>
      </c>
      <c r="C39"/>
      <c r="D39" t="s">
        <v>481</v>
      </c>
      <c r="E39" s="2" t="s">
        <v>499</v>
      </c>
      <c r="G39" s="82">
        <f t="shared" si="0"/>
        <v>2038.3486535000002</v>
      </c>
    </row>
    <row r="40" spans="2:7" x14ac:dyDescent="0.2">
      <c r="B40" t="s">
        <v>486</v>
      </c>
      <c r="C40"/>
      <c r="D40" t="s">
        <v>481</v>
      </c>
      <c r="E40" s="2" t="s">
        <v>499</v>
      </c>
      <c r="G40" s="82">
        <f t="shared" si="0"/>
        <v>2458.5493751666663</v>
      </c>
    </row>
    <row r="41" spans="2:7" x14ac:dyDescent="0.2">
      <c r="B41" t="s">
        <v>487</v>
      </c>
      <c r="C41"/>
      <c r="D41" t="s">
        <v>481</v>
      </c>
      <c r="E41" s="2" t="s">
        <v>499</v>
      </c>
      <c r="G41" s="82">
        <f t="shared" si="0"/>
        <v>3115.1034915</v>
      </c>
    </row>
    <row r="42" spans="2:7" x14ac:dyDescent="0.2">
      <c r="B42" t="s">
        <v>488</v>
      </c>
      <c r="C42"/>
      <c r="D42" t="s">
        <v>481</v>
      </c>
      <c r="E42" s="2" t="s">
        <v>499</v>
      </c>
      <c r="G42" s="82">
        <f t="shared" si="0"/>
        <v>4004.5195233333329</v>
      </c>
    </row>
    <row r="43" spans="2:7" x14ac:dyDescent="0.2">
      <c r="B43" t="s">
        <v>489</v>
      </c>
      <c r="C43"/>
      <c r="D43" t="s">
        <v>481</v>
      </c>
      <c r="E43" s="2" t="s">
        <v>499</v>
      </c>
      <c r="G43" s="82">
        <f t="shared" si="0"/>
        <v>4958.2827938333339</v>
      </c>
    </row>
    <row r="44" spans="2:7" x14ac:dyDescent="0.2">
      <c r="B44" t="s">
        <v>490</v>
      </c>
      <c r="C44"/>
      <c r="D44" t="s">
        <v>481</v>
      </c>
      <c r="E44" s="2" t="s">
        <v>499</v>
      </c>
      <c r="G44" s="82">
        <f t="shared" si="0"/>
        <v>5980.4231923333336</v>
      </c>
    </row>
    <row r="45" spans="2:7" x14ac:dyDescent="0.2">
      <c r="B45" t="s">
        <v>491</v>
      </c>
      <c r="C45"/>
      <c r="D45" t="s">
        <v>481</v>
      </c>
      <c r="E45" s="2" t="s">
        <v>499</v>
      </c>
      <c r="G45" s="82">
        <f t="shared" si="0"/>
        <v>7577.4902953333331</v>
      </c>
    </row>
    <row r="46" spans="2:7" x14ac:dyDescent="0.2">
      <c r="B46" t="s">
        <v>492</v>
      </c>
      <c r="C46"/>
      <c r="D46" t="s">
        <v>481</v>
      </c>
      <c r="E46" s="2" t="s">
        <v>499</v>
      </c>
      <c r="G46" s="82">
        <f t="shared" si="0"/>
        <v>9902.3646583333339</v>
      </c>
    </row>
    <row r="47" spans="2:7" x14ac:dyDescent="0.2">
      <c r="B47"/>
      <c r="C47"/>
      <c r="D47"/>
      <c r="E47"/>
      <c r="G47" s="83"/>
    </row>
    <row r="48" spans="2:7" s="8" customFormat="1" x14ac:dyDescent="0.2">
      <c r="B48" s="8" t="s">
        <v>493</v>
      </c>
    </row>
    <row r="49" spans="2:7" x14ac:dyDescent="0.2">
      <c r="B49"/>
      <c r="C49"/>
      <c r="D49"/>
      <c r="E49"/>
    </row>
    <row r="50" spans="2:7" x14ac:dyDescent="0.2">
      <c r="B50" s="79" t="s">
        <v>494</v>
      </c>
      <c r="C50"/>
      <c r="D50"/>
      <c r="E50"/>
    </row>
    <row r="51" spans="2:7" x14ac:dyDescent="0.2">
      <c r="B51" t="s">
        <v>495</v>
      </c>
      <c r="C51"/>
      <c r="D51" t="s">
        <v>481</v>
      </c>
      <c r="E51" s="2" t="s">
        <v>76</v>
      </c>
      <c r="G51" s="86">
        <f>G20+G39</f>
        <v>2725.4082842882826</v>
      </c>
    </row>
    <row r="52" spans="2:7" x14ac:dyDescent="0.2">
      <c r="B52" t="s">
        <v>496</v>
      </c>
      <c r="C52"/>
      <c r="D52" t="s">
        <v>481</v>
      </c>
      <c r="E52" s="2" t="s">
        <v>76</v>
      </c>
      <c r="G52" s="86">
        <f>G21+G39</f>
        <v>2748.6209203733588</v>
      </c>
    </row>
    <row r="53" spans="2:7" x14ac:dyDescent="0.2">
      <c r="B53" t="s">
        <v>497</v>
      </c>
      <c r="C53"/>
      <c r="D53" t="s">
        <v>481</v>
      </c>
      <c r="E53" s="2" t="s">
        <v>76</v>
      </c>
      <c r="G53" s="86">
        <f>G22+G39</f>
        <v>2748.6209203733588</v>
      </c>
    </row>
    <row r="54" spans="2:7" x14ac:dyDescent="0.2">
      <c r="B54"/>
      <c r="C54"/>
      <c r="D54"/>
      <c r="E54"/>
    </row>
    <row r="55" spans="2:7" x14ac:dyDescent="0.2">
      <c r="B55" s="79" t="s">
        <v>498</v>
      </c>
      <c r="C55"/>
      <c r="D55"/>
      <c r="E55"/>
    </row>
    <row r="56" spans="2:7" x14ac:dyDescent="0.2">
      <c r="B56" t="s">
        <v>483</v>
      </c>
      <c r="C56"/>
      <c r="D56" t="s">
        <v>481</v>
      </c>
      <c r="E56" s="2" t="s">
        <v>76</v>
      </c>
      <c r="G56" s="86">
        <f>G37-G$39</f>
        <v>-844.76940416666685</v>
      </c>
    </row>
    <row r="57" spans="2:7" x14ac:dyDescent="0.2">
      <c r="B57" t="s">
        <v>484</v>
      </c>
      <c r="C57"/>
      <c r="D57" t="s">
        <v>481</v>
      </c>
      <c r="E57" s="2" t="s">
        <v>76</v>
      </c>
      <c r="G57" s="86">
        <f>G38-G$39</f>
        <v>-332.99946433333344</v>
      </c>
    </row>
    <row r="58" spans="2:7" x14ac:dyDescent="0.2">
      <c r="B58" t="s">
        <v>485</v>
      </c>
      <c r="C58"/>
      <c r="D58" t="s">
        <v>481</v>
      </c>
      <c r="E58" s="2" t="s">
        <v>76</v>
      </c>
      <c r="G58" s="85"/>
    </row>
    <row r="59" spans="2:7" x14ac:dyDescent="0.2">
      <c r="B59" t="s">
        <v>486</v>
      </c>
      <c r="C59"/>
      <c r="D59" t="s">
        <v>481</v>
      </c>
      <c r="E59" s="2" t="s">
        <v>76</v>
      </c>
      <c r="G59" s="86">
        <f t="shared" ref="G59:G65" si="1">G40-G$39</f>
        <v>420.20072166666614</v>
      </c>
    </row>
    <row r="60" spans="2:7" x14ac:dyDescent="0.2">
      <c r="B60" t="s">
        <v>487</v>
      </c>
      <c r="C60"/>
      <c r="D60" t="s">
        <v>481</v>
      </c>
      <c r="E60" s="2" t="s">
        <v>76</v>
      </c>
      <c r="G60" s="86">
        <f t="shared" si="1"/>
        <v>1076.7548379999998</v>
      </c>
    </row>
    <row r="61" spans="2:7" x14ac:dyDescent="0.2">
      <c r="B61" t="s">
        <v>488</v>
      </c>
      <c r="C61"/>
      <c r="D61" t="s">
        <v>481</v>
      </c>
      <c r="E61" s="2" t="s">
        <v>76</v>
      </c>
      <c r="G61" s="86">
        <f t="shared" si="1"/>
        <v>1966.1708698333327</v>
      </c>
    </row>
    <row r="62" spans="2:7" x14ac:dyDescent="0.2">
      <c r="B62" t="s">
        <v>489</v>
      </c>
      <c r="C62"/>
      <c r="D62" t="s">
        <v>481</v>
      </c>
      <c r="E62" s="2" t="s">
        <v>76</v>
      </c>
      <c r="G62" s="86">
        <f t="shared" si="1"/>
        <v>2919.9341403333337</v>
      </c>
    </row>
    <row r="63" spans="2:7" x14ac:dyDescent="0.2">
      <c r="B63" t="s">
        <v>490</v>
      </c>
      <c r="C63"/>
      <c r="D63" t="s">
        <v>481</v>
      </c>
      <c r="E63" s="2" t="s">
        <v>76</v>
      </c>
      <c r="G63" s="86">
        <f t="shared" si="1"/>
        <v>3942.0745388333335</v>
      </c>
    </row>
    <row r="64" spans="2:7" x14ac:dyDescent="0.2">
      <c r="B64" t="s">
        <v>491</v>
      </c>
      <c r="C64"/>
      <c r="D64" t="s">
        <v>481</v>
      </c>
      <c r="E64" s="2" t="s">
        <v>76</v>
      </c>
      <c r="G64" s="86">
        <f t="shared" si="1"/>
        <v>5539.1416418333329</v>
      </c>
    </row>
    <row r="65" spans="2:7" x14ac:dyDescent="0.2">
      <c r="B65" t="s">
        <v>492</v>
      </c>
      <c r="C65"/>
      <c r="D65" t="s">
        <v>481</v>
      </c>
      <c r="E65" s="2" t="s">
        <v>76</v>
      </c>
      <c r="G65" s="86">
        <f t="shared" si="1"/>
        <v>7864.0160048333337</v>
      </c>
    </row>
    <row r="66" spans="2:7" x14ac:dyDescent="0.2">
      <c r="B66"/>
      <c r="C66"/>
      <c r="D66"/>
      <c r="E66"/>
      <c r="G66" s="83"/>
    </row>
    <row r="67" spans="2:7" x14ac:dyDescent="0.2">
      <c r="B67" s="79" t="s">
        <v>505</v>
      </c>
      <c r="C67"/>
      <c r="D67"/>
      <c r="E67"/>
      <c r="G67" s="83"/>
    </row>
    <row r="68" spans="2:7" x14ac:dyDescent="0.2">
      <c r="B68" t="s">
        <v>483</v>
      </c>
      <c r="C68"/>
      <c r="D68" t="s">
        <v>481</v>
      </c>
      <c r="E68" s="2" t="s">
        <v>76</v>
      </c>
      <c r="G68" s="86">
        <f>G25-G$27</f>
        <v>-8770.7500000000018</v>
      </c>
    </row>
    <row r="69" spans="2:7" x14ac:dyDescent="0.2">
      <c r="B69" t="s">
        <v>484</v>
      </c>
      <c r="C69"/>
      <c r="D69" t="s">
        <v>481</v>
      </c>
      <c r="E69" s="2" t="s">
        <v>76</v>
      </c>
      <c r="G69" s="86">
        <f>G26-G$27</f>
        <v>-3457.34</v>
      </c>
    </row>
    <row r="70" spans="2:7" x14ac:dyDescent="0.2">
      <c r="B70" t="s">
        <v>485</v>
      </c>
      <c r="C70"/>
      <c r="D70" t="s">
        <v>481</v>
      </c>
      <c r="E70" s="2" t="s">
        <v>76</v>
      </c>
      <c r="G70" s="85"/>
    </row>
    <row r="71" spans="2:7" x14ac:dyDescent="0.2">
      <c r="B71" t="s">
        <v>486</v>
      </c>
      <c r="C71"/>
      <c r="D71" t="s">
        <v>481</v>
      </c>
      <c r="E71" s="2" t="s">
        <v>76</v>
      </c>
      <c r="G71" s="86">
        <f t="shared" ref="G71:G77" si="2">G28-G$27</f>
        <v>4362.6999999999971</v>
      </c>
    </row>
    <row r="72" spans="2:7" x14ac:dyDescent="0.2">
      <c r="B72" t="s">
        <v>487</v>
      </c>
      <c r="C72"/>
      <c r="D72" t="s">
        <v>481</v>
      </c>
      <c r="E72" s="2" t="s">
        <v>76</v>
      </c>
      <c r="G72" s="86">
        <f t="shared" si="2"/>
        <v>11179.32</v>
      </c>
    </row>
    <row r="73" spans="2:7" x14ac:dyDescent="0.2">
      <c r="B73" t="s">
        <v>488</v>
      </c>
      <c r="C73"/>
      <c r="D73" t="s">
        <v>481</v>
      </c>
      <c r="E73" s="2" t="s">
        <v>76</v>
      </c>
      <c r="G73" s="86">
        <f t="shared" si="2"/>
        <v>20413.609999999997</v>
      </c>
    </row>
    <row r="74" spans="2:7" x14ac:dyDescent="0.2">
      <c r="B74" t="s">
        <v>489</v>
      </c>
      <c r="C74"/>
      <c r="D74" t="s">
        <v>481</v>
      </c>
      <c r="E74" s="2" t="s">
        <v>76</v>
      </c>
      <c r="G74" s="86">
        <f t="shared" si="2"/>
        <v>30315.98</v>
      </c>
    </row>
    <row r="75" spans="2:7" x14ac:dyDescent="0.2">
      <c r="B75" t="s">
        <v>490</v>
      </c>
      <c r="C75"/>
      <c r="D75" t="s">
        <v>481</v>
      </c>
      <c r="E75" s="2" t="s">
        <v>76</v>
      </c>
      <c r="G75" s="86">
        <f t="shared" si="2"/>
        <v>40928.270000000004</v>
      </c>
    </row>
    <row r="76" spans="2:7" x14ac:dyDescent="0.2">
      <c r="B76" t="s">
        <v>491</v>
      </c>
      <c r="C76"/>
      <c r="D76" t="s">
        <v>481</v>
      </c>
      <c r="E76" s="2" t="s">
        <v>76</v>
      </c>
      <c r="G76" s="86">
        <f t="shared" si="2"/>
        <v>57509.689999999988</v>
      </c>
    </row>
    <row r="77" spans="2:7" x14ac:dyDescent="0.2">
      <c r="B77" t="s">
        <v>492</v>
      </c>
      <c r="C77"/>
      <c r="D77" t="s">
        <v>481</v>
      </c>
      <c r="E77" s="2" t="s">
        <v>76</v>
      </c>
      <c r="G77" s="86">
        <f t="shared" si="2"/>
        <v>81647.509999999995</v>
      </c>
    </row>
    <row r="78" spans="2:7" x14ac:dyDescent="0.2">
      <c r="B78"/>
      <c r="C78"/>
      <c r="D78"/>
      <c r="E78"/>
      <c r="G78" s="83"/>
    </row>
    <row r="79" spans="2:7" x14ac:dyDescent="0.2">
      <c r="B79"/>
      <c r="C79"/>
      <c r="D79"/>
      <c r="E79"/>
    </row>
    <row r="80" spans="2:7" x14ac:dyDescent="0.2">
      <c r="B80" s="27" t="s">
        <v>60</v>
      </c>
      <c r="C80"/>
      <c r="D80"/>
      <c r="E80"/>
    </row>
  </sheetData>
  <mergeCells count="1">
    <mergeCell ref="B5:E7"/>
  </mergeCells>
  <phoneticPr fontId="30" type="noConversion"/>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888DB-393B-4044-810A-5DEFA5F32A7D}">
  <sheetPr>
    <tabColor rgb="FFFFFFCC"/>
  </sheetPr>
  <dimension ref="B2:O48"/>
  <sheetViews>
    <sheetView showGridLines="0" zoomScale="85" zoomScaleNormal="85" workbookViewId="0">
      <pane xSplit="5" ySplit="9" topLeftCell="F10" activePane="bottomRight" state="frozen"/>
      <selection activeCell="B6" sqref="B6"/>
      <selection pane="topRight" activeCell="B6" sqref="B6"/>
      <selection pane="bottomLeft" activeCell="B6" sqref="B6"/>
      <selection pane="bottomRight" activeCell="O16" sqref="O16:O17"/>
    </sheetView>
  </sheetViews>
  <sheetFormatPr defaultColWidth="9.140625" defaultRowHeight="12.75" x14ac:dyDescent="0.2"/>
  <cols>
    <col min="1" max="1" width="5.7109375" style="2" customWidth="1"/>
    <col min="2" max="2" width="41.42578125" style="2" customWidth="1"/>
    <col min="3" max="3" width="5.7109375" style="2" customWidth="1"/>
    <col min="4" max="4" width="21.7109375" style="2" customWidth="1"/>
    <col min="5" max="5" width="12.5703125" style="2" customWidth="1"/>
    <col min="6" max="6" width="2.7109375" style="2" customWidth="1"/>
    <col min="7" max="7" width="13.7109375" style="2" customWidth="1"/>
    <col min="8" max="8" width="2.7109375" style="2" customWidth="1"/>
    <col min="9" max="10" width="15.7109375" style="2" customWidth="1"/>
    <col min="11" max="11" width="2.7109375" style="2" customWidth="1"/>
    <col min="12" max="13" width="15.7109375" style="2" customWidth="1"/>
    <col min="14" max="14" width="2.7109375" style="2" customWidth="1"/>
    <col min="15" max="15" width="133.42578125" style="2" customWidth="1"/>
    <col min="16" max="16" width="2.7109375" style="2" customWidth="1"/>
    <col min="17" max="31" width="13.7109375" style="2" customWidth="1"/>
    <col min="32" max="16384" width="9.140625" style="2"/>
  </cols>
  <sheetData>
    <row r="2" spans="2:15" s="15" customFormat="1" ht="18" x14ac:dyDescent="0.2">
      <c r="B2" s="15" t="s">
        <v>370</v>
      </c>
    </row>
    <row r="4" spans="2:15" x14ac:dyDescent="0.2">
      <c r="B4" s="26" t="s">
        <v>45</v>
      </c>
    </row>
    <row r="5" spans="2:15" x14ac:dyDescent="0.2">
      <c r="B5" s="21" t="s">
        <v>371</v>
      </c>
      <c r="G5" s="16"/>
    </row>
    <row r="6" spans="2:15" x14ac:dyDescent="0.2">
      <c r="B6" s="21" t="s">
        <v>372</v>
      </c>
      <c r="G6" s="16"/>
    </row>
    <row r="8" spans="2:15" s="8" customFormat="1" ht="25.5" customHeight="1" x14ac:dyDescent="0.2">
      <c r="B8" s="8" t="s">
        <v>39</v>
      </c>
      <c r="D8" s="8" t="s">
        <v>22</v>
      </c>
      <c r="E8" s="8" t="s">
        <v>67</v>
      </c>
      <c r="G8" s="8" t="s">
        <v>23</v>
      </c>
      <c r="I8" s="46" t="s">
        <v>275</v>
      </c>
      <c r="J8" s="46" t="s">
        <v>276</v>
      </c>
      <c r="K8" s="52"/>
      <c r="L8" s="46" t="s">
        <v>277</v>
      </c>
      <c r="M8" s="46" t="s">
        <v>278</v>
      </c>
      <c r="N8" s="52"/>
      <c r="O8" s="8" t="s">
        <v>41</v>
      </c>
    </row>
    <row r="11" spans="2:15" s="8" customFormat="1" x14ac:dyDescent="0.2">
      <c r="B11" s="8" t="s">
        <v>281</v>
      </c>
    </row>
    <row r="13" spans="2:15" x14ac:dyDescent="0.2">
      <c r="B13" s="1" t="s">
        <v>450</v>
      </c>
    </row>
    <row r="14" spans="2:15" x14ac:dyDescent="0.2">
      <c r="B14" s="2" t="s">
        <v>405</v>
      </c>
      <c r="D14" s="2" t="s">
        <v>102</v>
      </c>
      <c r="G14" s="72">
        <f>Parameters!G28</f>
        <v>1.2580794662912</v>
      </c>
    </row>
    <row r="15" spans="2:15" x14ac:dyDescent="0.2">
      <c r="B15" s="2" t="s">
        <v>211</v>
      </c>
      <c r="D15" s="2" t="s">
        <v>102</v>
      </c>
      <c r="G15" s="72">
        <f>Parameters!G29</f>
        <v>1.2285932288000003</v>
      </c>
    </row>
    <row r="16" spans="2:15" x14ac:dyDescent="0.2">
      <c r="B16" s="2" t="s">
        <v>212</v>
      </c>
      <c r="D16" s="2" t="s">
        <v>102</v>
      </c>
      <c r="G16" s="72">
        <f>Parameters!G30</f>
        <v>1.09695824</v>
      </c>
    </row>
    <row r="17" spans="2:13" x14ac:dyDescent="0.2">
      <c r="B17" s="2" t="s">
        <v>451</v>
      </c>
      <c r="D17" s="2" t="s">
        <v>102</v>
      </c>
      <c r="G17" s="72">
        <f>Parameters!G31</f>
        <v>1.065008</v>
      </c>
    </row>
    <row r="19" spans="2:13" x14ac:dyDescent="0.2">
      <c r="B19" s="1" t="s">
        <v>279</v>
      </c>
      <c r="I19" s="106"/>
      <c r="J19" s="106"/>
      <c r="L19" s="106"/>
      <c r="M19" s="106"/>
    </row>
    <row r="20" spans="2:13" x14ac:dyDescent="0.2">
      <c r="B20" s="2" t="s">
        <v>322</v>
      </c>
      <c r="E20" s="2" t="s">
        <v>178</v>
      </c>
      <c r="I20" s="53">
        <f>'Data cv-ketels'!I32</f>
        <v>156.38999999999999</v>
      </c>
      <c r="J20" s="54">
        <f>'Data cv-ketels'!J32</f>
        <v>14</v>
      </c>
      <c r="L20" s="84">
        <f>'Data cv-ketels'!I38</f>
        <v>113.73883720930233</v>
      </c>
      <c r="M20" s="33">
        <f>'Data cv-ketels'!J38</f>
        <v>86</v>
      </c>
    </row>
    <row r="21" spans="2:13" x14ac:dyDescent="0.2">
      <c r="B21" s="2" t="s">
        <v>179</v>
      </c>
      <c r="E21" s="2" t="s">
        <v>180</v>
      </c>
      <c r="I21" s="53">
        <f>'Data cv-ketels'!I33</f>
        <v>214.55</v>
      </c>
      <c r="J21" s="54">
        <f>'Data cv-ketels'!J33</f>
        <v>26</v>
      </c>
      <c r="L21" s="84">
        <f>'Data cv-ketels'!I39</f>
        <v>168.29271604938273</v>
      </c>
      <c r="M21" s="33">
        <f>'Data cv-ketels'!J39</f>
        <v>162</v>
      </c>
    </row>
    <row r="22" spans="2:13" x14ac:dyDescent="0.2">
      <c r="B22" s="2" t="s">
        <v>181</v>
      </c>
      <c r="E22" s="2" t="s">
        <v>174</v>
      </c>
      <c r="I22" s="53">
        <f>'Data cv-ketels'!I34</f>
        <v>204.01</v>
      </c>
      <c r="J22" s="54">
        <f>'Data cv-ketels'!J34</f>
        <v>7</v>
      </c>
      <c r="L22" s="84">
        <f>'Data cv-ketels'!I40</f>
        <v>146.02296875000002</v>
      </c>
      <c r="M22" s="33">
        <f>'Data cv-ketels'!J40</f>
        <v>64</v>
      </c>
    </row>
    <row r="23" spans="2:13" x14ac:dyDescent="0.2">
      <c r="B23" s="2" t="s">
        <v>182</v>
      </c>
      <c r="E23" s="2" t="s">
        <v>103</v>
      </c>
      <c r="I23" s="53">
        <f>'Data cv-ketels'!I35</f>
        <v>229.67</v>
      </c>
      <c r="J23" s="54">
        <f>'Data cv-ketels'!J35</f>
        <v>23</v>
      </c>
      <c r="L23" s="84">
        <f>'Data cv-ketels'!I41</f>
        <v>200.13381322957198</v>
      </c>
      <c r="M23" s="33">
        <f>'Data cv-ketels'!J41</f>
        <v>257</v>
      </c>
    </row>
    <row r="25" spans="2:13" x14ac:dyDescent="0.2">
      <c r="B25" s="1" t="s">
        <v>195</v>
      </c>
      <c r="G25" s="26"/>
      <c r="I25" s="106"/>
      <c r="J25" s="107"/>
      <c r="L25" s="106"/>
      <c r="M25" s="107"/>
    </row>
    <row r="26" spans="2:13" x14ac:dyDescent="0.2">
      <c r="B26" s="2" t="s">
        <v>322</v>
      </c>
      <c r="E26" s="2" t="s">
        <v>76</v>
      </c>
      <c r="I26" s="39">
        <f>I20*G14</f>
        <v>196.75104773328076</v>
      </c>
      <c r="J26" s="33">
        <f>J20</f>
        <v>14</v>
      </c>
      <c r="L26" s="39">
        <f>L20*G14</f>
        <v>143.09249561286077</v>
      </c>
      <c r="M26" s="33">
        <f>M20</f>
        <v>86</v>
      </c>
    </row>
    <row r="27" spans="2:13" x14ac:dyDescent="0.2">
      <c r="B27" s="2" t="s">
        <v>179</v>
      </c>
      <c r="E27" s="2" t="s">
        <v>76</v>
      </c>
      <c r="I27" s="39">
        <f t="shared" ref="I27:I29" si="0">I21*G15</f>
        <v>263.5946772390401</v>
      </c>
      <c r="J27" s="33">
        <f>J21</f>
        <v>26</v>
      </c>
      <c r="L27" s="39">
        <f t="shared" ref="L27:L29" si="1">L21*G15</f>
        <v>206.76329139463277</v>
      </c>
      <c r="M27" s="33">
        <f>M21</f>
        <v>162</v>
      </c>
    </row>
    <row r="28" spans="2:13" x14ac:dyDescent="0.2">
      <c r="B28" s="2" t="s">
        <v>181</v>
      </c>
      <c r="E28" s="2" t="s">
        <v>76</v>
      </c>
      <c r="I28" s="39">
        <f t="shared" si="0"/>
        <v>223.79045054239998</v>
      </c>
      <c r="J28" s="33">
        <f>J22</f>
        <v>7</v>
      </c>
      <c r="L28" s="39">
        <f t="shared" si="1"/>
        <v>160.18109879957501</v>
      </c>
      <c r="M28" s="33">
        <f>M22</f>
        <v>64</v>
      </c>
    </row>
    <row r="29" spans="2:13" x14ac:dyDescent="0.2">
      <c r="B29" s="2" t="s">
        <v>182</v>
      </c>
      <c r="E29" s="2" t="s">
        <v>76</v>
      </c>
      <c r="I29" s="39">
        <f t="shared" si="0"/>
        <v>244.60038735999998</v>
      </c>
      <c r="J29" s="33">
        <f>J23</f>
        <v>23</v>
      </c>
      <c r="L29" s="39">
        <f t="shared" si="1"/>
        <v>213.14411215999999</v>
      </c>
      <c r="M29" s="33">
        <f>M23</f>
        <v>257</v>
      </c>
    </row>
    <row r="31" spans="2:13" x14ac:dyDescent="0.2">
      <c r="B31" s="1" t="s">
        <v>197</v>
      </c>
      <c r="G31" s="1"/>
      <c r="I31" s="1"/>
    </row>
    <row r="32" spans="2:13" x14ac:dyDescent="0.2">
      <c r="B32" s="2" t="s">
        <v>304</v>
      </c>
      <c r="E32" s="2" t="s">
        <v>76</v>
      </c>
      <c r="I32" s="39">
        <f>SUMPRODUCT(I26:I29,J26:J29)/SUM(J26:J29)</f>
        <v>240.00454770796819</v>
      </c>
      <c r="J32" s="58">
        <f>Parameters!G53</f>
        <v>0.5</v>
      </c>
      <c r="L32" s="39">
        <f>SUMPRODUCT(L26:L29,M20:M23)/SUM(M20:M23)</f>
        <v>194.78248677843467</v>
      </c>
      <c r="M32" s="58">
        <f>Parameters!G54</f>
        <v>0.5</v>
      </c>
    </row>
    <row r="33" spans="2:15" x14ac:dyDescent="0.2">
      <c r="B33" s="2" t="s">
        <v>197</v>
      </c>
      <c r="D33" s="2" t="s">
        <v>280</v>
      </c>
      <c r="E33" s="2" t="s">
        <v>76</v>
      </c>
      <c r="G33" s="56">
        <f>I32*J32+L32*M32</f>
        <v>217.39351724320142</v>
      </c>
      <c r="O33" s="2" t="s">
        <v>584</v>
      </c>
    </row>
    <row r="35" spans="2:15" s="8" customFormat="1" x14ac:dyDescent="0.2">
      <c r="B35" s="63" t="s">
        <v>282</v>
      </c>
    </row>
    <row r="37" spans="2:15" x14ac:dyDescent="0.2">
      <c r="B37" s="26" t="s">
        <v>184</v>
      </c>
    </row>
    <row r="38" spans="2:15" x14ac:dyDescent="0.2">
      <c r="B38" s="2" t="s">
        <v>303</v>
      </c>
      <c r="D38" s="2" t="s">
        <v>210</v>
      </c>
      <c r="E38" s="2" t="s">
        <v>174</v>
      </c>
      <c r="G38" s="53">
        <f>'Data cv-ketels'!G46</f>
        <v>112872</v>
      </c>
      <c r="O38" s="108" t="s">
        <v>380</v>
      </c>
    </row>
    <row r="39" spans="2:15" x14ac:dyDescent="0.2">
      <c r="B39" s="2" t="s">
        <v>533</v>
      </c>
      <c r="D39" s="2" t="s">
        <v>102</v>
      </c>
      <c r="E39" s="2" t="s">
        <v>381</v>
      </c>
      <c r="G39" s="53">
        <f>Parameters!G33</f>
        <v>0.90378473990076413</v>
      </c>
      <c r="O39" s="108"/>
    </row>
    <row r="40" spans="2:15" x14ac:dyDescent="0.2">
      <c r="B40" s="2" t="s">
        <v>303</v>
      </c>
      <c r="D40" s="2" t="s">
        <v>210</v>
      </c>
      <c r="E40" s="2" t="s">
        <v>381</v>
      </c>
      <c r="G40" s="56">
        <f>G38*G39</f>
        <v>102011.99116207905</v>
      </c>
      <c r="O40" s="108"/>
    </row>
    <row r="42" spans="2:15" x14ac:dyDescent="0.2">
      <c r="B42" s="1" t="s">
        <v>208</v>
      </c>
    </row>
    <row r="43" spans="2:15" x14ac:dyDescent="0.2">
      <c r="B43" s="2" t="s">
        <v>209</v>
      </c>
      <c r="D43" s="2" t="s">
        <v>101</v>
      </c>
      <c r="G43" s="55">
        <f>Parameters!G58</f>
        <v>0.03</v>
      </c>
    </row>
    <row r="44" spans="2:15" x14ac:dyDescent="0.2">
      <c r="B44" s="2" t="s">
        <v>196</v>
      </c>
      <c r="D44" s="2" t="s">
        <v>102</v>
      </c>
      <c r="G44" s="58">
        <f>Parameters!G34</f>
        <v>1.1609114806652423</v>
      </c>
    </row>
    <row r="45" spans="2:15" x14ac:dyDescent="0.2">
      <c r="B45" s="2" t="s">
        <v>209</v>
      </c>
      <c r="D45" s="2" t="s">
        <v>210</v>
      </c>
      <c r="E45" s="2" t="s">
        <v>76</v>
      </c>
      <c r="G45" s="56">
        <f>G40*G43*G44</f>
        <v>3552.8067511673644</v>
      </c>
      <c r="O45" s="2" t="s">
        <v>583</v>
      </c>
    </row>
    <row r="48" spans="2:15" x14ac:dyDescent="0.2">
      <c r="B48" s="27" t="s">
        <v>60</v>
      </c>
    </row>
  </sheetData>
  <mergeCells count="5">
    <mergeCell ref="L25:M25"/>
    <mergeCell ref="I19:J19"/>
    <mergeCell ref="L19:M19"/>
    <mergeCell ref="I25:J25"/>
    <mergeCell ref="O38:O40"/>
  </mergeCells>
  <phoneticPr fontId="30" type="noConversion"/>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71064-D162-43D5-8B6D-4E13E676FAFB}">
  <sheetPr>
    <tabColor rgb="FFFFFFCC"/>
  </sheetPr>
  <dimension ref="B2:O65"/>
  <sheetViews>
    <sheetView showGridLines="0" zoomScale="85" zoomScaleNormal="85" workbookViewId="0">
      <pane xSplit="5" ySplit="11" topLeftCell="F13" activePane="bottomRight" state="frozen"/>
      <selection activeCell="B6" sqref="B6"/>
      <selection pane="topRight" activeCell="B6" sqref="B6"/>
      <selection pane="bottomLeft" activeCell="B6" sqref="B6"/>
      <selection pane="bottomRight" activeCell="K40" sqref="K40"/>
    </sheetView>
  </sheetViews>
  <sheetFormatPr defaultColWidth="9.140625" defaultRowHeight="12.75" x14ac:dyDescent="0.2"/>
  <cols>
    <col min="1" max="1" width="5.7109375" style="2" customWidth="1"/>
    <col min="2" max="2" width="45.7109375" style="2" customWidth="1"/>
    <col min="3" max="3" width="5.7109375" style="2" customWidth="1"/>
    <col min="4" max="4" width="21.7109375" style="2" customWidth="1"/>
    <col min="5" max="5" width="13.28515625" style="2" customWidth="1"/>
    <col min="6" max="6" width="2.7109375" style="2" customWidth="1"/>
    <col min="7" max="7" width="13.7109375" style="2" customWidth="1"/>
    <col min="8" max="8" width="2.7109375" style="2" customWidth="1"/>
    <col min="9" max="9" width="13.7109375" style="2" customWidth="1"/>
    <col min="10" max="10" width="2.7109375" style="2" customWidth="1"/>
    <col min="11" max="11" width="81" style="2" customWidth="1"/>
    <col min="12" max="12" width="2.7109375" style="2" customWidth="1"/>
    <col min="13" max="27" width="13.7109375" style="2" customWidth="1"/>
    <col min="28" max="16384" width="9.140625" style="2"/>
  </cols>
  <sheetData>
    <row r="2" spans="2:11" s="15" customFormat="1" ht="18" x14ac:dyDescent="0.2">
      <c r="B2" s="15" t="s">
        <v>373</v>
      </c>
    </row>
    <row r="4" spans="2:11" x14ac:dyDescent="0.2">
      <c r="B4" s="26" t="s">
        <v>45</v>
      </c>
    </row>
    <row r="5" spans="2:11" x14ac:dyDescent="0.2">
      <c r="B5" s="103" t="s">
        <v>377</v>
      </c>
      <c r="C5" s="103"/>
      <c r="D5" s="103"/>
      <c r="E5" s="103"/>
    </row>
    <row r="6" spans="2:11" x14ac:dyDescent="0.2">
      <c r="B6" s="103"/>
      <c r="C6" s="103"/>
      <c r="D6" s="103"/>
      <c r="E6" s="103"/>
    </row>
    <row r="7" spans="2:11" x14ac:dyDescent="0.2">
      <c r="B7" s="103"/>
      <c r="C7" s="103"/>
      <c r="D7" s="103"/>
      <c r="E7" s="103"/>
    </row>
    <row r="8" spans="2:11" x14ac:dyDescent="0.2">
      <c r="B8" s="103"/>
      <c r="C8" s="103"/>
      <c r="D8" s="103"/>
      <c r="E8" s="103"/>
    </row>
    <row r="9" spans="2:11" x14ac:dyDescent="0.2">
      <c r="B9" s="4"/>
    </row>
    <row r="10" spans="2:11" s="8" customFormat="1" x14ac:dyDescent="0.2">
      <c r="B10" s="8" t="s">
        <v>39</v>
      </c>
      <c r="D10" s="8" t="s">
        <v>22</v>
      </c>
      <c r="E10" s="8" t="s">
        <v>67</v>
      </c>
      <c r="G10" s="8" t="s">
        <v>200</v>
      </c>
      <c r="I10" s="8" t="s">
        <v>201</v>
      </c>
      <c r="K10" s="8" t="s">
        <v>41</v>
      </c>
    </row>
    <row r="13" spans="2:11" s="8" customFormat="1" x14ac:dyDescent="0.2">
      <c r="B13" s="8" t="s">
        <v>319</v>
      </c>
    </row>
    <row r="15" spans="2:11" x14ac:dyDescent="0.2">
      <c r="B15" s="1" t="s">
        <v>224</v>
      </c>
    </row>
    <row r="16" spans="2:11" x14ac:dyDescent="0.2">
      <c r="B16" s="2" t="s">
        <v>142</v>
      </c>
      <c r="D16" s="2" t="s">
        <v>101</v>
      </c>
      <c r="G16" s="81">
        <f>Parameters!G14</f>
        <v>5.9299999999999999E-2</v>
      </c>
      <c r="I16" s="81">
        <f>Parameters!G14</f>
        <v>5.9299999999999999E-2</v>
      </c>
    </row>
    <row r="18" spans="2:11" x14ac:dyDescent="0.2">
      <c r="B18" s="1" t="s">
        <v>219</v>
      </c>
    </row>
    <row r="19" spans="2:11" x14ac:dyDescent="0.2">
      <c r="B19" s="2" t="s">
        <v>203</v>
      </c>
      <c r="D19" s="2" t="s">
        <v>69</v>
      </c>
      <c r="E19" s="2" t="s">
        <v>191</v>
      </c>
      <c r="G19" s="53">
        <f>'Data cv-ketels'!I21</f>
        <v>1679.3877342823253</v>
      </c>
      <c r="I19" s="53">
        <f>'Cv-ketels'!G40</f>
        <v>102011.99116207905</v>
      </c>
    </row>
    <row r="20" spans="2:11" x14ac:dyDescent="0.2">
      <c r="B20" s="2" t="s">
        <v>204</v>
      </c>
      <c r="D20" s="2" t="s">
        <v>69</v>
      </c>
      <c r="E20" s="2" t="s">
        <v>76</v>
      </c>
      <c r="G20" s="53">
        <f>'Cv-ketels'!G33</f>
        <v>217.39351724320142</v>
      </c>
      <c r="I20" s="53">
        <f>'Cv-ketels'!G45</f>
        <v>3552.8067511673644</v>
      </c>
    </row>
    <row r="21" spans="2:11" x14ac:dyDescent="0.2">
      <c r="B21" s="2" t="s">
        <v>205</v>
      </c>
      <c r="D21" s="2" t="s">
        <v>206</v>
      </c>
      <c r="G21" s="33">
        <f>Parameters!G45</f>
        <v>15</v>
      </c>
      <c r="I21" s="33">
        <f>Parameters!G46</f>
        <v>15</v>
      </c>
    </row>
    <row r="22" spans="2:11" x14ac:dyDescent="0.2">
      <c r="B22" s="2" t="s">
        <v>207</v>
      </c>
      <c r="D22" s="2" t="s">
        <v>206</v>
      </c>
      <c r="G22" s="49">
        <f>G21/2</f>
        <v>7.5</v>
      </c>
      <c r="I22" s="49">
        <f>I21/2</f>
        <v>7.5</v>
      </c>
      <c r="K22" s="2" t="s">
        <v>213</v>
      </c>
    </row>
    <row r="23" spans="2:11" x14ac:dyDescent="0.2">
      <c r="B23" s="2" t="s">
        <v>126</v>
      </c>
      <c r="D23" s="2" t="s">
        <v>69</v>
      </c>
      <c r="E23" s="2" t="s">
        <v>76</v>
      </c>
      <c r="G23" s="33">
        <f>Parameters!G50</f>
        <v>27.88</v>
      </c>
      <c r="I23" s="37"/>
    </row>
    <row r="25" spans="2:11" x14ac:dyDescent="0.2">
      <c r="B25" s="1" t="s">
        <v>220</v>
      </c>
    </row>
    <row r="26" spans="2:11" x14ac:dyDescent="0.2">
      <c r="B26" s="2" t="s">
        <v>215</v>
      </c>
      <c r="D26" s="2" t="s">
        <v>69</v>
      </c>
      <c r="E26" s="2" t="s">
        <v>191</v>
      </c>
      <c r="G26" s="33">
        <f>Reguleringsdata!J68</f>
        <v>1233.0160999614047</v>
      </c>
      <c r="I26" s="33">
        <f>Reguleringsdata!G79</f>
        <v>51478.97</v>
      </c>
    </row>
    <row r="27" spans="2:11" x14ac:dyDescent="0.2">
      <c r="B27" s="2" t="s">
        <v>216</v>
      </c>
      <c r="D27" s="2" t="s">
        <v>69</v>
      </c>
      <c r="E27" s="2" t="s">
        <v>76</v>
      </c>
      <c r="G27" s="33">
        <f>Reguleringsdata!S40</f>
        <v>28.774290436851651</v>
      </c>
      <c r="I27" s="33">
        <f>Reguleringsdata!V40</f>
        <v>687.05963078828233</v>
      </c>
    </row>
    <row r="28" spans="2:11" x14ac:dyDescent="0.2">
      <c r="B28" s="2" t="s">
        <v>123</v>
      </c>
      <c r="D28" s="2" t="s">
        <v>206</v>
      </c>
      <c r="G28" s="33">
        <f>Parameters!G47</f>
        <v>15</v>
      </c>
      <c r="I28" s="33">
        <f>Parameters!G47</f>
        <v>15</v>
      </c>
    </row>
    <row r="29" spans="2:11" x14ac:dyDescent="0.2">
      <c r="B29" s="2" t="s">
        <v>217</v>
      </c>
      <c r="D29" s="2" t="s">
        <v>206</v>
      </c>
      <c r="G29" s="49">
        <f>G28/2</f>
        <v>7.5</v>
      </c>
      <c r="I29" s="49">
        <f>I28/2</f>
        <v>7.5</v>
      </c>
      <c r="K29" s="2" t="s">
        <v>247</v>
      </c>
    </row>
    <row r="30" spans="2:11" x14ac:dyDescent="0.2">
      <c r="B30" s="2" t="s">
        <v>126</v>
      </c>
      <c r="D30" s="2" t="s">
        <v>69</v>
      </c>
      <c r="E30" s="2" t="s">
        <v>76</v>
      </c>
      <c r="G30" s="33">
        <f>Parameters!G50</f>
        <v>27.88</v>
      </c>
      <c r="I30" s="59"/>
    </row>
    <row r="32" spans="2:11" s="8" customFormat="1" x14ac:dyDescent="0.2">
      <c r="B32" s="8" t="s">
        <v>218</v>
      </c>
    </row>
    <row r="34" spans="2:9" x14ac:dyDescent="0.2">
      <c r="B34" s="26" t="s">
        <v>202</v>
      </c>
    </row>
    <row r="35" spans="2:9" x14ac:dyDescent="0.2">
      <c r="B35" s="2" t="s">
        <v>225</v>
      </c>
      <c r="D35" s="2" t="s">
        <v>69</v>
      </c>
      <c r="E35" s="2" t="s">
        <v>191</v>
      </c>
      <c r="G35" s="39">
        <f>G19/G21</f>
        <v>111.95918228548835</v>
      </c>
      <c r="I35" s="39">
        <f>I19/I21</f>
        <v>6800.7994108052699</v>
      </c>
    </row>
    <row r="36" spans="2:9" x14ac:dyDescent="0.2">
      <c r="B36" s="2" t="s">
        <v>221</v>
      </c>
      <c r="D36" s="2" t="s">
        <v>69</v>
      </c>
      <c r="E36" s="2" t="s">
        <v>191</v>
      </c>
      <c r="G36" s="39">
        <f>G35*G22</f>
        <v>839.69386714116263</v>
      </c>
      <c r="I36" s="39">
        <f>I35*I22</f>
        <v>51005.995581039526</v>
      </c>
    </row>
    <row r="37" spans="2:9" x14ac:dyDescent="0.2">
      <c r="B37" s="2" t="s">
        <v>222</v>
      </c>
      <c r="D37" s="2" t="s">
        <v>69</v>
      </c>
      <c r="E37" s="2" t="s">
        <v>76</v>
      </c>
      <c r="G37" s="39">
        <f>G36*G16</f>
        <v>49.793846321470944</v>
      </c>
      <c r="I37" s="39">
        <f>I36*I16</f>
        <v>3024.6555379556439</v>
      </c>
    </row>
    <row r="38" spans="2:9" x14ac:dyDescent="0.2">
      <c r="B38" s="2" t="s">
        <v>223</v>
      </c>
      <c r="D38" s="2" t="s">
        <v>69</v>
      </c>
      <c r="E38" s="2" t="s">
        <v>76</v>
      </c>
      <c r="G38" s="39">
        <f>G35+G37</f>
        <v>161.7530286069593</v>
      </c>
      <c r="I38" s="39">
        <f>I35+I37</f>
        <v>9825.4549487609147</v>
      </c>
    </row>
    <row r="39" spans="2:9" x14ac:dyDescent="0.2">
      <c r="B39" s="2" t="s">
        <v>226</v>
      </c>
      <c r="D39" s="2" t="s">
        <v>69</v>
      </c>
      <c r="E39" s="2" t="s">
        <v>76</v>
      </c>
      <c r="G39" s="39">
        <f>G38+G20+G30</f>
        <v>407.02654585016069</v>
      </c>
      <c r="I39" s="39">
        <f>I38+I20</f>
        <v>13378.26169992828</v>
      </c>
    </row>
    <row r="41" spans="2:9" x14ac:dyDescent="0.2">
      <c r="B41" s="26" t="s">
        <v>214</v>
      </c>
    </row>
    <row r="42" spans="2:9" x14ac:dyDescent="0.2">
      <c r="B42" s="2" t="s">
        <v>227</v>
      </c>
      <c r="D42" s="2" t="s">
        <v>69</v>
      </c>
      <c r="E42" s="2" t="s">
        <v>191</v>
      </c>
      <c r="G42" s="39">
        <f>G26/G28</f>
        <v>82.201073330760309</v>
      </c>
      <c r="I42" s="39">
        <f>I26/I28</f>
        <v>3431.9313333333334</v>
      </c>
    </row>
    <row r="43" spans="2:9" x14ac:dyDescent="0.2">
      <c r="B43" s="2" t="s">
        <v>228</v>
      </c>
      <c r="D43" s="2" t="s">
        <v>69</v>
      </c>
      <c r="E43" s="2" t="s">
        <v>191</v>
      </c>
      <c r="G43" s="39">
        <f>G42*G29</f>
        <v>616.50804998070237</v>
      </c>
      <c r="I43" s="39">
        <f>I42*I29</f>
        <v>25739.485000000001</v>
      </c>
    </row>
    <row r="44" spans="2:9" x14ac:dyDescent="0.2">
      <c r="B44" s="2" t="s">
        <v>222</v>
      </c>
      <c r="D44" s="2" t="s">
        <v>69</v>
      </c>
      <c r="E44" s="2" t="s">
        <v>76</v>
      </c>
      <c r="G44" s="39">
        <f>G43*G16</f>
        <v>36.558927363855652</v>
      </c>
      <c r="I44" s="39">
        <f>I43*I16</f>
        <v>1526.3514605</v>
      </c>
    </row>
    <row r="45" spans="2:9" x14ac:dyDescent="0.2">
      <c r="B45" s="2" t="s">
        <v>229</v>
      </c>
      <c r="D45" s="2" t="s">
        <v>69</v>
      </c>
      <c r="E45" s="2" t="s">
        <v>76</v>
      </c>
      <c r="G45" s="39">
        <f>G42+G44</f>
        <v>118.76000069461597</v>
      </c>
      <c r="I45" s="39">
        <f>I42+I44</f>
        <v>4958.2827938333339</v>
      </c>
    </row>
    <row r="46" spans="2:9" x14ac:dyDescent="0.2">
      <c r="B46" s="2" t="s">
        <v>230</v>
      </c>
      <c r="D46" s="2" t="s">
        <v>69</v>
      </c>
      <c r="E46" s="2" t="s">
        <v>76</v>
      </c>
      <c r="G46" s="39">
        <f>G45+G27+G30</f>
        <v>175.41429113146762</v>
      </c>
      <c r="I46" s="39">
        <f>I45+I27</f>
        <v>5645.3424246216164</v>
      </c>
    </row>
    <row r="48" spans="2:9" s="8" customFormat="1" x14ac:dyDescent="0.2">
      <c r="B48" s="8" t="s">
        <v>245</v>
      </c>
    </row>
    <row r="50" spans="2:15" x14ac:dyDescent="0.2">
      <c r="B50" s="1" t="s">
        <v>246</v>
      </c>
    </row>
    <row r="51" spans="2:15" x14ac:dyDescent="0.2">
      <c r="B51" s="2" t="s">
        <v>235</v>
      </c>
      <c r="D51" s="2" t="s">
        <v>69</v>
      </c>
      <c r="E51" s="2" t="s">
        <v>76</v>
      </c>
      <c r="G51" s="33">
        <f>Gastarieven!G52</f>
        <v>277.19790237343398</v>
      </c>
      <c r="I51" s="53">
        <f>Parameters!G62</f>
        <v>5223.4082753431549</v>
      </c>
      <c r="K51" s="2" t="s">
        <v>379</v>
      </c>
    </row>
    <row r="52" spans="2:15" x14ac:dyDescent="0.2">
      <c r="B52" s="2" t="s">
        <v>231</v>
      </c>
      <c r="D52" s="2" t="s">
        <v>69</v>
      </c>
      <c r="E52" s="2" t="s">
        <v>76</v>
      </c>
      <c r="G52" s="39">
        <f>G39-G46</f>
        <v>231.61225471869307</v>
      </c>
      <c r="I52" s="39">
        <f>I39-I46</f>
        <v>7732.9192753066636</v>
      </c>
      <c r="K52" s="2" t="s">
        <v>384</v>
      </c>
    </row>
    <row r="53" spans="2:15" x14ac:dyDescent="0.2">
      <c r="B53" s="2" t="s">
        <v>236</v>
      </c>
      <c r="D53" s="2" t="s">
        <v>69</v>
      </c>
      <c r="E53" s="2" t="s">
        <v>76</v>
      </c>
      <c r="G53" s="56">
        <f>G51+G52</f>
        <v>508.81015709212704</v>
      </c>
      <c r="I53" s="39">
        <f>I51+I52</f>
        <v>12956.327550649818</v>
      </c>
      <c r="K53" s="2" t="s">
        <v>384</v>
      </c>
    </row>
    <row r="55" spans="2:15" x14ac:dyDescent="0.2">
      <c r="B55" s="1" t="s">
        <v>242</v>
      </c>
    </row>
    <row r="56" spans="2:15" x14ac:dyDescent="0.2">
      <c r="B56" s="2" t="s">
        <v>137</v>
      </c>
      <c r="D56" s="2" t="s">
        <v>102</v>
      </c>
      <c r="G56" s="37"/>
      <c r="I56" s="33">
        <f>Parameters!G63</f>
        <v>900</v>
      </c>
    </row>
    <row r="57" spans="2:15" x14ac:dyDescent="0.2">
      <c r="B57" s="21" t="s">
        <v>243</v>
      </c>
      <c r="D57" s="2" t="s">
        <v>244</v>
      </c>
      <c r="E57" s="2" t="s">
        <v>76</v>
      </c>
      <c r="G57" s="37"/>
      <c r="I57" s="56">
        <f>(I53-G53)/I56</f>
        <v>13.830574881730769</v>
      </c>
      <c r="K57" s="2" t="s">
        <v>585</v>
      </c>
    </row>
    <row r="59" spans="2:15" x14ac:dyDescent="0.2">
      <c r="B59" s="1" t="s">
        <v>131</v>
      </c>
    </row>
    <row r="60" spans="2:15" x14ac:dyDescent="0.2">
      <c r="B60" s="2" t="s">
        <v>271</v>
      </c>
      <c r="D60" s="2" t="s">
        <v>101</v>
      </c>
      <c r="G60" s="55">
        <f>Parameters!G84</f>
        <v>0.5</v>
      </c>
      <c r="I60" s="55">
        <f>Parameters!G84</f>
        <v>0.5</v>
      </c>
      <c r="K60" s="108" t="s">
        <v>383</v>
      </c>
      <c r="L60" s="20"/>
      <c r="M60" s="20"/>
      <c r="N60" s="20"/>
      <c r="O60" s="20"/>
    </row>
    <row r="61" spans="2:15" x14ac:dyDescent="0.2">
      <c r="B61" s="2" t="s">
        <v>285</v>
      </c>
      <c r="D61" s="2" t="s">
        <v>69</v>
      </c>
      <c r="E61" s="2" t="s">
        <v>76</v>
      </c>
      <c r="G61" s="56">
        <f>G53*G60</f>
        <v>254.40507854606352</v>
      </c>
      <c r="I61" s="37"/>
      <c r="K61" s="108"/>
      <c r="L61" s="20"/>
      <c r="M61" s="20"/>
      <c r="N61" s="20"/>
      <c r="O61" s="20"/>
    </row>
    <row r="62" spans="2:15" x14ac:dyDescent="0.2">
      <c r="B62" s="21" t="s">
        <v>286</v>
      </c>
      <c r="D62" s="2" t="s">
        <v>244</v>
      </c>
      <c r="E62" s="2" t="s">
        <v>76</v>
      </c>
      <c r="G62" s="37"/>
      <c r="I62" s="56">
        <f>I57*I60</f>
        <v>6.9152874408653844</v>
      </c>
      <c r="K62" s="108"/>
      <c r="L62" s="20"/>
      <c r="M62" s="20"/>
      <c r="N62" s="20"/>
      <c r="O62" s="20"/>
    </row>
    <row r="65" spans="2:2" x14ac:dyDescent="0.2">
      <c r="B65" s="27" t="s">
        <v>60</v>
      </c>
    </row>
  </sheetData>
  <mergeCells count="2">
    <mergeCell ref="B5:E8"/>
    <mergeCell ref="K60:K62"/>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2ECA6-4F59-4451-96D8-D95F39076A4A}">
  <sheetPr>
    <tabColor rgb="FFFFFFCC"/>
  </sheetPr>
  <dimension ref="B2:K40"/>
  <sheetViews>
    <sheetView showGridLines="0" zoomScale="85" zoomScaleNormal="85" workbookViewId="0">
      <pane xSplit="5" ySplit="13" topLeftCell="F14" activePane="bottomRight" state="frozen"/>
      <selection activeCell="B6" sqref="B6"/>
      <selection pane="topRight" activeCell="B6" sqref="B6"/>
      <selection pane="bottomLeft" activeCell="B6" sqref="B6"/>
      <selection pane="bottomRight" activeCell="I47" sqref="I47"/>
    </sheetView>
  </sheetViews>
  <sheetFormatPr defaultColWidth="9.140625" defaultRowHeight="12.75" x14ac:dyDescent="0.2"/>
  <cols>
    <col min="1" max="1" width="5.7109375" style="2" customWidth="1"/>
    <col min="2" max="2" width="45.7109375" style="2" customWidth="1"/>
    <col min="3" max="3" width="5.7109375" style="2" customWidth="1"/>
    <col min="4" max="4" width="21.7109375" style="2" customWidth="1"/>
    <col min="5" max="5" width="13.28515625" style="2" customWidth="1"/>
    <col min="6" max="6" width="2.7109375" style="2" customWidth="1"/>
    <col min="7" max="7" width="13.7109375" style="2" customWidth="1"/>
    <col min="8" max="8" width="2.7109375" style="2" customWidth="1"/>
    <col min="9" max="9" width="12.5703125" style="2" customWidth="1"/>
    <col min="10" max="10" width="2.7109375" style="2" customWidth="1"/>
    <col min="11" max="11" width="30.7109375" style="2" customWidth="1"/>
    <col min="12" max="12" width="2.7109375" style="2" customWidth="1"/>
    <col min="13" max="27" width="13.7109375" style="2" customWidth="1"/>
    <col min="28" max="16384" width="9.140625" style="2"/>
  </cols>
  <sheetData>
    <row r="2" spans="2:11" s="15" customFormat="1" ht="18" x14ac:dyDescent="0.2">
      <c r="B2" s="15" t="s">
        <v>374</v>
      </c>
    </row>
    <row r="4" spans="2:11" x14ac:dyDescent="0.2">
      <c r="B4" s="26" t="s">
        <v>45</v>
      </c>
    </row>
    <row r="5" spans="2:11" x14ac:dyDescent="0.2">
      <c r="B5" s="103" t="s">
        <v>376</v>
      </c>
      <c r="C5" s="103"/>
      <c r="D5" s="103"/>
      <c r="E5" s="103"/>
      <c r="G5" s="16"/>
      <c r="H5" s="16"/>
    </row>
    <row r="6" spans="2:11" x14ac:dyDescent="0.2">
      <c r="B6" s="103"/>
      <c r="C6" s="103"/>
      <c r="D6" s="103"/>
      <c r="E6" s="103"/>
      <c r="G6" s="16"/>
      <c r="H6" s="16"/>
    </row>
    <row r="7" spans="2:11" x14ac:dyDescent="0.2">
      <c r="B7" s="103"/>
      <c r="C7" s="103"/>
      <c r="D7" s="103"/>
      <c r="E7" s="103"/>
      <c r="G7" s="16"/>
      <c r="H7" s="16"/>
    </row>
    <row r="8" spans="2:11" x14ac:dyDescent="0.2">
      <c r="B8" s="66"/>
      <c r="C8" s="66"/>
      <c r="D8" s="66"/>
      <c r="E8" s="66"/>
      <c r="G8" s="16"/>
      <c r="H8" s="16"/>
    </row>
    <row r="9" spans="2:11" x14ac:dyDescent="0.2">
      <c r="B9" s="27" t="s">
        <v>25</v>
      </c>
      <c r="G9" s="16"/>
      <c r="H9" s="16"/>
    </row>
    <row r="10" spans="2:11" x14ac:dyDescent="0.2">
      <c r="B10" s="4" t="s">
        <v>408</v>
      </c>
    </row>
    <row r="12" spans="2:11" s="8" customFormat="1" x14ac:dyDescent="0.2">
      <c r="B12" s="8" t="s">
        <v>39</v>
      </c>
      <c r="D12" s="8" t="s">
        <v>22</v>
      </c>
      <c r="E12" s="8" t="s">
        <v>67</v>
      </c>
      <c r="G12" s="8" t="s">
        <v>406</v>
      </c>
      <c r="I12" s="8" t="s">
        <v>407</v>
      </c>
      <c r="K12" s="8" t="s">
        <v>41</v>
      </c>
    </row>
    <row r="15" spans="2:11" s="8" customFormat="1" x14ac:dyDescent="0.2">
      <c r="B15" s="8" t="s">
        <v>382</v>
      </c>
    </row>
    <row r="17" spans="2:11" x14ac:dyDescent="0.2">
      <c r="B17" s="1" t="s">
        <v>461</v>
      </c>
    </row>
    <row r="18" spans="2:11" x14ac:dyDescent="0.2">
      <c r="B18" s="2" t="s">
        <v>459</v>
      </c>
      <c r="D18" s="2" t="s">
        <v>307</v>
      </c>
      <c r="E18" s="2" t="s">
        <v>76</v>
      </c>
      <c r="G18" s="60">
        <f>Gastarieven!$G47</f>
        <v>0.43567339329446481</v>
      </c>
      <c r="H18" s="78"/>
      <c r="I18" s="60">
        <f>Gastarieven!$G47</f>
        <v>0.43567339329446481</v>
      </c>
    </row>
    <row r="20" spans="2:11" x14ac:dyDescent="0.2">
      <c r="B20" s="1" t="s">
        <v>95</v>
      </c>
    </row>
    <row r="21" spans="2:11" x14ac:dyDescent="0.2">
      <c r="B21" s="2" t="s">
        <v>305</v>
      </c>
      <c r="D21" s="2" t="s">
        <v>307</v>
      </c>
      <c r="E21" s="2" t="s">
        <v>76</v>
      </c>
      <c r="G21" s="76">
        <f>Parameters!G68</f>
        <v>0.60060000000000002</v>
      </c>
      <c r="H21" s="77"/>
      <c r="I21" s="76">
        <f>Parameters!G69</f>
        <v>0.60060000000000002</v>
      </c>
    </row>
    <row r="22" spans="2:11" x14ac:dyDescent="0.2">
      <c r="B22" s="2" t="s">
        <v>98</v>
      </c>
      <c r="D22" s="2" t="s">
        <v>307</v>
      </c>
      <c r="E22" s="2" t="s">
        <v>103</v>
      </c>
      <c r="G22" s="60">
        <f>Parameters!$G70</f>
        <v>0.58301000000000003</v>
      </c>
      <c r="I22" s="60">
        <f>Parameters!$G70</f>
        <v>0.58301000000000003</v>
      </c>
    </row>
    <row r="23" spans="2:11" x14ac:dyDescent="0.2">
      <c r="B23" s="2" t="s">
        <v>86</v>
      </c>
      <c r="D23" s="2" t="s">
        <v>102</v>
      </c>
      <c r="G23" s="60">
        <f>Parameters!$G71</f>
        <v>1.0116885284202799</v>
      </c>
      <c r="I23" s="60">
        <f>Parameters!$G71</f>
        <v>1.0116885284202799</v>
      </c>
    </row>
    <row r="24" spans="2:11" x14ac:dyDescent="0.2">
      <c r="B24" s="2" t="s">
        <v>89</v>
      </c>
      <c r="D24" s="2" t="s">
        <v>102</v>
      </c>
      <c r="G24" s="60">
        <f>Parameters!$G72</f>
        <v>1.0289331996093851</v>
      </c>
      <c r="I24" s="60">
        <f>Parameters!$G72</f>
        <v>1.0289331996093851</v>
      </c>
    </row>
    <row r="25" spans="2:11" x14ac:dyDescent="0.2">
      <c r="B25" s="2" t="s">
        <v>98</v>
      </c>
      <c r="D25" s="2" t="s">
        <v>307</v>
      </c>
      <c r="E25" s="2" t="s">
        <v>76</v>
      </c>
      <c r="G25" s="80">
        <f>G22*G23*G24</f>
        <v>0.60689003978505385</v>
      </c>
      <c r="H25" s="78"/>
      <c r="I25" s="80">
        <f>I22*I23*I24</f>
        <v>0.60689003978505385</v>
      </c>
      <c r="K25" s="2" t="s">
        <v>306</v>
      </c>
    </row>
    <row r="27" spans="2:11" x14ac:dyDescent="0.2">
      <c r="B27" s="1" t="s">
        <v>241</v>
      </c>
    </row>
    <row r="28" spans="2:11" x14ac:dyDescent="0.2">
      <c r="B28" s="2" t="s">
        <v>387</v>
      </c>
      <c r="D28" s="2" t="s">
        <v>102</v>
      </c>
      <c r="G28" s="53">
        <f>Parameters!$G75</f>
        <v>0.79</v>
      </c>
      <c r="I28" s="53">
        <f>Parameters!$G75</f>
        <v>0.79</v>
      </c>
    </row>
    <row r="29" spans="2:11" x14ac:dyDescent="0.2">
      <c r="B29" s="2" t="s">
        <v>388</v>
      </c>
      <c r="D29" s="2" t="s">
        <v>102</v>
      </c>
      <c r="G29" s="53">
        <f>Parameters!$G76</f>
        <v>0.21</v>
      </c>
      <c r="I29" s="53">
        <f>Parameters!$G76</f>
        <v>0.21</v>
      </c>
    </row>
    <row r="30" spans="2:11" x14ac:dyDescent="0.2">
      <c r="B30" s="2" t="s">
        <v>389</v>
      </c>
      <c r="D30" s="2" t="s">
        <v>102</v>
      </c>
      <c r="G30" s="53">
        <f>Parameters!$G77</f>
        <v>0.94</v>
      </c>
      <c r="I30" s="53">
        <f>Parameters!$G77</f>
        <v>0.94</v>
      </c>
    </row>
    <row r="31" spans="2:11" x14ac:dyDescent="0.2">
      <c r="B31" s="2" t="s">
        <v>390</v>
      </c>
      <c r="D31" s="2" t="s">
        <v>102</v>
      </c>
      <c r="G31" s="53">
        <f>Parameters!$G78</f>
        <v>0.68</v>
      </c>
      <c r="I31" s="53">
        <f>Parameters!$G78</f>
        <v>0.68</v>
      </c>
    </row>
    <row r="32" spans="2:11" x14ac:dyDescent="0.2">
      <c r="B32" s="2" t="s">
        <v>238</v>
      </c>
      <c r="D32" s="2" t="s">
        <v>102</v>
      </c>
      <c r="G32" s="39">
        <f>1/((G28/G30)+(G29/G31))</f>
        <v>0.87013340593520283</v>
      </c>
      <c r="I32" s="39">
        <f>1/((I28/I30)+(I29/I31))</f>
        <v>0.87013340593520283</v>
      </c>
      <c r="K32" s="2" t="s">
        <v>586</v>
      </c>
    </row>
    <row r="33" spans="2:11" x14ac:dyDescent="0.2">
      <c r="B33" s="2" t="s">
        <v>117</v>
      </c>
      <c r="D33" s="2" t="s">
        <v>118</v>
      </c>
      <c r="G33" s="60">
        <f>Parameters!G79</f>
        <v>3.517E-2</v>
      </c>
      <c r="I33" s="60">
        <f>Parameters!G79</f>
        <v>3.517E-2</v>
      </c>
      <c r="K33" s="2" t="s">
        <v>587</v>
      </c>
    </row>
    <row r="35" spans="2:11" x14ac:dyDescent="0.2">
      <c r="B35" s="1" t="s">
        <v>239</v>
      </c>
    </row>
    <row r="36" spans="2:11" x14ac:dyDescent="0.2">
      <c r="B36" s="21" t="s">
        <v>308</v>
      </c>
      <c r="D36" s="2" t="s">
        <v>307</v>
      </c>
      <c r="E36" s="2" t="s">
        <v>76</v>
      </c>
      <c r="G36" s="73">
        <f>G18+MIN(G25,G21)</f>
        <v>1.0362733932944648</v>
      </c>
      <c r="H36" s="78"/>
      <c r="I36" s="73">
        <f>I18+MIN(I25,I21)</f>
        <v>1.0362733932944648</v>
      </c>
      <c r="K36" s="2" t="s">
        <v>309</v>
      </c>
    </row>
    <row r="37" spans="2:11" x14ac:dyDescent="0.2">
      <c r="B37" s="2" t="s">
        <v>283</v>
      </c>
      <c r="D37" s="2" t="s">
        <v>326</v>
      </c>
      <c r="E37" s="2" t="s">
        <v>76</v>
      </c>
      <c r="G37" s="56">
        <f>G36/(G32*G33)</f>
        <v>33.862275363134906</v>
      </c>
      <c r="H37" s="44"/>
      <c r="I37" s="56">
        <f>I36/(I32*I33)</f>
        <v>33.862275363134906</v>
      </c>
      <c r="K37" s="2" t="s">
        <v>588</v>
      </c>
    </row>
    <row r="40" spans="2:11" x14ac:dyDescent="0.2">
      <c r="B40" s="27" t="s">
        <v>60</v>
      </c>
    </row>
  </sheetData>
  <mergeCells count="1">
    <mergeCell ref="B5:E7"/>
  </mergeCells>
  <phoneticPr fontId="30"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8D9"/>
  </sheetPr>
  <dimension ref="B2:H33"/>
  <sheetViews>
    <sheetView showGridLines="0" zoomScale="85" zoomScaleNormal="85" workbookViewId="0">
      <pane ySplit="3" topLeftCell="A4" activePane="bottomLeft" state="frozen"/>
      <selection activeCell="O39" sqref="O39"/>
      <selection pane="bottomLeft" activeCell="B36" sqref="B36"/>
    </sheetView>
  </sheetViews>
  <sheetFormatPr defaultColWidth="9.140625" defaultRowHeight="12.75" x14ac:dyDescent="0.2"/>
  <cols>
    <col min="1" max="1" width="5.7109375" style="2" customWidth="1"/>
    <col min="2" max="2" width="35.28515625" style="2" customWidth="1"/>
    <col min="3" max="3" width="2.7109375" style="2" customWidth="1"/>
    <col min="4" max="4" width="86.140625" style="2" customWidth="1"/>
    <col min="5" max="5" width="29.85546875" style="2" customWidth="1"/>
    <col min="6" max="6" width="24.7109375" style="2" customWidth="1"/>
    <col min="7" max="7" width="37.28515625" style="2" customWidth="1"/>
    <col min="8" max="16384" width="9.140625" style="2"/>
  </cols>
  <sheetData>
    <row r="2" spans="2:8" s="7" customFormat="1" ht="18" x14ac:dyDescent="0.2">
      <c r="B2" s="7" t="s">
        <v>42</v>
      </c>
    </row>
    <row r="5" spans="2:8" s="8" customFormat="1" x14ac:dyDescent="0.2">
      <c r="B5" s="8" t="s">
        <v>12</v>
      </c>
    </row>
    <row r="7" spans="2:8" x14ac:dyDescent="0.2">
      <c r="B7" s="21" t="s">
        <v>562</v>
      </c>
    </row>
    <row r="8" spans="2:8" x14ac:dyDescent="0.2">
      <c r="H8" s="29"/>
    </row>
    <row r="10" spans="2:8" s="8" customFormat="1" x14ac:dyDescent="0.2">
      <c r="B10" s="8" t="s">
        <v>13</v>
      </c>
    </row>
    <row r="11" spans="2:8" x14ac:dyDescent="0.2">
      <c r="C11" s="9"/>
    </row>
    <row r="12" spans="2:8" x14ac:dyDescent="0.2">
      <c r="B12" s="26" t="s">
        <v>33</v>
      </c>
      <c r="C12" s="9"/>
      <c r="D12" s="26" t="s">
        <v>14</v>
      </c>
      <c r="F12" s="12"/>
    </row>
    <row r="13" spans="2:8" x14ac:dyDescent="0.2">
      <c r="B13" s="31">
        <v>123</v>
      </c>
      <c r="C13" s="9"/>
      <c r="D13" s="21" t="s">
        <v>52</v>
      </c>
    </row>
    <row r="14" spans="2:8" x14ac:dyDescent="0.2">
      <c r="B14" s="33">
        <f>B13</f>
        <v>123</v>
      </c>
      <c r="C14" s="9"/>
      <c r="D14" s="2" t="s">
        <v>15</v>
      </c>
    </row>
    <row r="15" spans="2:8" x14ac:dyDescent="0.2">
      <c r="B15" s="34">
        <f>B14+B13</f>
        <v>246</v>
      </c>
      <c r="C15" s="9"/>
      <c r="D15" s="2" t="s">
        <v>16</v>
      </c>
    </row>
    <row r="16" spans="2:8" x14ac:dyDescent="0.2">
      <c r="B16" s="28">
        <f>B14+B15</f>
        <v>369</v>
      </c>
      <c r="C16" s="9"/>
      <c r="D16" s="21" t="s">
        <v>53</v>
      </c>
      <c r="E16" s="12"/>
      <c r="F16" s="5"/>
    </row>
    <row r="17" spans="2:5" x14ac:dyDescent="0.2">
      <c r="B17" s="37"/>
      <c r="C17" s="9"/>
      <c r="D17" s="21" t="s">
        <v>17</v>
      </c>
      <c r="E17" s="12"/>
    </row>
    <row r="18" spans="2:5" x14ac:dyDescent="0.2">
      <c r="B18" s="9"/>
      <c r="C18" s="9"/>
    </row>
    <row r="19" spans="2:5" x14ac:dyDescent="0.2">
      <c r="B19" s="27" t="s">
        <v>18</v>
      </c>
      <c r="C19" s="9"/>
      <c r="E19" s="25"/>
    </row>
    <row r="20" spans="2:5" x14ac:dyDescent="0.2">
      <c r="B20" s="30">
        <f>B16+16</f>
        <v>385</v>
      </c>
      <c r="C20" s="9"/>
      <c r="D20" s="2" t="s">
        <v>66</v>
      </c>
    </row>
    <row r="21" spans="2:5" x14ac:dyDescent="0.2">
      <c r="B21" s="13"/>
      <c r="C21" s="13"/>
    </row>
    <row r="22" spans="2:5" x14ac:dyDescent="0.2">
      <c r="B22" s="26" t="s">
        <v>29</v>
      </c>
    </row>
    <row r="23" spans="2:5" x14ac:dyDescent="0.2">
      <c r="B23" s="27" t="s">
        <v>34</v>
      </c>
    </row>
    <row r="24" spans="2:5" x14ac:dyDescent="0.2">
      <c r="B24" s="28" t="s">
        <v>28</v>
      </c>
      <c r="C24" s="9"/>
      <c r="D24" s="3" t="s">
        <v>37</v>
      </c>
    </row>
    <row r="25" spans="2:5" x14ac:dyDescent="0.2">
      <c r="B25" s="31" t="s">
        <v>26</v>
      </c>
      <c r="C25" s="9"/>
      <c r="D25" s="3" t="s">
        <v>30</v>
      </c>
    </row>
    <row r="26" spans="2:5" x14ac:dyDescent="0.2">
      <c r="B26" s="34" t="s">
        <v>27</v>
      </c>
      <c r="C26" s="9"/>
      <c r="D26" s="3" t="s">
        <v>31</v>
      </c>
    </row>
    <row r="27" spans="2:5" x14ac:dyDescent="0.2">
      <c r="C27" s="9"/>
      <c r="D27" s="3"/>
    </row>
    <row r="28" spans="2:5" x14ac:dyDescent="0.2">
      <c r="B28" s="27" t="s">
        <v>36</v>
      </c>
      <c r="C28" s="9"/>
      <c r="D28" s="3"/>
    </row>
    <row r="29" spans="2:5" x14ac:dyDescent="0.2">
      <c r="B29" s="18" t="s">
        <v>32</v>
      </c>
      <c r="C29" s="9"/>
      <c r="D29" s="3" t="s">
        <v>38</v>
      </c>
    </row>
    <row r="30" spans="2:5" x14ac:dyDescent="0.2">
      <c r="B30" s="19" t="s">
        <v>35</v>
      </c>
      <c r="D30" s="21" t="s">
        <v>54</v>
      </c>
    </row>
    <row r="33" spans="2:2" x14ac:dyDescent="0.2">
      <c r="B33" s="27" t="s">
        <v>60</v>
      </c>
    </row>
  </sheetData>
  <pageMargins left="0.75" right="0.75" top="1" bottom="1" header="0.5" footer="0.5"/>
  <pageSetup paperSize="9"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8D9"/>
    <pageSetUpPr fitToPage="1"/>
  </sheetPr>
  <dimension ref="B2:G37"/>
  <sheetViews>
    <sheetView showGridLines="0" zoomScale="85" zoomScaleNormal="85" workbookViewId="0">
      <pane ySplit="3" topLeftCell="A4" activePane="bottomLeft" state="frozen"/>
      <selection activeCell="B6" sqref="B6"/>
      <selection pane="bottomLeft" activeCell="D27" sqref="D27"/>
    </sheetView>
  </sheetViews>
  <sheetFormatPr defaultColWidth="9.140625" defaultRowHeight="12.75" x14ac:dyDescent="0.2"/>
  <cols>
    <col min="1" max="1" width="2.85546875" style="2" customWidth="1"/>
    <col min="2" max="2" width="7.5703125" style="2" customWidth="1"/>
    <col min="3" max="3" width="40.7109375" style="2" customWidth="1"/>
    <col min="4" max="4" width="78.85546875" style="2" customWidth="1"/>
    <col min="5" max="5" width="58.85546875" style="2" customWidth="1"/>
    <col min="6" max="6" width="4.5703125" style="2" customWidth="1"/>
    <col min="7" max="7" width="22" style="2" customWidth="1"/>
    <col min="8" max="16384" width="9.140625" style="2"/>
  </cols>
  <sheetData>
    <row r="2" spans="2:7" s="7" customFormat="1" ht="18" x14ac:dyDescent="0.2">
      <c r="B2" s="7" t="s">
        <v>19</v>
      </c>
    </row>
    <row r="5" spans="2:7" s="8" customFormat="1" x14ac:dyDescent="0.2">
      <c r="B5" s="8" t="s">
        <v>20</v>
      </c>
    </row>
    <row r="7" spans="2:7" x14ac:dyDescent="0.2">
      <c r="B7" s="27" t="s">
        <v>49</v>
      </c>
    </row>
    <row r="8" spans="2:7" x14ac:dyDescent="0.2">
      <c r="B8" s="27" t="s">
        <v>50</v>
      </c>
    </row>
    <row r="10" spans="2:7" x14ac:dyDescent="0.2">
      <c r="B10" s="17" t="s">
        <v>43</v>
      </c>
      <c r="C10" s="17" t="s">
        <v>44</v>
      </c>
      <c r="D10" s="17" t="s">
        <v>61</v>
      </c>
      <c r="E10" s="17" t="s">
        <v>62</v>
      </c>
      <c r="G10" s="25"/>
    </row>
    <row r="11" spans="2:7" x14ac:dyDescent="0.2">
      <c r="B11" s="14"/>
      <c r="C11" s="22" t="s">
        <v>48</v>
      </c>
      <c r="D11" s="22" t="s">
        <v>21</v>
      </c>
      <c r="E11" s="22" t="s">
        <v>63</v>
      </c>
    </row>
    <row r="12" spans="2:7" x14ac:dyDescent="0.2">
      <c r="B12" s="23">
        <v>1</v>
      </c>
      <c r="C12" s="65" t="s">
        <v>391</v>
      </c>
      <c r="D12" s="65" t="s">
        <v>391</v>
      </c>
      <c r="E12" s="68" t="s">
        <v>547</v>
      </c>
    </row>
    <row r="13" spans="2:7" x14ac:dyDescent="0.2">
      <c r="B13" s="6">
        <v>2</v>
      </c>
      <c r="C13" s="65" t="s">
        <v>339</v>
      </c>
      <c r="D13" s="65" t="s">
        <v>339</v>
      </c>
      <c r="E13" s="68" t="s">
        <v>340</v>
      </c>
    </row>
    <row r="14" spans="2:7" ht="25.5" x14ac:dyDescent="0.2">
      <c r="B14" s="6">
        <v>3</v>
      </c>
      <c r="C14" s="65" t="s">
        <v>341</v>
      </c>
      <c r="D14" s="65" t="s">
        <v>342</v>
      </c>
      <c r="E14" s="98" t="s">
        <v>563</v>
      </c>
    </row>
    <row r="15" spans="2:7" ht="25.5" x14ac:dyDescent="0.2">
      <c r="B15" s="23">
        <v>4</v>
      </c>
      <c r="C15" s="65" t="s">
        <v>343</v>
      </c>
      <c r="D15" s="65" t="s">
        <v>590</v>
      </c>
      <c r="E15" s="68" t="s">
        <v>398</v>
      </c>
    </row>
    <row r="16" spans="2:7" ht="25.5" x14ac:dyDescent="0.2">
      <c r="B16" s="6">
        <v>5</v>
      </c>
      <c r="C16" s="65" t="s">
        <v>344</v>
      </c>
      <c r="D16" s="65" t="s">
        <v>591</v>
      </c>
      <c r="E16" s="68" t="s">
        <v>399</v>
      </c>
    </row>
    <row r="17" spans="2:7" ht="38.25" x14ac:dyDescent="0.2">
      <c r="B17" s="6">
        <v>6</v>
      </c>
      <c r="C17" s="65" t="s">
        <v>345</v>
      </c>
      <c r="D17" s="65" t="s">
        <v>592</v>
      </c>
      <c r="E17" s="67" t="s">
        <v>346</v>
      </c>
    </row>
    <row r="18" spans="2:7" ht="25.5" x14ac:dyDescent="0.2">
      <c r="B18" s="23">
        <v>7</v>
      </c>
      <c r="C18" s="65" t="s">
        <v>347</v>
      </c>
      <c r="D18" s="65" t="s">
        <v>593</v>
      </c>
      <c r="E18" s="68" t="s">
        <v>400</v>
      </c>
    </row>
    <row r="19" spans="2:7" ht="38.25" x14ac:dyDescent="0.2">
      <c r="B19" s="6">
        <v>8</v>
      </c>
      <c r="C19" s="65" t="s">
        <v>348</v>
      </c>
      <c r="D19" s="65" t="s">
        <v>349</v>
      </c>
      <c r="E19" s="65" t="s">
        <v>350</v>
      </c>
    </row>
    <row r="20" spans="2:7" x14ac:dyDescent="0.2">
      <c r="B20" s="6">
        <v>9</v>
      </c>
      <c r="C20" s="9" t="s">
        <v>404</v>
      </c>
      <c r="D20" s="95" t="s">
        <v>404</v>
      </c>
      <c r="E20" s="65" t="s">
        <v>589</v>
      </c>
      <c r="G20" s="9"/>
    </row>
    <row r="21" spans="2:7" x14ac:dyDescent="0.2">
      <c r="B21" s="23">
        <v>10</v>
      </c>
      <c r="C21" s="65" t="s">
        <v>392</v>
      </c>
      <c r="D21" s="65" t="s">
        <v>524</v>
      </c>
      <c r="E21" s="68" t="s">
        <v>549</v>
      </c>
    </row>
    <row r="22" spans="2:7" x14ac:dyDescent="0.2">
      <c r="B22" s="6">
        <v>11</v>
      </c>
      <c r="C22" s="65" t="s">
        <v>393</v>
      </c>
      <c r="D22" s="65" t="s">
        <v>525</v>
      </c>
      <c r="E22" s="68" t="s">
        <v>550</v>
      </c>
    </row>
    <row r="23" spans="2:7" x14ac:dyDescent="0.2">
      <c r="B23" s="6">
        <v>12</v>
      </c>
      <c r="C23" s="65" t="s">
        <v>394</v>
      </c>
      <c r="D23" s="65" t="s">
        <v>526</v>
      </c>
      <c r="E23" s="68" t="s">
        <v>551</v>
      </c>
    </row>
    <row r="24" spans="2:7" x14ac:dyDescent="0.2">
      <c r="B24" s="23">
        <v>13</v>
      </c>
      <c r="C24" s="65" t="s">
        <v>395</v>
      </c>
      <c r="D24" s="65" t="s">
        <v>527</v>
      </c>
      <c r="E24" s="68" t="s">
        <v>548</v>
      </c>
    </row>
    <row r="25" spans="2:7" x14ac:dyDescent="0.2">
      <c r="B25" s="6">
        <v>14</v>
      </c>
      <c r="C25" s="65" t="s">
        <v>396</v>
      </c>
      <c r="D25" s="65" t="s">
        <v>528</v>
      </c>
      <c r="E25" s="68" t="s">
        <v>552</v>
      </c>
    </row>
    <row r="26" spans="2:7" x14ac:dyDescent="0.2">
      <c r="B26" s="6">
        <v>15</v>
      </c>
      <c r="C26" s="65" t="s">
        <v>397</v>
      </c>
      <c r="D26" s="65" t="s">
        <v>529</v>
      </c>
      <c r="E26" s="68" t="s">
        <v>553</v>
      </c>
      <c r="G26" s="9"/>
    </row>
    <row r="27" spans="2:7" x14ac:dyDescent="0.2">
      <c r="B27" s="23">
        <v>16</v>
      </c>
      <c r="C27" s="65" t="s">
        <v>351</v>
      </c>
      <c r="D27" s="95" t="s">
        <v>564</v>
      </c>
      <c r="E27" s="68" t="s">
        <v>401</v>
      </c>
      <c r="G27" s="9"/>
    </row>
    <row r="28" spans="2:7" x14ac:dyDescent="0.2">
      <c r="B28" s="6">
        <v>17</v>
      </c>
      <c r="C28" s="65" t="s">
        <v>127</v>
      </c>
      <c r="D28" s="65" t="s">
        <v>402</v>
      </c>
      <c r="E28" s="67" t="s">
        <v>554</v>
      </c>
      <c r="G28" s="9"/>
    </row>
    <row r="29" spans="2:7" ht="25.5" x14ac:dyDescent="0.2">
      <c r="B29" s="6">
        <v>18</v>
      </c>
      <c r="C29" s="65" t="s">
        <v>403</v>
      </c>
      <c r="D29" s="65" t="s">
        <v>532</v>
      </c>
      <c r="E29" s="65" t="s">
        <v>589</v>
      </c>
      <c r="G29" s="9"/>
    </row>
    <row r="30" spans="2:7" ht="25.5" x14ac:dyDescent="0.2">
      <c r="B30" s="23">
        <v>19</v>
      </c>
      <c r="C30" s="65" t="s">
        <v>352</v>
      </c>
      <c r="D30" s="65" t="s">
        <v>353</v>
      </c>
      <c r="E30" s="65" t="s">
        <v>589</v>
      </c>
      <c r="G30" s="9"/>
    </row>
    <row r="31" spans="2:7" ht="25.5" x14ac:dyDescent="0.2">
      <c r="B31" s="6">
        <v>20</v>
      </c>
      <c r="C31" s="65" t="s">
        <v>354</v>
      </c>
      <c r="D31" s="65" t="s">
        <v>355</v>
      </c>
      <c r="E31" s="65" t="s">
        <v>589</v>
      </c>
      <c r="G31" s="9"/>
    </row>
    <row r="32" spans="2:7" ht="25.5" x14ac:dyDescent="0.2">
      <c r="B32" s="6">
        <v>21</v>
      </c>
      <c r="C32" s="65" t="s">
        <v>356</v>
      </c>
      <c r="D32" s="65" t="s">
        <v>357</v>
      </c>
      <c r="E32" s="65" t="s">
        <v>589</v>
      </c>
      <c r="G32" s="9"/>
    </row>
    <row r="33" spans="2:7" x14ac:dyDescent="0.2">
      <c r="B33" s="23">
        <v>22</v>
      </c>
      <c r="C33" s="65" t="s">
        <v>358</v>
      </c>
      <c r="D33" s="65" t="s">
        <v>594</v>
      </c>
      <c r="E33" s="65" t="s">
        <v>589</v>
      </c>
      <c r="G33" s="9"/>
    </row>
    <row r="34" spans="2:7" ht="25.5" x14ac:dyDescent="0.2">
      <c r="B34" s="6">
        <v>23</v>
      </c>
      <c r="C34" s="65" t="s">
        <v>359</v>
      </c>
      <c r="D34" s="65" t="s">
        <v>595</v>
      </c>
      <c r="E34" s="65" t="s">
        <v>589</v>
      </c>
      <c r="G34" s="9"/>
    </row>
    <row r="35" spans="2:7" x14ac:dyDescent="0.2">
      <c r="G35" s="9"/>
    </row>
    <row r="36" spans="2:7" x14ac:dyDescent="0.2">
      <c r="G36" s="9"/>
    </row>
    <row r="37" spans="2:7" x14ac:dyDescent="0.2">
      <c r="B37" s="27" t="s">
        <v>60</v>
      </c>
    </row>
  </sheetData>
  <hyperlinks>
    <hyperlink ref="E14" r:id="rId1" location="/CBS/nl/dataset/70936ned/table?dl=CBADA" xr:uid="{B3412F5F-E3F0-4F58-BBB8-2341572E3660}"/>
    <hyperlink ref="E15" r:id="rId2" display="https://wetten.overheid.nl/BWBR0033940/2025-01-01" xr:uid="{D0C1E089-A108-49C4-824E-447073C4FA63}"/>
    <hyperlink ref="E16" r:id="rId3" display="https://wetten.overheid.nl/BWBR0033862/2025-01-01" xr:uid="{4C78ED62-439D-45DC-9E8B-AFD7E601E471}"/>
    <hyperlink ref="E17" r:id="rId4" location="d17e1016" xr:uid="{C32BF8A2-495B-4D85-A6F9-03FF1B0159D3}"/>
    <hyperlink ref="E18" r:id="rId5" display="https://wetten.overheid.nl/BWBR0011353/2025-07-19" xr:uid="{4E5D6311-4B7F-4FC2-A25B-07C6DA051E41}"/>
    <hyperlink ref="E13" r:id="rId6" display="https://wetten.overheid.nl/BWBR0002629/2025-01-01" xr:uid="{FA3E7C9F-F458-42CF-B8CD-0110DF451D3F}"/>
    <hyperlink ref="E27" r:id="rId7" display="https://wetten.overheid.nl/BWBR0037948/2025-04-04" xr:uid="{BCD93AA3-365E-4352-BAF7-8D47793E1849}"/>
    <hyperlink ref="E12" r:id="rId8" display="https://www.rijksfinancien.nl/belastingplan-2026" xr:uid="{C6F7C456-06F6-4ECC-8758-E02F45B89EEB}"/>
    <hyperlink ref="E24" r:id="rId9" display="https://www.acm.nl/nl/publicaties/tarievenbesluit-rendo-gas-2026" xr:uid="{5F93F1E2-5AB6-490E-BB31-7BEB52397B6D}"/>
    <hyperlink ref="E21" r:id="rId10" display="https://www.acm.nl/nl/publicaties/tarievenbesluit-coteq-gas-2026" xr:uid="{3A295738-6323-4DF5-BCF5-D73F60E413FF}"/>
    <hyperlink ref="E22" r:id="rId11" display="https://www.acm.nl/nl/publicaties/tarievenbesluit-enexis-gas-2026" xr:uid="{53CFCE94-BC71-4C06-8F8D-1B614D4CB21B}"/>
    <hyperlink ref="E23" r:id="rId12" display="https://www.acm.nl/nl/publicaties/tarievenbesluit-liander-gas-2026" xr:uid="{5E20B24A-5CA3-4B8C-84E1-A3A87CC4E874}"/>
    <hyperlink ref="E25" r:id="rId13" display="https://www.acm.nl/nl/publicaties/tarievenbesluit-stedin-gas-2026" xr:uid="{7308E6E0-CFE0-4A3C-A27A-13D29DAAAE06}"/>
    <hyperlink ref="E26" r:id="rId14" display="https://www.acm.nl/nl/publicaties/tarievenbesluit-westland-gas-2026" xr:uid="{01F367DE-EFB1-41E3-A141-CCEA4FF186D8}"/>
    <hyperlink ref="E28" r:id="rId15" location=":~:text=De%20Autoriteit%20Consument%20%26%20Markt%20(%20ACM,en%20onderhoud%20van%20de%20gasmeter.&amp;text=De%20tarieven%20voor%202026%20zijn,voor%202%2C8%25%20inflatie." xr:uid="{5B3D80B1-9F50-41D7-9FFF-79CD342AF96D}"/>
  </hyperlinks>
  <pageMargins left="0.75" right="0.75" top="1" bottom="1" header="0.5" footer="0.5"/>
  <pageSetup paperSize="9" scale="59" orientation="landscape" r:id="rId16"/>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1F1E0-D802-4FE7-87F4-C24E08E29E7D}">
  <sheetPr>
    <tabColor rgb="FFCCFFFF"/>
  </sheetPr>
  <dimension ref="B2:M83"/>
  <sheetViews>
    <sheetView showGridLines="0" tabSelected="1" zoomScaleNormal="100" workbookViewId="0">
      <pane xSplit="4" ySplit="9" topLeftCell="E10" activePane="bottomRight" state="frozen"/>
      <selection activeCell="B6" sqref="B6"/>
      <selection pane="topRight" activeCell="B6" sqref="B6"/>
      <selection pane="bottomLeft" activeCell="B6" sqref="B6"/>
      <selection pane="bottomRight" activeCell="M15" sqref="M15"/>
    </sheetView>
  </sheetViews>
  <sheetFormatPr defaultColWidth="9.140625" defaultRowHeight="12.75" x14ac:dyDescent="0.2"/>
  <cols>
    <col min="1" max="1" width="5.7109375" style="2" customWidth="1"/>
    <col min="2" max="2" width="41.42578125" style="2" customWidth="1"/>
    <col min="3" max="3" width="5.7109375" style="2" customWidth="1"/>
    <col min="4" max="4" width="21.7109375" style="2" customWidth="1"/>
    <col min="5" max="5" width="2.7109375" style="2" customWidth="1"/>
    <col min="6" max="6" width="13.7109375" style="2" customWidth="1"/>
    <col min="7" max="7" width="2.7109375" style="2" customWidth="1"/>
    <col min="8" max="11" width="13.7109375" style="2" customWidth="1"/>
    <col min="12" max="12" width="2.7109375" style="2" customWidth="1"/>
    <col min="13" max="13" width="30.85546875" style="2" customWidth="1"/>
    <col min="14" max="27" width="13.7109375" style="2" customWidth="1"/>
    <col min="28" max="16384" width="9.140625" style="2"/>
  </cols>
  <sheetData>
    <row r="2" spans="2:13" s="15" customFormat="1" ht="18" x14ac:dyDescent="0.2">
      <c r="B2" s="15" t="s">
        <v>337</v>
      </c>
    </row>
    <row r="4" spans="2:13" x14ac:dyDescent="0.2">
      <c r="B4" s="26" t="s">
        <v>46</v>
      </c>
    </row>
    <row r="5" spans="2:13" x14ac:dyDescent="0.2">
      <c r="B5" s="21" t="s">
        <v>338</v>
      </c>
      <c r="F5" s="16"/>
      <c r="G5" s="16"/>
    </row>
    <row r="6" spans="2:13" x14ac:dyDescent="0.2">
      <c r="B6" s="21"/>
      <c r="F6" s="16"/>
      <c r="G6" s="16"/>
    </row>
    <row r="8" spans="2:13" s="8" customFormat="1" x14ac:dyDescent="0.2">
      <c r="B8" s="8" t="s">
        <v>39</v>
      </c>
      <c r="D8" s="8" t="s">
        <v>22</v>
      </c>
      <c r="F8" s="8" t="s">
        <v>23</v>
      </c>
      <c r="H8" s="102" t="s">
        <v>321</v>
      </c>
      <c r="I8" s="102"/>
      <c r="J8" s="102"/>
      <c r="K8" s="102"/>
      <c r="M8" s="8" t="s">
        <v>41</v>
      </c>
    </row>
    <row r="11" spans="2:13" s="8" customFormat="1" x14ac:dyDescent="0.2">
      <c r="B11" s="8" t="s">
        <v>452</v>
      </c>
      <c r="H11" s="8" t="s">
        <v>169</v>
      </c>
      <c r="I11" s="8" t="s">
        <v>170</v>
      </c>
      <c r="J11" s="8" t="s">
        <v>171</v>
      </c>
      <c r="K11" s="8" t="s">
        <v>172</v>
      </c>
    </row>
    <row r="13" spans="2:13" x14ac:dyDescent="0.2">
      <c r="B13" s="1" t="s">
        <v>234</v>
      </c>
    </row>
    <row r="14" spans="2:13" x14ac:dyDescent="0.2">
      <c r="B14" s="2" t="s">
        <v>236</v>
      </c>
      <c r="D14" s="2" t="s">
        <v>287</v>
      </c>
      <c r="H14" s="56">
        <f>'Vaste kosten'!G53</f>
        <v>508.81015709212704</v>
      </c>
      <c r="I14" s="56">
        <f>'Vaste kosten'!G61</f>
        <v>254.40507854606352</v>
      </c>
      <c r="J14" s="56">
        <f>Parameters!G88</f>
        <v>273.30867527389967</v>
      </c>
      <c r="K14" s="56">
        <f>'Vaste kosten'!G61</f>
        <v>254.40507854606352</v>
      </c>
    </row>
    <row r="15" spans="2:13" x14ac:dyDescent="0.2">
      <c r="B15" s="2" t="s">
        <v>237</v>
      </c>
      <c r="D15" s="2" t="s">
        <v>327</v>
      </c>
      <c r="H15" s="59"/>
      <c r="I15" s="59"/>
      <c r="J15" s="56">
        <f>Parameters!G90</f>
        <v>69.154549628973029</v>
      </c>
      <c r="K15" s="59"/>
      <c r="M15" s="9"/>
    </row>
    <row r="16" spans="2:13" x14ac:dyDescent="0.2">
      <c r="B16" s="21" t="s">
        <v>243</v>
      </c>
      <c r="D16" s="2" t="s">
        <v>327</v>
      </c>
      <c r="H16" s="56">
        <f>'Vaste kosten'!I57</f>
        <v>13.830574881730769</v>
      </c>
      <c r="I16" s="56">
        <f>'Vaste kosten'!I62</f>
        <v>6.9152874408653844</v>
      </c>
      <c r="J16" s="62"/>
      <c r="K16" s="56">
        <f>'Vaste kosten'!I62</f>
        <v>6.9152874408653844</v>
      </c>
    </row>
    <row r="17" spans="2:11" x14ac:dyDescent="0.2">
      <c r="B17" s="21"/>
    </row>
    <row r="18" spans="2:11" x14ac:dyDescent="0.2">
      <c r="B18" s="1" t="s">
        <v>239</v>
      </c>
    </row>
    <row r="19" spans="2:11" x14ac:dyDescent="0.2">
      <c r="B19" s="2" t="s">
        <v>545</v>
      </c>
      <c r="D19" s="2" t="s">
        <v>328</v>
      </c>
      <c r="H19" s="56">
        <f>'Variabele kosten'!$G37</f>
        <v>33.862275363134906</v>
      </c>
      <c r="I19" s="56">
        <f>'Variabele kosten'!$G37</f>
        <v>33.862275363134906</v>
      </c>
      <c r="J19" s="62"/>
      <c r="K19" s="56">
        <f>'Variabele kosten'!$G37</f>
        <v>33.862275363134906</v>
      </c>
    </row>
    <row r="20" spans="2:11" x14ac:dyDescent="0.2">
      <c r="B20" s="2" t="s">
        <v>546</v>
      </c>
      <c r="D20" s="2" t="s">
        <v>328</v>
      </c>
      <c r="H20" s="56">
        <f>'Variabele kosten'!$I37</f>
        <v>33.862275363134906</v>
      </c>
      <c r="I20" s="56">
        <f>'Variabele kosten'!$I37</f>
        <v>33.862275363134906</v>
      </c>
      <c r="J20" s="62"/>
      <c r="K20" s="56">
        <f>'Variabele kosten'!$I37</f>
        <v>33.862275363134906</v>
      </c>
    </row>
    <row r="22" spans="2:11" x14ac:dyDescent="0.2">
      <c r="B22" s="1" t="s">
        <v>298</v>
      </c>
    </row>
    <row r="23" spans="2:11" x14ac:dyDescent="0.2">
      <c r="B23" s="2" t="s">
        <v>299</v>
      </c>
      <c r="D23" s="2" t="s">
        <v>287</v>
      </c>
      <c r="F23" s="56">
        <f>Parameters!G94</f>
        <v>247.93566375195775</v>
      </c>
    </row>
    <row r="24" spans="2:11" x14ac:dyDescent="0.2">
      <c r="B24" s="2" t="s">
        <v>300</v>
      </c>
      <c r="D24" s="2" t="s">
        <v>327</v>
      </c>
      <c r="F24" s="56">
        <f>Parameters!G96</f>
        <v>60.295724789296337</v>
      </c>
    </row>
    <row r="26" spans="2:11" x14ac:dyDescent="0.2">
      <c r="B26" s="1" t="s">
        <v>301</v>
      </c>
    </row>
    <row r="27" spans="2:11" x14ac:dyDescent="0.2">
      <c r="B27" s="2" t="s">
        <v>301</v>
      </c>
      <c r="D27" s="2" t="s">
        <v>287</v>
      </c>
      <c r="F27" s="56">
        <f>Parameters!G50</f>
        <v>27.88</v>
      </c>
    </row>
    <row r="29" spans="2:11" s="8" customFormat="1" x14ac:dyDescent="0.2">
      <c r="B29" s="8" t="s">
        <v>501</v>
      </c>
      <c r="H29" s="8" t="s">
        <v>71</v>
      </c>
      <c r="I29" s="8" t="s">
        <v>73</v>
      </c>
      <c r="J29" s="8" t="s">
        <v>74</v>
      </c>
      <c r="K29" s="8" t="s">
        <v>296</v>
      </c>
    </row>
    <row r="31" spans="2:11" x14ac:dyDescent="0.2">
      <c r="B31" s="26" t="s">
        <v>288</v>
      </c>
    </row>
    <row r="32" spans="2:11" x14ac:dyDescent="0.2">
      <c r="B32" s="2" t="s">
        <v>289</v>
      </c>
      <c r="D32" s="2" t="s">
        <v>287</v>
      </c>
      <c r="F32" s="56">
        <f>'Huurtarieven ind.'!J31</f>
        <v>147.53429113146763</v>
      </c>
    </row>
    <row r="33" spans="2:13" x14ac:dyDescent="0.2">
      <c r="B33" s="2" t="s">
        <v>290</v>
      </c>
      <c r="D33" s="2" t="s">
        <v>287</v>
      </c>
      <c r="F33" s="56">
        <f>'Huurtarieven ind.'!N31</f>
        <v>152.14915214255947</v>
      </c>
    </row>
    <row r="34" spans="2:13" x14ac:dyDescent="0.2">
      <c r="B34" s="2" t="s">
        <v>291</v>
      </c>
      <c r="D34" s="2" t="s">
        <v>287</v>
      </c>
      <c r="F34" s="56">
        <f>'Huurtarieven ind.'!O31</f>
        <v>152.14915214255947</v>
      </c>
    </row>
    <row r="36" spans="2:13" x14ac:dyDescent="0.2">
      <c r="B36" s="64" t="s">
        <v>297</v>
      </c>
    </row>
    <row r="37" spans="2:13" x14ac:dyDescent="0.2">
      <c r="B37" s="2" t="s">
        <v>295</v>
      </c>
      <c r="D37" s="2" t="s">
        <v>287</v>
      </c>
      <c r="H37" s="56">
        <f>'Huurtarieven ind.'!I44</f>
        <v>0</v>
      </c>
      <c r="I37" s="56">
        <f>'Huurtarieven ind.'!K44</f>
        <v>0</v>
      </c>
      <c r="J37" s="56">
        <f>'Huurtarieven ind.'!L44</f>
        <v>0</v>
      </c>
      <c r="K37" s="56">
        <f>'Huurtarieven ind.'!R44</f>
        <v>74.671675723178964</v>
      </c>
      <c r="M37" s="2" t="s">
        <v>385</v>
      </c>
    </row>
    <row r="38" spans="2:13" x14ac:dyDescent="0.2">
      <c r="B38" s="2" t="s">
        <v>265</v>
      </c>
      <c r="D38" s="2" t="s">
        <v>287</v>
      </c>
      <c r="H38" s="56">
        <f>'Huurtarieven ind.'!I45</f>
        <v>0</v>
      </c>
      <c r="I38" s="56">
        <f>'Huurtarieven ind.'!K45</f>
        <v>0</v>
      </c>
      <c r="J38" s="56">
        <f>'Huurtarieven ind.'!L45</f>
        <v>0</v>
      </c>
      <c r="K38" s="56">
        <f>'Huurtarieven ind.'!R45</f>
        <v>7.1921269000708534</v>
      </c>
      <c r="M38" s="2" t="s">
        <v>386</v>
      </c>
    </row>
    <row r="40" spans="2:13" x14ac:dyDescent="0.2">
      <c r="B40" s="26" t="s">
        <v>292</v>
      </c>
    </row>
    <row r="41" spans="2:13" x14ac:dyDescent="0.2">
      <c r="B41" s="2" t="s">
        <v>293</v>
      </c>
      <c r="D41" s="2" t="s">
        <v>287</v>
      </c>
      <c r="F41" s="56">
        <f>'Huurtarieven ind.'!Q44</f>
        <v>337.41966742891225</v>
      </c>
    </row>
    <row r="42" spans="2:13" x14ac:dyDescent="0.2">
      <c r="B42" s="2" t="s">
        <v>294</v>
      </c>
      <c r="D42" s="2" t="s">
        <v>287</v>
      </c>
      <c r="F42" s="56">
        <f>'Huurtarieven ind.'!Q45</f>
        <v>32.499137634528068</v>
      </c>
    </row>
    <row r="44" spans="2:13" s="8" customFormat="1" x14ac:dyDescent="0.2">
      <c r="B44" s="8" t="s">
        <v>504</v>
      </c>
      <c r="I44" s="8" t="s">
        <v>502</v>
      </c>
      <c r="J44" s="8" t="s">
        <v>295</v>
      </c>
    </row>
    <row r="46" spans="2:13" x14ac:dyDescent="0.2">
      <c r="B46" s="79" t="s">
        <v>494</v>
      </c>
    </row>
    <row r="47" spans="2:13" x14ac:dyDescent="0.2">
      <c r="B47" t="s">
        <v>495</v>
      </c>
      <c r="D47" s="2" t="s">
        <v>287</v>
      </c>
      <c r="F47" s="56">
        <f>'Huurtarieven coll.'!G51</f>
        <v>2725.4082842882826</v>
      </c>
    </row>
    <row r="48" spans="2:13" x14ac:dyDescent="0.2">
      <c r="B48" t="s">
        <v>496</v>
      </c>
      <c r="D48" s="2" t="s">
        <v>287</v>
      </c>
      <c r="F48" s="56">
        <f>'Huurtarieven coll.'!G52</f>
        <v>2748.6209203733588</v>
      </c>
    </row>
    <row r="49" spans="2:10" x14ac:dyDescent="0.2">
      <c r="B49" t="s">
        <v>497</v>
      </c>
      <c r="D49" s="2" t="s">
        <v>287</v>
      </c>
      <c r="F49" s="56">
        <f>'Huurtarieven coll.'!G53</f>
        <v>2748.6209203733588</v>
      </c>
    </row>
    <row r="50" spans="2:10" x14ac:dyDescent="0.2">
      <c r="B50"/>
      <c r="F50"/>
    </row>
    <row r="51" spans="2:10" x14ac:dyDescent="0.2">
      <c r="B51" s="79" t="s">
        <v>503</v>
      </c>
      <c r="F51"/>
    </row>
    <row r="52" spans="2:10" x14ac:dyDescent="0.2">
      <c r="B52" t="s">
        <v>483</v>
      </c>
      <c r="D52" s="2" t="s">
        <v>287</v>
      </c>
      <c r="I52" s="56">
        <f>'Huurtarieven coll.'!G56</f>
        <v>-844.76940416666685</v>
      </c>
      <c r="J52" s="56">
        <f>'Huurtarieven coll.'!G68</f>
        <v>-8770.7500000000018</v>
      </c>
    </row>
    <row r="53" spans="2:10" x14ac:dyDescent="0.2">
      <c r="B53" t="s">
        <v>484</v>
      </c>
      <c r="D53" s="2" t="s">
        <v>287</v>
      </c>
      <c r="I53" s="56">
        <f>'Huurtarieven coll.'!G57</f>
        <v>-332.99946433333344</v>
      </c>
      <c r="J53" s="56">
        <f>'Huurtarieven coll.'!G69</f>
        <v>-3457.34</v>
      </c>
    </row>
    <row r="54" spans="2:10" x14ac:dyDescent="0.2">
      <c r="B54" t="s">
        <v>485</v>
      </c>
      <c r="D54" s="2" t="s">
        <v>287</v>
      </c>
      <c r="I54" s="62"/>
      <c r="J54" s="62"/>
    </row>
    <row r="55" spans="2:10" x14ac:dyDescent="0.2">
      <c r="B55" t="s">
        <v>486</v>
      </c>
      <c r="D55" s="2" t="s">
        <v>287</v>
      </c>
      <c r="I55" s="56">
        <f>'Huurtarieven coll.'!G59</f>
        <v>420.20072166666614</v>
      </c>
      <c r="J55" s="56">
        <f>'Huurtarieven coll.'!G71</f>
        <v>4362.6999999999971</v>
      </c>
    </row>
    <row r="56" spans="2:10" x14ac:dyDescent="0.2">
      <c r="B56" t="s">
        <v>487</v>
      </c>
      <c r="D56" s="2" t="s">
        <v>287</v>
      </c>
      <c r="I56" s="56">
        <f>'Huurtarieven coll.'!G60</f>
        <v>1076.7548379999998</v>
      </c>
      <c r="J56" s="56">
        <f>'Huurtarieven coll.'!G72</f>
        <v>11179.32</v>
      </c>
    </row>
    <row r="57" spans="2:10" x14ac:dyDescent="0.2">
      <c r="B57" t="s">
        <v>488</v>
      </c>
      <c r="D57" s="2" t="s">
        <v>287</v>
      </c>
      <c r="I57" s="56">
        <f>'Huurtarieven coll.'!G61</f>
        <v>1966.1708698333327</v>
      </c>
      <c r="J57" s="56">
        <f>'Huurtarieven coll.'!G73</f>
        <v>20413.609999999997</v>
      </c>
    </row>
    <row r="58" spans="2:10" x14ac:dyDescent="0.2">
      <c r="B58" t="s">
        <v>489</v>
      </c>
      <c r="D58" s="2" t="s">
        <v>287</v>
      </c>
      <c r="I58" s="56">
        <f>'Huurtarieven coll.'!G62</f>
        <v>2919.9341403333337</v>
      </c>
      <c r="J58" s="56">
        <f>'Huurtarieven coll.'!G74</f>
        <v>30315.98</v>
      </c>
    </row>
    <row r="59" spans="2:10" x14ac:dyDescent="0.2">
      <c r="B59" t="s">
        <v>490</v>
      </c>
      <c r="D59" s="2" t="s">
        <v>287</v>
      </c>
      <c r="I59" s="56">
        <f>'Huurtarieven coll.'!G63</f>
        <v>3942.0745388333335</v>
      </c>
      <c r="J59" s="56">
        <f>'Huurtarieven coll.'!G75</f>
        <v>40928.270000000004</v>
      </c>
    </row>
    <row r="60" spans="2:10" x14ac:dyDescent="0.2">
      <c r="B60" t="s">
        <v>491</v>
      </c>
      <c r="D60" s="2" t="s">
        <v>287</v>
      </c>
      <c r="I60" s="56">
        <f>'Huurtarieven coll.'!G64</f>
        <v>5539.1416418333329</v>
      </c>
      <c r="J60" s="56">
        <f>'Huurtarieven coll.'!G76</f>
        <v>57509.689999999988</v>
      </c>
    </row>
    <row r="61" spans="2:10" x14ac:dyDescent="0.2">
      <c r="B61" t="s">
        <v>492</v>
      </c>
      <c r="D61" s="2" t="s">
        <v>287</v>
      </c>
      <c r="I61" s="56">
        <f>'Huurtarieven coll.'!G65</f>
        <v>7864.0160048333337</v>
      </c>
      <c r="J61" s="56">
        <f>'Huurtarieven coll.'!G77</f>
        <v>81647.509999999995</v>
      </c>
    </row>
    <row r="63" spans="2:10" s="8" customFormat="1" x14ac:dyDescent="0.2">
      <c r="B63" s="8" t="s">
        <v>453</v>
      </c>
    </row>
    <row r="65" spans="2:6" x14ac:dyDescent="0.2">
      <c r="B65" s="1" t="s">
        <v>455</v>
      </c>
    </row>
    <row r="66" spans="2:6" x14ac:dyDescent="0.2">
      <c r="B66" s="2" t="s">
        <v>514</v>
      </c>
      <c r="D66" s="2" t="s">
        <v>287</v>
      </c>
      <c r="F66" s="56">
        <f>Reguleringsdata!I40</f>
        <v>4377.1082717583249</v>
      </c>
    </row>
    <row r="67" spans="2:6" x14ac:dyDescent="0.2">
      <c r="B67" t="s">
        <v>512</v>
      </c>
      <c r="D67" s="2" t="s">
        <v>287</v>
      </c>
      <c r="F67" s="56">
        <f>Reguleringsdata!J40</f>
        <v>50311.079639522657</v>
      </c>
    </row>
    <row r="68" spans="2:6" x14ac:dyDescent="0.2">
      <c r="B68" t="s">
        <v>513</v>
      </c>
      <c r="D68" s="2" t="s">
        <v>287</v>
      </c>
      <c r="F68" s="56">
        <f>Reguleringsdata!J40</f>
        <v>50311.079639522657</v>
      </c>
    </row>
    <row r="70" spans="2:6" x14ac:dyDescent="0.2">
      <c r="B70" s="1" t="s">
        <v>508</v>
      </c>
    </row>
    <row r="71" spans="2:6" x14ac:dyDescent="0.2">
      <c r="B71" t="s">
        <v>511</v>
      </c>
      <c r="D71" s="2" t="s">
        <v>287</v>
      </c>
      <c r="F71" s="56">
        <f>Reguleringsdata!L40</f>
        <v>315.28232569154983</v>
      </c>
    </row>
    <row r="72" spans="2:6" x14ac:dyDescent="0.2">
      <c r="B72" t="s">
        <v>510</v>
      </c>
      <c r="D72" s="2" t="s">
        <v>287</v>
      </c>
      <c r="F72" s="56">
        <f>Reguleringsdata!M40</f>
        <v>499.30119915672844</v>
      </c>
    </row>
    <row r="73" spans="2:6" x14ac:dyDescent="0.2">
      <c r="B73" t="s">
        <v>509</v>
      </c>
      <c r="D73" s="2" t="s">
        <v>287</v>
      </c>
      <c r="F73" s="56">
        <f>Reguleringsdata!M40</f>
        <v>499.30119915672844</v>
      </c>
    </row>
    <row r="75" spans="2:6" x14ac:dyDescent="0.2">
      <c r="B75" s="1" t="s">
        <v>454</v>
      </c>
    </row>
    <row r="76" spans="2:6" x14ac:dyDescent="0.2">
      <c r="B76" s="2" t="s">
        <v>456</v>
      </c>
      <c r="D76" s="2" t="s">
        <v>287</v>
      </c>
      <c r="F76" s="56">
        <f>Reguleringsdata!O40</f>
        <v>512.75554543653868</v>
      </c>
    </row>
    <row r="77" spans="2:6" x14ac:dyDescent="0.2">
      <c r="B77" s="2" t="s">
        <v>457</v>
      </c>
      <c r="D77" s="2" t="s">
        <v>287</v>
      </c>
      <c r="F77" s="56">
        <f>Reguleringsdata!O40</f>
        <v>512.75554543653868</v>
      </c>
    </row>
    <row r="78" spans="2:6" x14ac:dyDescent="0.2">
      <c r="B78" s="2" t="s">
        <v>544</v>
      </c>
      <c r="D78" s="2" t="s">
        <v>287</v>
      </c>
      <c r="F78" s="56">
        <f>Reguleringsdata!O40</f>
        <v>512.75554543653868</v>
      </c>
    </row>
    <row r="79" spans="2:6" x14ac:dyDescent="0.2">
      <c r="B79" s="9" t="s">
        <v>565</v>
      </c>
      <c r="D79" s="2" t="s">
        <v>287</v>
      </c>
      <c r="F79" s="56">
        <f>Reguleringsdata!P40</f>
        <v>3226.660088309015</v>
      </c>
    </row>
    <row r="80" spans="2:6" x14ac:dyDescent="0.2">
      <c r="B80" s="2" t="s">
        <v>458</v>
      </c>
      <c r="D80" s="2" t="s">
        <v>287</v>
      </c>
      <c r="F80" s="56">
        <f>Reguleringsdata!Q40</f>
        <v>10567.192105560711</v>
      </c>
    </row>
    <row r="83" spans="2:2" x14ac:dyDescent="0.2">
      <c r="B83" s="27" t="s">
        <v>60</v>
      </c>
    </row>
  </sheetData>
  <mergeCells count="1">
    <mergeCell ref="H8:K8"/>
  </mergeCells>
  <phoneticPr fontId="30" type="noConversion"/>
  <pageMargins left="0.7" right="0.7" top="0.75" bottom="0.75" header="0.3" footer="0.3"/>
  <pageSetup paperSize="9" orientation="portrait" r:id="rId1"/>
  <ignoredErrors>
    <ignoredError sqref="J14"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05B6E-9B78-4017-AF35-2D4803EABDDD}">
  <sheetPr>
    <tabColor theme="0" tint="-4.9989318521683403E-2"/>
  </sheetPr>
  <dimension ref="B2:B3"/>
  <sheetViews>
    <sheetView showGridLines="0" zoomScale="85" zoomScaleNormal="85" workbookViewId="0">
      <selection activeCell="K43" sqref="K43"/>
    </sheetView>
  </sheetViews>
  <sheetFormatPr defaultColWidth="9.140625" defaultRowHeight="12.75" x14ac:dyDescent="0.2"/>
  <cols>
    <col min="1" max="1" width="5.7109375" style="18" customWidth="1"/>
    <col min="2" max="16384" width="9.140625" style="18"/>
  </cols>
  <sheetData>
    <row r="2" spans="2:2" x14ac:dyDescent="0.2">
      <c r="B2" s="35" t="s">
        <v>64</v>
      </c>
    </row>
    <row r="3" spans="2:2" x14ac:dyDescent="0.2">
      <c r="B3" s="35" t="s">
        <v>65</v>
      </c>
    </row>
  </sheetData>
  <pageMargins left="0.7" right="0.7" top="0.75" bottom="0.75" header="0.3" footer="0.3"/>
  <pageSetup paperSize="9" orientation="portrait" r:id="rId1"/>
  <headerFooter>
    <oddFooter>&amp;C&amp;1#&amp;"Calibri"&amp;10&amp;K000000C2 - Internal Information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E1FFE1"/>
  </sheetPr>
  <dimension ref="B2:W88"/>
  <sheetViews>
    <sheetView showGridLines="0" zoomScale="85" zoomScaleNormal="85" workbookViewId="0">
      <pane xSplit="5" ySplit="10" topLeftCell="F11" activePane="bottomRight" state="frozen"/>
      <selection activeCell="B6" sqref="B6"/>
      <selection pane="topRight" activeCell="B6" sqref="B6"/>
      <selection pane="bottomLeft" activeCell="B6" sqref="B6"/>
      <selection pane="bottomRight" activeCell="A50" sqref="A50"/>
    </sheetView>
  </sheetViews>
  <sheetFormatPr defaultColWidth="9.140625" defaultRowHeight="12.75" x14ac:dyDescent="0.2"/>
  <cols>
    <col min="1" max="1" width="5.7109375" style="2" customWidth="1"/>
    <col min="2" max="2" width="45.7109375" style="2" customWidth="1"/>
    <col min="3" max="3" width="5.7109375" style="2" customWidth="1"/>
    <col min="4" max="4" width="21.7109375" style="2" customWidth="1"/>
    <col min="5" max="5" width="13.28515625" style="2" customWidth="1"/>
    <col min="6" max="6" width="2.7109375" style="2" customWidth="1"/>
    <col min="7" max="7" width="11.7109375" style="2" customWidth="1"/>
    <col min="8" max="8" width="2.7109375" style="2" customWidth="1"/>
    <col min="9" max="23" width="11.7109375" style="2" customWidth="1"/>
    <col min="24" max="32" width="13.7109375" style="2" customWidth="1"/>
    <col min="33" max="16384" width="9.140625" style="2"/>
  </cols>
  <sheetData>
    <row r="2" spans="2:23" s="15" customFormat="1" ht="18" x14ac:dyDescent="0.2">
      <c r="B2" s="15" t="s">
        <v>363</v>
      </c>
    </row>
    <row r="4" spans="2:23" x14ac:dyDescent="0.2">
      <c r="B4" s="26" t="s">
        <v>24</v>
      </c>
      <c r="I4"/>
    </row>
    <row r="5" spans="2:23" ht="12.75" customHeight="1" x14ac:dyDescent="0.2">
      <c r="B5" s="103" t="s">
        <v>378</v>
      </c>
      <c r="C5" s="103"/>
      <c r="D5" s="103"/>
      <c r="E5" s="103"/>
      <c r="G5" s="16"/>
    </row>
    <row r="6" spans="2:23" x14ac:dyDescent="0.2">
      <c r="B6" s="103"/>
      <c r="C6" s="103"/>
      <c r="D6" s="103"/>
      <c r="E6" s="103"/>
      <c r="G6" s="16"/>
    </row>
    <row r="7" spans="2:23" x14ac:dyDescent="0.2">
      <c r="B7" s="103"/>
      <c r="C7" s="103"/>
      <c r="D7" s="103"/>
      <c r="E7" s="103"/>
      <c r="G7" s="16"/>
    </row>
    <row r="8" spans="2:23" x14ac:dyDescent="0.2">
      <c r="B8" s="21"/>
      <c r="G8" s="16"/>
    </row>
    <row r="9" spans="2:23" s="8" customFormat="1" x14ac:dyDescent="0.2">
      <c r="B9" s="8" t="s">
        <v>39</v>
      </c>
      <c r="D9" s="8" t="s">
        <v>22</v>
      </c>
      <c r="E9" s="8" t="s">
        <v>67</v>
      </c>
      <c r="G9" s="8" t="s">
        <v>23</v>
      </c>
    </row>
    <row r="12" spans="2:23" s="8" customFormat="1" x14ac:dyDescent="0.2">
      <c r="B12" s="8" t="s">
        <v>409</v>
      </c>
      <c r="I12" s="102" t="s">
        <v>410</v>
      </c>
      <c r="J12" s="102"/>
      <c r="L12" s="102" t="s">
        <v>473</v>
      </c>
      <c r="M12" s="102"/>
      <c r="O12" s="102" t="s">
        <v>411</v>
      </c>
      <c r="P12" s="102"/>
      <c r="Q12" s="102"/>
      <c r="S12" s="102" t="s">
        <v>474</v>
      </c>
      <c r="T12" s="102"/>
      <c r="V12" s="102" t="s">
        <v>475</v>
      </c>
      <c r="W12" s="102"/>
    </row>
    <row r="13" spans="2:23" s="74" customFormat="1" x14ac:dyDescent="0.2">
      <c r="I13" s="74" t="s">
        <v>412</v>
      </c>
      <c r="J13" s="74" t="s">
        <v>413</v>
      </c>
      <c r="L13" s="74" t="s">
        <v>412</v>
      </c>
      <c r="M13" s="74" t="s">
        <v>413</v>
      </c>
      <c r="O13" s="74" t="s">
        <v>414</v>
      </c>
      <c r="P13" s="74" t="s">
        <v>415</v>
      </c>
      <c r="Q13" s="74" t="s">
        <v>416</v>
      </c>
      <c r="S13" s="74" t="s">
        <v>417</v>
      </c>
      <c r="T13" s="74" t="s">
        <v>418</v>
      </c>
      <c r="V13" s="74" t="s">
        <v>417</v>
      </c>
      <c r="W13" s="74" t="s">
        <v>418</v>
      </c>
    </row>
    <row r="15" spans="2:23" x14ac:dyDescent="0.2">
      <c r="B15" s="1" t="s">
        <v>450</v>
      </c>
    </row>
    <row r="16" spans="2:23" x14ac:dyDescent="0.2">
      <c r="B16" s="2" t="s">
        <v>405</v>
      </c>
      <c r="D16" s="2" t="s">
        <v>102</v>
      </c>
      <c r="G16" s="53">
        <f>Parameters!G28</f>
        <v>1.2580794662912</v>
      </c>
    </row>
    <row r="17" spans="2:23" x14ac:dyDescent="0.2">
      <c r="B17" s="2" t="s">
        <v>211</v>
      </c>
      <c r="D17" s="2" t="s">
        <v>102</v>
      </c>
      <c r="G17" s="53">
        <f>Parameters!G29</f>
        <v>1.2285932288000003</v>
      </c>
    </row>
    <row r="18" spans="2:23" x14ac:dyDescent="0.2">
      <c r="B18" s="2" t="s">
        <v>212</v>
      </c>
      <c r="D18" s="2" t="s">
        <v>102</v>
      </c>
      <c r="G18" s="53">
        <f>Parameters!G30</f>
        <v>1.09695824</v>
      </c>
    </row>
    <row r="19" spans="2:23" x14ac:dyDescent="0.2">
      <c r="B19" s="2" t="s">
        <v>451</v>
      </c>
      <c r="D19" s="2" t="s">
        <v>102</v>
      </c>
      <c r="G19" s="53">
        <f>Parameters!G31</f>
        <v>1.065008</v>
      </c>
    </row>
    <row r="20" spans="2:23" x14ac:dyDescent="0.2">
      <c r="B20" s="16"/>
    </row>
    <row r="21" spans="2:23" x14ac:dyDescent="0.2">
      <c r="B21" s="26" t="s">
        <v>419</v>
      </c>
    </row>
    <row r="22" spans="2:23" x14ac:dyDescent="0.2">
      <c r="B22" s="36" t="s">
        <v>420</v>
      </c>
      <c r="D22" s="2" t="s">
        <v>102</v>
      </c>
      <c r="I22" s="50">
        <v>16151</v>
      </c>
      <c r="J22" s="50">
        <v>25</v>
      </c>
      <c r="L22" s="50">
        <v>6</v>
      </c>
      <c r="M22" s="50">
        <v>9</v>
      </c>
      <c r="O22" s="31">
        <v>147</v>
      </c>
      <c r="P22" s="31">
        <v>19</v>
      </c>
      <c r="Q22" s="31">
        <v>10</v>
      </c>
      <c r="S22" s="31">
        <v>338759.96</v>
      </c>
      <c r="T22" s="31">
        <v>33206.25</v>
      </c>
      <c r="V22" s="31">
        <v>1467</v>
      </c>
      <c r="W22" s="31">
        <v>2643</v>
      </c>
    </row>
    <row r="23" spans="2:23" x14ac:dyDescent="0.2">
      <c r="B23" s="36" t="s">
        <v>421</v>
      </c>
      <c r="D23" s="2" t="s">
        <v>102</v>
      </c>
      <c r="I23" s="50">
        <v>16972</v>
      </c>
      <c r="J23" s="50">
        <v>15</v>
      </c>
      <c r="L23" s="50">
        <v>5</v>
      </c>
      <c r="M23" s="50">
        <v>6</v>
      </c>
      <c r="O23" s="31">
        <v>331</v>
      </c>
      <c r="P23" s="31">
        <v>40</v>
      </c>
      <c r="Q23" s="31">
        <v>6</v>
      </c>
      <c r="S23" s="31">
        <v>349899.42</v>
      </c>
      <c r="T23" s="31">
        <v>34354</v>
      </c>
      <c r="V23" s="31">
        <v>1408</v>
      </c>
      <c r="W23" s="31">
        <v>2679.5</v>
      </c>
    </row>
    <row r="24" spans="2:23" x14ac:dyDescent="0.2">
      <c r="B24" s="36" t="s">
        <v>422</v>
      </c>
      <c r="D24" s="2" t="s">
        <v>102</v>
      </c>
      <c r="I24" s="50">
        <v>15169</v>
      </c>
      <c r="J24" s="50">
        <v>10</v>
      </c>
      <c r="L24" s="50">
        <v>4</v>
      </c>
      <c r="M24" s="50">
        <v>6</v>
      </c>
      <c r="O24" s="31">
        <v>293</v>
      </c>
      <c r="P24" s="31">
        <v>52</v>
      </c>
      <c r="Q24" s="31">
        <v>3</v>
      </c>
      <c r="S24" s="31">
        <v>371368.01</v>
      </c>
      <c r="T24" s="31">
        <v>32471.5</v>
      </c>
      <c r="V24" s="31">
        <v>2049</v>
      </c>
      <c r="W24" s="31">
        <v>2791.5</v>
      </c>
    </row>
    <row r="25" spans="2:23" x14ac:dyDescent="0.2">
      <c r="B25" s="36" t="s">
        <v>423</v>
      </c>
      <c r="D25" s="2" t="s">
        <v>102</v>
      </c>
      <c r="I25" s="50">
        <v>14477</v>
      </c>
      <c r="J25" s="50">
        <v>34</v>
      </c>
      <c r="L25" s="50">
        <v>6</v>
      </c>
      <c r="M25" s="50">
        <v>9</v>
      </c>
      <c r="O25" s="31">
        <v>388</v>
      </c>
      <c r="P25" s="31">
        <v>122</v>
      </c>
      <c r="Q25" s="31">
        <v>4</v>
      </c>
      <c r="S25" s="31">
        <v>425639.48</v>
      </c>
      <c r="T25" s="31">
        <v>32227.95</v>
      </c>
      <c r="V25" s="31">
        <v>1737</v>
      </c>
      <c r="W25" s="31">
        <v>3054.5</v>
      </c>
    </row>
    <row r="26" spans="2:23" x14ac:dyDescent="0.2">
      <c r="B26" s="26"/>
    </row>
    <row r="27" spans="2:23" x14ac:dyDescent="0.2">
      <c r="B27" s="26" t="s">
        <v>424</v>
      </c>
    </row>
    <row r="28" spans="2:23" x14ac:dyDescent="0.2">
      <c r="B28" s="36" t="s">
        <v>425</v>
      </c>
      <c r="D28" s="2" t="s">
        <v>69</v>
      </c>
      <c r="E28" s="2" t="s">
        <v>178</v>
      </c>
      <c r="I28" s="69">
        <v>3659.08</v>
      </c>
      <c r="J28" s="69">
        <v>35198.550000000003</v>
      </c>
      <c r="K28" s="83"/>
      <c r="L28" s="69">
        <v>260.11220382862297</v>
      </c>
      <c r="M28" s="69">
        <v>540.71785505240314</v>
      </c>
      <c r="N28" s="83"/>
      <c r="O28" s="69">
        <v>370.46</v>
      </c>
      <c r="P28" s="69">
        <v>3117.88</v>
      </c>
      <c r="Q28" s="69">
        <v>5977.54</v>
      </c>
      <c r="R28" s="83"/>
      <c r="S28" s="69">
        <v>26.9</v>
      </c>
      <c r="T28" s="69">
        <v>20.83</v>
      </c>
      <c r="U28" s="83"/>
      <c r="V28" s="69">
        <v>973.83</v>
      </c>
      <c r="W28" s="69">
        <v>827.41</v>
      </c>
    </row>
    <row r="29" spans="2:23" x14ac:dyDescent="0.2">
      <c r="B29" s="36" t="s">
        <v>426</v>
      </c>
      <c r="D29" s="2" t="s">
        <v>69</v>
      </c>
      <c r="E29" s="2" t="s">
        <v>180</v>
      </c>
      <c r="I29" s="69">
        <v>3409.91</v>
      </c>
      <c r="J29" s="69">
        <v>34411.879999999997</v>
      </c>
      <c r="K29" s="83"/>
      <c r="L29" s="69">
        <v>271.95652550002001</v>
      </c>
      <c r="M29" s="69">
        <v>396.78220555555572</v>
      </c>
      <c r="N29" s="83"/>
      <c r="O29" s="69">
        <v>443.38</v>
      </c>
      <c r="P29" s="69">
        <v>4786.3599999999997</v>
      </c>
      <c r="Q29" s="69">
        <v>8825.73</v>
      </c>
      <c r="R29" s="83"/>
      <c r="S29" s="69">
        <v>26.01</v>
      </c>
      <c r="T29" s="69">
        <v>20.3</v>
      </c>
      <c r="U29" s="83"/>
      <c r="V29" s="69">
        <v>675.1</v>
      </c>
      <c r="W29" s="69">
        <v>851.91</v>
      </c>
    </row>
    <row r="30" spans="2:23" x14ac:dyDescent="0.2">
      <c r="B30" s="36" t="s">
        <v>427</v>
      </c>
      <c r="D30" s="2" t="s">
        <v>69</v>
      </c>
      <c r="E30" s="2" t="s">
        <v>174</v>
      </c>
      <c r="I30" s="69">
        <v>3644.48</v>
      </c>
      <c r="J30" s="69">
        <v>36029.269999999997</v>
      </c>
      <c r="K30" s="83"/>
      <c r="L30" s="69">
        <v>318.65499999999997</v>
      </c>
      <c r="M30" s="69">
        <v>404.12310000000002</v>
      </c>
      <c r="N30" s="83"/>
      <c r="O30" s="69">
        <v>438.97</v>
      </c>
      <c r="P30" s="69">
        <v>3682.82</v>
      </c>
      <c r="Q30" s="69">
        <v>7594.96</v>
      </c>
      <c r="R30" s="83"/>
      <c r="S30" s="69">
        <v>23.41</v>
      </c>
      <c r="T30" s="69">
        <v>22.63</v>
      </c>
      <c r="U30" s="83"/>
      <c r="V30" s="69">
        <v>364.5</v>
      </c>
      <c r="W30" s="69">
        <v>395.5</v>
      </c>
    </row>
    <row r="31" spans="2:23" x14ac:dyDescent="0.2">
      <c r="B31" s="36" t="s">
        <v>428</v>
      </c>
      <c r="D31" s="2" t="s">
        <v>69</v>
      </c>
      <c r="E31" s="2" t="s">
        <v>103</v>
      </c>
      <c r="I31" s="69">
        <v>4452.6400000000003</v>
      </c>
      <c r="J31" s="69">
        <v>57709.24</v>
      </c>
      <c r="K31" s="83"/>
      <c r="L31" s="69">
        <v>248.61366666666672</v>
      </c>
      <c r="M31" s="69">
        <v>341.35383925925936</v>
      </c>
      <c r="N31" s="83"/>
      <c r="O31" s="69">
        <v>494.59</v>
      </c>
      <c r="P31" s="69">
        <v>1785.48</v>
      </c>
      <c r="Q31" s="69">
        <v>18260.37</v>
      </c>
      <c r="R31" s="83"/>
      <c r="S31" s="69">
        <v>23.31</v>
      </c>
      <c r="T31" s="69">
        <v>54.86</v>
      </c>
      <c r="U31" s="83"/>
      <c r="V31" s="69">
        <v>428.18</v>
      </c>
      <c r="W31" s="69">
        <v>358.39</v>
      </c>
    </row>
    <row r="32" spans="2:23" x14ac:dyDescent="0.2">
      <c r="B32" s="26"/>
      <c r="I32" s="83"/>
      <c r="J32" s="83"/>
      <c r="K32" s="83"/>
      <c r="L32" s="83"/>
      <c r="M32" s="83"/>
      <c r="N32" s="83"/>
      <c r="O32" s="83"/>
      <c r="P32" s="83"/>
      <c r="Q32" s="83"/>
      <c r="R32" s="83"/>
      <c r="S32" s="83"/>
      <c r="T32" s="83"/>
      <c r="U32" s="83"/>
      <c r="V32" s="83"/>
      <c r="W32" s="83"/>
    </row>
    <row r="33" spans="2:23" x14ac:dyDescent="0.2">
      <c r="B33" s="26" t="s">
        <v>429</v>
      </c>
      <c r="I33" s="83"/>
      <c r="J33" s="83"/>
      <c r="K33" s="83"/>
      <c r="L33" s="83"/>
      <c r="M33" s="83"/>
      <c r="N33" s="83"/>
      <c r="O33" s="83"/>
      <c r="P33" s="83"/>
      <c r="Q33" s="83"/>
      <c r="R33" s="83"/>
      <c r="S33" s="83"/>
      <c r="T33" s="83"/>
      <c r="U33" s="83"/>
      <c r="V33" s="83"/>
      <c r="W33" s="83"/>
    </row>
    <row r="34" spans="2:23" x14ac:dyDescent="0.2">
      <c r="B34" s="36" t="s">
        <v>425</v>
      </c>
      <c r="D34" s="2" t="s">
        <v>69</v>
      </c>
      <c r="E34" s="2" t="s">
        <v>76</v>
      </c>
      <c r="I34" s="82">
        <f>I28*$G16</f>
        <v>4603.4134135168042</v>
      </c>
      <c r="J34" s="82">
        <f>J28*$G16</f>
        <v>44282.572998224125</v>
      </c>
      <c r="K34" s="83"/>
      <c r="L34" s="82">
        <f>L28*$G16</f>
        <v>327.24182256854181</v>
      </c>
      <c r="M34" s="82">
        <f>M28*$G16</f>
        <v>680.26603049844982</v>
      </c>
      <c r="N34" s="83"/>
      <c r="O34" s="82">
        <f t="shared" ref="O34:Q37" si="0">O28*$G16</f>
        <v>466.06811908223796</v>
      </c>
      <c r="P34" s="82">
        <f t="shared" si="0"/>
        <v>3922.5408063600071</v>
      </c>
      <c r="Q34" s="82">
        <f t="shared" si="0"/>
        <v>7520.2203329343001</v>
      </c>
      <c r="R34" s="83"/>
      <c r="S34" s="82">
        <f t="shared" ref="S34:T37" si="1">S28*$G16</f>
        <v>33.842337643233279</v>
      </c>
      <c r="T34" s="82">
        <f t="shared" si="1"/>
        <v>26.205795282845695</v>
      </c>
      <c r="U34" s="83"/>
      <c r="V34" s="82">
        <f>V28*$G16</f>
        <v>1225.1555266583593</v>
      </c>
      <c r="W34" s="82">
        <f>W28*$G16</f>
        <v>1040.9475312040017</v>
      </c>
    </row>
    <row r="35" spans="2:23" x14ac:dyDescent="0.2">
      <c r="B35" s="36" t="s">
        <v>426</v>
      </c>
      <c r="D35" s="2" t="s">
        <v>69</v>
      </c>
      <c r="E35" s="2" t="s">
        <v>76</v>
      </c>
      <c r="I35" s="82">
        <f t="shared" ref="I35:J37" si="2">I29*$G17</f>
        <v>4189.3923368174092</v>
      </c>
      <c r="J35" s="82">
        <f t="shared" si="2"/>
        <v>42278.202758278152</v>
      </c>
      <c r="K35" s="83"/>
      <c r="L35" s="82">
        <f t="shared" ref="L35:M35" si="3">L29*$G17</f>
        <v>334.12394575729923</v>
      </c>
      <c r="M35" s="82">
        <f t="shared" si="3"/>
        <v>487.48393105388561</v>
      </c>
      <c r="N35" s="83"/>
      <c r="O35" s="82">
        <f t="shared" si="0"/>
        <v>544.7336657853441</v>
      </c>
      <c r="P35" s="82">
        <f t="shared" si="0"/>
        <v>5880.4894865991691</v>
      </c>
      <c r="Q35" s="82">
        <f t="shared" si="0"/>
        <v>10843.232117217027</v>
      </c>
      <c r="R35" s="83"/>
      <c r="S35" s="82">
        <f t="shared" si="1"/>
        <v>31.955709881088012</v>
      </c>
      <c r="T35" s="82">
        <f t="shared" si="1"/>
        <v>24.940442544640007</v>
      </c>
      <c r="U35" s="83"/>
      <c r="V35" s="82">
        <f t="shared" ref="V35:W35" si="4">V29*$G17</f>
        <v>829.42328876288025</v>
      </c>
      <c r="W35" s="82">
        <f t="shared" si="4"/>
        <v>1046.6508575470082</v>
      </c>
    </row>
    <row r="36" spans="2:23" x14ac:dyDescent="0.2">
      <c r="B36" s="36" t="s">
        <v>427</v>
      </c>
      <c r="D36" s="2" t="s">
        <v>69</v>
      </c>
      <c r="E36" s="2" t="s">
        <v>76</v>
      </c>
      <c r="I36" s="82">
        <f t="shared" si="2"/>
        <v>3997.8423665152</v>
      </c>
      <c r="J36" s="82">
        <f t="shared" si="2"/>
        <v>39522.604607684792</v>
      </c>
      <c r="K36" s="83"/>
      <c r="L36" s="82">
        <f t="shared" ref="L36:M36" si="5">L30*$G18</f>
        <v>349.55122796719996</v>
      </c>
      <c r="M36" s="82">
        <f t="shared" si="5"/>
        <v>443.30616451934401</v>
      </c>
      <c r="N36" s="83"/>
      <c r="O36" s="82">
        <f t="shared" si="0"/>
        <v>481.53175861279999</v>
      </c>
      <c r="P36" s="82">
        <f t="shared" si="0"/>
        <v>4039.8997454368</v>
      </c>
      <c r="Q36" s="82">
        <f t="shared" si="0"/>
        <v>8331.3539544703999</v>
      </c>
      <c r="R36" s="83"/>
      <c r="S36" s="82">
        <f t="shared" si="1"/>
        <v>25.6797923984</v>
      </c>
      <c r="T36" s="82">
        <f t="shared" si="1"/>
        <v>24.824164971199998</v>
      </c>
      <c r="U36" s="83"/>
      <c r="V36" s="82">
        <f t="shared" ref="V36:W36" si="6">V30*$G18</f>
        <v>399.84127847999997</v>
      </c>
      <c r="W36" s="82">
        <f t="shared" si="6"/>
        <v>433.84698392000001</v>
      </c>
    </row>
    <row r="37" spans="2:23" x14ac:dyDescent="0.2">
      <c r="B37" s="36" t="s">
        <v>428</v>
      </c>
      <c r="D37" s="2" t="s">
        <v>69</v>
      </c>
      <c r="E37" s="2" t="s">
        <v>76</v>
      </c>
      <c r="I37" s="82">
        <f t="shared" si="2"/>
        <v>4742.0972211200005</v>
      </c>
      <c r="J37" s="82">
        <f t="shared" si="2"/>
        <v>61460.802273919995</v>
      </c>
      <c r="K37" s="83"/>
      <c r="L37" s="82">
        <f t="shared" ref="L37:M37" si="7">L31*$G19</f>
        <v>264.77554390933335</v>
      </c>
      <c r="M37" s="82">
        <f t="shared" si="7"/>
        <v>363.54456964182526</v>
      </c>
      <c r="N37" s="83"/>
      <c r="O37" s="82">
        <f t="shared" si="0"/>
        <v>526.74230671999999</v>
      </c>
      <c r="P37" s="82">
        <f t="shared" si="0"/>
        <v>1901.55048384</v>
      </c>
      <c r="Q37" s="82">
        <f t="shared" si="0"/>
        <v>19447.440132959997</v>
      </c>
      <c r="R37" s="83"/>
      <c r="S37" s="82">
        <f t="shared" si="1"/>
        <v>24.825336479999997</v>
      </c>
      <c r="T37" s="82">
        <f t="shared" si="1"/>
        <v>58.426338879999996</v>
      </c>
      <c r="U37" s="83"/>
      <c r="V37" s="82">
        <f t="shared" ref="V37:W37" si="8">V31*$G19</f>
        <v>456.01512543999996</v>
      </c>
      <c r="W37" s="82">
        <f t="shared" si="8"/>
        <v>381.68821711999999</v>
      </c>
    </row>
    <row r="38" spans="2:23" x14ac:dyDescent="0.2">
      <c r="B38" s="36"/>
      <c r="I38" s="83"/>
      <c r="J38" s="83"/>
      <c r="K38" s="83"/>
      <c r="L38" s="83"/>
      <c r="M38" s="83"/>
      <c r="N38" s="83"/>
      <c r="O38" s="83"/>
      <c r="P38" s="83"/>
      <c r="Q38" s="83"/>
      <c r="R38" s="83"/>
      <c r="S38" s="83"/>
      <c r="T38" s="83"/>
      <c r="U38" s="83"/>
      <c r="V38" s="83"/>
      <c r="W38" s="83"/>
    </row>
    <row r="39" spans="2:23" x14ac:dyDescent="0.2">
      <c r="B39" s="70" t="s">
        <v>430</v>
      </c>
      <c r="I39" s="83"/>
      <c r="J39" s="83"/>
      <c r="K39" s="83"/>
      <c r="L39" s="83"/>
      <c r="M39" s="83"/>
      <c r="N39" s="83"/>
      <c r="O39" s="83"/>
      <c r="P39" s="83"/>
      <c r="Q39" s="83"/>
      <c r="R39" s="83"/>
      <c r="S39" s="83"/>
      <c r="T39" s="83"/>
      <c r="U39" s="83"/>
      <c r="V39" s="83"/>
      <c r="W39" s="83"/>
    </row>
    <row r="40" spans="2:23" x14ac:dyDescent="0.2">
      <c r="B40" s="36" t="s">
        <v>515</v>
      </c>
      <c r="D40" s="2" t="s">
        <v>69</v>
      </c>
      <c r="E40" s="2" t="s">
        <v>76</v>
      </c>
      <c r="I40" s="82" cm="1">
        <f t="array" ref="I40">SUM(I34:I37*I22:I25)/SUM(I22:I25)</f>
        <v>4377.1082717583249</v>
      </c>
      <c r="J40" s="82" cm="1">
        <f t="array" ref="J40">SUM(J34:J37*J22:J25)/SUM(J22:J25)</f>
        <v>50311.079639522657</v>
      </c>
      <c r="K40" s="83"/>
      <c r="L40" s="82" cm="1">
        <f t="array" ref="L40">SUM(L34:L37*L22:L25)/SUM(L22:L25)</f>
        <v>315.28232569154983</v>
      </c>
      <c r="M40" s="82" cm="1">
        <f t="array" ref="M40">SUM(M34:M37*M22:M25)/SUM(M22:M25)</f>
        <v>499.30119915672844</v>
      </c>
      <c r="N40" s="83"/>
      <c r="O40" s="82" cm="1">
        <f t="array" ref="O40">SUM(O34:O37*O22:O25)/SUM(O22:O25)</f>
        <v>512.75554543653868</v>
      </c>
      <c r="P40" s="82" cm="1">
        <f t="array" ref="P40">SUM(P34:P37*P22:P25)/SUM(P22:P25)</f>
        <v>3226.660088309015</v>
      </c>
      <c r="Q40" s="82" cm="1">
        <f t="array" ref="Q40">SUM(Q34:Q37*Q22:Q25)/SUM(Q22:Q25)</f>
        <v>10567.192105560711</v>
      </c>
      <c r="R40" s="83"/>
      <c r="S40" s="82" cm="1">
        <f t="array" ref="S40">SUM(S34:S37*S22:S25)/SUM(S22:S25)</f>
        <v>28.774290436851651</v>
      </c>
      <c r="T40" s="82" cm="1">
        <f t="array" ref="T40">SUM(T34:T37*T22:T25)/SUM(T22:T25)</f>
        <v>33.389151447943512</v>
      </c>
      <c r="U40" s="83"/>
      <c r="V40" s="82" cm="1">
        <f t="array" ref="V40">SUM(V34:V37*V22:V25)/SUM(V22:V25)</f>
        <v>687.05963078828233</v>
      </c>
      <c r="W40" s="82" cm="1">
        <f t="array" ref="W40">SUM(W34:W37*W22:W25)/SUM(W22:W25)</f>
        <v>710.27226687335849</v>
      </c>
    </row>
    <row r="41" spans="2:23" x14ac:dyDescent="0.2">
      <c r="B41" s="26"/>
    </row>
    <row r="42" spans="2:23" s="8" customFormat="1" x14ac:dyDescent="0.2">
      <c r="B42" s="8" t="s">
        <v>431</v>
      </c>
      <c r="I42" s="102" t="s">
        <v>432</v>
      </c>
      <c r="J42" s="102"/>
      <c r="K42" s="102"/>
      <c r="L42" s="102"/>
      <c r="N42" s="8" t="s">
        <v>433</v>
      </c>
    </row>
    <row r="43" spans="2:23" s="8" customFormat="1" x14ac:dyDescent="0.2">
      <c r="I43" s="8" t="s">
        <v>71</v>
      </c>
      <c r="J43" s="8" t="s">
        <v>72</v>
      </c>
      <c r="K43" s="8" t="s">
        <v>73</v>
      </c>
      <c r="L43" s="8" t="s">
        <v>74</v>
      </c>
      <c r="N43" s="8" t="s">
        <v>434</v>
      </c>
    </row>
    <row r="44" spans="2:23" x14ac:dyDescent="0.2">
      <c r="B44" s="36"/>
    </row>
    <row r="45" spans="2:23" x14ac:dyDescent="0.2">
      <c r="B45" s="26" t="s">
        <v>419</v>
      </c>
    </row>
    <row r="46" spans="2:23" x14ac:dyDescent="0.2">
      <c r="B46" s="36" t="s">
        <v>435</v>
      </c>
      <c r="D46" s="2" t="s">
        <v>102</v>
      </c>
      <c r="I46" s="31">
        <v>457</v>
      </c>
      <c r="J46" s="31">
        <v>7527</v>
      </c>
      <c r="K46" s="31">
        <v>1324</v>
      </c>
      <c r="L46" s="31">
        <v>371</v>
      </c>
      <c r="N46" s="31">
        <v>22</v>
      </c>
    </row>
    <row r="47" spans="2:23" x14ac:dyDescent="0.2">
      <c r="B47" s="36" t="s">
        <v>436</v>
      </c>
      <c r="D47" s="2" t="s">
        <v>102</v>
      </c>
      <c r="I47" s="31">
        <v>5</v>
      </c>
      <c r="J47" s="31">
        <v>8463</v>
      </c>
      <c r="K47" s="31">
        <v>1303</v>
      </c>
      <c r="L47" s="31">
        <v>261</v>
      </c>
      <c r="N47" s="31">
        <v>216</v>
      </c>
    </row>
    <row r="48" spans="2:23" x14ac:dyDescent="0.2">
      <c r="B48" s="36" t="s">
        <v>437</v>
      </c>
      <c r="D48" s="2" t="s">
        <v>102</v>
      </c>
      <c r="I48" s="31">
        <v>23</v>
      </c>
      <c r="J48" s="31">
        <v>10423</v>
      </c>
      <c r="K48" s="31">
        <v>2232</v>
      </c>
      <c r="L48" s="31">
        <v>259</v>
      </c>
      <c r="N48" s="31">
        <v>1061</v>
      </c>
    </row>
    <row r="49" spans="2:14" x14ac:dyDescent="0.2">
      <c r="B49" s="36" t="s">
        <v>438</v>
      </c>
      <c r="D49" s="2" t="s">
        <v>102</v>
      </c>
      <c r="I49" s="31">
        <v>804</v>
      </c>
      <c r="J49" s="31">
        <v>10360</v>
      </c>
      <c r="K49" s="31">
        <v>1890</v>
      </c>
      <c r="L49" s="31">
        <v>1013</v>
      </c>
      <c r="N49" s="31">
        <v>256</v>
      </c>
    </row>
    <row r="50" spans="2:14" x14ac:dyDescent="0.2">
      <c r="B50" s="36" t="s">
        <v>439</v>
      </c>
      <c r="D50" s="2" t="s">
        <v>102</v>
      </c>
      <c r="I50" s="31"/>
      <c r="J50" s="31">
        <v>10376</v>
      </c>
      <c r="K50" s="31">
        <v>2499</v>
      </c>
      <c r="L50" s="31">
        <v>924</v>
      </c>
      <c r="N50" s="31">
        <v>159</v>
      </c>
    </row>
    <row r="51" spans="2:14" x14ac:dyDescent="0.2">
      <c r="B51" s="36" t="s">
        <v>420</v>
      </c>
      <c r="D51" s="2" t="s">
        <v>102</v>
      </c>
      <c r="I51" s="31">
        <v>157</v>
      </c>
      <c r="J51" s="31">
        <v>13734</v>
      </c>
      <c r="K51" s="31">
        <v>2315</v>
      </c>
      <c r="L51" s="31">
        <v>734</v>
      </c>
      <c r="N51" s="31">
        <v>786</v>
      </c>
    </row>
    <row r="52" spans="2:14" x14ac:dyDescent="0.2">
      <c r="B52" s="36" t="s">
        <v>421</v>
      </c>
      <c r="D52" s="2" t="s">
        <v>102</v>
      </c>
      <c r="I52" s="31"/>
      <c r="J52" s="31">
        <v>12981</v>
      </c>
      <c r="K52" s="31">
        <v>3693</v>
      </c>
      <c r="L52" s="31">
        <v>755</v>
      </c>
      <c r="N52" s="31">
        <v>2665</v>
      </c>
    </row>
    <row r="53" spans="2:14" x14ac:dyDescent="0.2">
      <c r="B53" s="36" t="s">
        <v>422</v>
      </c>
      <c r="D53" s="2" t="s">
        <v>102</v>
      </c>
      <c r="I53" s="31">
        <v>321</v>
      </c>
      <c r="J53" s="31">
        <v>13512</v>
      </c>
      <c r="K53" s="31">
        <v>2393</v>
      </c>
      <c r="L53" s="31">
        <v>503</v>
      </c>
      <c r="N53" s="31">
        <v>6135</v>
      </c>
    </row>
    <row r="54" spans="2:14" x14ac:dyDescent="0.2">
      <c r="B54" s="36" t="s">
        <v>423</v>
      </c>
      <c r="D54" s="2" t="s">
        <v>102</v>
      </c>
      <c r="I54" s="31">
        <v>456</v>
      </c>
      <c r="J54" s="31">
        <v>16264</v>
      </c>
      <c r="K54" s="31">
        <v>2238</v>
      </c>
      <c r="L54" s="31">
        <v>605</v>
      </c>
      <c r="N54" s="31">
        <v>8816</v>
      </c>
    </row>
    <row r="56" spans="2:14" x14ac:dyDescent="0.2">
      <c r="B56" s="1" t="s">
        <v>440</v>
      </c>
    </row>
    <row r="57" spans="2:14" x14ac:dyDescent="0.2">
      <c r="B57" s="36" t="s">
        <v>441</v>
      </c>
      <c r="D57" s="2" t="s">
        <v>69</v>
      </c>
      <c r="E57" s="2" t="s">
        <v>442</v>
      </c>
      <c r="I57" s="69">
        <v>1141.0722100656455</v>
      </c>
      <c r="J57" s="69">
        <v>868.18134715025906</v>
      </c>
      <c r="K57" s="69">
        <v>805.80664652567975</v>
      </c>
      <c r="L57" s="69">
        <v>808.3854447439353</v>
      </c>
      <c r="M57" s="83"/>
      <c r="N57" s="69">
        <v>165</v>
      </c>
    </row>
    <row r="58" spans="2:14" x14ac:dyDescent="0.2">
      <c r="B58" s="36" t="s">
        <v>443</v>
      </c>
      <c r="D58" s="2" t="s">
        <v>69</v>
      </c>
      <c r="E58" s="2" t="s">
        <v>111</v>
      </c>
      <c r="I58" s="69">
        <v>559</v>
      </c>
      <c r="J58" s="69">
        <v>926.98735672929217</v>
      </c>
      <c r="K58" s="69">
        <v>812.42363775901765</v>
      </c>
      <c r="L58" s="69">
        <v>993.18773946360159</v>
      </c>
      <c r="M58" s="83"/>
      <c r="N58" s="69">
        <v>324.93055555555554</v>
      </c>
    </row>
    <row r="59" spans="2:14" x14ac:dyDescent="0.2">
      <c r="B59" s="36" t="s">
        <v>444</v>
      </c>
      <c r="D59" s="2" t="s">
        <v>69</v>
      </c>
      <c r="E59" s="2" t="s">
        <v>445</v>
      </c>
      <c r="I59" s="69">
        <v>565</v>
      </c>
      <c r="J59" s="69">
        <v>1052.4903578624196</v>
      </c>
      <c r="K59" s="69">
        <v>1436.2616487455198</v>
      </c>
      <c r="L59" s="69">
        <v>1182.3359073359072</v>
      </c>
      <c r="M59" s="83"/>
      <c r="N59" s="69">
        <v>289.73515551366637</v>
      </c>
    </row>
    <row r="60" spans="2:14" x14ac:dyDescent="0.2">
      <c r="B60" s="36" t="s">
        <v>446</v>
      </c>
      <c r="D60" s="2" t="s">
        <v>69</v>
      </c>
      <c r="E60" s="2" t="s">
        <v>447</v>
      </c>
      <c r="I60" s="69">
        <v>797.63</v>
      </c>
      <c r="J60" s="69">
        <v>1016.59</v>
      </c>
      <c r="K60" s="69">
        <v>887.86</v>
      </c>
      <c r="L60" s="69">
        <v>903.68</v>
      </c>
      <c r="M60" s="83"/>
      <c r="N60" s="69">
        <v>413.15</v>
      </c>
    </row>
    <row r="61" spans="2:14" x14ac:dyDescent="0.2">
      <c r="B61" s="36" t="s">
        <v>448</v>
      </c>
      <c r="D61" s="2" t="s">
        <v>69</v>
      </c>
      <c r="E61" s="2" t="s">
        <v>449</v>
      </c>
      <c r="I61" s="69"/>
      <c r="J61" s="69">
        <v>1045.23</v>
      </c>
      <c r="K61" s="69">
        <v>907.54</v>
      </c>
      <c r="L61" s="69">
        <v>949.49</v>
      </c>
      <c r="M61" s="83"/>
      <c r="N61" s="69">
        <v>402.61</v>
      </c>
    </row>
    <row r="62" spans="2:14" x14ac:dyDescent="0.2">
      <c r="B62" s="36" t="s">
        <v>425</v>
      </c>
      <c r="D62" s="2" t="s">
        <v>69</v>
      </c>
      <c r="E62" s="2" t="s">
        <v>178</v>
      </c>
      <c r="I62" s="69">
        <v>1494.72</v>
      </c>
      <c r="J62" s="69">
        <v>1127.8800000000001</v>
      </c>
      <c r="K62" s="69">
        <v>1150.74</v>
      </c>
      <c r="L62" s="69">
        <v>1185.5899999999999</v>
      </c>
      <c r="M62" s="83"/>
      <c r="N62" s="69">
        <v>415.43</v>
      </c>
    </row>
    <row r="63" spans="2:14" x14ac:dyDescent="0.2">
      <c r="B63" s="36" t="s">
        <v>426</v>
      </c>
      <c r="D63" s="2" t="s">
        <v>69</v>
      </c>
      <c r="E63" s="2" t="s">
        <v>180</v>
      </c>
      <c r="I63" s="69"/>
      <c r="J63" s="69">
        <v>1339.8</v>
      </c>
      <c r="K63" s="69">
        <v>1431.45</v>
      </c>
      <c r="L63" s="69">
        <v>1307.6400000000001</v>
      </c>
      <c r="M63" s="83"/>
      <c r="N63" s="69">
        <v>274.54000000000002</v>
      </c>
    </row>
    <row r="64" spans="2:14" x14ac:dyDescent="0.2">
      <c r="B64" s="36" t="s">
        <v>427</v>
      </c>
      <c r="D64" s="2" t="s">
        <v>69</v>
      </c>
      <c r="E64" s="2" t="s">
        <v>174</v>
      </c>
      <c r="I64" s="69">
        <v>1761.92</v>
      </c>
      <c r="J64" s="69">
        <v>1569.47</v>
      </c>
      <c r="K64" s="69">
        <v>1463.98</v>
      </c>
      <c r="L64" s="69">
        <v>1733.33</v>
      </c>
      <c r="M64" s="83"/>
      <c r="N64" s="69">
        <v>290.52</v>
      </c>
    </row>
    <row r="65" spans="2:14" x14ac:dyDescent="0.2">
      <c r="B65" s="36" t="s">
        <v>428</v>
      </c>
      <c r="D65" s="2" t="s">
        <v>69</v>
      </c>
      <c r="E65" s="2" t="s">
        <v>103</v>
      </c>
      <c r="I65" s="69">
        <v>3340.45</v>
      </c>
      <c r="J65" s="69">
        <v>1658.49</v>
      </c>
      <c r="K65" s="69">
        <v>1536.5</v>
      </c>
      <c r="L65" s="69">
        <v>1362.49</v>
      </c>
      <c r="M65" s="83"/>
      <c r="N65" s="69">
        <v>385.21</v>
      </c>
    </row>
    <row r="66" spans="2:14" x14ac:dyDescent="0.2">
      <c r="B66" s="36"/>
      <c r="I66" s="83"/>
      <c r="J66" s="83"/>
      <c r="K66" s="83"/>
      <c r="L66" s="83"/>
      <c r="M66" s="83"/>
      <c r="N66" s="83"/>
    </row>
    <row r="67" spans="2:14" x14ac:dyDescent="0.2">
      <c r="B67" s="26" t="s">
        <v>430</v>
      </c>
      <c r="I67" s="83"/>
      <c r="J67" s="83"/>
      <c r="K67" s="83"/>
      <c r="L67" s="83"/>
      <c r="M67" s="83"/>
      <c r="N67" s="83"/>
    </row>
    <row r="68" spans="2:14" x14ac:dyDescent="0.2">
      <c r="B68" s="36" t="s">
        <v>516</v>
      </c>
      <c r="D68" s="2" t="s">
        <v>69</v>
      </c>
      <c r="E68" s="2" t="s">
        <v>191</v>
      </c>
      <c r="I68" s="82" cm="1">
        <f t="array" ref="I68">SUM(I57:I65*I46:I54)/SUM(I46:I54)</f>
        <v>1575.3698065677013</v>
      </c>
      <c r="J68" s="82" cm="1">
        <f t="array" ref="J68">SUM(J57:J65*J46:J54)/SUM(J46:J54)</f>
        <v>1233.0160999614047</v>
      </c>
      <c r="K68" s="82" cm="1">
        <f t="array" ref="K68">SUM(K57:K65*K46:K54)/SUM(K46:K54)</f>
        <v>1215.3421305375371</v>
      </c>
      <c r="L68" s="82" cm="1">
        <f t="array" ref="L68">SUM(L57:L65*L46:L54)/SUM(L46:L54)</f>
        <v>1145.0280737327189</v>
      </c>
      <c r="M68" s="83"/>
      <c r="N68" s="82" cm="1">
        <f t="array" ref="N68">SUM(N57:N65*N46:N54)/SUM(N46:N54)</f>
        <v>337.41966742891225</v>
      </c>
    </row>
    <row r="69" spans="2:14" x14ac:dyDescent="0.2">
      <c r="B69" s="36"/>
    </row>
    <row r="70" spans="2:14" s="8" customFormat="1" x14ac:dyDescent="0.2">
      <c r="B70" s="8" t="s">
        <v>476</v>
      </c>
    </row>
    <row r="72" spans="2:14" x14ac:dyDescent="0.2">
      <c r="B72" s="79" t="s">
        <v>506</v>
      </c>
    </row>
    <row r="73" spans="2:14" x14ac:dyDescent="0.2">
      <c r="B73" t="s">
        <v>462</v>
      </c>
      <c r="G73" s="69">
        <v>12392.24</v>
      </c>
    </row>
    <row r="74" spans="2:14" x14ac:dyDescent="0.2">
      <c r="B74" t="s">
        <v>463</v>
      </c>
      <c r="G74" s="69">
        <v>17705.650000000001</v>
      </c>
    </row>
    <row r="75" spans="2:14" x14ac:dyDescent="0.2">
      <c r="B75" t="s">
        <v>464</v>
      </c>
      <c r="G75" s="69">
        <v>21162.99</v>
      </c>
    </row>
    <row r="76" spans="2:14" x14ac:dyDescent="0.2">
      <c r="B76" t="s">
        <v>465</v>
      </c>
      <c r="G76" s="69">
        <v>25525.69</v>
      </c>
    </row>
    <row r="77" spans="2:14" x14ac:dyDescent="0.2">
      <c r="B77" t="s">
        <v>466</v>
      </c>
      <c r="G77" s="69">
        <v>32342.31</v>
      </c>
    </row>
    <row r="78" spans="2:14" x14ac:dyDescent="0.2">
      <c r="B78" t="s">
        <v>467</v>
      </c>
      <c r="G78" s="69">
        <v>41576.6</v>
      </c>
    </row>
    <row r="79" spans="2:14" x14ac:dyDescent="0.2">
      <c r="B79" t="s">
        <v>468</v>
      </c>
      <c r="G79" s="69">
        <v>51478.97</v>
      </c>
    </row>
    <row r="80" spans="2:14" x14ac:dyDescent="0.2">
      <c r="B80" t="s">
        <v>469</v>
      </c>
      <c r="G80" s="69">
        <v>62091.26</v>
      </c>
    </row>
    <row r="81" spans="2:7" x14ac:dyDescent="0.2">
      <c r="B81" t="s">
        <v>470</v>
      </c>
      <c r="G81" s="69">
        <v>78672.679999999993</v>
      </c>
    </row>
    <row r="82" spans="2:7" x14ac:dyDescent="0.2">
      <c r="B82" t="s">
        <v>471</v>
      </c>
      <c r="G82" s="69">
        <v>102810.5</v>
      </c>
    </row>
    <row r="84" spans="2:7" x14ac:dyDescent="0.2">
      <c r="B84" s="1" t="s">
        <v>477</v>
      </c>
    </row>
    <row r="85" spans="2:7" x14ac:dyDescent="0.2">
      <c r="B85" s="2" t="s">
        <v>70</v>
      </c>
      <c r="D85" s="2" t="s">
        <v>69</v>
      </c>
      <c r="E85" s="2" t="s">
        <v>75</v>
      </c>
      <c r="G85" s="41">
        <v>74.671675723178964</v>
      </c>
    </row>
    <row r="88" spans="2:7" x14ac:dyDescent="0.2">
      <c r="B88" s="27" t="s">
        <v>60</v>
      </c>
    </row>
  </sheetData>
  <mergeCells count="7">
    <mergeCell ref="V12:W12"/>
    <mergeCell ref="B5:E7"/>
    <mergeCell ref="I12:J12"/>
    <mergeCell ref="I42:L42"/>
    <mergeCell ref="O12:Q12"/>
    <mergeCell ref="S12:T12"/>
    <mergeCell ref="L12:M12"/>
  </mergeCells>
  <phoneticPr fontId="30"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446B7-50E5-4C92-ABFC-7B622D0C6C4A}">
  <sheetPr>
    <tabColor rgb="FFE1FFE1"/>
  </sheetPr>
  <dimension ref="B2:R99"/>
  <sheetViews>
    <sheetView showGridLines="0" zoomScale="85" zoomScaleNormal="85" workbookViewId="0">
      <pane xSplit="5" ySplit="9" topLeftCell="F58" activePane="bottomRight" state="frozen"/>
      <selection activeCell="D41" sqref="D41"/>
      <selection pane="topRight" activeCell="D41" sqref="D41"/>
      <selection pane="bottomLeft" activeCell="D41" sqref="D41"/>
      <selection pane="bottomRight" activeCell="G90" sqref="G90"/>
    </sheetView>
  </sheetViews>
  <sheetFormatPr defaultColWidth="9.140625" defaultRowHeight="12.75" x14ac:dyDescent="0.2"/>
  <cols>
    <col min="1" max="1" width="5.7109375" style="2" customWidth="1"/>
    <col min="2" max="2" width="43.5703125" style="2" customWidth="1"/>
    <col min="3" max="3" width="5.7109375" style="2" customWidth="1"/>
    <col min="4" max="4" width="21.7109375" style="2" customWidth="1"/>
    <col min="5" max="5" width="13.28515625" style="2" customWidth="1"/>
    <col min="6" max="6" width="2.7109375" style="2" customWidth="1"/>
    <col min="7" max="7" width="13.7109375" style="2" customWidth="1"/>
    <col min="8" max="8" width="2.7109375" style="2" customWidth="1"/>
    <col min="9" max="9" width="52.42578125" style="2" customWidth="1"/>
    <col min="10" max="10" width="2.7109375" style="2" customWidth="1"/>
    <col min="11" max="25" width="13.7109375" style="2" customWidth="1"/>
    <col min="26" max="16384" width="9.140625" style="2"/>
  </cols>
  <sheetData>
    <row r="2" spans="2:11" s="15" customFormat="1" ht="18" x14ac:dyDescent="0.2">
      <c r="B2" s="15" t="s">
        <v>240</v>
      </c>
    </row>
    <row r="4" spans="2:11" x14ac:dyDescent="0.2">
      <c r="B4" s="26" t="s">
        <v>24</v>
      </c>
    </row>
    <row r="5" spans="2:11" x14ac:dyDescent="0.2">
      <c r="B5" s="21" t="s">
        <v>361</v>
      </c>
      <c r="G5" s="16"/>
    </row>
    <row r="6" spans="2:11" x14ac:dyDescent="0.2">
      <c r="B6" s="21" t="s">
        <v>362</v>
      </c>
      <c r="G6" s="16"/>
    </row>
    <row r="8" spans="2:11" s="8" customFormat="1" x14ac:dyDescent="0.2">
      <c r="B8" s="8" t="s">
        <v>39</v>
      </c>
      <c r="D8" s="8" t="s">
        <v>22</v>
      </c>
      <c r="E8" s="8" t="s">
        <v>67</v>
      </c>
      <c r="G8" s="8" t="s">
        <v>23</v>
      </c>
      <c r="I8" s="8" t="s">
        <v>40</v>
      </c>
      <c r="K8" s="8" t="s">
        <v>41</v>
      </c>
    </row>
    <row r="11" spans="2:11" s="8" customFormat="1" x14ac:dyDescent="0.2">
      <c r="B11" s="8" t="s">
        <v>90</v>
      </c>
    </row>
    <row r="13" spans="2:11" x14ac:dyDescent="0.2">
      <c r="B13" s="1" t="s">
        <v>364</v>
      </c>
    </row>
    <row r="14" spans="2:11" x14ac:dyDescent="0.2">
      <c r="B14" s="2" t="s">
        <v>534</v>
      </c>
      <c r="D14" s="2" t="s">
        <v>101</v>
      </c>
      <c r="G14" s="94">
        <v>5.9299999999999999E-2</v>
      </c>
      <c r="I14" s="2" t="s">
        <v>404</v>
      </c>
    </row>
    <row r="16" spans="2:11" x14ac:dyDescent="0.2">
      <c r="B16" s="26" t="s">
        <v>77</v>
      </c>
    </row>
    <row r="17" spans="2:18" x14ac:dyDescent="0.2">
      <c r="B17" s="2" t="s">
        <v>78</v>
      </c>
      <c r="D17" s="2" t="s">
        <v>101</v>
      </c>
      <c r="G17" s="38">
        <v>1.4E-2</v>
      </c>
      <c r="I17" s="2" t="s">
        <v>541</v>
      </c>
      <c r="K17" s="104" t="s">
        <v>596</v>
      </c>
      <c r="L17" s="104"/>
      <c r="M17" s="104"/>
      <c r="N17" s="104"/>
      <c r="O17" s="104"/>
      <c r="P17" s="104"/>
      <c r="Q17" s="104"/>
      <c r="R17" s="104"/>
    </row>
    <row r="18" spans="2:18" x14ac:dyDescent="0.2">
      <c r="B18" s="2" t="s">
        <v>79</v>
      </c>
      <c r="D18" s="2" t="s">
        <v>101</v>
      </c>
      <c r="G18" s="38">
        <v>2.1000000000000001E-2</v>
      </c>
      <c r="I18" s="2" t="s">
        <v>541</v>
      </c>
      <c r="K18" s="104"/>
      <c r="L18" s="104"/>
      <c r="M18" s="104"/>
      <c r="N18" s="104"/>
      <c r="O18" s="104"/>
      <c r="P18" s="104"/>
      <c r="Q18" s="104"/>
      <c r="R18" s="104"/>
    </row>
    <row r="19" spans="2:18" x14ac:dyDescent="0.2">
      <c r="B19" s="2" t="s">
        <v>80</v>
      </c>
      <c r="D19" s="2" t="s">
        <v>101</v>
      </c>
      <c r="G19" s="38">
        <v>2.8000000000000001E-2</v>
      </c>
      <c r="I19" s="2" t="s">
        <v>541</v>
      </c>
      <c r="K19" s="104"/>
      <c r="L19" s="104"/>
      <c r="M19" s="104"/>
      <c r="N19" s="104"/>
      <c r="O19" s="104"/>
      <c r="P19" s="104"/>
      <c r="Q19" s="104"/>
      <c r="R19" s="104"/>
    </row>
    <row r="20" spans="2:18" x14ac:dyDescent="0.2">
      <c r="B20" s="2" t="s">
        <v>81</v>
      </c>
      <c r="D20" s="2" t="s">
        <v>101</v>
      </c>
      <c r="G20" s="38">
        <v>7.0000000000000001E-3</v>
      </c>
      <c r="I20" s="2" t="s">
        <v>541</v>
      </c>
      <c r="K20" s="104"/>
      <c r="L20" s="104"/>
      <c r="M20" s="104"/>
      <c r="N20" s="104"/>
      <c r="O20" s="104"/>
      <c r="P20" s="104"/>
      <c r="Q20" s="104"/>
      <c r="R20" s="104"/>
    </row>
    <row r="21" spans="2:18" x14ac:dyDescent="0.2">
      <c r="B21" s="2" t="s">
        <v>82</v>
      </c>
      <c r="D21" s="2" t="s">
        <v>101</v>
      </c>
      <c r="G21" s="38">
        <v>2.4E-2</v>
      </c>
      <c r="I21" s="2" t="s">
        <v>541</v>
      </c>
      <c r="K21" s="104"/>
      <c r="L21" s="104"/>
      <c r="M21" s="104"/>
      <c r="N21" s="104"/>
      <c r="O21" s="104"/>
      <c r="P21" s="104"/>
      <c r="Q21" s="104"/>
      <c r="R21" s="104"/>
    </row>
    <row r="22" spans="2:18" x14ac:dyDescent="0.2">
      <c r="B22" s="2" t="s">
        <v>83</v>
      </c>
      <c r="D22" s="2" t="s">
        <v>101</v>
      </c>
      <c r="G22" s="38">
        <v>0.12</v>
      </c>
      <c r="I22" s="2" t="s">
        <v>541</v>
      </c>
      <c r="K22" s="104"/>
      <c r="L22" s="104"/>
      <c r="M22" s="104"/>
      <c r="N22" s="104"/>
      <c r="O22" s="104"/>
      <c r="P22" s="104"/>
      <c r="Q22" s="104"/>
      <c r="R22" s="104"/>
    </row>
    <row r="23" spans="2:18" x14ac:dyDescent="0.2">
      <c r="B23" s="2" t="s">
        <v>84</v>
      </c>
      <c r="D23" s="2" t="s">
        <v>101</v>
      </c>
      <c r="G23" s="38">
        <v>0.03</v>
      </c>
      <c r="I23" s="2" t="s">
        <v>541</v>
      </c>
      <c r="K23" s="104"/>
      <c r="L23" s="104"/>
      <c r="M23" s="104"/>
      <c r="N23" s="104"/>
      <c r="O23" s="104"/>
      <c r="P23" s="104"/>
      <c r="Q23" s="104"/>
      <c r="R23" s="104"/>
    </row>
    <row r="24" spans="2:18" x14ac:dyDescent="0.2">
      <c r="B24" s="2" t="s">
        <v>85</v>
      </c>
      <c r="D24" s="2" t="s">
        <v>101</v>
      </c>
      <c r="G24" s="38">
        <v>3.5999999999999997E-2</v>
      </c>
      <c r="I24" s="2" t="s">
        <v>541</v>
      </c>
      <c r="K24" s="104"/>
      <c r="L24" s="104"/>
      <c r="M24" s="104"/>
      <c r="N24" s="104"/>
      <c r="O24" s="104"/>
      <c r="P24" s="104"/>
      <c r="Q24" s="104"/>
      <c r="R24" s="104"/>
    </row>
    <row r="25" spans="2:18" x14ac:dyDescent="0.2">
      <c r="B25" s="2" t="s">
        <v>87</v>
      </c>
      <c r="D25" s="2" t="s">
        <v>101</v>
      </c>
      <c r="G25" s="38">
        <v>2.8000000000000001E-2</v>
      </c>
      <c r="I25" s="2" t="s">
        <v>541</v>
      </c>
      <c r="K25" s="104"/>
      <c r="L25" s="104"/>
      <c r="M25" s="104"/>
      <c r="N25" s="104"/>
      <c r="O25" s="104"/>
      <c r="P25" s="104"/>
      <c r="Q25" s="104"/>
      <c r="R25" s="104"/>
    </row>
    <row r="26" spans="2:18" x14ac:dyDescent="0.2">
      <c r="K26" s="104"/>
      <c r="L26" s="104"/>
      <c r="M26" s="104"/>
      <c r="N26" s="104"/>
      <c r="O26" s="104"/>
      <c r="P26" s="104"/>
      <c r="Q26" s="104"/>
      <c r="R26" s="104"/>
    </row>
    <row r="27" spans="2:18" x14ac:dyDescent="0.2">
      <c r="B27" s="1" t="s">
        <v>450</v>
      </c>
      <c r="K27" s="104"/>
      <c r="L27" s="104"/>
      <c r="M27" s="104"/>
      <c r="N27" s="104"/>
      <c r="O27" s="104"/>
      <c r="P27" s="104"/>
      <c r="Q27" s="104"/>
      <c r="R27" s="104"/>
    </row>
    <row r="28" spans="2:18" x14ac:dyDescent="0.2">
      <c r="B28" s="2" t="s">
        <v>405</v>
      </c>
      <c r="D28" s="2" t="s">
        <v>102</v>
      </c>
      <c r="G28" s="71">
        <f>(1+G21)*(1+G22)*(1+G23)*(1+G24)*(1+G25)</f>
        <v>1.2580794662912</v>
      </c>
      <c r="K28" s="104"/>
      <c r="L28" s="104"/>
      <c r="M28" s="104"/>
      <c r="N28" s="104"/>
      <c r="O28" s="104"/>
      <c r="P28" s="104"/>
      <c r="Q28" s="104"/>
      <c r="R28" s="104"/>
    </row>
    <row r="29" spans="2:18" x14ac:dyDescent="0.2">
      <c r="B29" s="2" t="s">
        <v>211</v>
      </c>
      <c r="D29" s="2" t="s">
        <v>102</v>
      </c>
      <c r="G29" s="71">
        <f>(1+G22)*(1+G23)*(1+G24)*(1+G25)</f>
        <v>1.2285932288000003</v>
      </c>
      <c r="K29" s="104"/>
      <c r="L29" s="104"/>
      <c r="M29" s="104"/>
      <c r="N29" s="104"/>
      <c r="O29" s="104"/>
      <c r="P29" s="104"/>
      <c r="Q29" s="104"/>
      <c r="R29" s="104"/>
    </row>
    <row r="30" spans="2:18" x14ac:dyDescent="0.2">
      <c r="B30" s="2" t="s">
        <v>212</v>
      </c>
      <c r="D30" s="2" t="s">
        <v>102</v>
      </c>
      <c r="G30" s="71">
        <f>(1+G23)*(1+G24)*(1+G25)</f>
        <v>1.09695824</v>
      </c>
      <c r="K30" s="104"/>
      <c r="L30" s="104"/>
      <c r="M30" s="104"/>
      <c r="N30" s="104"/>
      <c r="O30" s="104"/>
      <c r="P30" s="104"/>
      <c r="Q30" s="104"/>
      <c r="R30" s="104"/>
    </row>
    <row r="31" spans="2:18" x14ac:dyDescent="0.2">
      <c r="B31" s="2" t="s">
        <v>451</v>
      </c>
      <c r="D31" s="2" t="s">
        <v>102</v>
      </c>
      <c r="G31" s="39">
        <f>(1+G24)*(1+G25)</f>
        <v>1.065008</v>
      </c>
      <c r="K31" s="104"/>
      <c r="L31" s="104"/>
      <c r="M31" s="104"/>
      <c r="N31" s="104"/>
      <c r="O31" s="104"/>
      <c r="P31" s="104"/>
      <c r="Q31" s="104"/>
      <c r="R31" s="104"/>
    </row>
    <row r="32" spans="2:18" x14ac:dyDescent="0.2">
      <c r="B32" s="2" t="s">
        <v>88</v>
      </c>
      <c r="D32" s="2" t="s">
        <v>102</v>
      </c>
      <c r="G32" s="39">
        <f>(1+G17)*(1+G18)*(1+G19)*(1+G20)*(1+G21)*(1+G22)*(1+G23)*(1+G24)*(1+G25)</f>
        <v>1.3483242837746916</v>
      </c>
      <c r="K32" s="104"/>
      <c r="L32" s="104"/>
      <c r="M32" s="104"/>
      <c r="N32" s="104"/>
      <c r="O32" s="104"/>
      <c r="P32" s="104"/>
      <c r="Q32" s="104"/>
      <c r="R32" s="104"/>
    </row>
    <row r="33" spans="2:18" x14ac:dyDescent="0.2">
      <c r="B33" s="2" t="s">
        <v>533</v>
      </c>
      <c r="D33" s="2" t="s">
        <v>102</v>
      </c>
      <c r="G33" s="39">
        <f>1/(1+G22)^0.5/(1+G21)/(1+G20)/(1+G19)^0.5</f>
        <v>0.90378473990076413</v>
      </c>
      <c r="I33" s="57"/>
      <c r="K33" s="104"/>
      <c r="L33" s="104"/>
      <c r="M33" s="104"/>
      <c r="N33" s="104"/>
      <c r="O33" s="104"/>
      <c r="P33" s="104"/>
      <c r="Q33" s="104"/>
      <c r="R33" s="104"/>
    </row>
    <row r="34" spans="2:18" x14ac:dyDescent="0.2">
      <c r="B34" s="2" t="s">
        <v>196</v>
      </c>
      <c r="D34" s="2" t="s">
        <v>102</v>
      </c>
      <c r="G34" s="39">
        <f>(1+G22)^0.5*(1+G23)*(1+G24)*(1+G25)</f>
        <v>1.1609114806652423</v>
      </c>
      <c r="K34" s="104"/>
      <c r="L34" s="104"/>
      <c r="M34" s="104"/>
      <c r="N34" s="104"/>
      <c r="O34" s="104"/>
      <c r="P34" s="104"/>
      <c r="Q34" s="104"/>
      <c r="R34" s="104"/>
    </row>
    <row r="36" spans="2:18" x14ac:dyDescent="0.2">
      <c r="B36" s="1" t="s">
        <v>91</v>
      </c>
    </row>
    <row r="37" spans="2:18" x14ac:dyDescent="0.2">
      <c r="B37" s="2" t="s">
        <v>92</v>
      </c>
      <c r="D37" s="2" t="s">
        <v>101</v>
      </c>
      <c r="G37" s="40">
        <v>0.21</v>
      </c>
      <c r="I37" s="2" t="s">
        <v>93</v>
      </c>
    </row>
    <row r="39" spans="2:18" s="8" customFormat="1" x14ac:dyDescent="0.2">
      <c r="B39" s="8" t="s">
        <v>119</v>
      </c>
    </row>
    <row r="41" spans="2:18" x14ac:dyDescent="0.2">
      <c r="B41" s="1" t="s">
        <v>266</v>
      </c>
    </row>
    <row r="42" spans="2:18" x14ac:dyDescent="0.2">
      <c r="B42" s="2" t="s">
        <v>251</v>
      </c>
      <c r="D42" s="2" t="s">
        <v>267</v>
      </c>
      <c r="G42" s="41">
        <v>1</v>
      </c>
      <c r="I42" s="2" t="s">
        <v>581</v>
      </c>
    </row>
    <row r="44" spans="2:18" x14ac:dyDescent="0.2">
      <c r="B44" s="1" t="s">
        <v>120</v>
      </c>
    </row>
    <row r="45" spans="2:18" x14ac:dyDescent="0.2">
      <c r="B45" s="2" t="s">
        <v>121</v>
      </c>
      <c r="D45" s="2" t="s">
        <v>122</v>
      </c>
      <c r="G45" s="31">
        <v>15</v>
      </c>
      <c r="I45" s="2" t="s">
        <v>542</v>
      </c>
    </row>
    <row r="46" spans="2:18" x14ac:dyDescent="0.2">
      <c r="B46" s="2" t="s">
        <v>124</v>
      </c>
      <c r="D46" s="2" t="s">
        <v>122</v>
      </c>
      <c r="G46" s="31">
        <v>15</v>
      </c>
      <c r="I46" s="2" t="s">
        <v>542</v>
      </c>
    </row>
    <row r="47" spans="2:18" x14ac:dyDescent="0.2">
      <c r="B47" s="2" t="s">
        <v>123</v>
      </c>
      <c r="D47" s="2" t="s">
        <v>122</v>
      </c>
      <c r="G47" s="31">
        <v>15</v>
      </c>
      <c r="I47" s="2" t="s">
        <v>542</v>
      </c>
    </row>
    <row r="49" spans="2:9" x14ac:dyDescent="0.2">
      <c r="B49" s="1" t="s">
        <v>125</v>
      </c>
    </row>
    <row r="50" spans="2:9" x14ac:dyDescent="0.2">
      <c r="B50" s="2" t="s">
        <v>126</v>
      </c>
      <c r="D50" s="2" t="s">
        <v>69</v>
      </c>
      <c r="E50" s="2" t="s">
        <v>76</v>
      </c>
      <c r="G50" s="69">
        <v>27.88</v>
      </c>
      <c r="I50" s="2" t="s">
        <v>127</v>
      </c>
    </row>
    <row r="52" spans="2:9" x14ac:dyDescent="0.2">
      <c r="B52" s="1" t="s">
        <v>128</v>
      </c>
    </row>
    <row r="53" spans="2:9" x14ac:dyDescent="0.2">
      <c r="B53" s="2" t="s">
        <v>129</v>
      </c>
      <c r="D53" s="2" t="s">
        <v>101</v>
      </c>
      <c r="G53" s="45">
        <v>0.5</v>
      </c>
      <c r="I53" s="2" t="s">
        <v>539</v>
      </c>
    </row>
    <row r="54" spans="2:9" x14ac:dyDescent="0.2">
      <c r="B54" s="2" t="s">
        <v>130</v>
      </c>
      <c r="D54" s="2" t="s">
        <v>101</v>
      </c>
      <c r="G54" s="45">
        <v>0.5</v>
      </c>
      <c r="I54" s="2" t="s">
        <v>539</v>
      </c>
    </row>
    <row r="56" spans="2:9" x14ac:dyDescent="0.2">
      <c r="B56" s="1" t="s">
        <v>141</v>
      </c>
      <c r="I56" s="9"/>
    </row>
    <row r="57" spans="2:9" x14ac:dyDescent="0.2">
      <c r="B57" s="2" t="s">
        <v>138</v>
      </c>
      <c r="D57" s="2" t="s">
        <v>101</v>
      </c>
      <c r="G57" s="45">
        <v>0.02</v>
      </c>
      <c r="I57" s="9" t="s">
        <v>579</v>
      </c>
    </row>
    <row r="58" spans="2:9" x14ac:dyDescent="0.2">
      <c r="B58" s="2" t="s">
        <v>139</v>
      </c>
      <c r="D58" s="2" t="s">
        <v>101</v>
      </c>
      <c r="G58" s="45">
        <v>0.03</v>
      </c>
      <c r="I58" s="9" t="s">
        <v>580</v>
      </c>
    </row>
    <row r="59" spans="2:9" x14ac:dyDescent="0.2">
      <c r="I59" s="9"/>
    </row>
    <row r="60" spans="2:9" x14ac:dyDescent="0.2">
      <c r="B60" s="1" t="s">
        <v>140</v>
      </c>
      <c r="I60" s="9"/>
    </row>
    <row r="61" spans="2:9" x14ac:dyDescent="0.2">
      <c r="B61" s="2" t="s">
        <v>136</v>
      </c>
      <c r="D61" s="2" t="s">
        <v>69</v>
      </c>
      <c r="E61" s="2" t="s">
        <v>111</v>
      </c>
      <c r="G61" s="41">
        <v>3874</v>
      </c>
      <c r="I61" s="9" t="s">
        <v>577</v>
      </c>
    </row>
    <row r="62" spans="2:9" x14ac:dyDescent="0.2">
      <c r="B62" s="2" t="s">
        <v>136</v>
      </c>
      <c r="D62" s="2" t="s">
        <v>69</v>
      </c>
      <c r="E62" s="2" t="s">
        <v>76</v>
      </c>
      <c r="G62" s="39">
        <f>G61*G32</f>
        <v>5223.4082753431549</v>
      </c>
    </row>
    <row r="63" spans="2:9" x14ac:dyDescent="0.2">
      <c r="B63" s="2" t="s">
        <v>137</v>
      </c>
      <c r="D63" s="2" t="s">
        <v>102</v>
      </c>
      <c r="G63" s="31">
        <v>900</v>
      </c>
      <c r="I63" s="9" t="s">
        <v>578</v>
      </c>
    </row>
    <row r="65" spans="2:11" s="8" customFormat="1" x14ac:dyDescent="0.2">
      <c r="B65" s="8" t="s">
        <v>94</v>
      </c>
    </row>
    <row r="67" spans="2:11" x14ac:dyDescent="0.2">
      <c r="B67" s="1" t="s">
        <v>95</v>
      </c>
    </row>
    <row r="68" spans="2:11" x14ac:dyDescent="0.2">
      <c r="B68" s="2" t="s">
        <v>96</v>
      </c>
      <c r="D68" s="2" t="s">
        <v>69</v>
      </c>
      <c r="E68" s="2" t="s">
        <v>76</v>
      </c>
      <c r="G68" s="42">
        <v>0.60060000000000002</v>
      </c>
      <c r="I68" s="2" t="s">
        <v>391</v>
      </c>
    </row>
    <row r="69" spans="2:11" x14ac:dyDescent="0.2">
      <c r="B69" s="2" t="s">
        <v>97</v>
      </c>
      <c r="D69" s="2" t="s">
        <v>69</v>
      </c>
      <c r="E69" s="2" t="s">
        <v>76</v>
      </c>
      <c r="G69" s="42">
        <v>0.60060000000000002</v>
      </c>
      <c r="I69" s="2" t="s">
        <v>391</v>
      </c>
    </row>
    <row r="70" spans="2:11" x14ac:dyDescent="0.2">
      <c r="B70" s="2" t="s">
        <v>98</v>
      </c>
      <c r="D70" s="2" t="s">
        <v>69</v>
      </c>
      <c r="E70" s="2" t="s">
        <v>103</v>
      </c>
      <c r="G70" s="43">
        <v>0.58301000000000003</v>
      </c>
      <c r="I70" s="2" t="s">
        <v>99</v>
      </c>
      <c r="K70" s="2" t="s">
        <v>360</v>
      </c>
    </row>
    <row r="71" spans="2:11" x14ac:dyDescent="0.2">
      <c r="B71" s="2" t="s">
        <v>86</v>
      </c>
      <c r="D71" s="2" t="s">
        <v>101</v>
      </c>
      <c r="G71" s="42">
        <v>1.0116885284202799</v>
      </c>
      <c r="I71" s="2" t="s">
        <v>100</v>
      </c>
      <c r="K71" s="2" t="s">
        <v>135</v>
      </c>
    </row>
    <row r="72" spans="2:11" x14ac:dyDescent="0.2">
      <c r="B72" s="2" t="s">
        <v>89</v>
      </c>
      <c r="D72" s="2" t="s">
        <v>101</v>
      </c>
      <c r="G72" s="42">
        <v>1.0289331996093851</v>
      </c>
      <c r="I72" s="2" t="s">
        <v>100</v>
      </c>
    </row>
    <row r="74" spans="2:11" x14ac:dyDescent="0.2">
      <c r="B74" s="1" t="s">
        <v>241</v>
      </c>
    </row>
    <row r="75" spans="2:11" x14ac:dyDescent="0.2">
      <c r="B75" s="2" t="s">
        <v>104</v>
      </c>
      <c r="E75" s="2" t="s">
        <v>102</v>
      </c>
      <c r="G75" s="41">
        <v>0.79</v>
      </c>
      <c r="I75" s="9" t="s">
        <v>573</v>
      </c>
    </row>
    <row r="76" spans="2:11" x14ac:dyDescent="0.2">
      <c r="B76" s="2" t="s">
        <v>105</v>
      </c>
      <c r="E76" s="2" t="s">
        <v>102</v>
      </c>
      <c r="G76" s="41">
        <v>0.21</v>
      </c>
      <c r="I76" s="9" t="s">
        <v>574</v>
      </c>
    </row>
    <row r="77" spans="2:11" x14ac:dyDescent="0.2">
      <c r="B77" s="2" t="s">
        <v>106</v>
      </c>
      <c r="E77" s="2" t="s">
        <v>102</v>
      </c>
      <c r="G77" s="41">
        <v>0.94</v>
      </c>
      <c r="I77" s="9" t="s">
        <v>575</v>
      </c>
    </row>
    <row r="78" spans="2:11" x14ac:dyDescent="0.2">
      <c r="B78" s="2" t="s">
        <v>107</v>
      </c>
      <c r="E78" s="2" t="s">
        <v>102</v>
      </c>
      <c r="G78" s="41">
        <v>0.68</v>
      </c>
      <c r="I78" s="9" t="s">
        <v>576</v>
      </c>
    </row>
    <row r="79" spans="2:11" x14ac:dyDescent="0.2">
      <c r="B79" s="2" t="s">
        <v>117</v>
      </c>
      <c r="E79" s="2" t="s">
        <v>118</v>
      </c>
      <c r="G79" s="43">
        <v>3.517E-2</v>
      </c>
      <c r="I79" s="9" t="s">
        <v>567</v>
      </c>
    </row>
    <row r="81" spans="2:11" s="8" customFormat="1" x14ac:dyDescent="0.2">
      <c r="B81" s="8" t="s">
        <v>108</v>
      </c>
    </row>
    <row r="83" spans="2:11" x14ac:dyDescent="0.2">
      <c r="B83" s="1" t="s">
        <v>331</v>
      </c>
    </row>
    <row r="84" spans="2:11" x14ac:dyDescent="0.2">
      <c r="B84" s="2" t="s">
        <v>332</v>
      </c>
      <c r="E84" s="2" t="s">
        <v>101</v>
      </c>
      <c r="G84" s="45">
        <v>0.5</v>
      </c>
      <c r="I84" s="9" t="s">
        <v>568</v>
      </c>
      <c r="K84" s="2" t="s">
        <v>284</v>
      </c>
    </row>
    <row r="86" spans="2:11" x14ac:dyDescent="0.2">
      <c r="B86" s="1" t="s">
        <v>132</v>
      </c>
      <c r="I86" s="9"/>
    </row>
    <row r="87" spans="2:11" x14ac:dyDescent="0.2">
      <c r="B87" s="2" t="s">
        <v>109</v>
      </c>
      <c r="D87" s="2" t="s">
        <v>110</v>
      </c>
      <c r="E87" s="2" t="s">
        <v>111</v>
      </c>
      <c r="G87" s="41">
        <v>245.27</v>
      </c>
      <c r="I87" s="9" t="s">
        <v>569</v>
      </c>
      <c r="K87" s="2" t="s">
        <v>134</v>
      </c>
    </row>
    <row r="88" spans="2:11" x14ac:dyDescent="0.2">
      <c r="B88" s="2" t="s">
        <v>109</v>
      </c>
      <c r="D88" s="2" t="s">
        <v>232</v>
      </c>
      <c r="E88" s="2" t="s">
        <v>76</v>
      </c>
      <c r="G88" s="39">
        <f>G87*G$32/(1+G$37)</f>
        <v>273.30867527389967</v>
      </c>
      <c r="I88" s="9"/>
    </row>
    <row r="89" spans="2:11" x14ac:dyDescent="0.2">
      <c r="B89" s="2" t="s">
        <v>112</v>
      </c>
      <c r="D89" s="2" t="s">
        <v>113</v>
      </c>
      <c r="E89" s="2" t="s">
        <v>111</v>
      </c>
      <c r="G89" s="41">
        <v>62.06</v>
      </c>
      <c r="I89" s="9" t="s">
        <v>570</v>
      </c>
    </row>
    <row r="90" spans="2:11" x14ac:dyDescent="0.2">
      <c r="B90" s="2" t="s">
        <v>112</v>
      </c>
      <c r="D90" s="2" t="s">
        <v>233</v>
      </c>
      <c r="E90" s="2" t="s">
        <v>76</v>
      </c>
      <c r="G90" s="39">
        <f>G89*G$32/(1+G$37)</f>
        <v>69.154549628973029</v>
      </c>
      <c r="I90" s="9"/>
    </row>
    <row r="91" spans="2:11" x14ac:dyDescent="0.2">
      <c r="G91" s="44"/>
    </row>
    <row r="92" spans="2:11" x14ac:dyDescent="0.2">
      <c r="B92" s="1" t="s">
        <v>114</v>
      </c>
      <c r="G92" s="44"/>
    </row>
    <row r="93" spans="2:11" x14ac:dyDescent="0.2">
      <c r="B93" s="2" t="s">
        <v>115</v>
      </c>
      <c r="D93" s="2" t="s">
        <v>110</v>
      </c>
      <c r="E93" s="2" t="s">
        <v>111</v>
      </c>
      <c r="G93" s="41">
        <v>222.5</v>
      </c>
      <c r="I93" s="9" t="s">
        <v>571</v>
      </c>
      <c r="K93" s="2" t="s">
        <v>133</v>
      </c>
    </row>
    <row r="94" spans="2:11" x14ac:dyDescent="0.2">
      <c r="B94" s="2" t="s">
        <v>115</v>
      </c>
      <c r="D94" s="2" t="s">
        <v>232</v>
      </c>
      <c r="E94" s="2" t="s">
        <v>76</v>
      </c>
      <c r="G94" s="39">
        <f>G93*G$32/(1+G$37)</f>
        <v>247.93566375195775</v>
      </c>
      <c r="I94" s="9"/>
    </row>
    <row r="95" spans="2:11" x14ac:dyDescent="0.2">
      <c r="B95" s="2" t="s">
        <v>116</v>
      </c>
      <c r="D95" s="2" t="s">
        <v>113</v>
      </c>
      <c r="E95" s="2" t="s">
        <v>111</v>
      </c>
      <c r="G95" s="41">
        <v>54.11</v>
      </c>
      <c r="I95" s="9" t="s">
        <v>572</v>
      </c>
    </row>
    <row r="96" spans="2:11" x14ac:dyDescent="0.2">
      <c r="B96" s="2" t="s">
        <v>116</v>
      </c>
      <c r="D96" s="2" t="s">
        <v>233</v>
      </c>
      <c r="E96" s="2" t="s">
        <v>76</v>
      </c>
      <c r="G96" s="39">
        <f>G95*G$32/(1+G$37)</f>
        <v>60.295724789296337</v>
      </c>
    </row>
    <row r="99" spans="2:2" x14ac:dyDescent="0.2">
      <c r="B99" s="27" t="s">
        <v>60</v>
      </c>
    </row>
  </sheetData>
  <mergeCells count="1">
    <mergeCell ref="K17:R34"/>
  </mergeCells>
  <phoneticPr fontId="30" type="noConversion"/>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24A4D7-5669-49A4-BCC7-CB0110B4C0CF}">
  <sheetPr>
    <tabColor rgb="FFE1FFE1"/>
  </sheetPr>
  <dimension ref="B2:N49"/>
  <sheetViews>
    <sheetView showGridLines="0" zoomScale="85" zoomScaleNormal="85" workbookViewId="0">
      <pane xSplit="5" ySplit="10" topLeftCell="F11" activePane="bottomRight" state="frozen"/>
      <selection activeCell="D41" sqref="D41"/>
      <selection pane="topRight" activeCell="D41" sqref="D41"/>
      <selection pane="bottomLeft" activeCell="D41" sqref="D41"/>
      <selection pane="bottomRight" activeCell="R36" sqref="R36"/>
    </sheetView>
  </sheetViews>
  <sheetFormatPr defaultColWidth="9.140625" defaultRowHeight="12.75" x14ac:dyDescent="0.2"/>
  <cols>
    <col min="1" max="1" width="5.7109375" style="2" customWidth="1"/>
    <col min="2" max="2" width="41.42578125" style="2" customWidth="1"/>
    <col min="3" max="3" width="5.7109375" style="2" customWidth="1"/>
    <col min="4" max="4" width="21.7109375" style="2" customWidth="1"/>
    <col min="5" max="5" width="12.5703125" style="2" customWidth="1"/>
    <col min="6" max="6" width="2.7109375" style="2" customWidth="1"/>
    <col min="7" max="7" width="13.7109375" style="2" customWidth="1"/>
    <col min="8" max="8" width="2.7109375" style="2" customWidth="1"/>
    <col min="9" max="10" width="15.7109375" style="2" customWidth="1"/>
    <col min="11" max="11" width="2.7109375" style="2" customWidth="1"/>
    <col min="12" max="12" width="32.28515625" style="2" customWidth="1"/>
    <col min="13" max="13" width="2.7109375" style="2" customWidth="1"/>
    <col min="14" max="14" width="30.7109375" style="2" customWidth="1"/>
    <col min="15" max="15" width="2.7109375" style="2" customWidth="1"/>
    <col min="16" max="30" width="13.7109375" style="2" customWidth="1"/>
    <col min="31" max="16384" width="9.140625" style="2"/>
  </cols>
  <sheetData>
    <row r="2" spans="2:14" s="15" customFormat="1" ht="18" x14ac:dyDescent="0.2">
      <c r="B2" s="15" t="s">
        <v>365</v>
      </c>
    </row>
    <row r="4" spans="2:14" x14ac:dyDescent="0.2">
      <c r="B4" s="26" t="s">
        <v>24</v>
      </c>
      <c r="I4"/>
    </row>
    <row r="5" spans="2:14" x14ac:dyDescent="0.2">
      <c r="B5" s="21" t="s">
        <v>366</v>
      </c>
      <c r="G5" s="16"/>
    </row>
    <row r="6" spans="2:14" x14ac:dyDescent="0.2">
      <c r="B6" s="21" t="s">
        <v>367</v>
      </c>
      <c r="G6" s="16"/>
    </row>
    <row r="7" spans="2:14" x14ac:dyDescent="0.2">
      <c r="B7" s="21" t="s">
        <v>368</v>
      </c>
      <c r="G7" s="16"/>
    </row>
    <row r="9" spans="2:14" s="8" customFormat="1" ht="25.5" customHeight="1" x14ac:dyDescent="0.2">
      <c r="B9" s="8" t="s">
        <v>39</v>
      </c>
      <c r="D9" s="8" t="s">
        <v>22</v>
      </c>
      <c r="E9" s="8" t="s">
        <v>67</v>
      </c>
      <c r="G9" s="8" t="s">
        <v>23</v>
      </c>
      <c r="I9" s="46" t="s">
        <v>186</v>
      </c>
      <c r="J9" s="46" t="s">
        <v>187</v>
      </c>
      <c r="K9" s="47"/>
      <c r="L9" s="8" t="s">
        <v>40</v>
      </c>
      <c r="N9" s="8" t="s">
        <v>41</v>
      </c>
    </row>
    <row r="12" spans="2:14" s="8" customFormat="1" x14ac:dyDescent="0.2">
      <c r="B12" s="8" t="s">
        <v>185</v>
      </c>
    </row>
    <row r="14" spans="2:14" x14ac:dyDescent="0.2">
      <c r="B14" s="26" t="s">
        <v>188</v>
      </c>
    </row>
    <row r="15" spans="2:14" x14ac:dyDescent="0.2">
      <c r="B15" s="2" t="s">
        <v>175</v>
      </c>
      <c r="E15" s="2" t="s">
        <v>191</v>
      </c>
      <c r="I15" s="48">
        <v>1566.07</v>
      </c>
      <c r="J15" s="31">
        <v>182</v>
      </c>
      <c r="L15" s="2" t="s">
        <v>559</v>
      </c>
    </row>
    <row r="16" spans="2:14" x14ac:dyDescent="0.2">
      <c r="B16" s="2" t="s">
        <v>176</v>
      </c>
      <c r="E16" s="2" t="s">
        <v>191</v>
      </c>
      <c r="I16" s="41">
        <v>1401.41</v>
      </c>
      <c r="J16" s="31">
        <v>174</v>
      </c>
      <c r="L16" s="2" t="s">
        <v>560</v>
      </c>
    </row>
    <row r="17" spans="2:12" x14ac:dyDescent="0.2">
      <c r="B17" s="2" t="s">
        <v>177</v>
      </c>
      <c r="E17" s="2" t="s">
        <v>191</v>
      </c>
      <c r="I17" s="41">
        <v>1677.41</v>
      </c>
      <c r="J17" s="31">
        <v>160</v>
      </c>
      <c r="L17" s="2" t="s">
        <v>561</v>
      </c>
    </row>
    <row r="18" spans="2:12" x14ac:dyDescent="0.2">
      <c r="B18" s="2" t="s">
        <v>323</v>
      </c>
      <c r="E18" s="2" t="s">
        <v>191</v>
      </c>
      <c r="I18" s="69">
        <v>1891.34</v>
      </c>
      <c r="J18" s="31">
        <v>327</v>
      </c>
      <c r="L18" s="2" t="s">
        <v>538</v>
      </c>
    </row>
    <row r="20" spans="2:12" x14ac:dyDescent="0.2">
      <c r="B20" s="1" t="s">
        <v>189</v>
      </c>
    </row>
    <row r="21" spans="2:12" x14ac:dyDescent="0.2">
      <c r="B21" s="2" t="s">
        <v>324</v>
      </c>
      <c r="E21" s="2" t="s">
        <v>191</v>
      </c>
      <c r="I21" s="39">
        <f>SUMPRODUCT(I15:I18,J15:J18)/SUM(J15:J18)</f>
        <v>1679.3877342823253</v>
      </c>
    </row>
    <row r="23" spans="2:12" s="8" customFormat="1" x14ac:dyDescent="0.2">
      <c r="B23" s="8" t="s">
        <v>190</v>
      </c>
      <c r="I23" s="102"/>
      <c r="J23" s="102"/>
    </row>
    <row r="25" spans="2:12" x14ac:dyDescent="0.2">
      <c r="B25" s="1" t="s">
        <v>273</v>
      </c>
      <c r="I25" s="105"/>
      <c r="J25" s="105"/>
    </row>
    <row r="26" spans="2:12" x14ac:dyDescent="0.2">
      <c r="B26" s="2" t="s">
        <v>322</v>
      </c>
      <c r="E26" s="2" t="s">
        <v>178</v>
      </c>
      <c r="I26" s="41">
        <v>119.71</v>
      </c>
      <c r="J26" s="31">
        <v>100</v>
      </c>
      <c r="L26" s="2" t="s">
        <v>325</v>
      </c>
    </row>
    <row r="27" spans="2:12" x14ac:dyDescent="0.2">
      <c r="B27" s="2" t="s">
        <v>179</v>
      </c>
      <c r="E27" s="2" t="s">
        <v>180</v>
      </c>
      <c r="I27" s="41">
        <v>174.69</v>
      </c>
      <c r="J27" s="31">
        <v>188</v>
      </c>
      <c r="L27" s="2" t="s">
        <v>193</v>
      </c>
    </row>
    <row r="28" spans="2:12" x14ac:dyDescent="0.2">
      <c r="B28" s="2" t="s">
        <v>181</v>
      </c>
      <c r="E28" s="2" t="s">
        <v>174</v>
      </c>
      <c r="I28" s="41">
        <v>151.74</v>
      </c>
      <c r="J28" s="50">
        <v>71</v>
      </c>
      <c r="L28" s="2" t="s">
        <v>194</v>
      </c>
    </row>
    <row r="29" spans="2:12" x14ac:dyDescent="0.2">
      <c r="B29" s="2" t="s">
        <v>182</v>
      </c>
      <c r="E29" s="2" t="s">
        <v>103</v>
      </c>
      <c r="I29" s="41">
        <v>202.56</v>
      </c>
      <c r="J29" s="31">
        <v>280</v>
      </c>
      <c r="L29" s="2" t="s">
        <v>530</v>
      </c>
    </row>
    <row r="30" spans="2:12" x14ac:dyDescent="0.2">
      <c r="I30" s="44"/>
      <c r="J30" s="51"/>
    </row>
    <row r="31" spans="2:12" x14ac:dyDescent="0.2">
      <c r="B31" s="26" t="s">
        <v>272</v>
      </c>
      <c r="I31" s="106"/>
      <c r="J31" s="107"/>
    </row>
    <row r="32" spans="2:12" x14ac:dyDescent="0.2">
      <c r="B32" s="2" t="s">
        <v>322</v>
      </c>
      <c r="E32" s="2" t="s">
        <v>178</v>
      </c>
      <c r="I32" s="41">
        <v>156.38999999999999</v>
      </c>
      <c r="J32" s="50">
        <v>14</v>
      </c>
      <c r="L32" s="2" t="s">
        <v>325</v>
      </c>
    </row>
    <row r="33" spans="2:12" x14ac:dyDescent="0.2">
      <c r="B33" s="2" t="s">
        <v>179</v>
      </c>
      <c r="E33" s="2" t="s">
        <v>180</v>
      </c>
      <c r="I33" s="41">
        <v>214.55</v>
      </c>
      <c r="J33" s="50">
        <v>26</v>
      </c>
      <c r="L33" s="2" t="s">
        <v>193</v>
      </c>
    </row>
    <row r="34" spans="2:12" x14ac:dyDescent="0.2">
      <c r="B34" s="2" t="s">
        <v>181</v>
      </c>
      <c r="E34" s="2" t="s">
        <v>174</v>
      </c>
      <c r="I34" s="41">
        <v>204.01</v>
      </c>
      <c r="J34" s="50">
        <v>7</v>
      </c>
      <c r="L34" s="2" t="s">
        <v>194</v>
      </c>
    </row>
    <row r="35" spans="2:12" x14ac:dyDescent="0.2">
      <c r="B35" s="2" t="s">
        <v>182</v>
      </c>
      <c r="E35" s="2" t="s">
        <v>103</v>
      </c>
      <c r="I35" s="41">
        <v>229.67</v>
      </c>
      <c r="J35" s="31">
        <v>23</v>
      </c>
      <c r="L35" s="2" t="s">
        <v>531</v>
      </c>
    </row>
    <row r="36" spans="2:12" x14ac:dyDescent="0.2">
      <c r="I36" s="44"/>
      <c r="J36" s="51"/>
    </row>
    <row r="37" spans="2:12" x14ac:dyDescent="0.2">
      <c r="B37" s="1" t="s">
        <v>274</v>
      </c>
      <c r="I37" s="44"/>
      <c r="J37" s="51"/>
    </row>
    <row r="38" spans="2:12" x14ac:dyDescent="0.2">
      <c r="B38" s="2" t="s">
        <v>322</v>
      </c>
      <c r="E38" s="2" t="s">
        <v>178</v>
      </c>
      <c r="I38" s="39">
        <f>IFERROR((I26*J26-I32*J32)/(J26-J32),0)</f>
        <v>113.73883720930233</v>
      </c>
      <c r="J38" s="34">
        <f>J26-J32</f>
        <v>86</v>
      </c>
    </row>
    <row r="39" spans="2:12" x14ac:dyDescent="0.2">
      <c r="B39" s="2" t="s">
        <v>179</v>
      </c>
      <c r="E39" s="2" t="s">
        <v>180</v>
      </c>
      <c r="I39" s="39">
        <f>IFERROR((I27*J27-I33*J33)/(J27-J33),0)</f>
        <v>168.29271604938273</v>
      </c>
      <c r="J39" s="34">
        <f>J27-J33</f>
        <v>162</v>
      </c>
    </row>
    <row r="40" spans="2:12" x14ac:dyDescent="0.2">
      <c r="B40" s="2" t="s">
        <v>181</v>
      </c>
      <c r="E40" s="2" t="s">
        <v>174</v>
      </c>
      <c r="I40" s="39">
        <f>IFERROR((I28*J28-I34*J34)/(J28-J34),0)</f>
        <v>146.02296875000002</v>
      </c>
      <c r="J40" s="34">
        <f>J28-J34</f>
        <v>64</v>
      </c>
    </row>
    <row r="41" spans="2:12" x14ac:dyDescent="0.2">
      <c r="B41" s="2" t="s">
        <v>182</v>
      </c>
      <c r="E41" s="2" t="s">
        <v>103</v>
      </c>
      <c r="I41" s="39">
        <f>IFERROR((I29*J29-I35*J35)/(J29-J35),0)</f>
        <v>200.13381322957198</v>
      </c>
      <c r="J41" s="34">
        <f>J29-J35</f>
        <v>257</v>
      </c>
    </row>
    <row r="42" spans="2:12" x14ac:dyDescent="0.2">
      <c r="I42" s="44"/>
      <c r="J42" s="51"/>
    </row>
    <row r="43" spans="2:12" s="8" customFormat="1" x14ac:dyDescent="0.2">
      <c r="B43" s="8" t="s">
        <v>183</v>
      </c>
    </row>
    <row r="45" spans="2:12" x14ac:dyDescent="0.2">
      <c r="B45" s="1" t="s">
        <v>302</v>
      </c>
    </row>
    <row r="46" spans="2:12" x14ac:dyDescent="0.2">
      <c r="B46" s="2" t="s">
        <v>173</v>
      </c>
      <c r="E46" s="2" t="s">
        <v>174</v>
      </c>
      <c r="G46" s="41">
        <v>112872</v>
      </c>
      <c r="L46" s="2" t="s">
        <v>192</v>
      </c>
    </row>
    <row r="49" spans="2:2" x14ac:dyDescent="0.2">
      <c r="B49" s="27" t="s">
        <v>60</v>
      </c>
    </row>
  </sheetData>
  <mergeCells count="3">
    <mergeCell ref="I23:J23"/>
    <mergeCell ref="I25:J25"/>
    <mergeCell ref="I31:J31"/>
  </mergeCells>
  <phoneticPr fontId="30" type="noConversion"/>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1EFE2-6DA0-468C-9F2D-26BC22C5FC1B}">
  <sheetPr>
    <tabColor rgb="FFE1FFE1"/>
  </sheetPr>
  <dimension ref="B2:V55"/>
  <sheetViews>
    <sheetView showGridLines="0" zoomScale="80" zoomScaleNormal="80" workbookViewId="0">
      <pane xSplit="5" ySplit="13" topLeftCell="F14" activePane="bottomRight" state="frozen"/>
      <selection activeCell="D41" sqref="D41"/>
      <selection pane="topRight" activeCell="D41" sqref="D41"/>
      <selection pane="bottomLeft" activeCell="D41" sqref="D41"/>
      <selection pane="bottomRight" activeCell="J49" sqref="J49"/>
    </sheetView>
  </sheetViews>
  <sheetFormatPr defaultColWidth="9.140625" defaultRowHeight="12.75" x14ac:dyDescent="0.2"/>
  <cols>
    <col min="1" max="1" width="5.7109375" style="2" customWidth="1"/>
    <col min="2" max="2" width="59" style="2" customWidth="1"/>
    <col min="3" max="3" width="5.7109375" style="2" customWidth="1"/>
    <col min="4" max="4" width="21.7109375" style="2" customWidth="1"/>
    <col min="5" max="5" width="12.5703125" style="2" customWidth="1"/>
    <col min="6" max="6" width="2.7109375" style="2" customWidth="1"/>
    <col min="7" max="7" width="13.7109375" style="2" customWidth="1"/>
    <col min="8" max="8" width="2.7109375" style="2" customWidth="1"/>
    <col min="9" max="9" width="12.7109375" style="2" customWidth="1"/>
    <col min="10" max="11" width="13.5703125" style="2" bestFit="1" customWidth="1"/>
    <col min="12" max="12" width="14.5703125" style="2" bestFit="1" customWidth="1"/>
    <col min="13" max="13" width="13.5703125" style="2" bestFit="1" customWidth="1"/>
    <col min="14" max="18" width="12.7109375" style="2" customWidth="1"/>
    <col min="19" max="19" width="2.7109375" style="2" customWidth="1"/>
    <col min="20" max="20" width="16.5703125" style="2" customWidth="1"/>
    <col min="21" max="21" width="2.7109375" style="2" customWidth="1"/>
    <col min="22" max="22" width="18.5703125" style="2" customWidth="1"/>
    <col min="23" max="30" width="13.7109375" style="2" customWidth="1"/>
    <col min="31" max="16384" width="9.140625" style="2"/>
  </cols>
  <sheetData>
    <row r="2" spans="2:22" s="15" customFormat="1" ht="18" x14ac:dyDescent="0.2">
      <c r="B2" s="15" t="s">
        <v>369</v>
      </c>
    </row>
    <row r="4" spans="2:22" x14ac:dyDescent="0.2">
      <c r="B4" s="26" t="s">
        <v>24</v>
      </c>
      <c r="I4"/>
    </row>
    <row r="5" spans="2:22" ht="12.75" customHeight="1" x14ac:dyDescent="0.2">
      <c r="B5" s="103" t="s">
        <v>460</v>
      </c>
      <c r="C5" s="103"/>
      <c r="D5" s="103"/>
      <c r="E5" s="103"/>
      <c r="G5" s="16"/>
    </row>
    <row r="6" spans="2:22" x14ac:dyDescent="0.2">
      <c r="B6" s="103"/>
      <c r="C6" s="103"/>
      <c r="D6" s="103"/>
      <c r="E6" s="103"/>
      <c r="G6" s="16"/>
    </row>
    <row r="7" spans="2:22" x14ac:dyDescent="0.2">
      <c r="B7" s="103"/>
      <c r="C7" s="103"/>
      <c r="D7" s="103"/>
      <c r="E7" s="103"/>
      <c r="G7" s="16"/>
    </row>
    <row r="8" spans="2:22" x14ac:dyDescent="0.2">
      <c r="B8" s="21"/>
      <c r="G8" s="16"/>
    </row>
    <row r="9" spans="2:22" x14ac:dyDescent="0.2">
      <c r="B9" s="27" t="s">
        <v>25</v>
      </c>
      <c r="G9" s="16"/>
    </row>
    <row r="10" spans="2:22" x14ac:dyDescent="0.2">
      <c r="B10" s="4" t="s">
        <v>375</v>
      </c>
      <c r="G10" s="16"/>
    </row>
    <row r="11" spans="2:22" x14ac:dyDescent="0.2">
      <c r="B11" s="21"/>
      <c r="G11" s="16"/>
    </row>
    <row r="12" spans="2:22" s="8" customFormat="1" x14ac:dyDescent="0.2">
      <c r="B12" s="8" t="s">
        <v>39</v>
      </c>
      <c r="D12" s="8" t="s">
        <v>22</v>
      </c>
      <c r="E12" s="8" t="s">
        <v>310</v>
      </c>
      <c r="G12" s="8" t="s">
        <v>156</v>
      </c>
      <c r="I12" s="102" t="s">
        <v>320</v>
      </c>
      <c r="J12" s="102"/>
      <c r="K12" s="102"/>
      <c r="L12" s="102"/>
      <c r="M12" s="102"/>
      <c r="N12" s="102"/>
      <c r="O12" s="102"/>
      <c r="P12" s="102"/>
      <c r="Q12" s="102"/>
      <c r="R12" s="102"/>
      <c r="T12" s="8" t="s">
        <v>40</v>
      </c>
      <c r="V12" s="8" t="s">
        <v>41</v>
      </c>
    </row>
    <row r="15" spans="2:22" s="8" customFormat="1" x14ac:dyDescent="0.2">
      <c r="B15" s="8" t="s">
        <v>198</v>
      </c>
      <c r="I15" s="61" t="s">
        <v>159</v>
      </c>
      <c r="J15" s="61" t="s">
        <v>160</v>
      </c>
      <c r="K15" s="61" t="s">
        <v>161</v>
      </c>
      <c r="L15" s="61" t="s">
        <v>162</v>
      </c>
      <c r="M15" s="61" t="s">
        <v>163</v>
      </c>
      <c r="N15" s="61" t="s">
        <v>164</v>
      </c>
    </row>
    <row r="17" spans="2:22" x14ac:dyDescent="0.2">
      <c r="B17" s="2" t="s">
        <v>330</v>
      </c>
      <c r="D17" s="2" t="s">
        <v>314</v>
      </c>
      <c r="E17" s="2" t="s">
        <v>76</v>
      </c>
      <c r="G17" s="73">
        <f>IFERROR(SUMPRODUCT(I17:N17,I18:N18)/SUM(I18:N18),0)</f>
        <v>17.99807557038752</v>
      </c>
      <c r="I17" s="69">
        <v>18</v>
      </c>
      <c r="J17" s="69">
        <v>18</v>
      </c>
      <c r="K17" s="69">
        <v>17.994499999999999</v>
      </c>
      <c r="L17" s="69">
        <v>18</v>
      </c>
      <c r="M17" s="69">
        <v>18</v>
      </c>
      <c r="N17" s="69">
        <v>18</v>
      </c>
      <c r="T17" s="2" t="s">
        <v>558</v>
      </c>
    </row>
    <row r="18" spans="2:22" x14ac:dyDescent="0.2">
      <c r="B18" s="2" t="s">
        <v>165</v>
      </c>
      <c r="D18" s="2" t="s">
        <v>102</v>
      </c>
      <c r="G18" s="44"/>
      <c r="I18" s="69">
        <v>141944.87595628412</v>
      </c>
      <c r="J18" s="69">
        <v>2282439.1565265926</v>
      </c>
      <c r="K18" s="69">
        <v>2524370.8748670518</v>
      </c>
      <c r="L18" s="69">
        <v>104555.48666666665</v>
      </c>
      <c r="M18" s="69">
        <v>2107343.808447673</v>
      </c>
      <c r="N18" s="69">
        <v>53971.742659219308</v>
      </c>
      <c r="T18" s="2" t="s">
        <v>558</v>
      </c>
    </row>
    <row r="19" spans="2:22" x14ac:dyDescent="0.2">
      <c r="G19" s="44"/>
    </row>
    <row r="20" spans="2:22" x14ac:dyDescent="0.2">
      <c r="B20" s="2" t="s">
        <v>166</v>
      </c>
      <c r="D20" s="2" t="s">
        <v>314</v>
      </c>
      <c r="E20" s="2" t="s">
        <v>76</v>
      </c>
      <c r="G20" s="73">
        <f>IFERROR(SUMPRODUCT(I20:N20,I21:N21,I22:N22)/SUM(I22:N22),0)</f>
        <v>129.68643593631077</v>
      </c>
      <c r="I20" s="69">
        <v>39.792400000000001</v>
      </c>
      <c r="J20" s="69">
        <v>43.939599999999999</v>
      </c>
      <c r="K20" s="69">
        <v>41.974999999999994</v>
      </c>
      <c r="L20" s="69">
        <v>43.5</v>
      </c>
      <c r="M20" s="69">
        <v>44.475200000000001</v>
      </c>
      <c r="N20" s="69">
        <v>32.667500000000004</v>
      </c>
      <c r="T20" s="2" t="s">
        <v>558</v>
      </c>
    </row>
    <row r="21" spans="2:22" ht="14.25" x14ac:dyDescent="0.2">
      <c r="B21" s="2" t="s">
        <v>167</v>
      </c>
      <c r="D21" s="2" t="s">
        <v>102</v>
      </c>
      <c r="G21" s="44"/>
      <c r="I21" s="69">
        <v>3</v>
      </c>
      <c r="J21" s="69">
        <v>3</v>
      </c>
      <c r="K21" s="69">
        <v>3</v>
      </c>
      <c r="L21" s="69">
        <v>3</v>
      </c>
      <c r="M21" s="69">
        <v>3</v>
      </c>
      <c r="N21" s="69">
        <v>3</v>
      </c>
      <c r="V21" s="2" t="s">
        <v>582</v>
      </c>
    </row>
    <row r="22" spans="2:22" x14ac:dyDescent="0.2">
      <c r="B22" s="2" t="s">
        <v>316</v>
      </c>
      <c r="D22" s="2" t="s">
        <v>102</v>
      </c>
      <c r="G22" s="44"/>
      <c r="I22" s="69">
        <v>467889.15918032784</v>
      </c>
      <c r="J22" s="69">
        <v>7328171.9287251653</v>
      </c>
      <c r="K22" s="69">
        <v>7874376.5576156462</v>
      </c>
      <c r="L22" s="69">
        <v>340514.64999999997</v>
      </c>
      <c r="M22" s="69">
        <v>6392096.3850025656</v>
      </c>
      <c r="N22" s="69">
        <v>169231.35329768088</v>
      </c>
      <c r="T22" s="2" t="s">
        <v>558</v>
      </c>
    </row>
    <row r="23" spans="2:22" x14ac:dyDescent="0.2">
      <c r="G23" s="44"/>
      <c r="I23" s="83"/>
      <c r="J23" s="83"/>
      <c r="K23" s="83"/>
      <c r="L23" s="83"/>
      <c r="M23" s="83"/>
      <c r="N23" s="83"/>
    </row>
    <row r="24" spans="2:22" x14ac:dyDescent="0.2">
      <c r="B24" s="2" t="s">
        <v>168</v>
      </c>
      <c r="D24" s="2" t="s">
        <v>314</v>
      </c>
      <c r="E24" s="2" t="s">
        <v>76</v>
      </c>
      <c r="G24" s="73">
        <f>IFERROR(SUMPRODUCT(I24:N24,I25:N25)/SUM(I25:N25),0)</f>
        <v>48.796789607094652</v>
      </c>
      <c r="I24" s="69">
        <v>48.488900000000001</v>
      </c>
      <c r="J24" s="69">
        <v>50.2</v>
      </c>
      <c r="K24" s="69">
        <v>48.581500000000005</v>
      </c>
      <c r="L24" s="69">
        <v>50.6</v>
      </c>
      <c r="M24" s="69">
        <v>47.52</v>
      </c>
      <c r="N24" s="69">
        <v>46.9</v>
      </c>
      <c r="T24" s="2" t="s">
        <v>558</v>
      </c>
    </row>
    <row r="25" spans="2:22" x14ac:dyDescent="0.2">
      <c r="B25" s="2" t="s">
        <v>329</v>
      </c>
      <c r="D25" s="2" t="s">
        <v>102</v>
      </c>
      <c r="I25" s="69">
        <v>139219.20644808744</v>
      </c>
      <c r="J25" s="69">
        <v>2241703.0557976454</v>
      </c>
      <c r="K25" s="69">
        <v>2483722.1559493248</v>
      </c>
      <c r="L25" s="69">
        <v>102655.68666666666</v>
      </c>
      <c r="M25" s="69">
        <v>2077535.275391184</v>
      </c>
      <c r="N25" s="69">
        <v>53000.957282332471</v>
      </c>
      <c r="T25" s="2" t="s">
        <v>558</v>
      </c>
    </row>
    <row r="27" spans="2:22" s="8" customFormat="1" x14ac:dyDescent="0.2">
      <c r="B27" s="8" t="s">
        <v>157</v>
      </c>
      <c r="I27" s="61" t="s">
        <v>152</v>
      </c>
      <c r="J27" s="61" t="s">
        <v>146</v>
      </c>
      <c r="K27" s="61" t="s">
        <v>147</v>
      </c>
      <c r="L27" s="61" t="s">
        <v>148</v>
      </c>
      <c r="M27" s="61" t="s">
        <v>149</v>
      </c>
      <c r="N27" s="61" t="s">
        <v>150</v>
      </c>
      <c r="O27" s="61" t="s">
        <v>151</v>
      </c>
      <c r="P27" s="61" t="s">
        <v>153</v>
      </c>
      <c r="Q27" s="61" t="s">
        <v>154</v>
      </c>
      <c r="R27" s="61" t="s">
        <v>155</v>
      </c>
    </row>
    <row r="29" spans="2:22" x14ac:dyDescent="0.2">
      <c r="B29" s="26" t="s">
        <v>535</v>
      </c>
      <c r="V29" s="2" t="s">
        <v>158</v>
      </c>
    </row>
    <row r="30" spans="2:22" x14ac:dyDescent="0.2">
      <c r="B30" s="2" t="s">
        <v>145</v>
      </c>
      <c r="D30" s="2" t="s">
        <v>315</v>
      </c>
      <c r="E30" s="2" t="s">
        <v>76</v>
      </c>
      <c r="G30" s="73">
        <v>0.44261773401890453</v>
      </c>
      <c r="I30" s="87"/>
      <c r="J30" s="87"/>
      <c r="K30" s="88"/>
      <c r="L30" s="87"/>
      <c r="M30" s="87"/>
      <c r="N30" s="87"/>
      <c r="O30" s="87"/>
      <c r="P30" s="88"/>
      <c r="Q30" s="87"/>
      <c r="R30" s="88"/>
    </row>
    <row r="31" spans="2:22" x14ac:dyDescent="0.2">
      <c r="B31" s="2" t="s">
        <v>143</v>
      </c>
      <c r="D31" s="2" t="s">
        <v>314</v>
      </c>
      <c r="E31" s="2" t="s">
        <v>76</v>
      </c>
      <c r="G31" s="39">
        <v>82.2010022314998</v>
      </c>
      <c r="I31" s="87"/>
      <c r="J31" s="89"/>
      <c r="K31" s="90"/>
      <c r="L31" s="89"/>
      <c r="M31" s="89"/>
      <c r="N31" s="89"/>
      <c r="O31" s="89"/>
      <c r="P31" s="90"/>
      <c r="Q31" s="89"/>
      <c r="R31" s="90"/>
    </row>
    <row r="32" spans="2:22" x14ac:dyDescent="0.2">
      <c r="B32" s="2" t="s">
        <v>144</v>
      </c>
      <c r="D32" s="2" t="s">
        <v>102</v>
      </c>
      <c r="I32" s="91"/>
      <c r="J32" s="91"/>
      <c r="K32" s="90"/>
      <c r="L32" s="91"/>
      <c r="M32" s="91"/>
      <c r="N32" s="91"/>
      <c r="O32" s="91"/>
      <c r="P32" s="90"/>
      <c r="Q32" s="91"/>
      <c r="R32" s="90"/>
    </row>
    <row r="34" spans="2:18" x14ac:dyDescent="0.2">
      <c r="B34" s="26" t="s">
        <v>536</v>
      </c>
      <c r="G34" s="44"/>
    </row>
    <row r="35" spans="2:18" x14ac:dyDescent="0.2">
      <c r="B35" s="2" t="s">
        <v>145</v>
      </c>
      <c r="D35" s="2" t="s">
        <v>315</v>
      </c>
      <c r="E35" s="2" t="s">
        <v>76</v>
      </c>
      <c r="G35" s="73">
        <v>0.42887880149452817</v>
      </c>
      <c r="I35" s="89"/>
      <c r="J35" s="89"/>
      <c r="K35" s="89"/>
      <c r="L35" s="89"/>
      <c r="M35" s="89"/>
      <c r="N35" s="89"/>
      <c r="O35" s="89"/>
      <c r="P35" s="89"/>
      <c r="Q35" s="89"/>
      <c r="R35" s="92"/>
    </row>
    <row r="36" spans="2:18" x14ac:dyDescent="0.2">
      <c r="B36" s="2" t="s">
        <v>143</v>
      </c>
      <c r="D36" s="2" t="s">
        <v>314</v>
      </c>
      <c r="E36" s="2" t="s">
        <v>76</v>
      </c>
      <c r="G36" s="39">
        <v>81.206290888760819</v>
      </c>
      <c r="I36" s="89"/>
      <c r="J36" s="89"/>
      <c r="K36" s="89"/>
      <c r="L36" s="89"/>
      <c r="M36" s="89"/>
      <c r="N36" s="89"/>
      <c r="O36" s="89"/>
      <c r="P36" s="89"/>
      <c r="Q36" s="89"/>
      <c r="R36" s="90"/>
    </row>
    <row r="37" spans="2:18" x14ac:dyDescent="0.2">
      <c r="B37" s="2" t="s">
        <v>144</v>
      </c>
      <c r="D37" s="2" t="s">
        <v>102</v>
      </c>
      <c r="I37" s="93"/>
      <c r="J37" s="93"/>
      <c r="K37" s="93"/>
      <c r="L37" s="93"/>
      <c r="M37" s="93"/>
      <c r="N37" s="93"/>
      <c r="O37" s="93"/>
      <c r="P37" s="93"/>
      <c r="Q37" s="93"/>
      <c r="R37" s="90"/>
    </row>
    <row r="39" spans="2:18" x14ac:dyDescent="0.2">
      <c r="B39" s="26" t="s">
        <v>537</v>
      </c>
    </row>
    <row r="40" spans="2:18" x14ac:dyDescent="0.2">
      <c r="B40" s="2" t="s">
        <v>145</v>
      </c>
      <c r="D40" s="2" t="s">
        <v>315</v>
      </c>
      <c r="E40" s="2" t="s">
        <v>76</v>
      </c>
      <c r="G40" s="73">
        <v>0.4355236443699616</v>
      </c>
      <c r="I40" s="89"/>
      <c r="J40" s="89"/>
      <c r="K40" s="89"/>
      <c r="L40" s="89"/>
      <c r="M40" s="89"/>
      <c r="N40" s="89"/>
      <c r="O40" s="89"/>
      <c r="P40" s="89"/>
      <c r="Q40" s="89"/>
      <c r="R40" s="89"/>
    </row>
    <row r="41" spans="2:18" x14ac:dyDescent="0.2">
      <c r="B41" s="2" t="s">
        <v>143</v>
      </c>
      <c r="D41" s="2" t="s">
        <v>314</v>
      </c>
      <c r="E41" s="2" t="s">
        <v>76</v>
      </c>
      <c r="G41" s="39">
        <v>80.716601259641067</v>
      </c>
      <c r="I41" s="89"/>
      <c r="J41" s="89"/>
      <c r="K41" s="89"/>
      <c r="L41" s="89"/>
      <c r="M41" s="89"/>
      <c r="N41" s="89"/>
      <c r="O41" s="89"/>
      <c r="P41" s="89"/>
      <c r="Q41" s="89"/>
      <c r="R41" s="89"/>
    </row>
    <row r="42" spans="2:18" x14ac:dyDescent="0.2">
      <c r="B42" s="2" t="s">
        <v>144</v>
      </c>
      <c r="D42" s="2" t="s">
        <v>102</v>
      </c>
      <c r="I42" s="93"/>
      <c r="J42" s="93"/>
      <c r="K42" s="93"/>
      <c r="L42" s="93"/>
      <c r="M42" s="93"/>
      <c r="N42" s="93"/>
      <c r="O42" s="93"/>
      <c r="P42" s="93"/>
      <c r="Q42" s="93"/>
      <c r="R42" s="93"/>
    </row>
    <row r="44" spans="2:18" s="8" customFormat="1" x14ac:dyDescent="0.2">
      <c r="B44" s="8" t="s">
        <v>318</v>
      </c>
    </row>
    <row r="46" spans="2:18" x14ac:dyDescent="0.2">
      <c r="B46" s="1" t="s">
        <v>311</v>
      </c>
    </row>
    <row r="47" spans="2:18" x14ac:dyDescent="0.2">
      <c r="B47" s="2" t="s">
        <v>313</v>
      </c>
      <c r="D47" s="2" t="s">
        <v>315</v>
      </c>
      <c r="E47" s="2" t="s">
        <v>76</v>
      </c>
      <c r="G47" s="75">
        <f>AVERAGE(G30,G35,G40)</f>
        <v>0.43567339329446481</v>
      </c>
    </row>
    <row r="49" spans="2:7" x14ac:dyDescent="0.2">
      <c r="B49" s="26" t="s">
        <v>312</v>
      </c>
    </row>
    <row r="50" spans="2:7" x14ac:dyDescent="0.2">
      <c r="B50" s="2" t="s">
        <v>199</v>
      </c>
      <c r="D50" s="2" t="s">
        <v>314</v>
      </c>
      <c r="E50" s="2" t="s">
        <v>76</v>
      </c>
      <c r="G50" s="39">
        <f>SUM(G17,G20,G24)</f>
        <v>196.48130111379294</v>
      </c>
    </row>
    <row r="51" spans="2:7" x14ac:dyDescent="0.2">
      <c r="B51" s="2" t="s">
        <v>336</v>
      </c>
      <c r="D51" s="2" t="s">
        <v>314</v>
      </c>
      <c r="E51" s="2" t="s">
        <v>76</v>
      </c>
      <c r="G51" s="53">
        <f>G41</f>
        <v>80.716601259641067</v>
      </c>
    </row>
    <row r="52" spans="2:7" x14ac:dyDescent="0.2">
      <c r="B52" s="2" t="s">
        <v>235</v>
      </c>
      <c r="D52" s="2" t="s">
        <v>314</v>
      </c>
      <c r="E52" s="2" t="s">
        <v>76</v>
      </c>
      <c r="G52" s="56">
        <f>G50+G51</f>
        <v>277.19790237343398</v>
      </c>
    </row>
    <row r="55" spans="2:7" x14ac:dyDescent="0.2">
      <c r="B55" s="27" t="s">
        <v>60</v>
      </c>
    </row>
  </sheetData>
  <mergeCells count="2">
    <mergeCell ref="I12:R12"/>
    <mergeCell ref="B5:E7"/>
  </mergeCells>
  <phoneticPr fontId="30" type="noConversion"/>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459BCFB3BA7984093AF6B5FDACCE3FF" ma:contentTypeVersion="3" ma:contentTypeDescription="Een nieuw document maken." ma:contentTypeScope="" ma:versionID="44c9b78b1b5f99b81785515933270f61">
  <xsd:schema xmlns:xsd="http://www.w3.org/2001/XMLSchema" xmlns:xs="http://www.w3.org/2001/XMLSchema" xmlns:p="http://schemas.microsoft.com/office/2006/metadata/properties" xmlns:ns2="5e7bef76-b888-41a2-a261-5f525b37d47e" xmlns:ns3="94b38974-1436-4631-a0be-797faa579778" targetNamespace="http://schemas.microsoft.com/office/2006/metadata/properties" ma:root="true" ma:fieldsID="682d6accd8b13bfc1b5fd9028b61781a" ns2:_="" ns3:_="">
    <xsd:import namespace="5e7bef76-b888-41a2-a261-5f525b37d47e"/>
    <xsd:import namespace="94b38974-1436-4631-a0be-797faa579778"/>
    <xsd:element name="properties">
      <xsd:complexType>
        <xsd:sequence>
          <xsd:element name="documentManagement">
            <xsd:complexType>
              <xsd:all>
                <xsd:element ref="ns2:_dlc_DocId" minOccurs="0"/>
                <xsd:element ref="ns2:_dlc_DocIdUrl" minOccurs="0"/>
                <xsd:element ref="ns2:_dlc_DocIdPersistId" minOccurs="0"/>
                <xsd:element ref="ns3: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7bef76-b888-41a2-a261-5f525b37d47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4b38974-1436-4631-a0be-797faa579778" elementFormDefault="qualified">
    <xsd:import namespace="http://schemas.microsoft.com/office/2006/documentManagement/types"/>
    <xsd:import namespace="http://schemas.microsoft.com/office/infopath/2007/PartnerControls"/>
    <xsd:element name="Status" ma:index="11" nillable="true" ma:displayName="Status" ma:default="Actueel" ma:format="RadioButtons" ma:internalName="Status">
      <xsd:simpleType>
        <xsd:restriction base="dms:Choice">
          <xsd:enumeration value="Actueel"/>
          <xsd:enumeration value="Archie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5e7bef76-b888-41a2-a261-5f525b37d47e">ECT67VDXDTCW-640230012-28</_dlc_DocId>
    <_dlc_DocIdUrl xmlns="5e7bef76-b888-41a2-a261-5f525b37d47e">
      <Url>https://intranet.acm.local/project/excellent-in-excel/_layouts/15/DocIdRedir.aspx?ID=ECT67VDXDTCW-640230012-28</Url>
      <Description>ECT67VDXDTCW-640230012-28</Description>
    </_dlc_DocIdUrl>
    <Status xmlns="94b38974-1436-4631-a0be-797faa579778">Actueel</Status>
  </documentManagement>
</p:properties>
</file>

<file path=customXml/itemProps1.xml><?xml version="1.0" encoding="utf-8"?>
<ds:datastoreItem xmlns:ds="http://schemas.openxmlformats.org/officeDocument/2006/customXml" ds:itemID="{33320577-CAFC-4BDF-9994-709EBF76F7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7bef76-b888-41a2-a261-5f525b37d47e"/>
    <ds:schemaRef ds:uri="94b38974-1436-4631-a0be-797faa5797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1CB1C9F-CCF9-4E38-862A-1CB92CDDD7E1}">
  <ds:schemaRefs>
    <ds:schemaRef ds:uri="http://schemas.microsoft.com/sharepoint/v3/contenttype/forms"/>
  </ds:schemaRefs>
</ds:datastoreItem>
</file>

<file path=customXml/itemProps3.xml><?xml version="1.0" encoding="utf-8"?>
<ds:datastoreItem xmlns:ds="http://schemas.openxmlformats.org/officeDocument/2006/customXml" ds:itemID="{BACF5907-5A9C-413A-AB63-8A8AE74C2D68}">
  <ds:schemaRefs>
    <ds:schemaRef ds:uri="http://schemas.microsoft.com/sharepoint/events"/>
  </ds:schemaRefs>
</ds:datastoreItem>
</file>

<file path=customXml/itemProps4.xml><?xml version="1.0" encoding="utf-8"?>
<ds:datastoreItem xmlns:ds="http://schemas.openxmlformats.org/officeDocument/2006/customXml" ds:itemID="{46DC4B28-42FD-4275-AD39-0DAE99CBE63F}">
  <ds:schemaRefs>
    <ds:schemaRef ds:uri="http://purl.org/dc/dcmitype/"/>
    <ds:schemaRef ds:uri="5e7bef76-b888-41a2-a261-5f525b37d47e"/>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94b38974-1436-4631-a0be-797faa579778"/>
    <ds:schemaRef ds:uri="http://schemas.microsoft.com/office/infopath/2007/PartnerControl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15</vt:i4>
      </vt:variant>
    </vt:vector>
  </HeadingPairs>
  <TitlesOfParts>
    <vt:vector size="15" baseType="lpstr">
      <vt:lpstr>Titelblad</vt:lpstr>
      <vt:lpstr>Toelichting</vt:lpstr>
      <vt:lpstr>Bronnen en toepassingen</vt:lpstr>
      <vt:lpstr>Resultaat</vt:lpstr>
      <vt:lpstr>Input --&gt;</vt:lpstr>
      <vt:lpstr>Reguleringsdata</vt:lpstr>
      <vt:lpstr>Parameters</vt:lpstr>
      <vt:lpstr>Data cv-ketels</vt:lpstr>
      <vt:lpstr>Gastarieven</vt:lpstr>
      <vt:lpstr>Berekeningen --&gt;</vt:lpstr>
      <vt:lpstr>Huurtarieven ind.</vt:lpstr>
      <vt:lpstr>Huurtarieven coll.</vt:lpstr>
      <vt:lpstr>Cv-ketels</vt:lpstr>
      <vt:lpstr>Vaste kosten</vt:lpstr>
      <vt:lpstr>Variabele kosten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2021-06-08T09:19:18Z</dcterms:created>
  <dcterms:modified xsi:type="dcterms:W3CDTF">2025-12-04T10:13:03Z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0x010100F459BCFB3BA7984093AF6B5FDACCE3FF</vt:lpwstr>
  </property>
  <property fmtid="{D5CDD505-2E9C-101B-9397-08002B2CF9AE}" pid="3" name="_dlc_DocIdItemGuid">
    <vt:lpwstr>3787884f-217a-413a-809c-5823269b9869</vt:lpwstr>
  </property>
</Properties>
</file>