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8_{CF284177-C9AC-4A1F-A7AA-DCA99D3E93B7}" xr6:coauthVersionLast="47" xr6:coauthVersionMax="47" xr10:uidLastSave="{00000000-0000-0000-0000-000000000000}"/>
  <bookViews>
    <workbookView xWindow="-120" yWindow="-120" windowWidth="29040" windowHeight="15840" tabRatio="847" xr2:uid="{00000000-000D-0000-FFFF-FFFF00000000}"/>
  </bookViews>
  <sheets>
    <sheet name="Titelblad" sheetId="9" r:id="rId1"/>
    <sheet name="Toelichting" sheetId="10" r:id="rId2"/>
    <sheet name="Bronnen en toepassingen" sheetId="11" r:id="rId3"/>
    <sheet name="Input --&gt;" sheetId="13" r:id="rId4"/>
    <sheet name="Volumes TD 2023" sheetId="40" r:id="rId5"/>
    <sheet name="SO REG2022" sheetId="18" r:id="rId6"/>
    <sheet name="Rekenvolumes TD" sheetId="38" r:id="rId7"/>
    <sheet name="Wegingsfactoren REG2022" sheetId="45" r:id="rId8"/>
    <sheet name="Invoeding" sheetId="24" r:id="rId9"/>
    <sheet name="Berekeningen --&gt;" sheetId="15" r:id="rId10"/>
    <sheet name="Aggregatie volumes 2023" sheetId="43" r:id="rId11"/>
    <sheet name="Wegingsfactoren" sheetId="39" r:id="rId12"/>
    <sheet name="Ontwikkeling inkomsten TD" sheetId="36" r:id="rId13"/>
    <sheet name="Vergoeding inv. ontw. TD" sheetId="41" r:id="rId14"/>
  </sheets>
  <definedNames>
    <definedName name="AS2DocOpenMode" hidden="1">"AS2DocumentEdit"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39" l="1"/>
  <c r="J45" i="45"/>
  <c r="J46" i="45"/>
  <c r="H34" i="39"/>
  <c r="H35" i="39"/>
  <c r="H36" i="39"/>
  <c r="H52" i="39"/>
  <c r="H23" i="39"/>
  <c r="H51" i="39"/>
  <c r="H20" i="39"/>
  <c r="H48" i="39"/>
  <c r="H19" i="39"/>
  <c r="H47" i="39"/>
  <c r="H16" i="39"/>
  <c r="H44" i="39"/>
  <c r="H15" i="39"/>
  <c r="H43" i="39"/>
  <c r="H31" i="39"/>
  <c r="H30" i="39"/>
  <c r="H29" i="39"/>
  <c r="H29" i="18"/>
  <c r="H27" i="18"/>
  <c r="H26" i="18"/>
  <c r="H25" i="18"/>
  <c r="H22" i="18"/>
  <c r="H21" i="18"/>
  <c r="H18" i="18"/>
  <c r="H17" i="18"/>
  <c r="H14" i="18"/>
  <c r="H13" i="18"/>
  <c r="J24" i="38"/>
  <c r="J25" i="38"/>
  <c r="J26" i="38"/>
  <c r="J23" i="38"/>
  <c r="J22" i="38"/>
  <c r="J19" i="38"/>
  <c r="J18" i="38"/>
  <c r="J15" i="38"/>
  <c r="J14" i="38"/>
  <c r="J13" i="24"/>
  <c r="J14" i="24"/>
  <c r="J15" i="24"/>
  <c r="J25" i="36"/>
  <c r="J26" i="36"/>
  <c r="J27" i="36"/>
  <c r="L13" i="36"/>
  <c r="L14" i="36"/>
  <c r="L15" i="36"/>
  <c r="L36" i="43"/>
  <c r="L101" i="43" s="1"/>
  <c r="L37" i="43"/>
  <c r="L102" i="43"/>
  <c r="L39" i="43"/>
  <c r="L103" i="43"/>
  <c r="J39" i="40"/>
  <c r="J37" i="40"/>
  <c r="J36" i="40"/>
  <c r="J31" i="40"/>
  <c r="J27" i="40"/>
  <c r="J26" i="40"/>
  <c r="J25" i="40"/>
  <c r="J24" i="40"/>
  <c r="J23" i="40"/>
  <c r="J20" i="40"/>
  <c r="J19" i="40"/>
  <c r="J18" i="40"/>
  <c r="J17" i="40"/>
  <c r="J16" i="40"/>
  <c r="J15" i="40"/>
  <c r="M70" i="43"/>
  <c r="N70" i="43"/>
  <c r="O70" i="43"/>
  <c r="P70" i="43"/>
  <c r="Q70" i="43"/>
  <c r="L70" i="43"/>
  <c r="L47" i="43"/>
  <c r="M47" i="43"/>
  <c r="N47" i="43"/>
  <c r="O47" i="43"/>
  <c r="P47" i="43"/>
  <c r="Q47" i="43"/>
  <c r="Q108" i="43" s="1"/>
  <c r="L48" i="43"/>
  <c r="M48" i="43"/>
  <c r="N48" i="43"/>
  <c r="O48" i="43"/>
  <c r="J48" i="43" s="1"/>
  <c r="P48" i="43"/>
  <c r="Q48" i="43"/>
  <c r="L49" i="43"/>
  <c r="M49" i="43"/>
  <c r="N49" i="43"/>
  <c r="O49" i="43"/>
  <c r="P49" i="43"/>
  <c r="Q49" i="43"/>
  <c r="L50" i="43"/>
  <c r="M50" i="43"/>
  <c r="N50" i="43"/>
  <c r="O50" i="43"/>
  <c r="P50" i="43"/>
  <c r="Q50" i="43"/>
  <c r="L51" i="43"/>
  <c r="M51" i="43"/>
  <c r="J51" i="43" s="1"/>
  <c r="N51" i="43"/>
  <c r="O51" i="43"/>
  <c r="P51" i="43"/>
  <c r="Q51" i="43"/>
  <c r="L54" i="43"/>
  <c r="M54" i="43"/>
  <c r="N54" i="43"/>
  <c r="O54" i="43"/>
  <c r="P54" i="43"/>
  <c r="Q54" i="43"/>
  <c r="L55" i="43"/>
  <c r="M55" i="43"/>
  <c r="M109" i="43" s="1"/>
  <c r="N55" i="43"/>
  <c r="O55" i="43"/>
  <c r="P55" i="43"/>
  <c r="Q55" i="43"/>
  <c r="Q109" i="43" s="1"/>
  <c r="L56" i="43"/>
  <c r="M56" i="43"/>
  <c r="N56" i="43"/>
  <c r="O56" i="43"/>
  <c r="P56" i="43"/>
  <c r="Q56" i="43"/>
  <c r="L57" i="43"/>
  <c r="M57" i="43"/>
  <c r="N57" i="43"/>
  <c r="O57" i="43"/>
  <c r="P57" i="43"/>
  <c r="Q57" i="43"/>
  <c r="L58" i="43"/>
  <c r="M58" i="43"/>
  <c r="N58" i="43"/>
  <c r="O58" i="43"/>
  <c r="J58" i="43" s="1"/>
  <c r="P58" i="43"/>
  <c r="Q58" i="43"/>
  <c r="L63" i="43"/>
  <c r="M63" i="43"/>
  <c r="N63" i="43"/>
  <c r="O63" i="43"/>
  <c r="P63" i="43"/>
  <c r="Q63" i="43"/>
  <c r="L64" i="43"/>
  <c r="L110" i="43" s="1"/>
  <c r="M64" i="43"/>
  <c r="N64" i="43"/>
  <c r="O64" i="43"/>
  <c r="P64" i="43"/>
  <c r="Q64" i="43"/>
  <c r="L66" i="43"/>
  <c r="M66" i="43"/>
  <c r="N66" i="43"/>
  <c r="O66" i="43"/>
  <c r="P66" i="43"/>
  <c r="Q66" i="43"/>
  <c r="M46" i="43"/>
  <c r="N46" i="43"/>
  <c r="O46" i="43"/>
  <c r="P46" i="43"/>
  <c r="Q46" i="43"/>
  <c r="L46" i="43"/>
  <c r="J46" i="24"/>
  <c r="J42" i="24"/>
  <c r="J40" i="24"/>
  <c r="J39" i="24"/>
  <c r="J34" i="24"/>
  <c r="J33" i="24"/>
  <c r="J32" i="24"/>
  <c r="J31" i="24"/>
  <c r="J30" i="24"/>
  <c r="J27" i="24"/>
  <c r="J26" i="24"/>
  <c r="J25" i="24"/>
  <c r="J24" i="24"/>
  <c r="J23" i="24"/>
  <c r="J22" i="24"/>
  <c r="J49" i="43"/>
  <c r="L16" i="41"/>
  <c r="M16" i="41"/>
  <c r="N16" i="41"/>
  <c r="J16" i="41" s="1"/>
  <c r="O16" i="41"/>
  <c r="P16" i="41"/>
  <c r="Q16" i="41"/>
  <c r="L19" i="41"/>
  <c r="J19" i="41" s="1"/>
  <c r="M19" i="41"/>
  <c r="N19" i="41"/>
  <c r="O19" i="41"/>
  <c r="P19" i="41"/>
  <c r="Q19" i="41"/>
  <c r="L20" i="41"/>
  <c r="M20" i="41"/>
  <c r="N20" i="41"/>
  <c r="O20" i="41"/>
  <c r="P20" i="41"/>
  <c r="Q20" i="41"/>
  <c r="L23" i="41"/>
  <c r="J23" i="41" s="1"/>
  <c r="M23" i="41"/>
  <c r="N23" i="41"/>
  <c r="O23" i="41"/>
  <c r="P23" i="41"/>
  <c r="Q23" i="41"/>
  <c r="L24" i="41"/>
  <c r="M24" i="41"/>
  <c r="N24" i="41"/>
  <c r="J24" i="41" s="1"/>
  <c r="O24" i="41"/>
  <c r="P24" i="41"/>
  <c r="Q24" i="41"/>
  <c r="L27" i="41"/>
  <c r="L39" i="41" s="1"/>
  <c r="M27" i="41"/>
  <c r="N27" i="41"/>
  <c r="O27" i="41"/>
  <c r="P27" i="41"/>
  <c r="P39" i="41" s="1"/>
  <c r="P28" i="41"/>
  <c r="P29" i="41"/>
  <c r="Q27" i="41"/>
  <c r="Q39" i="41" s="1"/>
  <c r="L28" i="41"/>
  <c r="M28" i="41"/>
  <c r="N28" i="41"/>
  <c r="O28" i="41"/>
  <c r="J28" i="41" s="1"/>
  <c r="Q28" i="41"/>
  <c r="L29" i="41"/>
  <c r="M29" i="41"/>
  <c r="N29" i="41"/>
  <c r="J29" i="41" s="1"/>
  <c r="O29" i="41"/>
  <c r="Q29" i="41"/>
  <c r="M15" i="41"/>
  <c r="N15" i="41"/>
  <c r="O15" i="41"/>
  <c r="P15" i="41"/>
  <c r="Q15" i="41"/>
  <c r="L15" i="41"/>
  <c r="J15" i="41" s="1"/>
  <c r="M13" i="36"/>
  <c r="N13" i="36"/>
  <c r="O13" i="36"/>
  <c r="P13" i="36"/>
  <c r="Q13" i="36"/>
  <c r="M14" i="36"/>
  <c r="N14" i="36"/>
  <c r="O14" i="36"/>
  <c r="P14" i="36"/>
  <c r="Q14" i="36"/>
  <c r="M15" i="36"/>
  <c r="N15" i="36"/>
  <c r="O15" i="36"/>
  <c r="P15" i="36"/>
  <c r="Q15" i="36"/>
  <c r="L16" i="43"/>
  <c r="M16" i="43"/>
  <c r="N16" i="43"/>
  <c r="O16" i="43"/>
  <c r="P16" i="43"/>
  <c r="P93" i="43" s="1"/>
  <c r="P19" i="36" s="1"/>
  <c r="P31" i="36" s="1"/>
  <c r="Q16" i="43"/>
  <c r="L17" i="43"/>
  <c r="M17" i="43"/>
  <c r="N17" i="43"/>
  <c r="O17" i="43"/>
  <c r="P17" i="43"/>
  <c r="Q17" i="43"/>
  <c r="L18" i="43"/>
  <c r="M18" i="43"/>
  <c r="N18" i="43"/>
  <c r="O18" i="43"/>
  <c r="P18" i="43"/>
  <c r="Q18" i="43"/>
  <c r="L19" i="43"/>
  <c r="M19" i="43"/>
  <c r="N19" i="43"/>
  <c r="O19" i="43"/>
  <c r="P19" i="43"/>
  <c r="J19" i="43" s="1"/>
  <c r="Q19" i="43"/>
  <c r="L20" i="43"/>
  <c r="M20" i="43"/>
  <c r="N20" i="43"/>
  <c r="O20" i="43"/>
  <c r="P20" i="43"/>
  <c r="Q20" i="43"/>
  <c r="L23" i="43"/>
  <c r="M23" i="43"/>
  <c r="M97" i="43" s="1"/>
  <c r="M20" i="36" s="1"/>
  <c r="M32" i="36" s="1"/>
  <c r="N23" i="43"/>
  <c r="O23" i="43"/>
  <c r="P23" i="43"/>
  <c r="P96" i="43" s="1"/>
  <c r="Q23" i="43"/>
  <c r="L24" i="43"/>
  <c r="L97" i="43" s="1"/>
  <c r="M24" i="43"/>
  <c r="N24" i="43"/>
  <c r="O24" i="43"/>
  <c r="P24" i="43"/>
  <c r="Q24" i="43"/>
  <c r="L25" i="43"/>
  <c r="M25" i="43"/>
  <c r="N25" i="43"/>
  <c r="O25" i="43"/>
  <c r="O96" i="43" s="1"/>
  <c r="P25" i="43"/>
  <c r="Q25" i="43"/>
  <c r="L26" i="43"/>
  <c r="M26" i="43"/>
  <c r="N26" i="43"/>
  <c r="O26" i="43"/>
  <c r="P26" i="43"/>
  <c r="Q26" i="43"/>
  <c r="L27" i="43"/>
  <c r="M27" i="43"/>
  <c r="N27" i="43"/>
  <c r="O27" i="43"/>
  <c r="P27" i="43"/>
  <c r="Q27" i="43"/>
  <c r="L31" i="43"/>
  <c r="L100" i="43" s="1"/>
  <c r="M31" i="43"/>
  <c r="M100" i="43" s="1"/>
  <c r="N31" i="43"/>
  <c r="N100" i="43" s="1"/>
  <c r="O31" i="43"/>
  <c r="O100" i="43"/>
  <c r="P31" i="43"/>
  <c r="P100" i="43" s="1"/>
  <c r="Q31" i="43"/>
  <c r="Q100" i="43" s="1"/>
  <c r="M36" i="43"/>
  <c r="M101" i="43"/>
  <c r="N36" i="43"/>
  <c r="N101" i="43"/>
  <c r="N104" i="43" s="1"/>
  <c r="N21" i="36" s="1"/>
  <c r="N33" i="36" s="1"/>
  <c r="O36" i="43"/>
  <c r="O101" i="43"/>
  <c r="P36" i="43"/>
  <c r="P101" i="43"/>
  <c r="Q36" i="43"/>
  <c r="Q101" i="43"/>
  <c r="M37" i="43"/>
  <c r="M102" i="43"/>
  <c r="N37" i="43"/>
  <c r="N102" i="43"/>
  <c r="O37" i="43"/>
  <c r="O102" i="43"/>
  <c r="P37" i="43"/>
  <c r="P102" i="43"/>
  <c r="Q37" i="43"/>
  <c r="Q102" i="43"/>
  <c r="M39" i="43"/>
  <c r="M103" i="43" s="1"/>
  <c r="N39" i="43"/>
  <c r="N103" i="43"/>
  <c r="O39" i="43"/>
  <c r="O103" i="43"/>
  <c r="P39" i="43"/>
  <c r="P103" i="43" s="1"/>
  <c r="P104" i="43" s="1"/>
  <c r="P21" i="36" s="1"/>
  <c r="P33" i="36" s="1"/>
  <c r="Q39" i="43"/>
  <c r="Q103" i="43"/>
  <c r="Q104" i="43" s="1"/>
  <c r="Q21" i="36" s="1"/>
  <c r="Q33" i="36" s="1"/>
  <c r="M15" i="43"/>
  <c r="N15" i="43"/>
  <c r="N93" i="43" s="1"/>
  <c r="N19" i="36" s="1"/>
  <c r="N31" i="36" s="1"/>
  <c r="O15" i="43"/>
  <c r="O93" i="43" s="1"/>
  <c r="O19" i="36" s="1"/>
  <c r="O31" i="36" s="1"/>
  <c r="P15" i="43"/>
  <c r="Q15" i="43"/>
  <c r="Q92" i="43" s="1"/>
  <c r="L15" i="43"/>
  <c r="L93" i="43" s="1"/>
  <c r="H76" i="43"/>
  <c r="H77" i="43"/>
  <c r="H78" i="43"/>
  <c r="H79" i="43"/>
  <c r="H80" i="43"/>
  <c r="H83" i="43"/>
  <c r="H84" i="43"/>
  <c r="H85" i="43"/>
  <c r="H86" i="43"/>
  <c r="H87" i="43"/>
  <c r="H75" i="43"/>
  <c r="L108" i="43"/>
  <c r="P109" i="43"/>
  <c r="O109" i="43"/>
  <c r="N39" i="41"/>
  <c r="M39" i="41"/>
  <c r="M93" i="43"/>
  <c r="M19" i="36"/>
  <c r="M31" i="36" s="1"/>
  <c r="J17" i="43"/>
  <c r="Q97" i="43"/>
  <c r="Q20" i="36" s="1"/>
  <c r="Q32" i="36" s="1"/>
  <c r="Q93" i="43"/>
  <c r="Q19" i="36" s="1"/>
  <c r="Q31" i="36" s="1"/>
  <c r="M92" i="43"/>
  <c r="N97" i="43"/>
  <c r="N20" i="36"/>
  <c r="N32" i="36" s="1"/>
  <c r="P92" i="43"/>
  <c r="Q96" i="43"/>
  <c r="M96" i="43"/>
  <c r="O104" i="43"/>
  <c r="O21" i="36" s="1"/>
  <c r="O33" i="36" s="1"/>
  <c r="J36" i="43"/>
  <c r="L92" i="43"/>
  <c r="N96" i="43"/>
  <c r="J37" i="43"/>
  <c r="O97" i="43"/>
  <c r="O20" i="36" s="1"/>
  <c r="O32" i="36" s="1"/>
  <c r="J27" i="41"/>
  <c r="J20" i="41"/>
  <c r="J13" i="36"/>
  <c r="J14" i="36"/>
  <c r="J15" i="36"/>
  <c r="H59" i="39"/>
  <c r="H57" i="39"/>
  <c r="H58" i="39"/>
  <c r="Q31" i="41"/>
  <c r="P31" i="41"/>
  <c r="O31" i="41"/>
  <c r="M31" i="41"/>
  <c r="L31" i="41"/>
  <c r="J31" i="41" s="1"/>
  <c r="N31" i="41"/>
  <c r="B25" i="10"/>
  <c r="B13" i="10"/>
  <c r="B20" i="10"/>
  <c r="B14" i="10"/>
  <c r="B15" i="10"/>
  <c r="B19" i="10"/>
  <c r="J70" i="43" l="1"/>
  <c r="O39" i="41"/>
  <c r="J46" i="43"/>
  <c r="J66" i="43"/>
  <c r="P110" i="43"/>
  <c r="N110" i="43"/>
  <c r="J57" i="43"/>
  <c r="J56" i="43"/>
  <c r="N109" i="43"/>
  <c r="J54" i="43"/>
  <c r="J50" i="43"/>
  <c r="P108" i="43"/>
  <c r="J47" i="43"/>
  <c r="Q110" i="43"/>
  <c r="M110" i="43"/>
  <c r="O108" i="43"/>
  <c r="L109" i="43"/>
  <c r="N108" i="43"/>
  <c r="J64" i="43"/>
  <c r="J55" i="43"/>
  <c r="M108" i="43"/>
  <c r="J63" i="43"/>
  <c r="O110" i="43"/>
  <c r="Q37" i="36"/>
  <c r="Q35" i="41" s="1"/>
  <c r="Q41" i="41" s="1"/>
  <c r="J39" i="43"/>
  <c r="J26" i="43"/>
  <c r="P97" i="43"/>
  <c r="P20" i="36" s="1"/>
  <c r="P32" i="36" s="1"/>
  <c r="P37" i="36" s="1"/>
  <c r="P35" i="41" s="1"/>
  <c r="P41" i="41" s="1"/>
  <c r="J20" i="43"/>
  <c r="J18" i="43"/>
  <c r="J16" i="43"/>
  <c r="O37" i="36"/>
  <c r="O35" i="41" s="1"/>
  <c r="O41" i="41" s="1"/>
  <c r="O92" i="43"/>
  <c r="J102" i="43"/>
  <c r="N37" i="36"/>
  <c r="N35" i="41" s="1"/>
  <c r="N41" i="41" s="1"/>
  <c r="J25" i="43"/>
  <c r="J15" i="43"/>
  <c r="N92" i="43"/>
  <c r="J92" i="43" s="1"/>
  <c r="M104" i="43"/>
  <c r="M21" i="36" s="1"/>
  <c r="M33" i="36" s="1"/>
  <c r="M37" i="36" s="1"/>
  <c r="M35" i="41" s="1"/>
  <c r="M41" i="41" s="1"/>
  <c r="J103" i="43"/>
  <c r="J100" i="43"/>
  <c r="J23" i="43"/>
  <c r="J27" i="43"/>
  <c r="J101" i="43"/>
  <c r="L104" i="43"/>
  <c r="J31" i="43"/>
  <c r="L20" i="36"/>
  <c r="J97" i="43"/>
  <c r="J24" i="43"/>
  <c r="L96" i="43"/>
  <c r="J96" i="43" s="1"/>
  <c r="J93" i="43"/>
  <c r="L19" i="36"/>
  <c r="J110" i="43" l="1"/>
  <c r="J109" i="43"/>
  <c r="J108" i="43"/>
  <c r="J104" i="43"/>
  <c r="L21" i="36"/>
  <c r="J20" i="36"/>
  <c r="L32" i="36"/>
  <c r="J32" i="36" s="1"/>
  <c r="J19" i="36"/>
  <c r="L31" i="36"/>
  <c r="L33" i="36" l="1"/>
  <c r="J33" i="36" s="1"/>
  <c r="J21" i="36"/>
  <c r="L37" i="36"/>
  <c r="L35" i="41" s="1"/>
  <c r="L41" i="41" s="1"/>
  <c r="J31"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19"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N7" authorId="0" shapeId="0" xr:uid="{00000000-0006-0000-0600-000001000000}">
      <text>
        <r>
          <rPr>
            <b/>
            <sz val="8"/>
            <color indexed="81"/>
            <rFont val="Tahoma"/>
            <family val="2"/>
          </rPr>
          <t>Auteur:</t>
        </r>
        <r>
          <rPr>
            <sz val="8"/>
            <color indexed="81"/>
            <rFont val="Tahoma"/>
            <family val="2"/>
          </rPr>
          <t xml:space="preserve">
Inclusief Enduris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P8" authorId="0" shapeId="0" xr:uid="{00000000-0006-0000-0700-000001000000}">
      <text>
        <r>
          <rPr>
            <b/>
            <sz val="8"/>
            <color indexed="81"/>
            <rFont val="Tahoma"/>
            <family val="2"/>
          </rPr>
          <t>Auteur:</t>
        </r>
        <r>
          <rPr>
            <sz val="8"/>
            <color indexed="81"/>
            <rFont val="Tahoma"/>
            <family val="2"/>
          </rPr>
          <t xml:space="preserve">
Inclusief Enduris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P8" authorId="0" shapeId="0" xr:uid="{00000000-0006-0000-0800-000001000000}">
      <text>
        <r>
          <rPr>
            <b/>
            <sz val="8"/>
            <color indexed="81"/>
            <rFont val="Tahoma"/>
            <family val="2"/>
          </rPr>
          <t>Auteur:</t>
        </r>
        <r>
          <rPr>
            <sz val="8"/>
            <color indexed="81"/>
            <rFont val="Tahoma"/>
            <family val="2"/>
          </rPr>
          <t xml:space="preserve">
Inclusief Enduris</t>
        </r>
      </text>
    </comment>
  </commentList>
</comments>
</file>

<file path=xl/sharedStrings.xml><?xml version="1.0" encoding="utf-8"?>
<sst xmlns="http://schemas.openxmlformats.org/spreadsheetml/2006/main" count="726" uniqueCount="256">
  <si>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</si>
  <si>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</si>
  <si>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</si>
  <si>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</si>
  <si>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</si>
  <si>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</si>
  <si>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</si>
  <si>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</si>
  <si>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</si>
  <si>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</si>
  <si>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</si>
  <si>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</si>
  <si>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</si>
  <si>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</si>
  <si>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</si>
  <si>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</si>
  <si>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</si>
  <si>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</si>
  <si>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</si>
  <si>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</si>
  <si>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</si>
  <si>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</si>
  <si>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</si>
  <si>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</si>
  <si>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</si>
  <si>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</si>
  <si>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</si>
  <si>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</si>
  <si>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</si>
  <si>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</si>
  <si>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</si>
  <si>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</si>
  <si>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</si>
  <si>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</si>
  <si>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</si>
  <si>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</si>
  <si>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</si>
  <si>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</si>
  <si>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</si>
  <si>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</si>
  <si>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</si>
  <si>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</si>
  <si>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</si>
  <si>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</si>
  <si>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</si>
  <si>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</si>
  <si>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</si>
  <si>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</si>
  <si>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</si>
  <si>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</si>
  <si>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</si>
  <si>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</si>
  <si>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</si>
  <si>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</si>
  <si>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berekening</t>
  </si>
  <si>
    <t>Grijze cijfers geven de uitkomt van een check berekening; dit is geen resultaat waarmee verder wordt gerekend</t>
  </si>
  <si>
    <t>Aanvullende gegevens bestand extern</t>
  </si>
  <si>
    <t>Datum ontvangst, versie nr., opmerkingen</t>
  </si>
  <si>
    <t>Zoals gebruikt in dit bestand</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</si>
  <si>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</si>
  <si>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</si>
  <si>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</si>
  <si>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</si>
  <si>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</si>
  <si>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</si>
  <si>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</si>
  <si>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</si>
  <si>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</si>
  <si>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Enexis</t>
  </si>
  <si>
    <t>Liander</t>
  </si>
  <si>
    <t>RENDO</t>
  </si>
  <si>
    <t>Stedin</t>
  </si>
  <si>
    <t>Westland</t>
  </si>
  <si>
    <t>Op dit tabblad worden de rekenvolumes voor afname en invoeding opgehaald uit het SO-bestand.</t>
  </si>
  <si>
    <t>%</t>
  </si>
  <si>
    <t>Aandeel invoeding in SO</t>
  </si>
  <si>
    <t>Vergoeding invoeding door ontwikkeling volumes TD</t>
  </si>
  <si>
    <t>Coteq</t>
  </si>
  <si>
    <t>Wegingsfactoren</t>
  </si>
  <si>
    <t>Aandeel SO invoeding in SO transportdienst</t>
  </si>
  <si>
    <t>Rekenvolumes REG2022</t>
  </si>
  <si>
    <t>#</t>
  </si>
  <si>
    <t>Ontwikkeling volumes transportdienst t.o.v. rekenvolumes</t>
  </si>
  <si>
    <t>Ontwikkeling inkomsten TD t.o.v. rekenvolumes</t>
  </si>
  <si>
    <t>Ontwikkeling vergoeding invoeding door ontwikkeling volumes TD</t>
  </si>
  <si>
    <t>Invoedingsvolumes</t>
  </si>
  <si>
    <t>SO REG2022</t>
  </si>
  <si>
    <t>Ontwikkeling efficiënte kosten TD</t>
  </si>
  <si>
    <t>Op dit tabblad wordt de samengestelde output (SO) voor de transportdienst en invoeding opgehaald uit het SO-bestand. Deze zijn nodig om per netbeheerder te bepalen wat het aandeel invoeding is van de SO.</t>
  </si>
  <si>
    <t>Schatting volumes 2022-2026</t>
  </si>
  <si>
    <t xml:space="preserve">Ophalen samengestelde output TD REG2022 </t>
  </si>
  <si>
    <t>De vastrechttarieven worden uitgesloten bij het bepalen van de ontwikkeling van de volumes.</t>
  </si>
  <si>
    <t>Rekenvolumes TD 2022-2026</t>
  </si>
  <si>
    <t>Kleinverbruik (t/m 40 m3/h)</t>
  </si>
  <si>
    <t>Vastrecht (TOVT)</t>
  </si>
  <si>
    <t>Capaciteitsafhankelijk tarief (TAVTc)</t>
  </si>
  <si>
    <t>Profielgrootverbruik ( &gt;40 m3/h)</t>
  </si>
  <si>
    <t>Telemetriegrootverbruik (&lt; 16 bar)</t>
  </si>
  <si>
    <t>Hoge druk (&gt;= 200 Mbar en &lt; 16 Bar)</t>
  </si>
  <si>
    <t>Lage druk (&lt; 200 Mbar)</t>
  </si>
  <si>
    <t>Totaal volume indien geen onderscheid LD/HD: Standaard</t>
  </si>
  <si>
    <t>Capaciteitsafhankelijk tarief (TAVTc) gestandaardiseerd</t>
  </si>
  <si>
    <t>VOLUMES PROFIELVEBRUIK: AANTAL AANSLUITINGEN</t>
  </si>
  <si>
    <t>Kleinverbruikers</t>
  </si>
  <si>
    <t>=&lt; 10 m3(n)h, jaarverbruik &lt; 500 Nm3</t>
  </si>
  <si>
    <t>=&lt; 10 m3(n)h, jaarverbruik vanaf 500 Nm3 en &lt; 4.000 Nm3</t>
  </si>
  <si>
    <t>=&lt; 10 m3(n)h, jaarverbruik vanaf 4.000 Nm3</t>
  </si>
  <si>
    <t>&gt; 10 en =&lt; 16 m3(n)/h</t>
  </si>
  <si>
    <t>&gt; 16 en =&lt; 25 m3(n)/h</t>
  </si>
  <si>
    <t>&gt; 25 en =&lt; 40 m3(n)/h</t>
  </si>
  <si>
    <t>Profielgrootverbruikers</t>
  </si>
  <si>
    <t>&gt; 40 en =&lt; 65 m3(n)/h</t>
  </si>
  <si>
    <t>&gt; 65 en =&lt; 100 m3(n)/h</t>
  </si>
  <si>
    <t>&gt; 100 en =&lt; 160 m3(n)/h</t>
  </si>
  <si>
    <t>&gt; 160 en =&lt; 250 m3(n)/h</t>
  </si>
  <si>
    <t>&gt; 250 m3(n)/h</t>
  </si>
  <si>
    <t>VOLUMES TELEMETRIE: AANTAL AANSLUITINGEN</t>
  </si>
  <si>
    <t>Telemetrie &lt; 16 bar</t>
  </si>
  <si>
    <t>VOLUMES TELEMTRIE: GECONTRACTEERDE CAPACITEIT</t>
  </si>
  <si>
    <t>Rekencapaciteiten TD profielverbruikers</t>
  </si>
  <si>
    <t>&gt; 10 en =&lt; 16 m3(n)h</t>
  </si>
  <si>
    <t>&gt; 16 en =&lt; 25 m3(n)h</t>
  </si>
  <si>
    <t>&gt; 25 en =&lt; 40 m3(n)h</t>
  </si>
  <si>
    <t>&gt; 40 en =&lt; 65 m3(n)h</t>
  </si>
  <si>
    <t>&gt; 65 en =&lt; 100 m3(n)h</t>
  </si>
  <si>
    <t>&gt; 100 en =&lt; 160 m3(n)h</t>
  </si>
  <si>
    <t>&gt; 160 en =&lt; 250 m3(n)h</t>
  </si>
  <si>
    <t>&gt; 250 m3(n)h</t>
  </si>
  <si>
    <t>EUR/jaar</t>
  </si>
  <si>
    <t>EUR/jaar/m3/h</t>
  </si>
  <si>
    <t>Invoeding</t>
  </si>
  <si>
    <t>Profielgrootverbruik (&gt; 40 m3/h)</t>
  </si>
  <si>
    <t>SO Transportdienst</t>
  </si>
  <si>
    <t>Ophalen rekenvolumes TD 2022-2026</t>
  </si>
  <si>
    <t>Aggregatie volumes TD</t>
  </si>
  <si>
    <t>Op dit blad worden de volumegegevens van de transportdienst geaggregeerd en gestandaardiseerd aan de hand van de standaard rekencapaciteiten.</t>
  </si>
  <si>
    <t>Berekening wegingsfactoren</t>
  </si>
  <si>
    <t>Transportdienst</t>
  </si>
  <si>
    <t>Invoeding capaciteitsafhankelijk tarief (TAVTc)</t>
  </si>
  <si>
    <t>Totaal verschil in inkomsten TD exclusief vastrecht</t>
  </si>
  <si>
    <t xml:space="preserve">Op dit tabblad wordt berekend wat de ontwikkeling is van de vergoeding voor invoeding door de ontwikkeling van gerealiseerde transportafhankelijke volumes ten opzichte van de rekenvolumes. Hiervoor worden de volgende stappen doorlopen: </t>
  </si>
  <si>
    <t>1. In regel 39 wordt het aandeel SO invoeding in het transportafhankelijke deel van de SO transportdienst (i.e. exclusief vastrecht) berekend.</t>
  </si>
  <si>
    <t>Telemetriegrootverbruik (&lt; 16 bar) gestandaardiseerd</t>
  </si>
  <si>
    <t>VOLUMES TELEMETRIE</t>
  </si>
  <si>
    <t>Volumes groen gas booster</t>
  </si>
  <si>
    <t>Gecorrigeerd voor de volumes overstort GTS: groen gas booster</t>
  </si>
  <si>
    <t>Capaciteitsafhankelijk tarief kleinverbruik (t/m 40 m3/h)</t>
  </si>
  <si>
    <t>Capaciteitsafhankelijk tarief profielgrootverbruik (&gt; 40 m3/h)</t>
  </si>
  <si>
    <t>Capaciteitsafhankelijk tarief gestandaardiseerd telemetriegrootverbruik (&lt; 16 bar)</t>
  </si>
  <si>
    <t xml:space="preserve">Deze volumes zien op het gemiddelde van de maandpiek invoedingsvolumes per groen gas booster. </t>
  </si>
  <si>
    <t>m3(n)/h</t>
  </si>
  <si>
    <t>Informatieverzoek groen gas booster</t>
  </si>
  <si>
    <t>Op dit tabblad worden de geschatte invoedingsvolumes 2022-2026 opgehaald uit het x-factormodel en de gerealiseerde volumes voor invoeding opgehaald uit de Reguleringsdata.</t>
  </si>
  <si>
    <t>2. Om tot de ontwikkeling in vergoeding voor invoeding door volumeontwikkeling TD te komen wordt het aandeel dat resulteert uit stap 1 vermenigvuldigd met de ontwikkeling in inkomsten TD t.o.v. rekenvolumes.</t>
  </si>
  <si>
    <t>Gewijzigd SO-bestand RNB G 2022-2026; tabblad 'Volumes TD 2015-2020', rij 22</t>
  </si>
  <si>
    <t>Gewijzigd SO-bestand RNB G 2022-2026; tabblad 'Volumes TD 2015-2020', rij 23</t>
  </si>
  <si>
    <t>Gewijzigd SO-bestand RNB G 2022-2026; tabblad 'Volumes TD 2015-2020', rij 24</t>
  </si>
  <si>
    <t>Gewijzigd SO-bestand RNB G 2022-2026; tabblad 'Volumes TD 2015-2020', rij 25</t>
  </si>
  <si>
    <t>Gewijzigd SO-bestand RNB G 2022-2026; tabblad 'Volumes TD 2015-2020', rij 26</t>
  </si>
  <si>
    <t>Gewijzigd SO-bestand RNB G 2022-2026; tabblad 'Volumes TD 2015-2020', rij 27</t>
  </si>
  <si>
    <t>Gewijzigd SO-bestand RNB G 2022-2026; tabblad 'Volumes TD 2015-2020', rij 30</t>
  </si>
  <si>
    <t>Gewijzigd SO-bestand RNB G 2022-2026; tabblad 'Volumes TD 2015-2020', rij 31</t>
  </si>
  <si>
    <t>Gewijzigd SO-bestand RNB G 2022-2026; tabblad 'Volumes TD 2015-2020', rij 32</t>
  </si>
  <si>
    <t>Gewijzigd SO-bestand RNB G 2022-2026; tabblad 'Volumes TD 2015-2020', rij 33</t>
  </si>
  <si>
    <t>Gewijzigd SO-bestand RNB G 2022-2026; tabblad 'Volumes TD 2015-2020', rij 34</t>
  </si>
  <si>
    <t>EUR, pp 2023</t>
  </si>
  <si>
    <t>Gewijzigd SO-bestand RNB G 2022-2026; tabblad 'SO voor maatstaf', rij 370</t>
  </si>
  <si>
    <t>Gewijzigd SO-bestand RNB G 2022-2026; tabblad 'SO voor maatstaf', rij 371</t>
  </si>
  <si>
    <t>Gewijzigd SO-bestand RNB G 2022-2026; tabblad 'SO voor maatstaf', rij 374</t>
  </si>
  <si>
    <t>Gewijzigd SO-bestand RNB G 2022-2026; tabblad 'SO voor maatstaf', rij 375</t>
  </si>
  <si>
    <t>Gewijzigd SO-bestand RNB G 2022-2026; tabblad 'SO voor maatstaf', rij 378</t>
  </si>
  <si>
    <t>Gewijzigd SO-bestand RNB G 2022-2026; tabblad 'SO voor maatstaf', rij 379</t>
  </si>
  <si>
    <t>Gewijzigd SO-bestand RNB G 2022-2026; tabblad 'SO voor maatstaf', rij 382</t>
  </si>
  <si>
    <t>Gewijzigd SO-bestand RNB G 2022-2026; tabblad 'SO voor maatstaf', rij 383</t>
  </si>
  <si>
    <t>Gewijzigd SO-bestand RNB G 2022-2026; tabblad 'SO voor maatstaf', rij 384</t>
  </si>
  <si>
    <t>Gewijzigd SO-bestand RNB G 2022-2026; tabblad 'SO voor maatstaf', rij 386</t>
  </si>
  <si>
    <t>Gewijzigd SO-bestand RNB G 2022-2026; tabblad '(reken)volumes TD', rij 356</t>
  </si>
  <si>
    <t>Gewijzigd SO-bestand RNB G 2022-2026; tabblad '(reken)volumes TD', rij 357</t>
  </si>
  <si>
    <t>Gewijzigd SO-bestand RNB G 2022-2026; tabblad '(reken)volumes TD', rij 360</t>
  </si>
  <si>
    <t>Gewijzigd SO-bestand RNB G 2022-2026; tabblad '(reken)volumes TD', rij 361</t>
  </si>
  <si>
    <t>Gewijzigd SO-bestand RNB G 2022-2026; tabblad '(reken)volumes TD', rij 364</t>
  </si>
  <si>
    <t>Gewijzigd SO-bestand RNB G 2022-2026; tabblad '(reken)volumes TD', rij 365</t>
  </si>
  <si>
    <t>Gewijzigd SO-bestand RNB G 2022-2026; tabblad '(reken)volumes TD', rij 366</t>
  </si>
  <si>
    <t>Gewijzigd SO-bestand RNB G 2022-2026; tabblad '(reken)volumes TD', rij 367</t>
  </si>
  <si>
    <t>Gewijzigd SO-bestand RNB G 2022-2026; tabblad '(reken)volumes TD', rij 368</t>
  </si>
  <si>
    <t>Gewijzigd SO-bestand RNB G 2022-2026; tabblad 'Rekenvolumes invoeding', rij 252</t>
  </si>
  <si>
    <t>Gewijzigd SO-bestand RNB G 2022-2026; tabblad 'Rekenvolumes invoeding', rij 253</t>
  </si>
  <si>
    <t>Gewijzigd SO-bestand RNB G 2022-2026; tabblad 'Rekenvolumes invoeding', rij 254</t>
  </si>
  <si>
    <t>Volumes TD 2023</t>
  </si>
  <si>
    <t>Volumes invoeding 2023</t>
  </si>
  <si>
    <t>Aggregatie volumes TD 2023</t>
  </si>
  <si>
    <t>Gewijzigd SO-bestand RNB G 2022-2026; tabblad 'Berekening wegingsfactoren', rij 611</t>
  </si>
  <si>
    <t>Gewijzigd SO-bestand RNB G 2022-2026; tabblad 'Berekening wegingsfactoren', rij 612</t>
  </si>
  <si>
    <t>Gewijzigd SO-bestand RNB G 2022-2026; tabblad 'Berekening wegingsfactoren', rij 617</t>
  </si>
  <si>
    <t>Gewijzigd SO-bestand RNB G 2022-2026; tabblad 'Berekening wegingsfactoren', rij 618</t>
  </si>
  <si>
    <t>Gewijzigd SO-bestand RNB G 2022-2026; tabblad 'Berekening wegingsfactoren', rij 619</t>
  </si>
  <si>
    <t>Wegingsfactoren 2022-2026</t>
  </si>
  <si>
    <t>Wegingsfactoren REG2022</t>
  </si>
  <si>
    <t>X-factor voor de periode 2022-2026 (afgerond)</t>
  </si>
  <si>
    <t>X-factoren en CPI</t>
  </si>
  <si>
    <t>cpi 2022</t>
  </si>
  <si>
    <t>cpi 2023</t>
  </si>
  <si>
    <t>Transportdienst + Aansluitdienst</t>
  </si>
  <si>
    <t xml:space="preserve">Begininkomsten </t>
  </si>
  <si>
    <t>EUR, pp 2021</t>
  </si>
  <si>
    <t>Eindinkomsten</t>
  </si>
  <si>
    <t>EUR, pp 2026</t>
  </si>
  <si>
    <t>X-factor berekening</t>
  </si>
  <si>
    <t>X-factor voor de periode 2022-2026 (onafgerond)</t>
  </si>
  <si>
    <t>CPI</t>
  </si>
  <si>
    <t>Inschatting van CPI 2022-2026 (afgerond)</t>
  </si>
  <si>
    <t>Gewijzigde x-factorberekening RNB G 2022-2026; tabblad '13) X-factor &amp; tariefruimte', rij 25</t>
  </si>
  <si>
    <t>Gewijzigde x-factorberekening RNB G 2022-2026; tabblad '13) X-factor &amp; tariefruimte', rij 36</t>
  </si>
  <si>
    <t>Gewijzigde x-factorberekening RNB G 2022-2026; tabblad '13) X-factor &amp; tariefruimte', rij 37</t>
  </si>
  <si>
    <t>Gewijzigde x-factorberekening RNB G 2022-2026; tabblad '13) X-factor &amp; tariefruimte', rij 40</t>
  </si>
  <si>
    <t>Gewijzigde x-factorberekening RNB G 2022-2026; tabblad '13) X-factor &amp; tariefruimte', rij 41</t>
  </si>
  <si>
    <t>X-factor &amp; CPI</t>
  </si>
  <si>
    <t>Aggregatie volumes invoeding 2023</t>
  </si>
  <si>
    <t>In dit tabblad worden de wegingsfactoren opgehaald uit het gewijzigd SO bestand. Daarnaast worden de X-factoren en inflatiecijfers opgehaald waarmee nieuwe wegingsfactoren worden berekend.</t>
  </si>
  <si>
    <t>Ophalen wegingsfactoren</t>
  </si>
  <si>
    <t>Gerealiseerde volumes TD 2023</t>
  </si>
  <si>
    <t>Op dit tabblad worden de gerealiseerde volumes voor de transportdienst uit 2023 opgehaald.</t>
  </si>
  <si>
    <t>Volumes transportdienst 2023</t>
  </si>
  <si>
    <t>Samengestelde output REG 2022</t>
  </si>
  <si>
    <t>De rekenvolumes zijn nodig om te bepalen wat de groei van invoeding is in 2023 ten opzichte van de rekenvolumes gehanteerd in REG2022.</t>
  </si>
  <si>
    <t>De gerealiseerde volumes zijn nodig om te bepalen wat de groei in invoeding is in 2023 ten opzichte van de gehanteerde rekenvolumes.</t>
  </si>
  <si>
    <t>Gerealiseerde volumes invoeding 2023</t>
  </si>
  <si>
    <t>Volumes overstort GTS 2023</t>
  </si>
  <si>
    <t>Op dit tabblad worden de 'rolling-forward' wegingsfactoren per categorie bepaald. Deze zijn de wegingsfactoren uit het methodebesluit, die zijn aangepast naar prijspeil en efficiëntieniveau 2023.</t>
  </si>
  <si>
    <t>Op dit tabblad wordt berekend wat de ontwikkeling van de transportafhankelijke volumes is ten opzichte van rekenvolumes. Het verschil tussen de volumes in 2023 en de rekenvolumes wordt vermenigvuldigd met de rolling-forward wegingsfactor. Dit resulteert in het verschil tussen de efficiënte kosten van het transportafhankelijke deel van de transportdienst op basis van rekenvolumes en de efficiënte kosten van het transportafhankelijke deel van de transportdienst op basis van gerealiseerde volumes.</t>
  </si>
  <si>
    <t>Ophalen gerealiseerde volumes TD 2023</t>
  </si>
  <si>
    <t>Ophalen aangepaste wegingsfactoren transportdienst 2023</t>
  </si>
  <si>
    <t>In dit bestand berekent de ACM de nacalculatie invoeding gas 2023, die onderdeel uitmaakt van de berekening van de Totale Inkomsten (TI) voor het jaar 2025 voor de regionale netbeheerders gas.</t>
  </si>
  <si>
    <t>Reguleringsdata 2023, tabel 4A</t>
  </si>
  <si>
    <t>Reguleringsdata 2023, tabel 4B</t>
  </si>
  <si>
    <t>Berekening input nacalculatie invoeding 2023 regionale netbeheerders gas</t>
  </si>
  <si>
    <t>Reguleringsdata 2023</t>
  </si>
  <si>
    <t xml:space="preserve">StatLine </t>
  </si>
  <si>
    <t>https://opendata.cbs.nl/#/CBS/nl/dataset/70936ned/table?ts=1631782812900</t>
  </si>
  <si>
    <t>RNB-G - TI-berekening 2023</t>
  </si>
  <si>
    <t>StatLine</t>
  </si>
  <si>
    <t>Gewijzigde x-factorberekening RNB G 2022-2026</t>
  </si>
  <si>
    <t>Berekening totale inkomsten 2023 regionale netbeheerders gas</t>
  </si>
  <si>
    <t>Berekening totale inkomsten 2023 regionaal netbeheer gas | ACM.nl</t>
  </si>
  <si>
    <t>Gewijzigde x-factorberekening regional enetbeheerders gas 2022-2026 (29-03-2024)</t>
  </si>
  <si>
    <t>Berekening x-factor bij gewijzigde x-factorbesluiten gas 2022-2026 | ACM.nl</t>
  </si>
  <si>
    <t>Gewijzigd SO-bestand RNB-G 2022-2026</t>
  </si>
  <si>
    <t>Gewijzigd so bestand regionale netbeheerders gas 2022-2026</t>
  </si>
  <si>
    <t>Gewijzigd SO-bestand RNB G 2022-2026; tabblad 'Berekening wegingsfactoren', rij 603</t>
  </si>
  <si>
    <t>Gewijzigd SO-bestand RNB G 2022-2026; tabblad 'Berekening wegingsfactoren', rij 604</t>
  </si>
  <si>
    <t>Gewijzigd SO-bestand RNB G 2022-2026; tabblad 'Berekening wegingsfactoren', rij 607</t>
  </si>
  <si>
    <t>Gewijzigd SO-bestand RNB G 2022-2026; tabblad 'Berekening wegingsfactoren', rij 608</t>
  </si>
  <si>
    <t>Ja</t>
  </si>
  <si>
    <t>ACM/23/187178</t>
  </si>
  <si>
    <t>Tarievenbesluiten regionale netbeheerders gas 2025</t>
  </si>
  <si>
    <t>Berekening totale inkomsten 2025 regionale netbeheerders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</si>
</sst>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00_ ;_ * \-#,##0.00_ ;_ * &quot;-&quot;_ ;_ @_ "/>
    <numFmt numFmtId="165" formatCode="0.0%"/>
    <numFmt numFmtId="166" formatCode="_(* #,##0_);_(* \(#,##0\);_(* &quot;-&quot;_);_(@_)"/>
    <numFmt numFmtId="167" formatCode="&quot;£ &quot;#,##0;\-&quot;£ &quot;#,##0"/>
    <numFmt numFmtId="168" formatCode="_ * #,##0_ ;_ * \-#,##0_ ;_ * &quot;-&quot;??_ ;_ @_ "/>
    <numFmt numFmtId="169" formatCode="_-* #,##0.00_-;_-* #,##0.00\-;_-* &quot;-&quot;??_-;_-@_-"/>
    <numFmt numFmtId="170" formatCode="_([$€]* #,##0.00_);_([$€]* \(#,##0.00\);_([$€]* &quot;-&quot;??_);_(@_)"/>
    <numFmt numFmtId="171" formatCode="_-[$€]\ * #,##0.00_-;_-[$€]\ * #,##0.00\-;_-[$€]\ * &quot;-&quot;??_-;_-@_-"/>
    <numFmt numFmtId="172" formatCode="_ * #,##0.00000_ ;_ * \-#,##0.00000_ ;_ * &quot;-&quot;??_ ;_ @_ "/>
    <numFmt numFmtId="173" formatCode="_ * #,##0.0_ ;_ * \-#,##0.0_ ;_ * &quot;-&quot;_ ;_ @_ "/>
  </numFmts>
  <fonts count="78">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9"/>
      <name val="Arial"/>
      <family val="2"/>
    </font>
    <font>
      <sz val="10"/>
      <color indexed="8"/>
      <name val="MS Sans Serif"/>
      <family val="2"/>
    </font>
    <font>
      <sz val="12"/>
      <name val="Times New Roman"/>
      <family val="1"/>
    </font>
    <font>
      <sz val="10"/>
      <name val="DTLArgoT"/>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1"/>
      <color indexed="9"/>
      <name val="Calibri"/>
      <family val="2"/>
    </font>
    <font>
      <b/>
      <sz val="10"/>
      <color indexed="9"/>
      <name val="EYInterstate Light"/>
      <family val="2"/>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b/>
      <sz val="10"/>
      <color indexed="63"/>
      <name val="EYInterstate Light"/>
      <family val="2"/>
    </font>
    <font>
      <sz val="11"/>
      <name val="Essent Proforma"/>
    </font>
    <font>
      <b/>
      <sz val="18"/>
      <color indexed="56"/>
      <name val="Cambria"/>
      <family val="2"/>
    </font>
    <font>
      <b/>
      <sz val="11"/>
      <color indexed="8"/>
      <name val="Calibri"/>
      <family val="2"/>
    </font>
    <font>
      <sz val="11"/>
      <color indexed="10"/>
      <name val="Calibri"/>
      <family val="2"/>
    </font>
    <font>
      <b/>
      <sz val="10"/>
      <color indexed="52"/>
      <name val="EYInterstate Light"/>
      <family val="2"/>
    </font>
    <font>
      <b/>
      <sz val="11"/>
      <color indexed="63"/>
      <name val="Calibri"/>
      <family val="2"/>
    </font>
    <font>
      <b/>
      <sz val="10"/>
      <color indexed="8"/>
      <name val="EYInterstate Light"/>
      <family val="2"/>
    </font>
    <font>
      <sz val="10"/>
      <color indexed="10"/>
      <name val="EYInterstate Light"/>
      <family val="2"/>
    </font>
    <font>
      <sz val="8"/>
      <name val="Arial"/>
      <family val="2"/>
    </font>
    <font>
      <b/>
      <sz val="8"/>
      <color indexed="81"/>
      <name val="Tahoma"/>
      <family val="2"/>
    </font>
    <font>
      <i/>
      <sz val="10"/>
      <color rgb="FFFF0000"/>
      <name val="Arial"/>
      <family val="2"/>
    </font>
  </fonts>
  <fills count="7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C8D9"/>
        <bgColor rgb="FF000000"/>
      </patternFill>
    </fill>
    <fill>
      <patternFill patternType="solid">
        <fgColor theme="0"/>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s>
  <cellStyleXfs count="295">
    <xf numFmtId="0" fontId="0" fillId="0" borderId="0">
      <alignment vertical="top"/>
    </xf>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0" borderId="0">
      <alignment vertical="top"/>
    </xf>
    <xf numFmtId="49" fontId="12" fillId="5" borderId="1">
      <alignment vertical="top"/>
    </xf>
    <xf numFmtId="49" fontId="10" fillId="19" borderId="1">
      <alignment vertical="top"/>
    </xf>
    <xf numFmtId="49" fontId="10" fillId="0" borderId="0">
      <alignment vertical="top"/>
    </xf>
    <xf numFmtId="41" fontId="9" fillId="12" borderId="0">
      <alignment vertical="top"/>
    </xf>
    <xf numFmtId="41" fontId="9" fillId="11" borderId="0">
      <alignment vertical="top"/>
    </xf>
    <xf numFmtId="41" fontId="9" fillId="9" borderId="0">
      <alignment vertical="top"/>
    </xf>
    <xf numFmtId="41" fontId="9" fillId="46" borderId="0">
      <alignment vertical="top"/>
    </xf>
    <xf numFmtId="41" fontId="9" fillId="7" borderId="0">
      <alignment vertical="top"/>
    </xf>
    <xf numFmtId="41" fontId="9" fillId="13" borderId="0">
      <alignment vertical="top"/>
    </xf>
    <xf numFmtId="49" fontId="14" fillId="0" borderId="0">
      <alignment vertical="top"/>
    </xf>
    <xf numFmtId="49" fontId="13" fillId="0" borderId="0">
      <alignment vertical="top"/>
    </xf>
    <xf numFmtId="0" fontId="20" fillId="15" borderId="3" applyNumberFormat="0" applyAlignment="0" applyProtection="0"/>
    <xf numFmtId="0" fontId="21" fillId="16" borderId="4" applyNumberFormat="0" applyAlignment="0" applyProtection="0"/>
    <xf numFmtId="0" fontId="22" fillId="16" borderId="3" applyNumberFormat="0" applyAlignment="0" applyProtection="0"/>
    <xf numFmtId="0" fontId="23" fillId="0" borderId="5" applyNumberFormat="0" applyFill="0" applyAlignment="0" applyProtection="0"/>
    <xf numFmtId="0" fontId="17" fillId="17" borderId="6" applyNumberFormat="0" applyAlignment="0" applyProtection="0"/>
    <xf numFmtId="0" fontId="19" fillId="18" borderId="7" applyNumberFormat="0" applyFont="0" applyAlignment="0" applyProtection="0"/>
    <xf numFmtId="0" fontId="24" fillId="0" borderId="0" applyNumberForma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9" fontId="19" fillId="0" borderId="0" applyFon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8" fillId="0" borderId="9"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18" fillId="0" borderId="0" applyNumberFormat="0" applyFill="0" applyBorder="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32" fillId="43" borderId="0" applyNumberFormat="0" applyBorder="0" applyAlignment="0" applyProtection="0"/>
    <xf numFmtId="0" fontId="33" fillId="0" borderId="0" applyNumberFormat="0" applyFill="0" applyBorder="0" applyAlignment="0" applyProtection="0"/>
    <xf numFmtId="49" fontId="25" fillId="0" borderId="0" applyFill="0" applyBorder="0" applyAlignment="0" applyProtection="0"/>
    <xf numFmtId="43" fontId="9" fillId="44" borderId="0" applyNumberFormat="0">
      <alignment vertical="top"/>
    </xf>
    <xf numFmtId="43" fontId="9" fillId="11" borderId="0" applyFont="0" applyFill="0" applyBorder="0" applyAlignment="0" applyProtection="0">
      <alignment vertical="top"/>
    </xf>
    <xf numFmtId="10" fontId="9" fillId="0" borderId="0" applyFont="0" applyFill="0" applyBorder="0" applyAlignment="0" applyProtection="0">
      <alignment vertical="top"/>
    </xf>
    <xf numFmtId="41" fontId="9" fillId="45" borderId="0">
      <alignment vertical="top"/>
    </xf>
    <xf numFmtId="0" fontId="9" fillId="0" borderId="0" applyNumberFormat="0" applyFill="0" applyBorder="0" applyAlignment="0" applyProtection="0"/>
    <xf numFmtId="38" fontId="9" fillId="0" borderId="0" applyFont="0" applyFill="0" applyBorder="0" applyAlignment="0" applyProtection="0"/>
    <xf numFmtId="166" fontId="9" fillId="0" borderId="0" applyFont="0" applyFill="0" applyBorder="0" applyAlignment="0" applyProtection="0"/>
    <xf numFmtId="0" fontId="34" fillId="0" borderId="0">
      <alignment vertical="top"/>
    </xf>
    <xf numFmtId="0" fontId="34" fillId="0" borderId="0">
      <alignment vertical="top"/>
    </xf>
    <xf numFmtId="0" fontId="34" fillId="0" borderId="0">
      <alignment vertical="top"/>
    </xf>
    <xf numFmtId="43" fontId="9" fillId="46" borderId="0">
      <alignment vertical="top"/>
    </xf>
    <xf numFmtId="41" fontId="9" fillId="46" borderId="0">
      <alignment vertical="top"/>
    </xf>
    <xf numFmtId="43" fontId="9" fillId="45" borderId="0">
      <alignment vertical="top"/>
    </xf>
    <xf numFmtId="167" fontId="9" fillId="0" borderId="0"/>
    <xf numFmtId="168" fontId="9" fillId="6" borderId="0"/>
    <xf numFmtId="0" fontId="9" fillId="0" borderId="0"/>
    <xf numFmtId="9" fontId="4" fillId="0" borderId="0" applyFont="0" applyFill="0" applyBorder="0" applyAlignment="0" applyProtection="0"/>
    <xf numFmtId="0" fontId="9" fillId="0" borderId="0"/>
    <xf numFmtId="0" fontId="9" fillId="0" borderId="0"/>
    <xf numFmtId="0" fontId="9" fillId="0" borderId="0"/>
    <xf numFmtId="0" fontId="9" fillId="0" borderId="0"/>
    <xf numFmtId="0" fontId="36" fillId="0" borderId="0"/>
    <xf numFmtId="0" fontId="9" fillId="0" borderId="0"/>
    <xf numFmtId="0" fontId="37" fillId="0" borderId="0"/>
    <xf numFmtId="0" fontId="35" fillId="0" borderId="0"/>
    <xf numFmtId="0" fontId="9" fillId="0" borderId="0"/>
    <xf numFmtId="0" fontId="38"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4" fillId="21" borderId="0" applyNumberFormat="0" applyBorder="0" applyAlignment="0" applyProtection="0"/>
    <xf numFmtId="0" fontId="38"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4" fillId="25" borderId="0" applyNumberFormat="0" applyBorder="0" applyAlignment="0" applyProtection="0"/>
    <xf numFmtId="0" fontId="38"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4" fillId="29" borderId="0" applyNumberFormat="0" applyBorder="0" applyAlignment="0" applyProtection="0"/>
    <xf numFmtId="0" fontId="38"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4" fillId="33" borderId="0" applyNumberFormat="0" applyBorder="0" applyAlignment="0" applyProtection="0"/>
    <xf numFmtId="0" fontId="38"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4" fillId="37" borderId="0" applyNumberFormat="0" applyBorder="0" applyAlignment="0" applyProtection="0"/>
    <xf numFmtId="0" fontId="38"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 fillId="41" borderId="0" applyNumberFormat="0" applyBorder="0" applyAlignment="0" applyProtection="0"/>
    <xf numFmtId="0" fontId="38"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4" fillId="22" borderId="0" applyNumberFormat="0" applyBorder="0" applyAlignment="0" applyProtection="0"/>
    <xf numFmtId="0" fontId="38"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4" fillId="26" borderId="0" applyNumberFormat="0" applyBorder="0" applyAlignment="0" applyProtection="0"/>
    <xf numFmtId="0" fontId="38"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4" fillId="30" borderId="0" applyNumberFormat="0" applyBorder="0" applyAlignment="0" applyProtection="0"/>
    <xf numFmtId="0" fontId="38"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4" fillId="34" borderId="0" applyNumberFormat="0" applyBorder="0" applyAlignment="0" applyProtection="0"/>
    <xf numFmtId="0" fontId="38"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4" fillId="38" borderId="0" applyNumberFormat="0" applyBorder="0" applyAlignment="0" applyProtection="0"/>
    <xf numFmtId="0" fontId="38"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4" fillId="42" borderId="0" applyNumberFormat="0" applyBorder="0" applyAlignment="0" applyProtection="0"/>
    <xf numFmtId="0" fontId="40"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0"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0"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0"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0"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0"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0"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0" fillId="62" borderId="0" applyNumberFormat="0" applyBorder="0" applyAlignment="0" applyProtection="0"/>
    <xf numFmtId="0" fontId="41" fillId="62" borderId="0" applyNumberFormat="0" applyBorder="0" applyAlignment="0" applyProtection="0"/>
    <xf numFmtId="0" fontId="41" fillId="62" borderId="0" applyNumberFormat="0" applyBorder="0" applyAlignment="0" applyProtection="0"/>
    <xf numFmtId="0" fontId="40"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0"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0"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0" fillId="64" borderId="0" applyNumberFormat="0" applyBorder="0" applyAlignment="0" applyProtection="0"/>
    <xf numFmtId="0" fontId="41" fillId="64" borderId="0" applyNumberFormat="0" applyBorder="0" applyAlignment="0" applyProtection="0"/>
    <xf numFmtId="0" fontId="41" fillId="64" borderId="0" applyNumberFormat="0" applyBorder="0" applyAlignment="0" applyProtection="0"/>
    <xf numFmtId="0" fontId="43" fillId="48" borderId="0" applyNumberFormat="0" applyBorder="0" applyAlignment="0" applyProtection="0"/>
    <xf numFmtId="0" fontId="44" fillId="65" borderId="12" applyNumberFormat="0" applyAlignment="0" applyProtection="0"/>
    <xf numFmtId="0" fontId="44" fillId="65" borderId="12" applyNumberFormat="0" applyAlignment="0" applyProtection="0"/>
    <xf numFmtId="0" fontId="44" fillId="65" borderId="12" applyNumberFormat="0" applyAlignment="0" applyProtection="0"/>
    <xf numFmtId="0" fontId="46" fillId="66" borderId="13" applyNumberFormat="0" applyAlignment="0" applyProtection="0"/>
    <xf numFmtId="43" fontId="36" fillId="0" borderId="0" applyFont="0" applyFill="0" applyBorder="0" applyAlignment="0" applyProtection="0"/>
    <xf numFmtId="0" fontId="45" fillId="66" borderId="13" applyNumberFormat="0" applyAlignment="0" applyProtection="0"/>
    <xf numFmtId="170" fontId="9" fillId="0" borderId="0" applyFont="0" applyFill="0" applyBorder="0" applyAlignment="0" applyProtection="0"/>
    <xf numFmtId="170" fontId="9" fillId="0" borderId="0" applyFont="0" applyFill="0" applyBorder="0" applyAlignment="0" applyProtection="0"/>
    <xf numFmtId="171" fontId="9" fillId="0" borderId="0" applyFont="0" applyFill="0" applyBorder="0" applyAlignment="0" applyProtection="0"/>
    <xf numFmtId="0" fontId="48" fillId="0" borderId="0" applyNumberFormat="0" applyFill="0" applyBorder="0" applyAlignment="0" applyProtection="0"/>
    <xf numFmtId="0" fontId="49" fillId="0" borderId="14" applyNumberFormat="0" applyFill="0" applyAlignment="0" applyProtection="0"/>
    <xf numFmtId="0" fontId="50" fillId="49" borderId="0" applyNumberFormat="0" applyBorder="0" applyAlignment="0" applyProtection="0"/>
    <xf numFmtId="0" fontId="50" fillId="49" borderId="0" applyNumberFormat="0" applyBorder="0" applyAlignment="0" applyProtection="0"/>
    <xf numFmtId="0" fontId="51" fillId="49" borderId="0" applyNumberFormat="0" applyBorder="0" applyAlignment="0" applyProtection="0"/>
    <xf numFmtId="0" fontId="52" fillId="0" borderId="0"/>
    <xf numFmtId="0" fontId="54" fillId="0" borderId="15" applyNumberFormat="0" applyFill="0" applyAlignment="0" applyProtection="0"/>
    <xf numFmtId="0" fontId="56" fillId="0" borderId="16" applyNumberFormat="0" applyFill="0" applyAlignment="0" applyProtection="0"/>
    <xf numFmtId="0" fontId="58" fillId="0" borderId="17" applyNumberFormat="0" applyFill="0" applyAlignment="0" applyProtection="0"/>
    <xf numFmtId="0" fontId="58" fillId="0" borderId="0" applyNumberFormat="0" applyFill="0" applyBorder="0" applyAlignment="0" applyProtection="0"/>
    <xf numFmtId="0" fontId="60" fillId="52" borderId="12" applyNumberFormat="0" applyAlignment="0" applyProtection="0"/>
    <xf numFmtId="0" fontId="59" fillId="52" borderId="12" applyNumberFormat="0" applyAlignment="0" applyProtection="0"/>
    <xf numFmtId="0" fontId="59" fillId="52" borderId="12" applyNumberFormat="0" applyAlignment="0" applyProtection="0"/>
    <xf numFmtId="43" fontId="4"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6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9" fillId="0" borderId="0" applyFont="0" applyFill="0" applyBorder="0" applyAlignment="0" applyProtection="0"/>
    <xf numFmtId="43" fontId="4" fillId="0" borderId="0" applyFont="0" applyFill="0" applyBorder="0" applyAlignment="0" applyProtection="0"/>
    <xf numFmtId="169" fontId="9" fillId="0" borderId="0" applyFont="0" applyFill="0" applyBorder="0" applyAlignment="0" applyProtection="0"/>
    <xf numFmtId="0" fontId="53" fillId="0" borderId="15" applyNumberFormat="0" applyFill="0" applyAlignment="0" applyProtection="0"/>
    <xf numFmtId="0" fontId="55" fillId="0" borderId="16" applyNumberFormat="0" applyFill="0" applyAlignment="0" applyProtection="0"/>
    <xf numFmtId="0" fontId="57" fillId="0" borderId="17" applyNumberFormat="0" applyFill="0" applyAlignment="0" applyProtection="0"/>
    <xf numFmtId="0" fontId="57" fillId="0" borderId="0" applyNumberFormat="0" applyFill="0" applyBorder="0" applyAlignment="0" applyProtection="0"/>
    <xf numFmtId="0" fontId="49" fillId="0" borderId="14" applyNumberFormat="0" applyFill="0" applyAlignment="0" applyProtection="0"/>
    <xf numFmtId="0" fontId="62" fillId="0" borderId="14" applyNumberFormat="0" applyFill="0" applyAlignment="0" applyProtection="0"/>
    <xf numFmtId="0" fontId="63" fillId="67" borderId="0" applyNumberFormat="0" applyBorder="0" applyAlignment="0" applyProtection="0"/>
    <xf numFmtId="0" fontId="63" fillId="67" borderId="0" applyNumberFormat="0" applyBorder="0" applyAlignment="0" applyProtection="0"/>
    <xf numFmtId="0" fontId="64" fillId="67" borderId="0" applyNumberFormat="0" applyBorder="0" applyAlignment="0" applyProtection="0"/>
    <xf numFmtId="0" fontId="65" fillId="0" borderId="0"/>
    <xf numFmtId="0" fontId="36" fillId="0" borderId="0"/>
    <xf numFmtId="0" fontId="36" fillId="68" borderId="18" applyNumberFormat="0" applyFont="0" applyAlignment="0" applyProtection="0"/>
    <xf numFmtId="0" fontId="9" fillId="68" borderId="18" applyNumberFormat="0" applyFont="0" applyAlignment="0" applyProtection="0"/>
    <xf numFmtId="0" fontId="37" fillId="68" borderId="18" applyNumberFormat="0" applyFont="0" applyAlignment="0" applyProtection="0"/>
    <xf numFmtId="0" fontId="37" fillId="68" borderId="18" applyNumberFormat="0" applyFont="0" applyAlignment="0" applyProtection="0"/>
    <xf numFmtId="0" fontId="37" fillId="68" borderId="18" applyNumberFormat="0" applyFont="0" applyAlignment="0" applyProtection="0"/>
    <xf numFmtId="0" fontId="4" fillId="18" borderId="7" applyNumberFormat="0" applyFont="0" applyAlignment="0" applyProtection="0"/>
    <xf numFmtId="0" fontId="4" fillId="18" borderId="7" applyNumberFormat="0" applyFont="0" applyAlignment="0" applyProtection="0"/>
    <xf numFmtId="0" fontId="4" fillId="18" borderId="7" applyNumberFormat="0" applyFont="0" applyAlignment="0" applyProtection="0"/>
    <xf numFmtId="0" fontId="42" fillId="48" borderId="0" applyNumberFormat="0" applyBorder="0" applyAlignment="0" applyProtection="0"/>
    <xf numFmtId="0" fontId="66" fillId="65" borderId="19" applyNumberFormat="0" applyAlignment="0" applyProtection="0"/>
    <xf numFmtId="9" fontId="9" fillId="0" borderId="0" applyFont="0" applyFill="0" applyBorder="0" applyAlignment="0" applyProtection="0"/>
    <xf numFmtId="9" fontId="4" fillId="0" borderId="0" applyFont="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9" fillId="0" borderId="0"/>
    <xf numFmtId="0" fontId="9" fillId="0" borderId="0"/>
    <xf numFmtId="0" fontId="9" fillId="0" borderId="0"/>
    <xf numFmtId="0" fontId="4" fillId="0" borderId="0"/>
    <xf numFmtId="0" fontId="9" fillId="0" borderId="0"/>
    <xf numFmtId="0" fontId="4" fillId="0" borderId="0"/>
    <xf numFmtId="0" fontId="9" fillId="0" borderId="0"/>
    <xf numFmtId="0" fontId="34" fillId="0" borderId="0"/>
    <xf numFmtId="0" fontId="67" fillId="0" borderId="0"/>
    <xf numFmtId="0" fontId="4" fillId="0" borderId="0"/>
    <xf numFmtId="0" fontId="9" fillId="0" borderId="0" applyFill="0"/>
    <xf numFmtId="0" fontId="9" fillId="0" borderId="0"/>
    <xf numFmtId="0" fontId="9" fillId="0" borderId="0"/>
    <xf numFmtId="0" fontId="4" fillId="0" borderId="0"/>
    <xf numFmtId="0" fontId="61" fillId="0" borderId="0"/>
    <xf numFmtId="0" fontId="9" fillId="0" borderId="0"/>
    <xf numFmtId="0" fontId="9" fillId="0" borderId="0"/>
    <xf numFmtId="0" fontId="4" fillId="0" borderId="0"/>
    <xf numFmtId="0" fontId="4" fillId="0" borderId="0"/>
    <xf numFmtId="0" fontId="4" fillId="0" borderId="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47" fillId="0" borderId="0" applyNumberFormat="0" applyFill="0" applyBorder="0" applyAlignment="0" applyProtection="0"/>
    <xf numFmtId="0" fontId="70" fillId="0" borderId="0" applyNumberFormat="0" applyFill="0" applyBorder="0" applyAlignment="0" applyProtection="0"/>
    <xf numFmtId="0" fontId="3" fillId="0" borderId="0"/>
    <xf numFmtId="0" fontId="42" fillId="48" borderId="0" applyNumberFormat="0" applyBorder="0" applyAlignment="0" applyProtection="0"/>
    <xf numFmtId="0" fontId="71" fillId="65" borderId="12" applyNumberFormat="0" applyAlignment="0" applyProtection="0"/>
    <xf numFmtId="0" fontId="45" fillId="66" borderId="13" applyNumberFormat="0" applyAlignment="0" applyProtection="0"/>
    <xf numFmtId="43" fontId="3" fillId="0" borderId="0" applyFont="0" applyFill="0" applyBorder="0" applyAlignment="0" applyProtection="0"/>
    <xf numFmtId="0" fontId="47" fillId="0" borderId="0" applyNumberFormat="0" applyFill="0" applyBorder="0" applyAlignment="0" applyProtection="0"/>
    <xf numFmtId="0" fontId="53" fillId="0" borderId="15" applyNumberFormat="0" applyFill="0" applyAlignment="0" applyProtection="0"/>
    <xf numFmtId="0" fontId="55" fillId="0" borderId="16" applyNumberFormat="0" applyFill="0" applyAlignment="0" applyProtection="0"/>
    <xf numFmtId="0" fontId="57" fillId="0" borderId="17" applyNumberFormat="0" applyFill="0" applyAlignment="0" applyProtection="0"/>
    <xf numFmtId="0" fontId="57" fillId="0" borderId="0" applyNumberFormat="0" applyFill="0" applyBorder="0" applyAlignment="0" applyProtection="0"/>
    <xf numFmtId="0" fontId="59" fillId="52" borderId="12" applyNumberFormat="0" applyAlignment="0" applyProtection="0"/>
    <xf numFmtId="169" fontId="9" fillId="0" borderId="0" applyFont="0" applyFill="0" applyBorder="0" applyAlignment="0" applyProtection="0"/>
    <xf numFmtId="0" fontId="9" fillId="68" borderId="18" applyNumberFormat="0" applyFont="0" applyAlignment="0" applyProtection="0"/>
    <xf numFmtId="0" fontId="72" fillId="65" borderId="19" applyNumberFormat="0" applyAlignment="0" applyProtection="0"/>
    <xf numFmtId="0" fontId="9" fillId="0" borderId="0"/>
    <xf numFmtId="0" fontId="73" fillId="0" borderId="20" applyNumberFormat="0" applyFill="0" applyAlignment="0" applyProtection="0"/>
    <xf numFmtId="0" fontId="72" fillId="65" borderId="19" applyNumberFormat="0" applyAlignment="0" applyProtection="0"/>
    <xf numFmtId="0" fontId="72" fillId="65" borderId="19" applyNumberFormat="0" applyAlignment="0" applyProtection="0"/>
    <xf numFmtId="0" fontId="72" fillId="65" borderId="19" applyNumberFormat="0" applyAlignment="0" applyProtection="0"/>
    <xf numFmtId="44" fontId="9" fillId="0" borderId="0" applyFont="0" applyFill="0" applyBorder="0" applyAlignment="0" applyProtection="0"/>
    <xf numFmtId="0" fontId="70" fillId="0" borderId="0" applyNumberFormat="0" applyFill="0" applyBorder="0" applyAlignment="0" applyProtection="0"/>
    <xf numFmtId="0" fontId="74" fillId="0" borderId="0" applyNumberFormat="0" applyFill="0" applyBorder="0" applyAlignment="0" applyProtection="0"/>
    <xf numFmtId="0" fontId="75" fillId="0" borderId="0" applyNumberFormat="0" applyFont="0" applyBorder="0" applyAlignment="0" applyProtection="0"/>
    <xf numFmtId="0" fontId="2" fillId="0" borderId="0"/>
    <xf numFmtId="9" fontId="1" fillId="0" borderId="0" applyFont="0" applyFill="0" applyBorder="0" applyAlignment="0" applyProtection="0"/>
    <xf numFmtId="49" fontId="12" fillId="5" borderId="21">
      <alignment vertical="top"/>
    </xf>
    <xf numFmtId="49" fontId="10" fillId="19" borderId="21">
      <alignment vertical="top"/>
    </xf>
    <xf numFmtId="0" fontId="24" fillId="0" borderId="0" applyNumberFormat="0" applyFill="0" applyBorder="0" applyAlignment="0" applyProtection="0"/>
  </cellStyleXfs>
  <cellXfs count="103">
    <xf numFmtId="0" fontId="0" fillId="0" borderId="0" xfId="0">
      <alignment vertical="top"/>
    </xf>
    <xf numFmtId="43" fontId="9" fillId="0" borderId="0" xfId="4" applyNumberFormat="1">
      <alignment vertical="top"/>
    </xf>
    <xf numFmtId="41" fontId="9" fillId="0" borderId="0" xfId="64" applyNumberFormat="1">
      <alignment vertical="top"/>
    </xf>
    <xf numFmtId="0" fontId="10" fillId="0" borderId="0" xfId="4" applyFont="1">
      <alignment vertical="top"/>
    </xf>
    <xf numFmtId="0" fontId="9" fillId="0" borderId="0" xfId="4">
      <alignment vertical="top"/>
    </xf>
    <xf numFmtId="0" fontId="11" fillId="0" borderId="0" xfId="4" applyFont="1">
      <alignment vertical="top"/>
    </xf>
    <xf numFmtId="0" fontId="13" fillId="0" borderId="0" xfId="4" applyFont="1">
      <alignment vertical="top"/>
    </xf>
    <xf numFmtId="0" fontId="14" fillId="0" borderId="0" xfId="4" applyFont="1">
      <alignment vertical="top"/>
    </xf>
    <xf numFmtId="0" fontId="9" fillId="0" borderId="2" xfId="4" applyBorder="1">
      <alignment vertical="top"/>
    </xf>
    <xf numFmtId="49" fontId="12" fillId="5" borderId="1" xfId="5">
      <alignment vertical="top"/>
    </xf>
    <xf numFmtId="49" fontId="10" fillId="19" borderId="1" xfId="6">
      <alignment vertical="top"/>
    </xf>
    <xf numFmtId="0" fontId="11" fillId="0" borderId="2" xfId="4" applyFont="1" applyBorder="1" applyAlignment="1">
      <alignment horizontal="left" vertical="top" wrapText="1"/>
    </xf>
    <xf numFmtId="0" fontId="9" fillId="0" borderId="2" xfId="4" applyBorder="1" applyAlignment="1">
      <alignment horizontal="left" vertical="top" wrapText="1"/>
    </xf>
    <xf numFmtId="0" fontId="9" fillId="6" borderId="0" xfId="4" applyFill="1">
      <alignment vertical="top"/>
    </xf>
    <xf numFmtId="2" fontId="9" fillId="10" borderId="0" xfId="4" applyNumberFormat="1" applyFill="1">
      <alignment vertical="top"/>
    </xf>
    <xf numFmtId="1" fontId="9" fillId="0" borderId="0" xfId="4" applyNumberFormat="1">
      <alignment vertical="top"/>
    </xf>
    <xf numFmtId="1" fontId="13" fillId="0" borderId="0" xfId="4" applyNumberFormat="1" applyFont="1">
      <alignment vertical="top"/>
    </xf>
    <xf numFmtId="0" fontId="16" fillId="0" borderId="0" xfId="4" applyFont="1">
      <alignment vertical="top"/>
    </xf>
    <xf numFmtId="49" fontId="11" fillId="19" borderId="2" xfId="6" applyFont="1" applyBorder="1">
      <alignment vertical="top"/>
    </xf>
    <xf numFmtId="0" fontId="12" fillId="5" borderId="1" xfId="5" applyNumberFormat="1">
      <alignment vertical="top"/>
    </xf>
    <xf numFmtId="0" fontId="18" fillId="0" borderId="0" xfId="4" applyFont="1">
      <alignment vertical="top"/>
    </xf>
    <xf numFmtId="0" fontId="11" fillId="8" borderId="0" xfId="4" applyFont="1" applyFill="1">
      <alignment vertical="top"/>
    </xf>
    <xf numFmtId="0" fontId="9" fillId="14" borderId="0" xfId="4" applyFill="1">
      <alignment vertical="top"/>
    </xf>
    <xf numFmtId="49" fontId="11" fillId="19" borderId="0" xfId="6" applyFont="1" applyBorder="1">
      <alignment vertical="top"/>
    </xf>
    <xf numFmtId="49" fontId="9" fillId="19" borderId="2" xfId="6" applyFont="1" applyBorder="1">
      <alignment vertical="top"/>
    </xf>
    <xf numFmtId="0" fontId="11" fillId="0" borderId="0" xfId="4" applyFont="1" applyAlignment="1">
      <alignment horizontal="left" vertical="top" wrapText="1"/>
    </xf>
    <xf numFmtId="49" fontId="10" fillId="0" borderId="0" xfId="7">
      <alignment vertical="top"/>
    </xf>
    <xf numFmtId="49" fontId="13" fillId="0" borderId="0" xfId="15">
      <alignment vertical="top"/>
    </xf>
    <xf numFmtId="41" fontId="9" fillId="12" borderId="0" xfId="8">
      <alignment vertical="top"/>
    </xf>
    <xf numFmtId="0" fontId="11" fillId="11" borderId="0" xfId="4" applyFont="1" applyFill="1">
      <alignment vertical="top"/>
    </xf>
    <xf numFmtId="41" fontId="9" fillId="9" borderId="0" xfId="10">
      <alignment vertical="top"/>
    </xf>
    <xf numFmtId="41" fontId="9" fillId="46" borderId="0" xfId="11">
      <alignment vertical="top"/>
    </xf>
    <xf numFmtId="41" fontId="9" fillId="46" borderId="2" xfId="11" applyBorder="1">
      <alignment vertical="top"/>
    </xf>
    <xf numFmtId="43" fontId="16" fillId="0" borderId="0" xfId="63" applyFont="1" applyFill="1">
      <alignment vertical="top"/>
    </xf>
    <xf numFmtId="10" fontId="9" fillId="0" borderId="0" xfId="64">
      <alignment vertical="top"/>
    </xf>
    <xf numFmtId="41" fontId="9" fillId="45" borderId="0" xfId="65">
      <alignment vertical="top"/>
    </xf>
    <xf numFmtId="41" fontId="9" fillId="13" borderId="0" xfId="13">
      <alignment vertical="top"/>
    </xf>
    <xf numFmtId="41" fontId="9" fillId="11" borderId="0" xfId="9">
      <alignment vertical="top"/>
    </xf>
    <xf numFmtId="41" fontId="9" fillId="0" borderId="0" xfId="11" applyFill="1">
      <alignment vertical="top"/>
    </xf>
    <xf numFmtId="0" fontId="5" fillId="0" borderId="0" xfId="0" applyFont="1" applyAlignment="1"/>
    <xf numFmtId="0" fontId="31" fillId="0" borderId="0" xfId="0" applyFont="1" applyAlignment="1"/>
    <xf numFmtId="168" fontId="5" fillId="0" borderId="0" xfId="63" applyNumberFormat="1" applyFont="1" applyFill="1" applyAlignment="1"/>
    <xf numFmtId="0" fontId="0" fillId="0" borderId="0" xfId="0" applyAlignment="1"/>
    <xf numFmtId="10" fontId="9" fillId="11" borderId="0" xfId="64" applyFill="1">
      <alignment vertical="top"/>
    </xf>
    <xf numFmtId="0" fontId="9" fillId="0" borderId="2" xfId="4" applyBorder="1" applyAlignment="1">
      <alignment vertical="top" wrapText="1"/>
    </xf>
    <xf numFmtId="49" fontId="17" fillId="5" borderId="1" xfId="5" applyFont="1">
      <alignment vertical="top"/>
    </xf>
    <xf numFmtId="49" fontId="25" fillId="0" borderId="2" xfId="61" applyBorder="1" applyAlignment="1">
      <alignment vertical="top" wrapText="1"/>
    </xf>
    <xf numFmtId="10" fontId="9" fillId="0" borderId="0" xfId="4" applyNumberFormat="1">
      <alignment vertical="top"/>
    </xf>
    <xf numFmtId="10" fontId="9" fillId="0" borderId="0" xfId="64" applyFill="1">
      <alignment vertical="top"/>
    </xf>
    <xf numFmtId="0" fontId="5" fillId="0" borderId="0" xfId="0" applyFont="1">
      <alignment vertical="top"/>
    </xf>
    <xf numFmtId="0" fontId="31" fillId="0" borderId="0" xfId="0" applyFont="1">
      <alignment vertical="top"/>
    </xf>
    <xf numFmtId="0" fontId="10" fillId="0" borderId="0" xfId="0" applyFont="1">
      <alignment vertical="top"/>
    </xf>
    <xf numFmtId="172" fontId="5" fillId="0" borderId="0" xfId="0" applyNumberFormat="1" applyFont="1">
      <alignment vertical="top"/>
    </xf>
    <xf numFmtId="49" fontId="10" fillId="69" borderId="21" xfId="6" applyFill="1" applyBorder="1">
      <alignment vertical="top"/>
    </xf>
    <xf numFmtId="2" fontId="5" fillId="11" borderId="0" xfId="0" applyNumberFormat="1" applyFont="1" applyFill="1">
      <alignment vertical="top"/>
    </xf>
    <xf numFmtId="0" fontId="12" fillId="5" borderId="21" xfId="292" applyNumberFormat="1">
      <alignment vertical="top"/>
    </xf>
    <xf numFmtId="49" fontId="10" fillId="19" borderId="21" xfId="293">
      <alignment vertical="top"/>
    </xf>
    <xf numFmtId="0" fontId="5" fillId="0" borderId="1" xfId="0" applyFont="1" applyBorder="1">
      <alignment vertical="top"/>
    </xf>
    <xf numFmtId="41" fontId="9" fillId="7" borderId="0" xfId="12">
      <alignment vertical="top"/>
    </xf>
    <xf numFmtId="41" fontId="9" fillId="46" borderId="0" xfId="9" applyFill="1">
      <alignment vertical="top"/>
    </xf>
    <xf numFmtId="41" fontId="9" fillId="46" borderId="0" xfId="13" applyFill="1">
      <alignment vertical="top"/>
    </xf>
    <xf numFmtId="41" fontId="9" fillId="46" borderId="0" xfId="10" applyFill="1">
      <alignment vertical="top"/>
    </xf>
    <xf numFmtId="0" fontId="77" fillId="0" borderId="0" xfId="4" applyFont="1">
      <alignment vertical="top"/>
    </xf>
    <xf numFmtId="0" fontId="9" fillId="0" borderId="0" xfId="4" quotePrefix="1">
      <alignment vertical="top"/>
    </xf>
    <xf numFmtId="173" fontId="9" fillId="46" borderId="0" xfId="11" applyNumberFormat="1">
      <alignment vertical="top"/>
    </xf>
    <xf numFmtId="49" fontId="14" fillId="0" borderId="0" xfId="14">
      <alignment vertical="top"/>
    </xf>
    <xf numFmtId="49" fontId="9" fillId="0" borderId="0" xfId="7" applyFont="1">
      <alignment vertical="top"/>
    </xf>
    <xf numFmtId="41" fontId="5" fillId="13" borderId="0" xfId="0" applyNumberFormat="1" applyFont="1" applyFill="1">
      <alignment vertical="top"/>
    </xf>
    <xf numFmtId="41" fontId="9" fillId="0" borderId="0" xfId="4" applyNumberFormat="1">
      <alignment vertical="top"/>
    </xf>
    <xf numFmtId="41" fontId="9" fillId="13" borderId="0" xfId="4" applyNumberFormat="1" applyFill="1">
      <alignment vertical="top"/>
    </xf>
    <xf numFmtId="41" fontId="9" fillId="11" borderId="0" xfId="4" applyNumberFormat="1" applyFill="1">
      <alignment vertical="top"/>
    </xf>
    <xf numFmtId="41" fontId="5" fillId="11" borderId="0" xfId="0" applyNumberFormat="1" applyFont="1" applyFill="1">
      <alignment vertical="top"/>
    </xf>
    <xf numFmtId="0" fontId="0" fillId="13" borderId="0" xfId="0" applyFill="1">
      <alignment vertical="top"/>
    </xf>
    <xf numFmtId="41" fontId="0" fillId="0" borderId="0" xfId="0" applyNumberFormat="1">
      <alignment vertical="top"/>
    </xf>
    <xf numFmtId="41" fontId="0" fillId="11" borderId="0" xfId="0" applyNumberFormat="1" applyFill="1">
      <alignment vertical="top"/>
    </xf>
    <xf numFmtId="41" fontId="0" fillId="13" borderId="0" xfId="0" applyNumberFormat="1" applyFill="1">
      <alignment vertical="top"/>
    </xf>
    <xf numFmtId="2" fontId="5" fillId="13" borderId="0" xfId="0" applyNumberFormat="1" applyFont="1" applyFill="1">
      <alignment vertical="top"/>
    </xf>
    <xf numFmtId="41" fontId="9" fillId="46" borderId="0" xfId="8" applyFill="1">
      <alignment vertical="top"/>
    </xf>
    <xf numFmtId="41" fontId="9" fillId="13" borderId="0" xfId="4" applyNumberFormat="1" applyFill="1" applyAlignment="1">
      <alignment horizontal="center" vertical="top"/>
    </xf>
    <xf numFmtId="168" fontId="9" fillId="46" borderId="0" xfId="72" applyNumberFormat="1">
      <alignment vertical="top"/>
    </xf>
    <xf numFmtId="41" fontId="9" fillId="46" borderId="0" xfId="73">
      <alignment vertical="top"/>
    </xf>
    <xf numFmtId="1" fontId="9" fillId="46" borderId="0" xfId="13" applyNumberFormat="1" applyFill="1">
      <alignment vertical="top"/>
    </xf>
    <xf numFmtId="1" fontId="9" fillId="46" borderId="0" xfId="9" applyNumberFormat="1" applyFill="1">
      <alignment vertical="top"/>
    </xf>
    <xf numFmtId="165" fontId="9" fillId="46" borderId="0" xfId="64" applyNumberFormat="1" applyFill="1">
      <alignment vertical="top"/>
    </xf>
    <xf numFmtId="168" fontId="5" fillId="0" borderId="0" xfId="0" applyNumberFormat="1" applyFont="1" applyAlignment="1"/>
    <xf numFmtId="2" fontId="9" fillId="11" borderId="0" xfId="8" applyNumberFormat="1" applyFill="1">
      <alignment vertical="top"/>
    </xf>
    <xf numFmtId="10" fontId="9" fillId="13" borderId="0" xfId="64" applyFill="1">
      <alignment vertical="top"/>
    </xf>
    <xf numFmtId="10" fontId="9" fillId="46" borderId="0" xfId="64" applyFill="1">
      <alignment vertical="top"/>
    </xf>
    <xf numFmtId="2" fontId="9" fillId="46" borderId="0" xfId="8" applyNumberFormat="1" applyFill="1">
      <alignment vertical="top"/>
    </xf>
    <xf numFmtId="2" fontId="9" fillId="46" borderId="0" xfId="4" applyNumberFormat="1" applyFill="1">
      <alignment vertical="top"/>
    </xf>
    <xf numFmtId="2" fontId="9" fillId="11" borderId="0" xfId="4" applyNumberFormat="1" applyFill="1">
      <alignment vertical="top"/>
    </xf>
    <xf numFmtId="2" fontId="9" fillId="13" borderId="0" xfId="4" applyNumberFormat="1" applyFill="1">
      <alignment vertical="top"/>
    </xf>
    <xf numFmtId="0" fontId="10" fillId="0" borderId="0" xfId="4" applyFont="1" applyFill="1">
      <alignment vertical="top"/>
    </xf>
    <xf numFmtId="49" fontId="12" fillId="5" borderId="21" xfId="292">
      <alignment vertical="top"/>
    </xf>
    <xf numFmtId="0" fontId="9" fillId="70" borderId="2" xfId="4" applyFill="1" applyBorder="1" applyAlignment="1">
      <alignment horizontal="left" vertical="top" wrapText="1"/>
    </xf>
    <xf numFmtId="49" fontId="25" fillId="0" borderId="2" xfId="61" applyFill="1" applyBorder="1" applyAlignment="1">
      <alignment vertical="top" wrapText="1"/>
    </xf>
    <xf numFmtId="0" fontId="9" fillId="0" borderId="0" xfId="4" applyFont="1">
      <alignment vertical="top"/>
    </xf>
    <xf numFmtId="0" fontId="9" fillId="0" borderId="0" xfId="4" applyFill="1">
      <alignment vertical="top"/>
    </xf>
    <xf numFmtId="164" fontId="9" fillId="12" borderId="0" xfId="8" applyNumberFormat="1">
      <alignment vertical="top"/>
    </xf>
    <xf numFmtId="0" fontId="25" fillId="0" borderId="2" xfId="294" applyFont="1" applyBorder="1"/>
    <xf numFmtId="49" fontId="25" fillId="0" borderId="0" xfId="61" applyBorder="1" applyAlignment="1">
      <alignment vertical="top" wrapText="1"/>
    </xf>
    <xf numFmtId="0" fontId="9" fillId="0" borderId="0" xfId="4" applyAlignment="1">
      <alignment vertical="top" wrapText="1"/>
    </xf>
    <xf numFmtId="0" fontId="9" fillId="0" borderId="0" xfId="4" applyAlignment="1">
      <alignment horizontal="left" vertical="top" wrapText="1"/>
    </xf>
  </cellXfs>
  <cellStyles count="295">
    <cellStyle name=" 1" xfId="66" xr:uid="{00000000-0005-0000-0000-000000000000}"/>
    <cellStyle name=" 2" xfId="67" xr:uid="{00000000-0005-0000-0000-000001000000}"/>
    <cellStyle name=" 3" xfId="68" xr:uid="{00000000-0005-0000-0000-000002000000}"/>
    <cellStyle name=" 4" xfId="69" xr:uid="{00000000-0005-0000-0000-000003000000}"/>
    <cellStyle name=" 5" xfId="70" xr:uid="{00000000-0005-0000-0000-000004000000}"/>
    <cellStyle name=" 6" xfId="71" xr:uid="{00000000-0005-0000-0000-000005000000}"/>
    <cellStyle name="_x000d__x000a_JournalTemplate=C:\COMFO\CTALK\JOURSTD.TPL_x000d__x000a_LbStateAddress=3 3 0 251 1 89 2 311_x000d__x000a_LbStateJou" xfId="77" xr:uid="{00000000-0005-0000-0000-000006000000}"/>
    <cellStyle name="_x000d__x000a_JournalTemplate=C:\COMFO\CTALK\JOURSTD.TPL_x000d__x000a_LbStateAddress=3 3 0 251 1 89 2 311_x000d__x000a_LbStateJou 10" xfId="79" xr:uid="{00000000-0005-0000-0000-000007000000}"/>
    <cellStyle name="_x000d__x000a_JournalTemplate=C:\COMFO\CTALK\JOURSTD.TPL_x000d__x000a_LbStateAddress=3 3 0 251 1 89 2 311_x000d__x000a_LbStateJou 2" xfId="80" xr:uid="{00000000-0005-0000-0000-000008000000}"/>
    <cellStyle name="_x000d__x000a_JournalTemplate=C:\COMFO\CTALK\JOURSTD.TPL_x000d__x000a_LbStateAddress=3 3 0 251 1 89 2 311_x000d__x000a_LbStateJou 2 2" xfId="81" xr:uid="{00000000-0005-0000-0000-000009000000}"/>
    <cellStyle name="_x000d__x000a_JournalTemplate=C:\COMFO\CTALK\JOURSTD.TPL_x000d__x000a_LbStateAddress=3 3 0 251 1 89 2 311_x000d__x000a_LbStateJou 2 3" xfId="82" xr:uid="{00000000-0005-0000-0000-00000A000000}"/>
    <cellStyle name="_x000d__x000a_JournalTemplate=C:\COMFO\CTALK\JOURSTD.TPL_x000d__x000a_LbStateAddress=3 3 0 251 1 89 2 311_x000d__x000a_LbStateJou 2 4" xfId="83" xr:uid="{00000000-0005-0000-0000-00000B000000}"/>
    <cellStyle name="_x000d__x000a_JournalTemplate=C:\COMFO\CTALK\JOURSTD.TPL_x000d__x000a_LbStateAddress=3 3 0 251 1 89 2 311_x000d__x000a_LbStateJou 3" xfId="84" xr:uid="{00000000-0005-0000-0000-00000C000000}"/>
    <cellStyle name="_x000d__x000a_JournalTemplate=C:\COMFO\CTALK\JOURSTD.TPL_x000d__x000a_LbStateAddress=3 3 0 251 1 89 2 311_x000d__x000a_LbStateJou 3 2" xfId="85" xr:uid="{00000000-0005-0000-0000-00000D000000}"/>
    <cellStyle name="_x000d__x000a_JournalTemplate=C:\COMFO\CTALK\JOURSTD.TPL_x000d__x000a_LbStateAddress=3 3 0 251 1 89 2 311_x000d__x000a_LbStateJou 4" xfId="86" xr:uid="{00000000-0005-0000-0000-00000E000000}"/>
    <cellStyle name="_x000d__x000a_JournalTemplate=C:\COMFO\CTALK\JOURSTD.TPL_x000d__x000a_LbStateAddress=3 3 0 251 1 89 2 311_x000d__x000a_LbStateJou_100720 berekening x-factoren NG4R v4.2" xfId="87" xr:uid="{00000000-0005-0000-0000-00000F000000}"/>
    <cellStyle name="_kop1 Bladtitel" xfId="5" xr:uid="{00000000-0005-0000-0000-000010000000}"/>
    <cellStyle name="_kop1 Bladtitel 2" xfId="292" xr:uid="{00000000-0005-0000-0000-000011000000}"/>
    <cellStyle name="_kop2 Bloktitel" xfId="6" xr:uid="{00000000-0005-0000-0000-000012000000}"/>
    <cellStyle name="_kop2 Bloktitel 2" xfId="293" xr:uid="{00000000-0005-0000-0000-000013000000}"/>
    <cellStyle name="_kop3 Subkop" xfId="7" xr:uid="{00000000-0005-0000-0000-000014000000}"/>
    <cellStyle name="20% - Accent1" xfId="37" builtinId="30" hidden="1"/>
    <cellStyle name="20% - Accent1 2" xfId="88" xr:uid="{00000000-0005-0000-0000-000016000000}"/>
    <cellStyle name="20% - Accent1 2 2" xfId="89" xr:uid="{00000000-0005-0000-0000-000017000000}"/>
    <cellStyle name="20% - Accent1 3" xfId="90" xr:uid="{00000000-0005-0000-0000-000018000000}"/>
    <cellStyle name="20% - Accent1 3 2" xfId="91" xr:uid="{00000000-0005-0000-0000-000019000000}"/>
    <cellStyle name="20% - Accent2" xfId="41" builtinId="34" hidden="1"/>
    <cellStyle name="20% - Accent2 2" xfId="92" xr:uid="{00000000-0005-0000-0000-00001B000000}"/>
    <cellStyle name="20% - Accent2 2 2" xfId="93" xr:uid="{00000000-0005-0000-0000-00001C000000}"/>
    <cellStyle name="20% - Accent2 3" xfId="94" xr:uid="{00000000-0005-0000-0000-00001D000000}"/>
    <cellStyle name="20% - Accent2 3 2" xfId="95" xr:uid="{00000000-0005-0000-0000-00001E000000}"/>
    <cellStyle name="20% - Accent3" xfId="45" builtinId="38" hidden="1"/>
    <cellStyle name="20% - Accent3 2" xfId="96" xr:uid="{00000000-0005-0000-0000-000020000000}"/>
    <cellStyle name="20% - Accent3 2 2" xfId="97" xr:uid="{00000000-0005-0000-0000-000021000000}"/>
    <cellStyle name="20% - Accent3 3" xfId="98" xr:uid="{00000000-0005-0000-0000-000022000000}"/>
    <cellStyle name="20% - Accent3 3 2" xfId="99" xr:uid="{00000000-0005-0000-0000-000023000000}"/>
    <cellStyle name="20% - Accent4" xfId="49" builtinId="42" hidden="1"/>
    <cellStyle name="20% - Accent4 2" xfId="100" xr:uid="{00000000-0005-0000-0000-000025000000}"/>
    <cellStyle name="20% - Accent4 2 2" xfId="101" xr:uid="{00000000-0005-0000-0000-000026000000}"/>
    <cellStyle name="20% - Accent4 3" xfId="102" xr:uid="{00000000-0005-0000-0000-000027000000}"/>
    <cellStyle name="20% - Accent4 3 2" xfId="103" xr:uid="{00000000-0005-0000-0000-000028000000}"/>
    <cellStyle name="20% - Accent5" xfId="53" builtinId="46" hidden="1"/>
    <cellStyle name="20% - Accent5 2" xfId="104" xr:uid="{00000000-0005-0000-0000-00002A000000}"/>
    <cellStyle name="20% - Accent5 2 2" xfId="105" xr:uid="{00000000-0005-0000-0000-00002B000000}"/>
    <cellStyle name="20% - Accent5 3" xfId="106" xr:uid="{00000000-0005-0000-0000-00002C000000}"/>
    <cellStyle name="20% - Accent5 3 2" xfId="107" xr:uid="{00000000-0005-0000-0000-00002D000000}"/>
    <cellStyle name="20% - Accent6" xfId="57" builtinId="50" hidden="1"/>
    <cellStyle name="20% - Accent6 2" xfId="108" xr:uid="{00000000-0005-0000-0000-00002F000000}"/>
    <cellStyle name="20% - Accent6 2 2" xfId="109" xr:uid="{00000000-0005-0000-0000-000030000000}"/>
    <cellStyle name="20% - Accent6 3" xfId="110" xr:uid="{00000000-0005-0000-0000-000031000000}"/>
    <cellStyle name="20% - Accent6 3 2" xfId="111" xr:uid="{00000000-0005-0000-0000-000032000000}"/>
    <cellStyle name="40% - Accent1" xfId="38" builtinId="31" hidden="1"/>
    <cellStyle name="40% - Accent1 2" xfId="112" xr:uid="{00000000-0005-0000-0000-000034000000}"/>
    <cellStyle name="40% - Accent1 2 2" xfId="113" xr:uid="{00000000-0005-0000-0000-000035000000}"/>
    <cellStyle name="40% - Accent1 3" xfId="114" xr:uid="{00000000-0005-0000-0000-000036000000}"/>
    <cellStyle name="40% - Accent1 3 2" xfId="115" xr:uid="{00000000-0005-0000-0000-000037000000}"/>
    <cellStyle name="40% - Accent2" xfId="42" builtinId="35" hidden="1"/>
    <cellStyle name="40% - Accent2 2" xfId="116" xr:uid="{00000000-0005-0000-0000-000039000000}"/>
    <cellStyle name="40% - Accent2 2 2" xfId="117" xr:uid="{00000000-0005-0000-0000-00003A000000}"/>
    <cellStyle name="40% - Accent2 3" xfId="118" xr:uid="{00000000-0005-0000-0000-00003B000000}"/>
    <cellStyle name="40% - Accent2 3 2" xfId="119" xr:uid="{00000000-0005-0000-0000-00003C000000}"/>
    <cellStyle name="40% - Accent3" xfId="46" builtinId="39" hidden="1"/>
    <cellStyle name="40% - Accent3 2" xfId="120" xr:uid="{00000000-0005-0000-0000-00003E000000}"/>
    <cellStyle name="40% - Accent3 2 2" xfId="121" xr:uid="{00000000-0005-0000-0000-00003F000000}"/>
    <cellStyle name="40% - Accent3 3" xfId="122" xr:uid="{00000000-0005-0000-0000-000040000000}"/>
    <cellStyle name="40% - Accent3 3 2" xfId="123" xr:uid="{00000000-0005-0000-0000-000041000000}"/>
    <cellStyle name="40% - Accent4" xfId="50" builtinId="43" hidden="1"/>
    <cellStyle name="40% - Accent4 2" xfId="124" xr:uid="{00000000-0005-0000-0000-000043000000}"/>
    <cellStyle name="40% - Accent4 2 2" xfId="125" xr:uid="{00000000-0005-0000-0000-000044000000}"/>
    <cellStyle name="40% - Accent4 3" xfId="126" xr:uid="{00000000-0005-0000-0000-000045000000}"/>
    <cellStyle name="40% - Accent4 3 2" xfId="127" xr:uid="{00000000-0005-0000-0000-000046000000}"/>
    <cellStyle name="40% - Accent5" xfId="54" builtinId="47" hidden="1"/>
    <cellStyle name="40% - Accent5 2" xfId="128" xr:uid="{00000000-0005-0000-0000-000048000000}"/>
    <cellStyle name="40% - Accent5 2 2" xfId="129" xr:uid="{00000000-0005-0000-0000-000049000000}"/>
    <cellStyle name="40% - Accent5 3" xfId="130" xr:uid="{00000000-0005-0000-0000-00004A000000}"/>
    <cellStyle name="40% - Accent5 3 2" xfId="131" xr:uid="{00000000-0005-0000-0000-00004B000000}"/>
    <cellStyle name="40% - Accent6" xfId="58" builtinId="51" hidden="1"/>
    <cellStyle name="40% - Accent6 2" xfId="132" xr:uid="{00000000-0005-0000-0000-00004D000000}"/>
    <cellStyle name="40% - Accent6 2 2" xfId="133" xr:uid="{00000000-0005-0000-0000-00004E000000}"/>
    <cellStyle name="40% - Accent6 3" xfId="134" xr:uid="{00000000-0005-0000-0000-00004F000000}"/>
    <cellStyle name="40% - Accent6 3 2" xfId="135" xr:uid="{00000000-0005-0000-0000-000050000000}"/>
    <cellStyle name="60% - Accent1" xfId="39" builtinId="32" hidden="1"/>
    <cellStyle name="60% - Accent1 2" xfId="136" xr:uid="{00000000-0005-0000-0000-000052000000}"/>
    <cellStyle name="60% - Accent1 2 2" xfId="137" xr:uid="{00000000-0005-0000-0000-000053000000}"/>
    <cellStyle name="60% - Accent1 3" xfId="138" xr:uid="{00000000-0005-0000-0000-000054000000}"/>
    <cellStyle name="60% - Accent2" xfId="43" builtinId="36" hidden="1"/>
    <cellStyle name="60% - Accent2 2" xfId="139" xr:uid="{00000000-0005-0000-0000-000056000000}"/>
    <cellStyle name="60% - Accent2 2 2" xfId="140" xr:uid="{00000000-0005-0000-0000-000057000000}"/>
    <cellStyle name="60% - Accent2 3" xfId="141" xr:uid="{00000000-0005-0000-0000-000058000000}"/>
    <cellStyle name="60% - Accent3" xfId="47" builtinId="40" hidden="1"/>
    <cellStyle name="60% - Accent3 2" xfId="142" xr:uid="{00000000-0005-0000-0000-00005A000000}"/>
    <cellStyle name="60% - Accent3 2 2" xfId="143" xr:uid="{00000000-0005-0000-0000-00005B000000}"/>
    <cellStyle name="60% - Accent3 3" xfId="144" xr:uid="{00000000-0005-0000-0000-00005C000000}"/>
    <cellStyle name="60% - Accent4" xfId="51" builtinId="44" hidden="1"/>
    <cellStyle name="60% - Accent4 2" xfId="145" xr:uid="{00000000-0005-0000-0000-00005E000000}"/>
    <cellStyle name="60% - Accent4 2 2" xfId="146" xr:uid="{00000000-0005-0000-0000-00005F000000}"/>
    <cellStyle name="60% - Accent4 3" xfId="147" xr:uid="{00000000-0005-0000-0000-000060000000}"/>
    <cellStyle name="60% - Accent5" xfId="55" builtinId="48" hidden="1"/>
    <cellStyle name="60% - Accent5 2" xfId="148" xr:uid="{00000000-0005-0000-0000-000062000000}"/>
    <cellStyle name="60% - Accent5 2 2" xfId="149" xr:uid="{00000000-0005-0000-0000-000063000000}"/>
    <cellStyle name="60% - Accent5 3" xfId="150" xr:uid="{00000000-0005-0000-0000-000064000000}"/>
    <cellStyle name="60% - Accent6" xfId="59" builtinId="52" hidden="1"/>
    <cellStyle name="60% - Accent6 2" xfId="151" xr:uid="{00000000-0005-0000-0000-000066000000}"/>
    <cellStyle name="60% - Accent6 2 2" xfId="152" xr:uid="{00000000-0005-0000-0000-000067000000}"/>
    <cellStyle name="60% - Accent6 3" xfId="153" xr:uid="{00000000-0005-0000-0000-000068000000}"/>
    <cellStyle name="Accent1" xfId="36" builtinId="29" hidden="1"/>
    <cellStyle name="Accent1 2" xfId="154" xr:uid="{00000000-0005-0000-0000-00006A000000}"/>
    <cellStyle name="Accent1 2 2" xfId="155" xr:uid="{00000000-0005-0000-0000-00006B000000}"/>
    <cellStyle name="Accent1 3" xfId="156" xr:uid="{00000000-0005-0000-0000-00006C000000}"/>
    <cellStyle name="Accent2" xfId="40" builtinId="33" hidden="1"/>
    <cellStyle name="Accent2 2" xfId="157" xr:uid="{00000000-0005-0000-0000-00006E000000}"/>
    <cellStyle name="Accent2 2 2" xfId="158" xr:uid="{00000000-0005-0000-0000-00006F000000}"/>
    <cellStyle name="Accent2 3" xfId="159" xr:uid="{00000000-0005-0000-0000-000070000000}"/>
    <cellStyle name="Accent3" xfId="44" builtinId="37" hidden="1"/>
    <cellStyle name="Accent3 2" xfId="160" xr:uid="{00000000-0005-0000-0000-000072000000}"/>
    <cellStyle name="Accent3 2 2" xfId="161" xr:uid="{00000000-0005-0000-0000-000073000000}"/>
    <cellStyle name="Accent3 3" xfId="162" xr:uid="{00000000-0005-0000-0000-000074000000}"/>
    <cellStyle name="Accent4" xfId="48" builtinId="41" hidden="1"/>
    <cellStyle name="Accent4 2" xfId="163" xr:uid="{00000000-0005-0000-0000-000076000000}"/>
    <cellStyle name="Accent4 2 2" xfId="164" xr:uid="{00000000-0005-0000-0000-000077000000}"/>
    <cellStyle name="Accent4 3" xfId="165" xr:uid="{00000000-0005-0000-0000-000078000000}"/>
    <cellStyle name="Accent5" xfId="52" builtinId="45" hidden="1"/>
    <cellStyle name="Accent5 2" xfId="166" xr:uid="{00000000-0005-0000-0000-00007A000000}"/>
    <cellStyle name="Accent5 2 2" xfId="167" xr:uid="{00000000-0005-0000-0000-00007B000000}"/>
    <cellStyle name="Accent5 3" xfId="168" xr:uid="{00000000-0005-0000-0000-00007C000000}"/>
    <cellStyle name="Accent6" xfId="56" builtinId="49" hidden="1"/>
    <cellStyle name="Accent6 2" xfId="169" xr:uid="{00000000-0005-0000-0000-00007E000000}"/>
    <cellStyle name="Accent6 2 2" xfId="170" xr:uid="{00000000-0005-0000-0000-00007F000000}"/>
    <cellStyle name="Accent6 3" xfId="171" xr:uid="{00000000-0005-0000-0000-000080000000}"/>
    <cellStyle name="Bad" xfId="2" hidden="1" xr:uid="{00000000-0005-0000-0000-000081000000}"/>
    <cellStyle name="Bad" xfId="268" xr:uid="{00000000-0005-0000-0000-000082000000}"/>
    <cellStyle name="Bad 2" xfId="172" xr:uid="{00000000-0005-0000-0000-000083000000}"/>
    <cellStyle name="Berekening" xfId="18" builtinId="22" hidden="1"/>
    <cellStyle name="Berekening 2" xfId="173" xr:uid="{00000000-0005-0000-0000-000084000000}"/>
    <cellStyle name="Berekening 2 2" xfId="174" xr:uid="{00000000-0005-0000-0000-000085000000}"/>
    <cellStyle name="Calculation" xfId="175" xr:uid="{00000000-0005-0000-0000-000087000000}"/>
    <cellStyle name="Calculation 2" xfId="269" xr:uid="{00000000-0005-0000-0000-000088000000}"/>
    <cellStyle name="Cel (tussen)resultaat" xfId="8" xr:uid="{00000000-0005-0000-0000-000089000000}"/>
    <cellStyle name="Cel Berekening" xfId="9" xr:uid="{00000000-0005-0000-0000-00008A000000}"/>
    <cellStyle name="Cel Bijzonderheid" xfId="10" xr:uid="{00000000-0005-0000-0000-00008B000000}"/>
    <cellStyle name="Cel Dataverzoek" xfId="65" xr:uid="{00000000-0005-0000-0000-00008C000000}"/>
    <cellStyle name="Cel Input" xfId="11" xr:uid="{00000000-0005-0000-0000-00008D000000}"/>
    <cellStyle name="Cel Input 2" xfId="72" xr:uid="{00000000-0005-0000-0000-00008E000000}"/>
    <cellStyle name="Cel Input 3" xfId="73" xr:uid="{00000000-0005-0000-0000-00008F000000}"/>
    <cellStyle name="Cel Input Data" xfId="74" xr:uid="{00000000-0005-0000-0000-000090000000}"/>
    <cellStyle name="Cel n.v.t. (leeg)" xfId="62" xr:uid="{00000000-0005-0000-0000-000091000000}"/>
    <cellStyle name="Cel PM extern" xfId="12" xr:uid="{00000000-0005-0000-0000-000092000000}"/>
    <cellStyle name="Cel Verwijzing" xfId="13" xr:uid="{00000000-0005-0000-0000-000093000000}"/>
    <cellStyle name="Check Cell" xfId="20" hidden="1" xr:uid="{00000000-0005-0000-0000-000094000000}"/>
    <cellStyle name="Check Cell" xfId="270" xr:uid="{00000000-0005-0000-0000-000095000000}"/>
    <cellStyle name="Check Cell 2" xfId="176" xr:uid="{00000000-0005-0000-0000-000096000000}"/>
    <cellStyle name="Comma 2" xfId="271" xr:uid="{00000000-0005-0000-0000-00009A000000}"/>
    <cellStyle name="Comma 3" xfId="177" xr:uid="{00000000-0005-0000-0000-00009B000000}"/>
    <cellStyle name="Controlecel 2" xfId="178" xr:uid="{00000000-0005-0000-0000-00009C000000}"/>
    <cellStyle name="D_Lanvin BP Roth croissance 03 en 04 " xfId="75" xr:uid="{00000000-0005-0000-0000-00009F000000}"/>
    <cellStyle name="Euro" xfId="179" xr:uid="{00000000-0005-0000-0000-0000A0000000}"/>
    <cellStyle name="Euro 2" xfId="180" xr:uid="{00000000-0005-0000-0000-0000A1000000}"/>
    <cellStyle name="Euro 3" xfId="181" xr:uid="{00000000-0005-0000-0000-0000A2000000}"/>
    <cellStyle name="Explanatory Text" xfId="34" hidden="1" xr:uid="{00000000-0005-0000-0000-0000A3000000}"/>
    <cellStyle name="Explanatory Text" xfId="272" xr:uid="{00000000-0005-0000-0000-0000A4000000}"/>
    <cellStyle name="Explanatory Text 2" xfId="182" xr:uid="{00000000-0005-0000-0000-0000A5000000}"/>
    <cellStyle name="Gekoppelde cel" xfId="19" builtinId="24" hidden="1"/>
    <cellStyle name="Gekoppelde cel 2" xfId="183" xr:uid="{00000000-0005-0000-0000-0000A7000000}"/>
    <cellStyle name="Gevolgde hyperlink" xfId="60" builtinId="9" hidden="1"/>
    <cellStyle name="Goed" xfId="1" builtinId="26" hidden="1"/>
    <cellStyle name="Goed 2" xfId="184" xr:uid="{00000000-0005-0000-0000-0000A8000000}"/>
    <cellStyle name="Good" xfId="185" xr:uid="{00000000-0005-0000-0000-0000AA000000}"/>
    <cellStyle name="Good 2" xfId="186" xr:uid="{00000000-0005-0000-0000-0000AB000000}"/>
    <cellStyle name="Grijze cel" xfId="76" xr:uid="{00000000-0005-0000-0000-0000AC000000}"/>
    <cellStyle name="Header" xfId="187" xr:uid="{00000000-0005-0000-0000-0000AD000000}"/>
    <cellStyle name="Heading 1" xfId="29" hidden="1" xr:uid="{00000000-0005-0000-0000-0000AE000000}"/>
    <cellStyle name="Heading 1" xfId="273" xr:uid="{00000000-0005-0000-0000-0000AF000000}"/>
    <cellStyle name="Heading 1 2" xfId="188" xr:uid="{00000000-0005-0000-0000-0000B0000000}"/>
    <cellStyle name="Heading 2" xfId="30" hidden="1" xr:uid="{00000000-0005-0000-0000-0000B1000000}"/>
    <cellStyle name="Heading 2" xfId="274" xr:uid="{00000000-0005-0000-0000-0000B2000000}"/>
    <cellStyle name="Heading 2 2" xfId="189" xr:uid="{00000000-0005-0000-0000-0000B3000000}"/>
    <cellStyle name="Heading 3" xfId="31" hidden="1" xr:uid="{00000000-0005-0000-0000-0000B4000000}"/>
    <cellStyle name="Heading 3" xfId="275" xr:uid="{00000000-0005-0000-0000-0000B5000000}"/>
    <cellStyle name="Heading 3 2" xfId="190" xr:uid="{00000000-0005-0000-0000-0000B6000000}"/>
    <cellStyle name="Heading 4" xfId="32" hidden="1" xr:uid="{00000000-0005-0000-0000-0000B7000000}"/>
    <cellStyle name="Heading 4" xfId="276" xr:uid="{00000000-0005-0000-0000-0000B8000000}"/>
    <cellStyle name="Heading 4 2" xfId="191" xr:uid="{00000000-0005-0000-0000-0000B9000000}"/>
    <cellStyle name="Hyperlink" xfId="22" builtinId="8" hidden="1"/>
    <cellStyle name="Hyperlink" xfId="61" builtinId="8" customBuiltin="1"/>
    <cellStyle name="Hyperlink 2" xfId="294" xr:uid="{857919E0-CA41-456D-9AD9-1C898C6F903F}"/>
    <cellStyle name="Input" xfId="16" hidden="1" xr:uid="{00000000-0005-0000-0000-0000BC000000}"/>
    <cellStyle name="Input" xfId="277" xr:uid="{00000000-0005-0000-0000-0000BD000000}"/>
    <cellStyle name="Input 2" xfId="192" xr:uid="{00000000-0005-0000-0000-0000BE000000}"/>
    <cellStyle name="Invoer 2" xfId="193" xr:uid="{00000000-0005-0000-0000-0000BF000000}"/>
    <cellStyle name="Invoer 2 2" xfId="194" xr:uid="{00000000-0005-0000-0000-0000C0000000}"/>
    <cellStyle name="Komma" xfId="23" builtinId="3" hidden="1"/>
    <cellStyle name="Komma" xfId="63" builtinId="3"/>
    <cellStyle name="Komma [0]" xfId="24" builtinId="6" hidden="1"/>
    <cellStyle name="Komma 10 2" xfId="195" xr:uid="{00000000-0005-0000-0000-0000C1000000}"/>
    <cellStyle name="Komma 10 2 2" xfId="196" xr:uid="{00000000-0005-0000-0000-0000C2000000}"/>
    <cellStyle name="Komma 11" xfId="197" xr:uid="{00000000-0005-0000-0000-0000C3000000}"/>
    <cellStyle name="Komma 14 2" xfId="198" xr:uid="{00000000-0005-0000-0000-0000C4000000}"/>
    <cellStyle name="Komma 2" xfId="278" xr:uid="{00000000-0005-0000-0000-0000C5000000}"/>
    <cellStyle name="Komma 2 2" xfId="199" xr:uid="{00000000-0005-0000-0000-0000C6000000}"/>
    <cellStyle name="Komma 2 2 2" xfId="200" xr:uid="{00000000-0005-0000-0000-0000C7000000}"/>
    <cellStyle name="Komma 2 3" xfId="201" xr:uid="{00000000-0005-0000-0000-0000C8000000}"/>
    <cellStyle name="Komma 2 4" xfId="202" xr:uid="{00000000-0005-0000-0000-0000C9000000}"/>
    <cellStyle name="Komma 3" xfId="203" xr:uid="{00000000-0005-0000-0000-0000CA000000}"/>
    <cellStyle name="Komma 3 2" xfId="204" xr:uid="{00000000-0005-0000-0000-0000CB000000}"/>
    <cellStyle name="Komma 3 3" xfId="205" xr:uid="{00000000-0005-0000-0000-0000CC000000}"/>
    <cellStyle name="Komma 4" xfId="206" xr:uid="{00000000-0005-0000-0000-0000CD000000}"/>
    <cellStyle name="Komma 4 2" xfId="207" xr:uid="{00000000-0005-0000-0000-0000CE000000}"/>
    <cellStyle name="Komma 5" xfId="208" xr:uid="{00000000-0005-0000-0000-0000CF000000}"/>
    <cellStyle name="Komma 5 2" xfId="209" xr:uid="{00000000-0005-0000-0000-0000D0000000}"/>
    <cellStyle name="Komma 6" xfId="210" xr:uid="{00000000-0005-0000-0000-0000D1000000}"/>
    <cellStyle name="Kop 1 2" xfId="211" xr:uid="{00000000-0005-0000-0000-0000D2000000}"/>
    <cellStyle name="Kop 2 2" xfId="212" xr:uid="{00000000-0005-0000-0000-0000D3000000}"/>
    <cellStyle name="Kop 3 2" xfId="213" xr:uid="{00000000-0005-0000-0000-0000D4000000}"/>
    <cellStyle name="Kop 4 2" xfId="214" xr:uid="{00000000-0005-0000-0000-0000D5000000}"/>
    <cellStyle name="Linked Cell" xfId="215" xr:uid="{00000000-0005-0000-0000-0000D7000000}"/>
    <cellStyle name="Linked Cell 2" xfId="216" xr:uid="{00000000-0005-0000-0000-0000D8000000}"/>
    <cellStyle name="Neutraal" xfId="3" builtinId="28" hidden="1"/>
    <cellStyle name="Neutraal 2" xfId="217" xr:uid="{00000000-0005-0000-0000-0000D9000000}"/>
    <cellStyle name="Neutral" xfId="218" xr:uid="{00000000-0005-0000-0000-0000DB000000}"/>
    <cellStyle name="Neutral 2" xfId="219" xr:uid="{00000000-0005-0000-0000-0000DC000000}"/>
    <cellStyle name="Normal 2" xfId="220" xr:uid="{00000000-0005-0000-0000-0000DE000000}"/>
    <cellStyle name="Normal 3" xfId="221" xr:uid="{00000000-0005-0000-0000-0000DF000000}"/>
    <cellStyle name="Normal 4" xfId="267" xr:uid="{00000000-0005-0000-0000-0000E0000000}"/>
    <cellStyle name="Normal 4 2" xfId="290" xr:uid="{00000000-0005-0000-0000-0000E1000000}"/>
    <cellStyle name="Note" xfId="21" hidden="1" xr:uid="{00000000-0005-0000-0000-0000E2000000}"/>
    <cellStyle name="Note" xfId="279" xr:uid="{00000000-0005-0000-0000-0000E3000000}"/>
    <cellStyle name="Note 2" xfId="222" xr:uid="{00000000-0005-0000-0000-0000E4000000}"/>
    <cellStyle name="Notitie 2" xfId="223" xr:uid="{00000000-0005-0000-0000-0000E5000000}"/>
    <cellStyle name="Notitie 2 2" xfId="224" xr:uid="{00000000-0005-0000-0000-0000E6000000}"/>
    <cellStyle name="Notitie 2 3" xfId="225" xr:uid="{00000000-0005-0000-0000-0000E7000000}"/>
    <cellStyle name="Notitie 2 4" xfId="226" xr:uid="{00000000-0005-0000-0000-0000E8000000}"/>
    <cellStyle name="Notitie 3" xfId="227" xr:uid="{00000000-0005-0000-0000-0000E9000000}"/>
    <cellStyle name="Notitie 3 2" xfId="228" xr:uid="{00000000-0005-0000-0000-0000EA000000}"/>
    <cellStyle name="Notitie 4" xfId="229" xr:uid="{00000000-0005-0000-0000-0000EB000000}"/>
    <cellStyle name="Ongeldig 2" xfId="230" xr:uid="{00000000-0005-0000-0000-0000EC000000}"/>
    <cellStyle name="Opm. INTERN" xfId="14" xr:uid="{00000000-0005-0000-0000-0000ED000000}"/>
    <cellStyle name="Output" xfId="17" hidden="1" xr:uid="{00000000-0005-0000-0000-0000EE000000}"/>
    <cellStyle name="Output" xfId="280" xr:uid="{00000000-0005-0000-0000-0000EF000000}"/>
    <cellStyle name="Output 2" xfId="231" xr:uid="{00000000-0005-0000-0000-0000F0000000}"/>
    <cellStyle name="Procent" xfId="27" builtinId="5" hidden="1"/>
    <cellStyle name="Procent" xfId="64" builtinId="5"/>
    <cellStyle name="Procent 2" xfId="78" xr:uid="{00000000-0005-0000-0000-0000F3000000}"/>
    <cellStyle name="Procent 2 2" xfId="232" xr:uid="{00000000-0005-0000-0000-0000F4000000}"/>
    <cellStyle name="Procent 2 3" xfId="291" xr:uid="{00000000-0005-0000-0000-0000F5000000}"/>
    <cellStyle name="Procent 3" xfId="233" xr:uid="{00000000-0005-0000-0000-0000F6000000}"/>
    <cellStyle name="Procent 3 2" xfId="234" xr:uid="{00000000-0005-0000-0000-0000F7000000}"/>
    <cellStyle name="Procent 4" xfId="235" xr:uid="{00000000-0005-0000-0000-0000F8000000}"/>
    <cellStyle name="Procent 4 2" xfId="236" xr:uid="{00000000-0005-0000-0000-0000F9000000}"/>
    <cellStyle name="Procent 5" xfId="237" xr:uid="{00000000-0005-0000-0000-0000FA000000}"/>
    <cellStyle name="Standaard" xfId="0" builtinId="0" customBuiltin="1"/>
    <cellStyle name="Standaard 2" xfId="281" xr:uid="{00000000-0005-0000-0000-0000FB000000}"/>
    <cellStyle name="Standaard 2 2" xfId="238" xr:uid="{00000000-0005-0000-0000-0000FC000000}"/>
    <cellStyle name="Standaard 2 2 2" xfId="239" xr:uid="{00000000-0005-0000-0000-0000FD000000}"/>
    <cellStyle name="Standaard 2 3" xfId="240" xr:uid="{00000000-0005-0000-0000-0000FE000000}"/>
    <cellStyle name="Standaard 2 3 2" xfId="241" xr:uid="{00000000-0005-0000-0000-0000FF000000}"/>
    <cellStyle name="Standaard 2 4" xfId="242" xr:uid="{00000000-0005-0000-0000-000000010000}"/>
    <cellStyle name="Standaard 2 4 2" xfId="243" xr:uid="{00000000-0005-0000-0000-000001010000}"/>
    <cellStyle name="Standaard 3" xfId="244" xr:uid="{00000000-0005-0000-0000-000002010000}"/>
    <cellStyle name="Standaard 3 2" xfId="245" xr:uid="{00000000-0005-0000-0000-000003010000}"/>
    <cellStyle name="Standaard 3 3" xfId="246" xr:uid="{00000000-0005-0000-0000-000004010000}"/>
    <cellStyle name="Standaard 3 4" xfId="247" xr:uid="{00000000-0005-0000-0000-000005010000}"/>
    <cellStyle name="Standaard 4" xfId="248" xr:uid="{00000000-0005-0000-0000-000006010000}"/>
    <cellStyle name="Standaard 4 2" xfId="249" xr:uid="{00000000-0005-0000-0000-000007010000}"/>
    <cellStyle name="Standaard 4 3" xfId="250" xr:uid="{00000000-0005-0000-0000-000008010000}"/>
    <cellStyle name="Standaard 5" xfId="251" xr:uid="{00000000-0005-0000-0000-000009010000}"/>
    <cellStyle name="Standaard 5 2" xfId="252" xr:uid="{00000000-0005-0000-0000-00000A010000}"/>
    <cellStyle name="Standaard 6" xfId="253" xr:uid="{00000000-0005-0000-0000-00000B010000}"/>
    <cellStyle name="Standaard 6 2" xfId="254" xr:uid="{00000000-0005-0000-0000-00000C010000}"/>
    <cellStyle name="Standaard 6 2 2" xfId="255" xr:uid="{00000000-0005-0000-0000-00000D010000}"/>
    <cellStyle name="Standaard 6 3" xfId="256" xr:uid="{00000000-0005-0000-0000-00000E010000}"/>
    <cellStyle name="Standaard 7" xfId="257" xr:uid="{00000000-0005-0000-0000-00000F010000}"/>
    <cellStyle name="Standaard ACM-DE" xfId="4" xr:uid="{00000000-0005-0000-0000-000010010000}"/>
    <cellStyle name="Titel" xfId="28" builtinId="15" hidden="1"/>
    <cellStyle name="Titel 2" xfId="258" xr:uid="{00000000-0005-0000-0000-000014010000}"/>
    <cellStyle name="Title" xfId="259" xr:uid="{00000000-0005-0000-0000-000016010000}"/>
    <cellStyle name="Title 2" xfId="260" xr:uid="{00000000-0005-0000-0000-000017010000}"/>
    <cellStyle name="Toelichting" xfId="15" xr:uid="{00000000-0005-0000-0000-000018010000}"/>
    <cellStyle name="Totaal" xfId="35" builtinId="25" hidden="1"/>
    <cellStyle name="Totaal 2" xfId="261" xr:uid="{00000000-0005-0000-0000-000019010000}"/>
    <cellStyle name="Totaal 2 2" xfId="262" xr:uid="{00000000-0005-0000-0000-00001A010000}"/>
    <cellStyle name="Totaal 2 3" xfId="263" xr:uid="{00000000-0005-0000-0000-00001B010000}"/>
    <cellStyle name="Total" xfId="264" xr:uid="{00000000-0005-0000-0000-00001D010000}"/>
    <cellStyle name="Total 2" xfId="282" xr:uid="{00000000-0005-0000-0000-00001E010000}"/>
    <cellStyle name="Uitvoer 2" xfId="283" xr:uid="{00000000-0005-0000-0000-00001F010000}"/>
    <cellStyle name="Uitvoer 2 2" xfId="284" xr:uid="{00000000-0005-0000-0000-000020010000}"/>
    <cellStyle name="Uitvoer 2 3" xfId="285" xr:uid="{00000000-0005-0000-0000-000021010000}"/>
    <cellStyle name="Valuta" xfId="25" builtinId="4" hidden="1"/>
    <cellStyle name="Valuta [0]" xfId="26" builtinId="7" hidden="1"/>
    <cellStyle name="Valuta 2" xfId="286" xr:uid="{00000000-0005-0000-0000-000022010000}"/>
    <cellStyle name="Verklarende tekst 2" xfId="265" xr:uid="{00000000-0005-0000-0000-000023010000}"/>
    <cellStyle name="Waarschuwingstekst" xfId="33" builtinId="11" hidden="1"/>
    <cellStyle name="Waarschuwingstekst 2" xfId="266" xr:uid="{00000000-0005-0000-0000-000024010000}"/>
    <cellStyle name="Warning Text" xfId="287" xr:uid="{00000000-0005-0000-0000-000026010000}"/>
    <cellStyle name="Warning Text 2" xfId="288" xr:uid="{00000000-0005-0000-0000-000027010000}"/>
    <cellStyle name="WIt" xfId="289" xr:uid="{00000000-0005-0000-0000-000028010000}"/>
  </cellStyles>
  <dxfs count="0"/>
  <tableStyles count="0" defaultTableStyle="TableStyleMedium2" defaultPivotStyle="PivotStyleLight16"/>
  <colors>
    <mruColors>
      <color rgb="FFFFCC99"/>
      <color rgb="FFFFFFCC"/>
      <color rgb="FFE1FFE1"/>
      <color rgb="FFCCFFCC"/>
      <color rgb="FFFF00FF"/>
      <color rgb="FFCCC8D9"/>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berekening-x-factor-bij-gewijzigde-x-factorbesluiten-gas-2022-2026?_exception_statuscode=404&amp;arguments_sanitized=%2BLZFmU3mG3vbbQ%3D%3D" TargetMode="External"/><Relationship Id="rId2" Type="http://schemas.openxmlformats.org/officeDocument/2006/relationships/hyperlink" Target="https://www.acm.nl/nl/publicaties/berekening-totale-inkomsten-2023-regionaal-netbeheer-gas" TargetMode="External"/><Relationship Id="rId1" Type="http://schemas.openxmlformats.org/officeDocument/2006/relationships/hyperlink" Target="https://opendata.cbs.nl/" TargetMode="External"/><Relationship Id="rId5" Type="http://schemas.openxmlformats.org/officeDocument/2006/relationships/printerSettings" Target="../printerSettings/printerSettings3.bin"/><Relationship Id="rId4" Type="http://schemas.openxmlformats.org/officeDocument/2006/relationships/hyperlink" Target="https://www.acm.nl/nl/publicaties/berekening-x-factor-bij-gewijzigde-x-factorbesluiten-gas-2022-2026?_exception_statuscode=404&amp;arguments_sanitized=%2BLZFmU3mG3vbbQ%3D%3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D33"/>
  <sheetViews>
    <sheetView showGridLines="0" tabSelected="1" zoomScale="85" zoomScaleNormal="85" workbookViewId="0">
      <pane ySplit="3" topLeftCell="A4" activePane="bottomLeft" state="frozen"/>
      <selection activeCell="O39" sqref="O39"/>
      <selection pane="bottomLeft" activeCell="A4" sqref="A4"/>
    </sheetView>
  </sheetViews>
  <sheetFormatPr defaultColWidth="9.140625" defaultRowHeight="12.75"/>
  <cols>
    <col min="1" max="1" width="4.7109375" style="4" customWidth="1"/>
    <col min="2" max="2" width="39.85546875" style="4" customWidth="1"/>
    <col min="3" max="3" width="91.85546875" style="4" customWidth="1"/>
    <col min="4" max="16384" width="9.140625" style="4"/>
  </cols>
  <sheetData>
    <row r="2" spans="2:3" s="9" customFormat="1" ht="18">
      <c r="B2" s="93" t="s">
        <v>235</v>
      </c>
    </row>
    <row r="6" spans="2:3">
      <c r="B6" s="5"/>
    </row>
    <row r="13" spans="2:3" s="10" customFormat="1">
      <c r="B13" s="10" t="s">
        <v>0</v>
      </c>
    </row>
    <row r="15" spans="2:3">
      <c r="B15" s="11" t="s">
        <v>1</v>
      </c>
      <c r="C15" s="12" t="s">
        <v>253</v>
      </c>
    </row>
    <row r="16" spans="2:3">
      <c r="B16" s="11" t="s">
        <v>2</v>
      </c>
      <c r="C16" s="12" t="s">
        <v>235</v>
      </c>
    </row>
    <row r="17" spans="2:4">
      <c r="B17" s="11" t="s">
        <v>3</v>
      </c>
      <c r="C17" s="12"/>
    </row>
    <row r="18" spans="2:4">
      <c r="B18" s="11" t="s">
        <v>4</v>
      </c>
      <c r="C18" s="12" t="s">
        <v>254</v>
      </c>
    </row>
    <row r="19" spans="2:4">
      <c r="B19" s="11" t="s">
        <v>5</v>
      </c>
      <c r="C19" s="12"/>
    </row>
    <row r="20" spans="2:4">
      <c r="B20" s="11" t="s">
        <v>6</v>
      </c>
      <c r="C20" s="94"/>
    </row>
    <row r="21" spans="2:4">
      <c r="B21" s="11" t="s">
        <v>7</v>
      </c>
      <c r="C21" s="12" t="s">
        <v>255</v>
      </c>
    </row>
    <row r="22" spans="2:4">
      <c r="B22" s="11" t="s">
        <v>8</v>
      </c>
      <c r="C22" s="12"/>
    </row>
    <row r="25" spans="2:4" s="10" customFormat="1">
      <c r="B25" s="10" t="s">
        <v>9</v>
      </c>
    </row>
    <row r="27" spans="2:4">
      <c r="B27" s="11" t="s">
        <v>10</v>
      </c>
      <c r="C27" s="12" t="s">
        <v>252</v>
      </c>
    </row>
    <row r="28" spans="2:4">
      <c r="B28" s="12" t="s">
        <v>61</v>
      </c>
      <c r="C28" s="12" t="s">
        <v>252</v>
      </c>
    </row>
    <row r="29" spans="2:4" ht="25.5">
      <c r="B29" s="11" t="s">
        <v>11</v>
      </c>
      <c r="C29" s="12" t="s">
        <v>252</v>
      </c>
    </row>
    <row r="30" spans="2:4">
      <c r="B30" s="11" t="s">
        <v>12</v>
      </c>
      <c r="C30" s="12"/>
    </row>
    <row r="31" spans="2:4">
      <c r="B31" s="11" t="s">
        <v>8</v>
      </c>
      <c r="C31" s="12"/>
    </row>
    <row r="32" spans="2:4">
      <c r="B32" s="25"/>
      <c r="C32" s="25"/>
      <c r="D32" s="7"/>
    </row>
    <row r="33" spans="2:2" s="10" customFormat="1">
      <c r="B33" s="10" t="s">
        <v>13</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
  <sheetViews>
    <sheetView showGridLines="0" zoomScale="85" zoomScaleNormal="85" workbookViewId="0"/>
  </sheetViews>
  <sheetFormatPr defaultColWidth="9.140625" defaultRowHeight="12.75"/>
  <cols>
    <col min="1" max="16384" width="9.140625" style="22"/>
  </cols>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2FDD0-47C4-44A6-9FE8-63A033D4D996}">
  <sheetPr>
    <tabColor rgb="FFFFFFCC"/>
  </sheetPr>
  <dimension ref="B2:S110"/>
  <sheetViews>
    <sheetView showGridLines="0" zoomScale="85" zoomScaleNormal="85" workbookViewId="0">
      <pane xSplit="6" ySplit="8" topLeftCell="G9" activePane="bottomRight" state="frozen"/>
      <selection pane="topRight" activeCell="G1" sqref="G1"/>
      <selection pane="bottomLeft" activeCell="A9" sqref="A9"/>
      <selection pane="bottomRight" activeCell="G9" sqref="G9"/>
    </sheetView>
  </sheetViews>
  <sheetFormatPr defaultRowHeight="12.75"/>
  <cols>
    <col min="1" max="1" width="2.5703125" customWidth="1"/>
    <col min="2" max="2" width="50.5703125" customWidth="1"/>
    <col min="3" max="3" width="3.28515625" customWidth="1"/>
    <col min="4" max="4" width="3.140625" customWidth="1"/>
    <col min="5" max="5" width="3.28515625" customWidth="1"/>
    <col min="8" max="8" width="12.5703125" customWidth="1"/>
    <col min="10" max="10" width="12.42578125" customWidth="1"/>
    <col min="12" max="17" width="12.5703125" customWidth="1"/>
  </cols>
  <sheetData>
    <row r="2" spans="2:19" s="19" customFormat="1" ht="18">
      <c r="B2" s="19" t="s">
        <v>134</v>
      </c>
    </row>
    <row r="3" spans="2:19" s="4" customFormat="1"/>
    <row r="4" spans="2:19" s="4" customFormat="1">
      <c r="B4" s="26" t="s">
        <v>54</v>
      </c>
      <c r="C4" s="3"/>
      <c r="D4" s="3"/>
    </row>
    <row r="5" spans="2:19" s="4" customFormat="1">
      <c r="B5" s="4" t="s">
        <v>135</v>
      </c>
      <c r="H5" s="20"/>
    </row>
    <row r="6" spans="2:19" s="4" customFormat="1">
      <c r="H6" s="20"/>
    </row>
    <row r="7" spans="2:19" s="10" customFormat="1">
      <c r="B7" s="10" t="s">
        <v>43</v>
      </c>
      <c r="F7" s="10" t="s">
        <v>26</v>
      </c>
      <c r="H7" s="10" t="s">
        <v>27</v>
      </c>
      <c r="J7" s="10" t="s">
        <v>46</v>
      </c>
      <c r="L7" s="10" t="s">
        <v>77</v>
      </c>
      <c r="M7" s="10" t="s">
        <v>68</v>
      </c>
      <c r="N7" s="10" t="s">
        <v>69</v>
      </c>
      <c r="O7" s="10" t="s">
        <v>70</v>
      </c>
      <c r="P7" s="10" t="s">
        <v>71</v>
      </c>
      <c r="Q7" s="10" t="s">
        <v>72</v>
      </c>
      <c r="S7" s="10" t="s">
        <v>45</v>
      </c>
    </row>
    <row r="8" spans="2:19" s="4" customFormat="1"/>
    <row r="9" spans="2:19" s="4" customFormat="1"/>
    <row r="10" spans="2:19" s="10" customFormat="1">
      <c r="B10" s="10" t="s">
        <v>188</v>
      </c>
    </row>
    <row r="11" spans="2:19" s="4" customFormat="1"/>
    <row r="12" spans="2:19" s="4" customFormat="1">
      <c r="B12" s="26" t="s">
        <v>102</v>
      </c>
    </row>
    <row r="13" spans="2:19" s="4" customFormat="1"/>
    <row r="14" spans="2:19" s="4" customFormat="1">
      <c r="B14" s="26" t="s">
        <v>103</v>
      </c>
    </row>
    <row r="15" spans="2:19" s="4" customFormat="1">
      <c r="B15" s="63" t="s">
        <v>104</v>
      </c>
      <c r="F15" s="4" t="s">
        <v>81</v>
      </c>
      <c r="J15" s="70">
        <f>SUM(L15:Q15)</f>
        <v>1291123.2394442032</v>
      </c>
      <c r="L15" s="69">
        <f>'Volumes TD 2023'!L15</f>
        <v>16036</v>
      </c>
      <c r="M15" s="69">
        <f>'Volumes TD 2023'!M15</f>
        <v>347685.3776790417</v>
      </c>
      <c r="N15" s="69">
        <f>'Volumes TD 2023'!N15</f>
        <v>458344.19178082194</v>
      </c>
      <c r="O15" s="69">
        <f>'Volumes TD 2023'!O15</f>
        <v>12268.14</v>
      </c>
      <c r="P15" s="69">
        <f>'Volumes TD 2023'!P15</f>
        <v>446799.20999103948</v>
      </c>
      <c r="Q15" s="69">
        <f>'Volumes TD 2023'!Q15</f>
        <v>9990.3199932997923</v>
      </c>
    </row>
    <row r="16" spans="2:19" s="4" customFormat="1">
      <c r="B16" s="63" t="s">
        <v>105</v>
      </c>
      <c r="F16" s="4" t="s">
        <v>81</v>
      </c>
      <c r="J16" s="70">
        <f t="shared" ref="J16:J39" si="0">SUM(L16:Q16)</f>
        <v>5644224.0687873596</v>
      </c>
      <c r="L16" s="69">
        <f>'Volumes TD 2023'!L16</f>
        <v>118989</v>
      </c>
      <c r="M16" s="69">
        <f>'Volumes TD 2023'!M16</f>
        <v>1841210.5407401437</v>
      </c>
      <c r="N16" s="69">
        <f>'Volumes TD 2023'!N16</f>
        <v>1975814.5424312914</v>
      </c>
      <c r="O16" s="69">
        <f>'Volumes TD 2023'!O16</f>
        <v>87210.8</v>
      </c>
      <c r="P16" s="69">
        <f>'Volumes TD 2023'!P16</f>
        <v>1578022.5186379927</v>
      </c>
      <c r="Q16" s="69">
        <f>'Volumes TD 2023'!Q16</f>
        <v>42976.666977931345</v>
      </c>
    </row>
    <row r="17" spans="2:17" s="4" customFormat="1">
      <c r="B17" s="63" t="s">
        <v>106</v>
      </c>
      <c r="F17" s="4" t="s">
        <v>81</v>
      </c>
      <c r="J17" s="70">
        <f t="shared" si="0"/>
        <v>99121.262786333202</v>
      </c>
      <c r="L17" s="69">
        <f>'Volumes TD 2023'!L17</f>
        <v>3098</v>
      </c>
      <c r="M17" s="69">
        <f>'Volumes TD 2023'!M17</f>
        <v>34806.896816182008</v>
      </c>
      <c r="N17" s="69">
        <f>'Volumes TD 2023'!N17</f>
        <v>35413.358921340565</v>
      </c>
      <c r="O17" s="69">
        <f>'Volumes TD 2023'!O17</f>
        <v>2202.04</v>
      </c>
      <c r="P17" s="69">
        <f>'Volumes TD 2023'!P17</f>
        <v>22934.861418330769</v>
      </c>
      <c r="Q17" s="69">
        <f>'Volumes TD 2023'!Q17</f>
        <v>666.10563047986909</v>
      </c>
    </row>
    <row r="18" spans="2:17" s="4" customFormat="1">
      <c r="B18" s="4" t="s">
        <v>107</v>
      </c>
      <c r="F18" s="4" t="s">
        <v>81</v>
      </c>
      <c r="J18" s="70">
        <f t="shared" si="0"/>
        <v>28369.566988084796</v>
      </c>
      <c r="L18" s="69">
        <f>'Volumes TD 2023'!L18</f>
        <v>172</v>
      </c>
      <c r="M18" s="69">
        <f>'Volumes TD 2023'!M18</f>
        <v>7693.1298282183125</v>
      </c>
      <c r="N18" s="69">
        <f>'Volumes TD 2023'!N18</f>
        <v>11651.317808219177</v>
      </c>
      <c r="O18" s="69">
        <f>'Volumes TD 2023'!O18</f>
        <v>616.76</v>
      </c>
      <c r="P18" s="69">
        <f>'Volumes TD 2023'!P18</f>
        <v>7882.5821172555043</v>
      </c>
      <c r="Q18" s="69">
        <f>'Volumes TD 2023'!Q18</f>
        <v>353.77723439180386</v>
      </c>
    </row>
    <row r="19" spans="2:17" s="4" customFormat="1">
      <c r="B19" s="4" t="s">
        <v>108</v>
      </c>
      <c r="F19" s="4" t="s">
        <v>81</v>
      </c>
      <c r="J19" s="70">
        <f t="shared" si="0"/>
        <v>58473.277648498151</v>
      </c>
      <c r="L19" s="69">
        <f>'Volumes TD 2023'!L19</f>
        <v>1770</v>
      </c>
      <c r="M19" s="69">
        <f>'Volumes TD 2023'!M19</f>
        <v>22324.685051607616</v>
      </c>
      <c r="N19" s="69">
        <f>'Volumes TD 2023'!N19</f>
        <v>18988.663010467822</v>
      </c>
      <c r="O19" s="69">
        <f>'Volumes TD 2023'!O19</f>
        <v>840.58</v>
      </c>
      <c r="P19" s="69">
        <f>'Volumes TD 2023'!P19</f>
        <v>14210.092108294933</v>
      </c>
      <c r="Q19" s="69">
        <f>'Volumes TD 2023'!Q19</f>
        <v>339.25747812777536</v>
      </c>
    </row>
    <row r="20" spans="2:17" s="4" customFormat="1">
      <c r="B20" s="4" t="s">
        <v>109</v>
      </c>
      <c r="F20" s="4" t="s">
        <v>81</v>
      </c>
      <c r="J20" s="70">
        <f t="shared" si="0"/>
        <v>22729.963159128118</v>
      </c>
      <c r="L20" s="69">
        <f>'Volumes TD 2023'!L20</f>
        <v>577</v>
      </c>
      <c r="M20" s="69">
        <f>'Volumes TD 2023'!M20</f>
        <v>7864.3687471239982</v>
      </c>
      <c r="N20" s="69">
        <f>'Volumes TD 2023'!N20</f>
        <v>7792.41095890411</v>
      </c>
      <c r="O20" s="69">
        <f>'Volumes TD 2023'!O20</f>
        <v>302.29000000000002</v>
      </c>
      <c r="P20" s="69">
        <f>'Volumes TD 2023'!P20</f>
        <v>5941.2478814644137</v>
      </c>
      <c r="Q20" s="69">
        <f>'Volumes TD 2023'!Q20</f>
        <v>252.64557163559556</v>
      </c>
    </row>
    <row r="21" spans="2:17" s="4" customFormat="1">
      <c r="J21" s="68"/>
      <c r="L21" s="68"/>
      <c r="M21" s="68"/>
      <c r="N21" s="68"/>
      <c r="O21" s="68"/>
      <c r="P21" s="68"/>
      <c r="Q21" s="68"/>
    </row>
    <row r="22" spans="2:17" s="4" customFormat="1">
      <c r="B22" s="3" t="s">
        <v>110</v>
      </c>
      <c r="J22" s="68"/>
      <c r="L22" s="68"/>
      <c r="M22" s="68"/>
      <c r="N22" s="68"/>
      <c r="O22" s="68"/>
      <c r="P22" s="68"/>
      <c r="Q22" s="68"/>
    </row>
    <row r="23" spans="2:17" s="4" customFormat="1">
      <c r="B23" s="4" t="s">
        <v>111</v>
      </c>
      <c r="F23" s="4" t="s">
        <v>81</v>
      </c>
      <c r="J23" s="70">
        <f t="shared" si="0"/>
        <v>8850.2228189042653</v>
      </c>
      <c r="L23" s="69">
        <f>'Volumes TD 2023'!L23</f>
        <v>226</v>
      </c>
      <c r="M23" s="69">
        <f>'Volumes TD 2023'!M23</f>
        <v>2883.5119107479522</v>
      </c>
      <c r="N23" s="69">
        <f>'Volumes TD 2023'!N23</f>
        <v>3145.6325000000011</v>
      </c>
      <c r="O23" s="69">
        <f>'Volumes TD 2023'!O23</f>
        <v>122.25</v>
      </c>
      <c r="P23" s="69">
        <f>'Volumes TD 2023'!P23</f>
        <v>2360.0366666666664</v>
      </c>
      <c r="Q23" s="69">
        <f>'Volumes TD 2023'!Q23</f>
        <v>112.79174148964563</v>
      </c>
    </row>
    <row r="24" spans="2:17" s="4" customFormat="1">
      <c r="B24" s="4" t="s">
        <v>112</v>
      </c>
      <c r="F24" s="4" t="s">
        <v>81</v>
      </c>
      <c r="J24" s="70">
        <f t="shared" si="0"/>
        <v>9525.5688890748552</v>
      </c>
      <c r="L24" s="69">
        <f>'Volumes TD 2023'!L24</f>
        <v>168</v>
      </c>
      <c r="M24" s="69">
        <f>'Volumes TD 2023'!M24</f>
        <v>2885.5124630298105</v>
      </c>
      <c r="N24" s="69">
        <f>'Volumes TD 2023'!N24</f>
        <v>3412.1574999999998</v>
      </c>
      <c r="O24" s="69">
        <f>'Volumes TD 2023'!O24</f>
        <v>118.84</v>
      </c>
      <c r="P24" s="69">
        <f>'Volumes TD 2023'!P24</f>
        <v>2753.4973333333332</v>
      </c>
      <c r="Q24" s="69">
        <f>'Volumes TD 2023'!Q24</f>
        <v>187.56159271171305</v>
      </c>
    </row>
    <row r="25" spans="2:17" s="4" customFormat="1">
      <c r="B25" s="4" t="s">
        <v>113</v>
      </c>
      <c r="F25" s="4" t="s">
        <v>81</v>
      </c>
      <c r="J25" s="70">
        <f t="shared" si="0"/>
        <v>3930.9456021176029</v>
      </c>
      <c r="L25" s="69">
        <f>'Volumes TD 2023'!L25</f>
        <v>50</v>
      </c>
      <c r="M25" s="69">
        <f>'Volumes TD 2023'!M25</f>
        <v>1258.0419717872196</v>
      </c>
      <c r="N25" s="69">
        <f>'Volumes TD 2023'!N25</f>
        <v>1228.135</v>
      </c>
      <c r="O25" s="69">
        <f>'Volumes TD 2023'!O25</f>
        <v>31.17</v>
      </c>
      <c r="P25" s="69">
        <f>'Volumes TD 2023'!P25</f>
        <v>1204.7494444444446</v>
      </c>
      <c r="Q25" s="69">
        <f>'Volumes TD 2023'!Q25</f>
        <v>158.84918588593879</v>
      </c>
    </row>
    <row r="26" spans="2:17" s="4" customFormat="1">
      <c r="B26" s="4" t="s">
        <v>114</v>
      </c>
      <c r="F26" s="4" t="s">
        <v>81</v>
      </c>
      <c r="J26" s="70">
        <f t="shared" si="0"/>
        <v>1149.6160272973843</v>
      </c>
      <c r="L26" s="69">
        <f>'Volumes TD 2023'!L26</f>
        <v>29</v>
      </c>
      <c r="M26" s="69">
        <f>'Volumes TD 2023'!M26</f>
        <v>389.75930712877289</v>
      </c>
      <c r="N26" s="69">
        <f>'Volumes TD 2023'!N26</f>
        <v>361.73916666666668</v>
      </c>
      <c r="O26" s="69">
        <f>'Volumes TD 2023'!O26</f>
        <v>17.78</v>
      </c>
      <c r="P26" s="69">
        <f>'Volumes TD 2023'!P26</f>
        <v>272.995</v>
      </c>
      <c r="Q26" s="69">
        <f>'Volumes TD 2023'!Q26</f>
        <v>78.342553501944636</v>
      </c>
    </row>
    <row r="27" spans="2:17" s="4" customFormat="1">
      <c r="B27" s="4" t="s">
        <v>115</v>
      </c>
      <c r="F27" s="4" t="s">
        <v>81</v>
      </c>
      <c r="J27" s="70">
        <f t="shared" si="0"/>
        <v>485.9099930192192</v>
      </c>
      <c r="L27" s="69">
        <f>'Volumes TD 2023'!L27</f>
        <v>10</v>
      </c>
      <c r="M27" s="69">
        <f>'Volumes TD 2023'!M27</f>
        <v>175.68812216401685</v>
      </c>
      <c r="N27" s="69">
        <f>'Volumes TD 2023'!N27</f>
        <v>75.592500000000015</v>
      </c>
      <c r="O27" s="69">
        <f>'Volumes TD 2023'!O27</f>
        <v>3.04</v>
      </c>
      <c r="P27" s="69">
        <f>'Volumes TD 2023'!P27</f>
        <v>198.42666666666668</v>
      </c>
      <c r="Q27" s="69">
        <f>'Volumes TD 2023'!Q27</f>
        <v>23.162704188535638</v>
      </c>
    </row>
    <row r="28" spans="2:17" s="4" customFormat="1">
      <c r="J28" s="68"/>
      <c r="L28" s="68"/>
      <c r="M28" s="68"/>
      <c r="N28" s="68"/>
      <c r="O28" s="68"/>
      <c r="P28" s="68"/>
      <c r="Q28" s="68"/>
    </row>
    <row r="29" spans="2:17" s="4" customFormat="1">
      <c r="B29" s="26" t="s">
        <v>116</v>
      </c>
      <c r="J29" s="68"/>
      <c r="L29" s="68"/>
      <c r="M29" s="68"/>
      <c r="N29" s="68"/>
      <c r="O29" s="68"/>
      <c r="P29" s="68"/>
      <c r="Q29" s="68"/>
    </row>
    <row r="30" spans="2:17" s="4" customFormat="1">
      <c r="J30" s="68"/>
      <c r="L30" s="68"/>
      <c r="M30" s="68"/>
      <c r="N30" s="68"/>
      <c r="O30" s="68"/>
      <c r="P30" s="68"/>
      <c r="Q30" s="68"/>
    </row>
    <row r="31" spans="2:17" s="4" customFormat="1">
      <c r="B31" s="4" t="s">
        <v>117</v>
      </c>
      <c r="F31" s="4" t="s">
        <v>81</v>
      </c>
      <c r="J31" s="70">
        <f t="shared" si="0"/>
        <v>8280.5852758514411</v>
      </c>
      <c r="L31" s="69">
        <f>'Volumes TD 2023'!L31</f>
        <v>121</v>
      </c>
      <c r="M31" s="69">
        <f>'Volumes TD 2023'!M31</f>
        <v>2579.748553758629</v>
      </c>
      <c r="N31" s="69">
        <f>'Volumes TD 2023'!N31</f>
        <v>2770.2975000000006</v>
      </c>
      <c r="O31" s="69">
        <f>'Volumes TD 2023'!O31</f>
        <v>88.712999999999994</v>
      </c>
      <c r="P31" s="69">
        <f>'Volumes TD 2023'!P31</f>
        <v>2036.9535419126325</v>
      </c>
      <c r="Q31" s="69">
        <f>'Volumes TD 2023'!Q31</f>
        <v>683.87268018018017</v>
      </c>
    </row>
    <row r="32" spans="2:17" s="4" customFormat="1">
      <c r="J32" s="68"/>
      <c r="L32" s="68"/>
      <c r="M32" s="68"/>
      <c r="N32" s="68"/>
      <c r="O32" s="68"/>
      <c r="P32" s="68"/>
      <c r="Q32" s="68"/>
    </row>
    <row r="33" spans="2:19" s="4" customFormat="1">
      <c r="B33" s="26" t="s">
        <v>118</v>
      </c>
      <c r="J33" s="68"/>
      <c r="L33" s="68"/>
      <c r="M33" s="68"/>
      <c r="N33" s="68"/>
      <c r="O33" s="68"/>
      <c r="P33" s="68"/>
      <c r="Q33" s="68"/>
    </row>
    <row r="34" spans="2:19" s="4" customFormat="1">
      <c r="J34" s="68"/>
      <c r="L34" s="68"/>
      <c r="M34" s="68"/>
      <c r="N34" s="68"/>
      <c r="O34" s="68"/>
      <c r="P34" s="68"/>
      <c r="Q34" s="68"/>
    </row>
    <row r="35" spans="2:19" s="4" customFormat="1">
      <c r="B35" s="26" t="s">
        <v>117</v>
      </c>
      <c r="J35" s="68"/>
      <c r="L35" s="68"/>
      <c r="M35" s="68"/>
      <c r="N35" s="68"/>
      <c r="O35" s="68"/>
      <c r="P35" s="68"/>
      <c r="Q35" s="68"/>
    </row>
    <row r="36" spans="2:19" s="4" customFormat="1">
      <c r="B36" s="4" t="s">
        <v>98</v>
      </c>
      <c r="F36" s="4" t="s">
        <v>81</v>
      </c>
      <c r="J36" s="70">
        <f t="shared" si="0"/>
        <v>679554.31416666671</v>
      </c>
      <c r="L36" s="69">
        <f>'Volumes TD 2023'!L36</f>
        <v>22564</v>
      </c>
      <c r="M36" s="69">
        <f>'Volumes TD 2023'!M36</f>
        <v>0</v>
      </c>
      <c r="N36" s="69">
        <f>'Volumes TD 2023'!N36</f>
        <v>631815.51416666666</v>
      </c>
      <c r="O36" s="69">
        <f>'Volumes TD 2023'!O36</f>
        <v>25174.799999999999</v>
      </c>
      <c r="P36" s="69">
        <f>'Volumes TD 2023'!P36</f>
        <v>0</v>
      </c>
      <c r="Q36" s="69">
        <f>'Volumes TD 2023'!Q36</f>
        <v>0</v>
      </c>
    </row>
    <row r="37" spans="2:19" s="4" customFormat="1">
      <c r="B37" s="4" t="s">
        <v>99</v>
      </c>
      <c r="F37" s="4" t="s">
        <v>81</v>
      </c>
      <c r="J37" s="70">
        <f t="shared" si="0"/>
        <v>123997.04916666666</v>
      </c>
      <c r="L37" s="69">
        <f>'Volumes TD 2023'!L37</f>
        <v>6941</v>
      </c>
      <c r="M37" s="69">
        <f>'Volumes TD 2023'!M37</f>
        <v>0</v>
      </c>
      <c r="N37" s="69">
        <f>'Volumes TD 2023'!N37</f>
        <v>114152.84916666667</v>
      </c>
      <c r="O37" s="69">
        <f>'Volumes TD 2023'!O37</f>
        <v>2903.2</v>
      </c>
      <c r="P37" s="69">
        <f>'Volumes TD 2023'!P37</f>
        <v>0</v>
      </c>
      <c r="Q37" s="69">
        <f>'Volumes TD 2023'!Q37</f>
        <v>0</v>
      </c>
    </row>
    <row r="38" spans="2:19" s="4" customFormat="1">
      <c r="J38" s="68"/>
      <c r="K38" s="68"/>
      <c r="L38" s="68"/>
      <c r="M38" s="68"/>
      <c r="N38" s="68"/>
      <c r="O38" s="68"/>
      <c r="P38" s="68"/>
      <c r="Q38" s="68"/>
      <c r="R38" s="68"/>
      <c r="S38" s="68"/>
    </row>
    <row r="39" spans="2:19" s="4" customFormat="1">
      <c r="B39" s="4" t="s">
        <v>100</v>
      </c>
      <c r="F39" s="4" t="s">
        <v>81</v>
      </c>
      <c r="J39" s="70">
        <f t="shared" si="0"/>
        <v>1707023.0259445279</v>
      </c>
      <c r="L39" s="69">
        <f>'Volumes TD 2023'!L39</f>
        <v>0</v>
      </c>
      <c r="M39" s="69">
        <f>'Volumes TD 2023'!M39</f>
        <v>752800.60098651855</v>
      </c>
      <c r="N39" s="69">
        <f>'Volumes TD 2023'!N39</f>
        <v>0</v>
      </c>
      <c r="O39" s="69">
        <f>'Volumes TD 2023'!O39</f>
        <v>0</v>
      </c>
      <c r="P39" s="69">
        <f>'Volumes TD 2023'!P39</f>
        <v>645622.89263235836</v>
      </c>
      <c r="Q39" s="69">
        <f>'Volumes TD 2023'!Q39</f>
        <v>308599.53232565097</v>
      </c>
    </row>
    <row r="40" spans="2:19" s="4" customFormat="1"/>
    <row r="41" spans="2:19" s="10" customFormat="1">
      <c r="B41" s="10" t="s">
        <v>189</v>
      </c>
    </row>
    <row r="42" spans="2:19" s="4" customFormat="1"/>
    <row r="43" spans="2:19" s="4" customFormat="1">
      <c r="B43" s="26" t="s">
        <v>102</v>
      </c>
    </row>
    <row r="44" spans="2:19" s="4" customFormat="1"/>
    <row r="45" spans="2:19" s="4" customFormat="1">
      <c r="B45" s="26" t="s">
        <v>103</v>
      </c>
    </row>
    <row r="46" spans="2:19" s="4" customFormat="1">
      <c r="B46" s="63" t="s">
        <v>104</v>
      </c>
      <c r="J46" s="70">
        <f>SUM(L46:Q46)</f>
        <v>0</v>
      </c>
      <c r="L46" s="69">
        <f>Invoeding!L22</f>
        <v>0</v>
      </c>
      <c r="M46" s="69">
        <f>Invoeding!M22</f>
        <v>0</v>
      </c>
      <c r="N46" s="69">
        <f>Invoeding!N22</f>
        <v>0</v>
      </c>
      <c r="O46" s="69">
        <f>Invoeding!O22</f>
        <v>0</v>
      </c>
      <c r="P46" s="69">
        <f>Invoeding!P22</f>
        <v>0</v>
      </c>
      <c r="Q46" s="69">
        <f>Invoeding!Q22</f>
        <v>0</v>
      </c>
    </row>
    <row r="47" spans="2:19" s="4" customFormat="1">
      <c r="B47" s="63" t="s">
        <v>105</v>
      </c>
      <c r="J47" s="70">
        <f t="shared" ref="J47:J66" si="1">SUM(L47:Q47)</f>
        <v>0</v>
      </c>
      <c r="L47" s="69">
        <f>Invoeding!L23</f>
        <v>0</v>
      </c>
      <c r="M47" s="69">
        <f>Invoeding!M23</f>
        <v>0</v>
      </c>
      <c r="N47" s="69">
        <f>Invoeding!N23</f>
        <v>0</v>
      </c>
      <c r="O47" s="69">
        <f>Invoeding!O23</f>
        <v>0</v>
      </c>
      <c r="P47" s="69">
        <f>Invoeding!P23</f>
        <v>0</v>
      </c>
      <c r="Q47" s="69">
        <f>Invoeding!Q23</f>
        <v>0</v>
      </c>
    </row>
    <row r="48" spans="2:19" s="4" customFormat="1">
      <c r="B48" s="63" t="s">
        <v>106</v>
      </c>
      <c r="J48" s="70">
        <f t="shared" si="1"/>
        <v>0</v>
      </c>
      <c r="L48" s="69">
        <f>Invoeding!L24</f>
        <v>0</v>
      </c>
      <c r="M48" s="69">
        <f>Invoeding!M24</f>
        <v>0</v>
      </c>
      <c r="N48" s="69">
        <f>Invoeding!N24</f>
        <v>0</v>
      </c>
      <c r="O48" s="69">
        <f>Invoeding!O24</f>
        <v>0</v>
      </c>
      <c r="P48" s="69">
        <f>Invoeding!P24</f>
        <v>0</v>
      </c>
      <c r="Q48" s="69">
        <f>Invoeding!Q24</f>
        <v>0</v>
      </c>
    </row>
    <row r="49" spans="2:17" s="4" customFormat="1">
      <c r="B49" s="4" t="s">
        <v>107</v>
      </c>
      <c r="J49" s="70">
        <f t="shared" si="1"/>
        <v>0</v>
      </c>
      <c r="L49" s="69">
        <f>Invoeding!L25</f>
        <v>0</v>
      </c>
      <c r="M49" s="69">
        <f>Invoeding!M25</f>
        <v>0</v>
      </c>
      <c r="N49" s="69">
        <f>Invoeding!N25</f>
        <v>0</v>
      </c>
      <c r="O49" s="69">
        <f>Invoeding!O25</f>
        <v>0</v>
      </c>
      <c r="P49" s="69">
        <f>Invoeding!P25</f>
        <v>0</v>
      </c>
      <c r="Q49" s="69">
        <f>Invoeding!Q25</f>
        <v>0</v>
      </c>
    </row>
    <row r="50" spans="2:17" s="4" customFormat="1">
      <c r="B50" s="4" t="s">
        <v>108</v>
      </c>
      <c r="J50" s="70">
        <f t="shared" si="1"/>
        <v>0</v>
      </c>
      <c r="L50" s="69">
        <f>Invoeding!L26</f>
        <v>0</v>
      </c>
      <c r="M50" s="69">
        <f>Invoeding!M26</f>
        <v>0</v>
      </c>
      <c r="N50" s="69">
        <f>Invoeding!N26</f>
        <v>0</v>
      </c>
      <c r="O50" s="69">
        <f>Invoeding!O26</f>
        <v>0</v>
      </c>
      <c r="P50" s="69">
        <f>Invoeding!P26</f>
        <v>0</v>
      </c>
      <c r="Q50" s="69">
        <f>Invoeding!Q26</f>
        <v>0</v>
      </c>
    </row>
    <row r="51" spans="2:17" s="4" customFormat="1">
      <c r="B51" s="4" t="s">
        <v>109</v>
      </c>
      <c r="J51" s="70">
        <f t="shared" si="1"/>
        <v>1</v>
      </c>
      <c r="L51" s="69">
        <f>Invoeding!L27</f>
        <v>0</v>
      </c>
      <c r="M51" s="69">
        <f>Invoeding!M27</f>
        <v>0</v>
      </c>
      <c r="N51" s="69">
        <f>Invoeding!N27</f>
        <v>0</v>
      </c>
      <c r="O51" s="69">
        <f>Invoeding!O27</f>
        <v>0</v>
      </c>
      <c r="P51" s="69">
        <f>Invoeding!P27</f>
        <v>1</v>
      </c>
      <c r="Q51" s="69">
        <f>Invoeding!Q27</f>
        <v>0</v>
      </c>
    </row>
    <row r="52" spans="2:17" s="4" customFormat="1">
      <c r="B52" s="65"/>
      <c r="J52" s="68"/>
      <c r="L52" s="68"/>
      <c r="M52" s="68"/>
      <c r="N52" s="68"/>
      <c r="O52" s="68"/>
      <c r="P52" s="68"/>
      <c r="Q52" s="68"/>
    </row>
    <row r="53" spans="2:17" s="4" customFormat="1">
      <c r="B53" s="3" t="s">
        <v>110</v>
      </c>
      <c r="J53" s="68"/>
      <c r="L53" s="68"/>
      <c r="M53" s="68"/>
      <c r="N53" s="68"/>
      <c r="O53" s="68"/>
      <c r="P53" s="68"/>
      <c r="Q53" s="68"/>
    </row>
    <row r="54" spans="2:17" s="4" customFormat="1">
      <c r="B54" s="4" t="s">
        <v>111</v>
      </c>
      <c r="J54" s="70">
        <f t="shared" si="1"/>
        <v>0</v>
      </c>
      <c r="L54" s="69">
        <f>Invoeding!L30</f>
        <v>0</v>
      </c>
      <c r="M54" s="69">
        <f>Invoeding!M30</f>
        <v>0</v>
      </c>
      <c r="N54" s="69">
        <f>Invoeding!N30</f>
        <v>0</v>
      </c>
      <c r="O54" s="69">
        <f>Invoeding!O30</f>
        <v>0</v>
      </c>
      <c r="P54" s="69">
        <f>Invoeding!P30</f>
        <v>0</v>
      </c>
      <c r="Q54" s="69">
        <f>Invoeding!Q30</f>
        <v>0</v>
      </c>
    </row>
    <row r="55" spans="2:17" s="4" customFormat="1">
      <c r="B55" s="4" t="s">
        <v>112</v>
      </c>
      <c r="J55" s="70">
        <f t="shared" si="1"/>
        <v>0</v>
      </c>
      <c r="L55" s="69">
        <f>Invoeding!L31</f>
        <v>0</v>
      </c>
      <c r="M55" s="69">
        <f>Invoeding!M31</f>
        <v>0</v>
      </c>
      <c r="N55" s="69">
        <f>Invoeding!N31</f>
        <v>0</v>
      </c>
      <c r="O55" s="69">
        <f>Invoeding!O31</f>
        <v>0</v>
      </c>
      <c r="P55" s="69">
        <f>Invoeding!P31</f>
        <v>0</v>
      </c>
      <c r="Q55" s="69">
        <f>Invoeding!Q31</f>
        <v>0</v>
      </c>
    </row>
    <row r="56" spans="2:17" s="4" customFormat="1">
      <c r="B56" s="4" t="s">
        <v>113</v>
      </c>
      <c r="J56" s="70">
        <f t="shared" si="1"/>
        <v>0</v>
      </c>
      <c r="L56" s="69">
        <f>Invoeding!L32</f>
        <v>0</v>
      </c>
      <c r="M56" s="69">
        <f>Invoeding!M32</f>
        <v>0</v>
      </c>
      <c r="N56" s="69">
        <f>Invoeding!N32</f>
        <v>0</v>
      </c>
      <c r="O56" s="69">
        <f>Invoeding!O32</f>
        <v>0</v>
      </c>
      <c r="P56" s="69">
        <f>Invoeding!P32</f>
        <v>0</v>
      </c>
      <c r="Q56" s="69">
        <f>Invoeding!Q32</f>
        <v>0</v>
      </c>
    </row>
    <row r="57" spans="2:17" s="4" customFormat="1">
      <c r="B57" s="4" t="s">
        <v>114</v>
      </c>
      <c r="J57" s="70">
        <f t="shared" si="1"/>
        <v>0</v>
      </c>
      <c r="L57" s="69">
        <f>Invoeding!L33</f>
        <v>0</v>
      </c>
      <c r="M57" s="69">
        <f>Invoeding!M33</f>
        <v>0</v>
      </c>
      <c r="N57" s="69">
        <f>Invoeding!N33</f>
        <v>0</v>
      </c>
      <c r="O57" s="69">
        <f>Invoeding!O33</f>
        <v>0</v>
      </c>
      <c r="P57" s="69">
        <f>Invoeding!P33</f>
        <v>0</v>
      </c>
      <c r="Q57" s="69">
        <f>Invoeding!Q33</f>
        <v>0</v>
      </c>
    </row>
    <row r="58" spans="2:17" s="4" customFormat="1">
      <c r="B58" s="4" t="s">
        <v>115</v>
      </c>
      <c r="J58" s="70">
        <f t="shared" si="1"/>
        <v>0</v>
      </c>
      <c r="L58" s="69">
        <f>Invoeding!L34</f>
        <v>0</v>
      </c>
      <c r="M58" s="69">
        <f>Invoeding!M34</f>
        <v>0</v>
      </c>
      <c r="N58" s="69">
        <f>Invoeding!N34</f>
        <v>0</v>
      </c>
      <c r="O58" s="69">
        <f>Invoeding!O34</f>
        <v>0</v>
      </c>
      <c r="P58" s="69">
        <f>Invoeding!P34</f>
        <v>0</v>
      </c>
      <c r="Q58" s="69">
        <f>Invoeding!Q34</f>
        <v>0</v>
      </c>
    </row>
    <row r="59" spans="2:17" s="4" customFormat="1">
      <c r="J59" s="68"/>
      <c r="L59" s="68"/>
      <c r="M59" s="68"/>
      <c r="N59" s="68"/>
      <c r="O59" s="68"/>
      <c r="P59" s="68"/>
      <c r="Q59" s="68"/>
    </row>
    <row r="60" spans="2:17" s="4" customFormat="1">
      <c r="B60" s="26" t="s">
        <v>143</v>
      </c>
      <c r="J60" s="68"/>
      <c r="L60" s="68"/>
      <c r="M60" s="68"/>
      <c r="N60" s="68"/>
      <c r="O60" s="68"/>
      <c r="P60" s="68"/>
      <c r="Q60" s="68"/>
    </row>
    <row r="61" spans="2:17" s="4" customFormat="1">
      <c r="J61" s="68"/>
      <c r="L61" s="68"/>
      <c r="M61" s="68"/>
      <c r="N61" s="68"/>
      <c r="O61" s="68"/>
      <c r="P61" s="68"/>
      <c r="Q61" s="68"/>
    </row>
    <row r="62" spans="2:17" s="4" customFormat="1">
      <c r="B62" s="26" t="s">
        <v>117</v>
      </c>
      <c r="J62" s="68"/>
      <c r="L62" s="68"/>
      <c r="M62" s="68"/>
      <c r="N62" s="68"/>
      <c r="O62" s="68"/>
      <c r="P62" s="68"/>
      <c r="Q62" s="68"/>
    </row>
    <row r="63" spans="2:17" s="4" customFormat="1">
      <c r="B63" s="4" t="s">
        <v>98</v>
      </c>
      <c r="J63" s="70">
        <f t="shared" si="1"/>
        <v>13962.079897640033</v>
      </c>
      <c r="L63" s="78">
        <f>Invoeding!L39</f>
        <v>4052</v>
      </c>
      <c r="M63" s="78">
        <f>Invoeding!M39</f>
        <v>0</v>
      </c>
      <c r="N63" s="78">
        <f>Invoeding!N39</f>
        <v>0</v>
      </c>
      <c r="O63" s="78">
        <f>Invoeding!O39</f>
        <v>5003</v>
      </c>
      <c r="P63" s="78">
        <f>Invoeding!P39</f>
        <v>4907.0798976400338</v>
      </c>
      <c r="Q63" s="78">
        <f>Invoeding!Q39</f>
        <v>0</v>
      </c>
    </row>
    <row r="64" spans="2:17" s="4" customFormat="1">
      <c r="B64" s="4" t="s">
        <v>99</v>
      </c>
      <c r="J64" s="70">
        <f t="shared" si="1"/>
        <v>178</v>
      </c>
      <c r="L64" s="78">
        <f>Invoeding!L40</f>
        <v>178</v>
      </c>
      <c r="M64" s="78">
        <f>Invoeding!M40</f>
        <v>0</v>
      </c>
      <c r="N64" s="78">
        <f>Invoeding!N40</f>
        <v>0</v>
      </c>
      <c r="O64" s="78">
        <f>Invoeding!O40</f>
        <v>0</v>
      </c>
      <c r="P64" s="78">
        <f>Invoeding!P40</f>
        <v>0</v>
      </c>
      <c r="Q64" s="78">
        <f>Invoeding!Q40</f>
        <v>0</v>
      </c>
    </row>
    <row r="65" spans="2:17" s="4" customFormat="1">
      <c r="J65" s="68"/>
      <c r="L65" s="68"/>
      <c r="M65" s="68"/>
      <c r="N65" s="68"/>
      <c r="O65" s="68"/>
      <c r="P65" s="68"/>
      <c r="Q65" s="68"/>
    </row>
    <row r="66" spans="2:17" s="4" customFormat="1">
      <c r="B66" s="4" t="s">
        <v>100</v>
      </c>
      <c r="J66" s="70">
        <f t="shared" si="1"/>
        <v>36660.403468865508</v>
      </c>
      <c r="L66" s="69">
        <f>Invoeding!L42</f>
        <v>0</v>
      </c>
      <c r="M66" s="69">
        <f>Invoeding!M42</f>
        <v>20749</v>
      </c>
      <c r="N66" s="69">
        <f>Invoeding!N42</f>
        <v>15118</v>
      </c>
      <c r="O66" s="69">
        <f>Invoeding!O42</f>
        <v>0</v>
      </c>
      <c r="P66" s="69">
        <f>Invoeding!P42</f>
        <v>0</v>
      </c>
      <c r="Q66" s="69">
        <f>Invoeding!Q42</f>
        <v>793.40346886551038</v>
      </c>
    </row>
    <row r="67" spans="2:17" s="4" customFormat="1"/>
    <row r="68" spans="2:17" s="10" customFormat="1">
      <c r="B68" s="10" t="s">
        <v>144</v>
      </c>
    </row>
    <row r="69" spans="2:17" s="4" customFormat="1"/>
    <row r="70" spans="2:17" s="4" customFormat="1">
      <c r="B70" s="63" t="s">
        <v>227</v>
      </c>
      <c r="F70" s="4" t="s">
        <v>150</v>
      </c>
      <c r="J70" s="70">
        <f>SUM(L70:Q70)</f>
        <v>1518.72765</v>
      </c>
      <c r="L70" s="69">
        <f>Invoeding!L46</f>
        <v>0</v>
      </c>
      <c r="M70" s="69">
        <f>Invoeding!M46</f>
        <v>1518.72765</v>
      </c>
      <c r="N70" s="69">
        <f>Invoeding!N46</f>
        <v>0</v>
      </c>
      <c r="O70" s="69">
        <f>Invoeding!O46</f>
        <v>0</v>
      </c>
      <c r="P70" s="69">
        <f>Invoeding!P46</f>
        <v>0</v>
      </c>
      <c r="Q70" s="69">
        <f>Invoeding!Q46</f>
        <v>0</v>
      </c>
    </row>
    <row r="71" spans="2:17" s="4" customFormat="1"/>
    <row r="72" spans="2:17" s="10" customFormat="1">
      <c r="B72" s="10" t="s">
        <v>119</v>
      </c>
    </row>
    <row r="74" spans="2:17">
      <c r="B74" s="26" t="s">
        <v>103</v>
      </c>
      <c r="C74" s="4"/>
      <c r="D74" s="4"/>
      <c r="E74" s="4"/>
      <c r="F74" s="4"/>
    </row>
    <row r="75" spans="2:17">
      <c r="B75" s="4" t="s">
        <v>104</v>
      </c>
      <c r="C75" s="4"/>
      <c r="D75" s="4"/>
      <c r="E75" s="4"/>
      <c r="F75" s="4" t="s">
        <v>81</v>
      </c>
      <c r="H75" s="72">
        <f>'Volumes TD 2023'!H44</f>
        <v>1.5</v>
      </c>
    </row>
    <row r="76" spans="2:17">
      <c r="B76" s="4" t="s">
        <v>105</v>
      </c>
      <c r="C76" s="4"/>
      <c r="D76" s="4"/>
      <c r="E76" s="4"/>
      <c r="F76" s="4" t="s">
        <v>81</v>
      </c>
      <c r="H76" s="72">
        <f>'Volumes TD 2023'!H45</f>
        <v>3</v>
      </c>
    </row>
    <row r="77" spans="2:17">
      <c r="B77" s="4" t="s">
        <v>106</v>
      </c>
      <c r="C77" s="4"/>
      <c r="D77" s="4"/>
      <c r="E77" s="4"/>
      <c r="F77" s="4" t="s">
        <v>81</v>
      </c>
      <c r="H77" s="72">
        <f>'Volumes TD 2023'!H46</f>
        <v>6</v>
      </c>
    </row>
    <row r="78" spans="2:17">
      <c r="B78" s="4" t="s">
        <v>120</v>
      </c>
      <c r="C78" s="4"/>
      <c r="D78" s="4"/>
      <c r="E78" s="4"/>
      <c r="F78" s="4" t="s">
        <v>81</v>
      </c>
      <c r="H78" s="72">
        <f>'Volumes TD 2023'!H47</f>
        <v>10</v>
      </c>
    </row>
    <row r="79" spans="2:17">
      <c r="B79" s="4" t="s">
        <v>121</v>
      </c>
      <c r="C79" s="4"/>
      <c r="D79" s="4"/>
      <c r="E79" s="4"/>
      <c r="F79" s="4" t="s">
        <v>81</v>
      </c>
      <c r="H79" s="72">
        <f>'Volumes TD 2023'!H48</f>
        <v>16</v>
      </c>
    </row>
    <row r="80" spans="2:17">
      <c r="B80" s="4" t="s">
        <v>122</v>
      </c>
      <c r="C80" s="4"/>
      <c r="D80" s="4"/>
      <c r="E80" s="4"/>
      <c r="F80" s="4" t="s">
        <v>81</v>
      </c>
      <c r="H80" s="72">
        <f>'Volumes TD 2023'!H49</f>
        <v>25</v>
      </c>
    </row>
    <row r="81" spans="2:17">
      <c r="B81" s="4"/>
      <c r="C81" s="4"/>
      <c r="D81" s="4"/>
      <c r="E81" s="4"/>
      <c r="F81" s="4"/>
    </row>
    <row r="82" spans="2:17">
      <c r="B82" s="3" t="s">
        <v>110</v>
      </c>
      <c r="C82" s="4"/>
      <c r="D82" s="4"/>
      <c r="E82" s="4"/>
      <c r="F82" s="4"/>
    </row>
    <row r="83" spans="2:17">
      <c r="B83" s="4" t="s">
        <v>123</v>
      </c>
      <c r="C83" s="4"/>
      <c r="D83" s="4"/>
      <c r="E83" s="4"/>
      <c r="F83" s="4" t="s">
        <v>81</v>
      </c>
      <c r="H83" s="72">
        <f>'Volumes TD 2023'!H52</f>
        <v>40</v>
      </c>
    </row>
    <row r="84" spans="2:17">
      <c r="B84" s="4" t="s">
        <v>124</v>
      </c>
      <c r="C84" s="4"/>
      <c r="D84" s="4"/>
      <c r="E84" s="4"/>
      <c r="F84" s="4" t="s">
        <v>81</v>
      </c>
      <c r="H84" s="72">
        <f>'Volumes TD 2023'!H53</f>
        <v>65</v>
      </c>
    </row>
    <row r="85" spans="2:17">
      <c r="B85" s="4" t="s">
        <v>125</v>
      </c>
      <c r="C85" s="4"/>
      <c r="D85" s="4"/>
      <c r="E85" s="4"/>
      <c r="F85" s="4" t="s">
        <v>81</v>
      </c>
      <c r="H85" s="72">
        <f>'Volumes TD 2023'!H54</f>
        <v>100</v>
      </c>
    </row>
    <row r="86" spans="2:17">
      <c r="B86" s="4" t="s">
        <v>126</v>
      </c>
      <c r="C86" s="4"/>
      <c r="D86" s="4"/>
      <c r="E86" s="4"/>
      <c r="F86" s="4" t="s">
        <v>81</v>
      </c>
      <c r="H86" s="72">
        <f>'Volumes TD 2023'!H55</f>
        <v>160</v>
      </c>
    </row>
    <row r="87" spans="2:17">
      <c r="B87" s="4" t="s">
        <v>127</v>
      </c>
      <c r="C87" s="4"/>
      <c r="D87" s="4"/>
      <c r="E87" s="4"/>
      <c r="F87" s="4" t="s">
        <v>81</v>
      </c>
      <c r="H87" s="72">
        <f>'Volumes TD 2023'!H56</f>
        <v>250</v>
      </c>
    </row>
    <row r="89" spans="2:17" s="10" customFormat="1">
      <c r="B89" s="10" t="s">
        <v>190</v>
      </c>
    </row>
    <row r="91" spans="2:17">
      <c r="B91" s="3" t="s">
        <v>93</v>
      </c>
      <c r="C91" s="4"/>
      <c r="D91" s="4"/>
      <c r="E91" s="4"/>
      <c r="F91" s="4"/>
    </row>
    <row r="92" spans="2:17">
      <c r="B92" s="4" t="s">
        <v>94</v>
      </c>
      <c r="C92" s="4"/>
      <c r="D92" s="4"/>
      <c r="E92" s="4"/>
      <c r="F92" s="4" t="s">
        <v>81</v>
      </c>
      <c r="J92" s="74">
        <f>SUM(L92:Q92)</f>
        <v>7144041.3788136076</v>
      </c>
      <c r="L92" s="74">
        <f t="shared" ref="L92:Q92" si="2">SUM(L15:L20)</f>
        <v>140642</v>
      </c>
      <c r="M92" s="74">
        <f t="shared" si="2"/>
        <v>2261584.9988623173</v>
      </c>
      <c r="N92" s="74">
        <f t="shared" si="2"/>
        <v>2508004.4849110455</v>
      </c>
      <c r="O92" s="74">
        <f t="shared" si="2"/>
        <v>103440.60999999999</v>
      </c>
      <c r="P92" s="74">
        <f t="shared" si="2"/>
        <v>2075790.5121543778</v>
      </c>
      <c r="Q92" s="74">
        <f t="shared" si="2"/>
        <v>54578.772885866172</v>
      </c>
    </row>
    <row r="93" spans="2:17">
      <c r="B93" s="4" t="s">
        <v>95</v>
      </c>
      <c r="C93" s="4"/>
      <c r="D93" s="4"/>
      <c r="E93" s="4"/>
      <c r="F93" s="4" t="s">
        <v>81</v>
      </c>
      <c r="J93" s="74">
        <f t="shared" ref="J93:J104" si="3">SUM(L93:Q93)</f>
        <v>21251601.833481401</v>
      </c>
      <c r="L93" s="74">
        <f t="shared" ref="L93:Q93" si="4">SUMPRODUCT(L15:L20,$H$75:$H$80)</f>
        <v>444074</v>
      </c>
      <c r="M93" s="74">
        <f t="shared" si="4"/>
        <v>6884736.5474220905</v>
      </c>
      <c r="N93" s="74">
        <f t="shared" si="4"/>
        <v>7442582.1287154295</v>
      </c>
      <c r="O93" s="74">
        <f t="shared" si="4"/>
        <v>320420.98000000004</v>
      </c>
      <c r="P93" s="74">
        <f t="shared" si="4"/>
        <v>5996594.0313524064</v>
      </c>
      <c r="Q93" s="74">
        <f t="shared" si="4"/>
        <v>163194.14599147532</v>
      </c>
    </row>
    <row r="94" spans="2:17">
      <c r="B94" s="4"/>
      <c r="C94" s="4"/>
      <c r="D94" s="4"/>
      <c r="E94" s="4"/>
      <c r="F94" s="4"/>
      <c r="J94" s="73"/>
    </row>
    <row r="95" spans="2:17">
      <c r="B95" s="3" t="s">
        <v>96</v>
      </c>
      <c r="C95" s="4"/>
      <c r="D95" s="4"/>
      <c r="E95" s="4"/>
      <c r="F95" s="4"/>
      <c r="J95" s="73"/>
    </row>
    <row r="96" spans="2:17">
      <c r="B96" s="4" t="s">
        <v>94</v>
      </c>
      <c r="C96" s="4"/>
      <c r="D96" s="4"/>
      <c r="E96" s="4"/>
      <c r="F96" s="4" t="s">
        <v>81</v>
      </c>
      <c r="J96" s="74">
        <f t="shared" si="3"/>
        <v>23942.263330413331</v>
      </c>
      <c r="L96" s="74">
        <f t="shared" ref="L96:Q96" si="5">SUM(L23:L27)</f>
        <v>483</v>
      </c>
      <c r="M96" s="74">
        <f t="shared" si="5"/>
        <v>7592.5137748577727</v>
      </c>
      <c r="N96" s="74">
        <f t="shared" si="5"/>
        <v>8223.256666666668</v>
      </c>
      <c r="O96" s="74">
        <f t="shared" si="5"/>
        <v>293.08</v>
      </c>
      <c r="P96" s="74">
        <f t="shared" si="5"/>
        <v>6789.7051111111105</v>
      </c>
      <c r="Q96" s="74">
        <f t="shared" si="5"/>
        <v>560.70777777777766</v>
      </c>
    </row>
    <row r="97" spans="2:19">
      <c r="B97" s="4" t="s">
        <v>95</v>
      </c>
      <c r="C97" s="4"/>
      <c r="D97" s="4"/>
      <c r="E97" s="4"/>
      <c r="F97" s="4" t="s">
        <v>81</v>
      </c>
      <c r="J97" s="74">
        <f t="shared" si="3"/>
        <v>1671681.5133801831</v>
      </c>
      <c r="L97" s="74">
        <f t="shared" ref="L97:Q97" si="6">SUMPRODUCT(L23:L27,$H$83:$H$87)</f>
        <v>32100</v>
      </c>
      <c r="M97" s="74">
        <f t="shared" si="6"/>
        <v>534986.50338718563</v>
      </c>
      <c r="N97" s="74">
        <f t="shared" si="6"/>
        <v>547205.4291666667</v>
      </c>
      <c r="O97" s="74">
        <f t="shared" si="6"/>
        <v>19336.400000000001</v>
      </c>
      <c r="P97" s="74">
        <f t="shared" si="6"/>
        <v>487139.60444444453</v>
      </c>
      <c r="Q97" s="74">
        <f t="shared" si="6"/>
        <v>50913.576381886101</v>
      </c>
    </row>
    <row r="98" spans="2:19">
      <c r="B98" s="4"/>
      <c r="C98" s="4"/>
      <c r="D98" s="4"/>
      <c r="E98" s="4"/>
      <c r="F98" s="4"/>
      <c r="J98" s="73"/>
    </row>
    <row r="99" spans="2:19">
      <c r="B99" s="3" t="s">
        <v>97</v>
      </c>
      <c r="C99" s="4"/>
      <c r="D99" s="4"/>
      <c r="E99" s="4"/>
      <c r="F99" s="4"/>
      <c r="J99" s="73"/>
    </row>
    <row r="100" spans="2:19">
      <c r="B100" s="4" t="s">
        <v>94</v>
      </c>
      <c r="C100" s="4"/>
      <c r="D100" s="4"/>
      <c r="E100" s="4"/>
      <c r="F100" s="4" t="s">
        <v>81</v>
      </c>
      <c r="J100" s="74">
        <f t="shared" si="3"/>
        <v>8280.5852758514411</v>
      </c>
      <c r="L100" s="75">
        <f t="shared" ref="L100:Q100" si="7">L31</f>
        <v>121</v>
      </c>
      <c r="M100" s="75">
        <f t="shared" si="7"/>
        <v>2579.748553758629</v>
      </c>
      <c r="N100" s="75">
        <f t="shared" si="7"/>
        <v>2770.2975000000006</v>
      </c>
      <c r="O100" s="75">
        <f t="shared" si="7"/>
        <v>88.712999999999994</v>
      </c>
      <c r="P100" s="75">
        <f t="shared" si="7"/>
        <v>2036.9535419126325</v>
      </c>
      <c r="Q100" s="75">
        <f t="shared" si="7"/>
        <v>683.87268018018017</v>
      </c>
    </row>
    <row r="101" spans="2:19">
      <c r="B101" s="4" t="s">
        <v>98</v>
      </c>
      <c r="C101" s="4"/>
      <c r="D101" s="4"/>
      <c r="E101" s="4"/>
      <c r="F101" s="4" t="s">
        <v>81</v>
      </c>
      <c r="J101" s="74">
        <f t="shared" si="3"/>
        <v>679554.31416666671</v>
      </c>
      <c r="L101" s="75">
        <f t="shared" ref="L101:Q102" si="8">L36</f>
        <v>22564</v>
      </c>
      <c r="M101" s="75">
        <f t="shared" si="8"/>
        <v>0</v>
      </c>
      <c r="N101" s="75">
        <f t="shared" si="8"/>
        <v>631815.51416666666</v>
      </c>
      <c r="O101" s="75">
        <f t="shared" si="8"/>
        <v>25174.799999999999</v>
      </c>
      <c r="P101" s="75">
        <f t="shared" si="8"/>
        <v>0</v>
      </c>
      <c r="Q101" s="75">
        <f t="shared" si="8"/>
        <v>0</v>
      </c>
    </row>
    <row r="102" spans="2:19">
      <c r="B102" s="4" t="s">
        <v>99</v>
      </c>
      <c r="C102" s="4"/>
      <c r="D102" s="4"/>
      <c r="E102" s="4"/>
      <c r="F102" s="4" t="s">
        <v>81</v>
      </c>
      <c r="J102" s="74">
        <f t="shared" si="3"/>
        <v>123997.04916666666</v>
      </c>
      <c r="L102" s="75">
        <f t="shared" si="8"/>
        <v>6941</v>
      </c>
      <c r="M102" s="75">
        <f t="shared" si="8"/>
        <v>0</v>
      </c>
      <c r="N102" s="75">
        <f t="shared" si="8"/>
        <v>114152.84916666667</v>
      </c>
      <c r="O102" s="75">
        <f t="shared" si="8"/>
        <v>2903.2</v>
      </c>
      <c r="P102" s="75">
        <f t="shared" si="8"/>
        <v>0</v>
      </c>
      <c r="Q102" s="75">
        <f t="shared" si="8"/>
        <v>0</v>
      </c>
    </row>
    <row r="103" spans="2:19">
      <c r="B103" s="4" t="s">
        <v>100</v>
      </c>
      <c r="C103" s="4"/>
      <c r="D103" s="4"/>
      <c r="E103" s="4"/>
      <c r="F103" s="4" t="s">
        <v>81</v>
      </c>
      <c r="J103" s="74">
        <f t="shared" si="3"/>
        <v>1707023.0259445279</v>
      </c>
      <c r="L103" s="75">
        <f t="shared" ref="L103:Q103" si="9">L39</f>
        <v>0</v>
      </c>
      <c r="M103" s="75">
        <f t="shared" si="9"/>
        <v>752800.60098651855</v>
      </c>
      <c r="N103" s="75">
        <f t="shared" si="9"/>
        <v>0</v>
      </c>
      <c r="O103" s="75">
        <f t="shared" si="9"/>
        <v>0</v>
      </c>
      <c r="P103" s="75">
        <f t="shared" si="9"/>
        <v>645622.89263235836</v>
      </c>
      <c r="Q103" s="75">
        <f t="shared" si="9"/>
        <v>308599.53232565097</v>
      </c>
    </row>
    <row r="104" spans="2:19">
      <c r="B104" s="4" t="s">
        <v>101</v>
      </c>
      <c r="C104" s="4"/>
      <c r="D104" s="4"/>
      <c r="E104" s="4"/>
      <c r="F104" s="4" t="s">
        <v>81</v>
      </c>
      <c r="J104" s="74">
        <f t="shared" si="3"/>
        <v>2510574.389277861</v>
      </c>
      <c r="L104" s="74">
        <f>SUM(L101:L103)</f>
        <v>29505</v>
      </c>
      <c r="M104" s="74">
        <f t="shared" ref="M104:Q104" si="10">SUM(M101:M103)</f>
        <v>752800.60098651855</v>
      </c>
      <c r="N104" s="74">
        <f t="shared" si="10"/>
        <v>745968.36333333328</v>
      </c>
      <c r="O104" s="74">
        <f t="shared" si="10"/>
        <v>28078</v>
      </c>
      <c r="P104" s="74">
        <f t="shared" si="10"/>
        <v>645622.89263235836</v>
      </c>
      <c r="Q104" s="74">
        <f t="shared" si="10"/>
        <v>308599.53232565097</v>
      </c>
    </row>
    <row r="106" spans="2:19" s="10" customFormat="1">
      <c r="B106" s="10" t="s">
        <v>217</v>
      </c>
    </row>
    <row r="108" spans="2:19">
      <c r="B108" s="4" t="s">
        <v>93</v>
      </c>
      <c r="F108" s="4" t="s">
        <v>81</v>
      </c>
      <c r="J108" s="74">
        <f>SUM(L108:Q108)</f>
        <v>25</v>
      </c>
      <c r="L108" s="28">
        <f t="shared" ref="L108:Q108" si="11">SUMPRODUCT($H$75:$H$80,L46:L51)</f>
        <v>0</v>
      </c>
      <c r="M108" s="28">
        <f t="shared" si="11"/>
        <v>0</v>
      </c>
      <c r="N108" s="28">
        <f t="shared" si="11"/>
        <v>0</v>
      </c>
      <c r="O108" s="28">
        <f t="shared" si="11"/>
        <v>0</v>
      </c>
      <c r="P108" s="28">
        <f t="shared" si="11"/>
        <v>25</v>
      </c>
      <c r="Q108" s="28">
        <f t="shared" si="11"/>
        <v>0</v>
      </c>
    </row>
    <row r="109" spans="2:19">
      <c r="B109" s="4" t="s">
        <v>96</v>
      </c>
      <c r="F109" s="4" t="s">
        <v>81</v>
      </c>
      <c r="J109" s="74">
        <f t="shared" ref="J109:J110" si="12">SUM(L109:Q109)</f>
        <v>0</v>
      </c>
      <c r="L109" s="28">
        <f t="shared" ref="L109:Q109" si="13">SUMPRODUCT($H$83:$H$87,L54:L58)</f>
        <v>0</v>
      </c>
      <c r="M109" s="28">
        <f t="shared" si="13"/>
        <v>0</v>
      </c>
      <c r="N109" s="28">
        <f t="shared" si="13"/>
        <v>0</v>
      </c>
      <c r="O109" s="28">
        <f t="shared" si="13"/>
        <v>0</v>
      </c>
      <c r="P109" s="28">
        <f t="shared" si="13"/>
        <v>0</v>
      </c>
      <c r="Q109" s="28">
        <f t="shared" si="13"/>
        <v>0</v>
      </c>
    </row>
    <row r="110" spans="2:19">
      <c r="B110" s="4" t="s">
        <v>142</v>
      </c>
      <c r="F110" s="4" t="s">
        <v>81</v>
      </c>
      <c r="J110" s="74">
        <f t="shared" si="12"/>
        <v>49281.75571650554</v>
      </c>
      <c r="L110" s="28">
        <f>SUM(L63,L64,L66)-L70</f>
        <v>4230</v>
      </c>
      <c r="M110" s="28">
        <f t="shared" ref="M110:Q110" si="14">SUM(M63,M64,M66)-M70</f>
        <v>19230.272349999999</v>
      </c>
      <c r="N110" s="28">
        <f t="shared" si="14"/>
        <v>15118</v>
      </c>
      <c r="O110" s="28">
        <f t="shared" si="14"/>
        <v>5003</v>
      </c>
      <c r="P110" s="28">
        <f t="shared" si="14"/>
        <v>4907.0798976400338</v>
      </c>
      <c r="Q110" s="28">
        <f t="shared" si="14"/>
        <v>793.40346886551038</v>
      </c>
      <c r="S110" s="4" t="s">
        <v>145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pageSetUpPr fitToPage="1"/>
  </sheetPr>
  <dimension ref="B1:AA60"/>
  <sheetViews>
    <sheetView showGridLines="0" zoomScale="85" zoomScaleNormal="85" workbookViewId="0">
      <pane xSplit="4" ySplit="7" topLeftCell="E8" activePane="bottomRight" state="frozen"/>
      <selection activeCell="B1" sqref="B1"/>
      <selection pane="topRight" activeCell="B1" sqref="B1"/>
      <selection pane="bottomLeft" activeCell="B1" sqref="B1"/>
      <selection pane="bottomRight" activeCell="E9" sqref="E9"/>
    </sheetView>
  </sheetViews>
  <sheetFormatPr defaultColWidth="9.140625" defaultRowHeight="12.75"/>
  <cols>
    <col min="1" max="1" width="4.85546875" style="49" customWidth="1"/>
    <col min="2" max="2" width="76.140625" style="49" customWidth="1"/>
    <col min="3" max="3" width="3.140625" style="49" customWidth="1"/>
    <col min="4" max="4" width="14.42578125" style="49" customWidth="1"/>
    <col min="5" max="5" width="2.7109375" style="49" customWidth="1"/>
    <col min="6" max="6" width="7.5703125" style="49" customWidth="1"/>
    <col min="7" max="7" width="4.7109375" style="49" customWidth="1"/>
    <col min="8" max="8" width="15.7109375" style="49" customWidth="1"/>
    <col min="9" max="9" width="3.28515625" style="49" customWidth="1"/>
    <col min="10" max="14" width="15.28515625" style="49" customWidth="1"/>
    <col min="15" max="15" width="16.140625" style="49" customWidth="1"/>
    <col min="16" max="16" width="4.42578125" style="49" customWidth="1"/>
    <col min="17" max="17" width="25.42578125" style="49" customWidth="1"/>
    <col min="18" max="18" width="11.85546875" style="49" bestFit="1" customWidth="1"/>
    <col min="19" max="19" width="12.28515625" style="49" bestFit="1" customWidth="1"/>
    <col min="20" max="16384" width="9.140625" style="49"/>
  </cols>
  <sheetData>
    <row r="1" spans="2:27">
      <c r="B1"/>
      <c r="C1"/>
      <c r="D1"/>
    </row>
    <row r="2" spans="2:27" s="19" customFormat="1" ht="18">
      <c r="B2" s="19" t="s">
        <v>78</v>
      </c>
    </row>
    <row r="4" spans="2:27">
      <c r="B4" s="50" t="s">
        <v>28</v>
      </c>
    </row>
    <row r="5" spans="2:27">
      <c r="B5" t="s">
        <v>228</v>
      </c>
    </row>
    <row r="7" spans="2:27" s="10" customFormat="1">
      <c r="D7" s="10" t="s">
        <v>26</v>
      </c>
      <c r="F7" s="10" t="s">
        <v>27</v>
      </c>
      <c r="H7" s="10" t="s">
        <v>46</v>
      </c>
      <c r="J7" s="10" t="s">
        <v>77</v>
      </c>
      <c r="K7" s="10" t="s">
        <v>68</v>
      </c>
      <c r="L7" s="10" t="s">
        <v>69</v>
      </c>
      <c r="M7" s="10" t="s">
        <v>70</v>
      </c>
      <c r="N7" s="10" t="s">
        <v>71</v>
      </c>
      <c r="O7" s="10" t="s">
        <v>72</v>
      </c>
      <c r="Q7" s="10" t="s">
        <v>44</v>
      </c>
      <c r="R7" s="10" t="s">
        <v>45</v>
      </c>
    </row>
    <row r="8" spans="2:27" s="57" customFormat="1"/>
    <row r="10" spans="2:27" s="10" customFormat="1">
      <c r="B10" s="10" t="s">
        <v>219</v>
      </c>
    </row>
    <row r="11" spans="2:27">
      <c r="S11" s="52"/>
      <c r="T11" s="52"/>
      <c r="U11" s="52"/>
      <c r="V11" s="52"/>
      <c r="W11" s="52"/>
      <c r="X11" s="52"/>
      <c r="Y11" s="52"/>
      <c r="Z11" s="52"/>
      <c r="AA11" s="52"/>
    </row>
    <row r="12" spans="2:27">
      <c r="B12" s="3" t="s">
        <v>137</v>
      </c>
      <c r="C12" s="4"/>
      <c r="D12" s="4"/>
      <c r="E12" s="4"/>
      <c r="F12" s="4"/>
      <c r="S12" s="52"/>
      <c r="T12" s="52"/>
      <c r="U12" s="52"/>
      <c r="V12" s="52"/>
      <c r="W12" s="52"/>
      <c r="X12" s="52"/>
      <c r="Y12" s="52"/>
      <c r="Z12" s="52"/>
      <c r="AA12" s="52"/>
    </row>
    <row r="13" spans="2:27">
      <c r="B13" s="4"/>
      <c r="C13" s="4"/>
      <c r="D13" s="4"/>
      <c r="E13" s="4"/>
      <c r="F13" s="4"/>
      <c r="S13" s="52"/>
      <c r="T13" s="52"/>
      <c r="U13" s="52"/>
      <c r="V13" s="52"/>
      <c r="W13" s="52"/>
      <c r="X13" s="52"/>
      <c r="Y13" s="52"/>
      <c r="Z13" s="52"/>
      <c r="AA13" s="52"/>
    </row>
    <row r="14" spans="2:27">
      <c r="B14" s="26" t="s">
        <v>93</v>
      </c>
      <c r="C14" s="4"/>
      <c r="D14" s="4"/>
      <c r="E14" s="4"/>
      <c r="F14" s="4"/>
      <c r="S14" s="52"/>
      <c r="T14" s="52"/>
      <c r="U14" s="52"/>
      <c r="V14" s="52"/>
      <c r="W14" s="52"/>
      <c r="X14" s="52"/>
      <c r="Y14" s="52"/>
      <c r="Z14" s="52"/>
      <c r="AA14" s="52"/>
    </row>
    <row r="15" spans="2:27">
      <c r="B15" s="4" t="s">
        <v>94</v>
      </c>
      <c r="C15" s="4"/>
      <c r="D15" s="1" t="s">
        <v>128</v>
      </c>
      <c r="E15" s="4"/>
      <c r="F15" s="4"/>
      <c r="H15" s="76">
        <f>'Wegingsfactoren REG2022'!J15</f>
        <v>17.99807557038752</v>
      </c>
      <c r="S15" s="52"/>
      <c r="T15" s="52"/>
      <c r="U15" s="52"/>
      <c r="V15" s="52"/>
      <c r="W15" s="52"/>
      <c r="X15" s="52"/>
      <c r="Y15" s="52"/>
      <c r="Z15" s="52"/>
      <c r="AA15" s="52"/>
    </row>
    <row r="16" spans="2:27">
      <c r="B16" s="4" t="s">
        <v>95</v>
      </c>
      <c r="C16" s="4"/>
      <c r="D16" s="1" t="s">
        <v>129</v>
      </c>
      <c r="E16" s="4"/>
      <c r="F16" s="4"/>
      <c r="H16" s="76">
        <f>'Wegingsfactoren REG2022'!J16</f>
        <v>26.043085449153235</v>
      </c>
      <c r="S16" s="52"/>
      <c r="T16" s="52"/>
      <c r="U16" s="52"/>
      <c r="V16" s="52"/>
      <c r="W16" s="52"/>
      <c r="X16" s="52"/>
      <c r="Y16" s="52"/>
      <c r="Z16" s="52"/>
      <c r="AA16" s="52"/>
    </row>
    <row r="17" spans="2:27">
      <c r="B17" s="4"/>
      <c r="C17" s="4"/>
      <c r="D17" s="4"/>
      <c r="E17" s="4"/>
      <c r="F17" s="4"/>
      <c r="S17" s="52"/>
      <c r="T17" s="52"/>
      <c r="U17" s="52"/>
      <c r="V17" s="52"/>
      <c r="W17" s="52"/>
      <c r="X17" s="52"/>
      <c r="Y17" s="52"/>
      <c r="Z17" s="52"/>
      <c r="AA17" s="52"/>
    </row>
    <row r="18" spans="2:27">
      <c r="B18" s="26" t="s">
        <v>131</v>
      </c>
      <c r="C18" s="4"/>
      <c r="D18" s="4"/>
      <c r="E18" s="4"/>
      <c r="F18" s="4"/>
      <c r="S18" s="52"/>
      <c r="T18" s="52"/>
      <c r="U18" s="52"/>
      <c r="V18" s="52"/>
      <c r="W18" s="52"/>
      <c r="X18" s="52"/>
      <c r="Y18" s="52"/>
      <c r="Z18" s="52"/>
      <c r="AA18" s="52"/>
    </row>
    <row r="19" spans="2:27">
      <c r="B19" s="4" t="s">
        <v>94</v>
      </c>
      <c r="C19" s="4"/>
      <c r="D19" s="1" t="s">
        <v>128</v>
      </c>
      <c r="E19" s="4"/>
      <c r="F19" s="4"/>
      <c r="H19" s="76">
        <f>'Wegingsfactoren REG2022'!J19</f>
        <v>18</v>
      </c>
      <c r="S19" s="52"/>
      <c r="T19" s="52"/>
      <c r="U19" s="52"/>
      <c r="V19" s="52"/>
      <c r="W19" s="52"/>
      <c r="X19" s="52"/>
      <c r="Y19" s="52"/>
      <c r="Z19" s="52"/>
      <c r="AA19" s="52"/>
    </row>
    <row r="20" spans="2:27">
      <c r="B20" s="4" t="s">
        <v>95</v>
      </c>
      <c r="C20" s="4"/>
      <c r="D20" s="1" t="s">
        <v>129</v>
      </c>
      <c r="E20" s="4"/>
      <c r="F20" s="4"/>
      <c r="H20" s="76">
        <f>'Wegingsfactoren REG2022'!J20</f>
        <v>25.909433727611123</v>
      </c>
      <c r="S20" s="52"/>
      <c r="T20" s="52"/>
      <c r="U20" s="52"/>
      <c r="V20" s="52"/>
      <c r="W20" s="52"/>
      <c r="X20" s="52"/>
      <c r="Y20" s="52"/>
      <c r="Z20" s="52"/>
      <c r="AA20" s="52"/>
    </row>
    <row r="21" spans="2:27">
      <c r="B21" s="4"/>
      <c r="C21" s="4"/>
      <c r="D21" s="4"/>
      <c r="E21" s="4"/>
      <c r="F21" s="4"/>
      <c r="S21" s="52"/>
      <c r="T21" s="52"/>
      <c r="U21" s="52"/>
      <c r="V21" s="52"/>
      <c r="W21" s="52"/>
      <c r="X21" s="52"/>
      <c r="Y21" s="52"/>
      <c r="Z21" s="52"/>
      <c r="AA21" s="52"/>
    </row>
    <row r="22" spans="2:27">
      <c r="B22" s="26" t="s">
        <v>97</v>
      </c>
      <c r="C22" s="4"/>
      <c r="E22" s="4"/>
      <c r="F22" s="4"/>
      <c r="S22" s="52"/>
      <c r="T22" s="52"/>
      <c r="U22" s="52"/>
      <c r="V22" s="52"/>
      <c r="W22" s="52"/>
      <c r="X22" s="52"/>
      <c r="Y22" s="52"/>
      <c r="Z22" s="52"/>
      <c r="AA22" s="52"/>
    </row>
    <row r="23" spans="2:27">
      <c r="B23" s="4" t="s">
        <v>94</v>
      </c>
      <c r="C23" s="4"/>
      <c r="D23" s="1" t="s">
        <v>128</v>
      </c>
      <c r="E23" s="4"/>
      <c r="F23" s="4"/>
      <c r="H23" s="76">
        <f>'Wegingsfactoren REG2022'!J23</f>
        <v>747.293089917673</v>
      </c>
      <c r="S23" s="52"/>
      <c r="T23" s="52"/>
      <c r="U23" s="52"/>
      <c r="V23" s="52"/>
      <c r="W23" s="52"/>
      <c r="X23" s="52"/>
      <c r="Y23" s="52"/>
      <c r="Z23" s="52"/>
      <c r="AA23" s="52"/>
    </row>
    <row r="24" spans="2:27">
      <c r="B24" s="4" t="s">
        <v>101</v>
      </c>
      <c r="C24" s="4"/>
      <c r="D24" s="1" t="s">
        <v>129</v>
      </c>
      <c r="E24" s="4"/>
      <c r="F24" s="4"/>
      <c r="H24" s="76">
        <f>'Wegingsfactoren REG2022'!J24</f>
        <v>21.965623005145261</v>
      </c>
      <c r="S24" s="52"/>
      <c r="T24" s="52"/>
      <c r="U24" s="52"/>
      <c r="V24" s="52"/>
      <c r="W24" s="52"/>
      <c r="X24" s="52"/>
      <c r="Y24" s="52"/>
      <c r="Z24" s="52"/>
      <c r="AA24" s="52"/>
    </row>
    <row r="25" spans="2:27">
      <c r="B25" s="4"/>
      <c r="C25" s="4"/>
      <c r="E25" s="4"/>
      <c r="F25" s="4"/>
      <c r="S25" s="52"/>
      <c r="T25" s="52"/>
      <c r="U25" s="52"/>
      <c r="V25" s="52"/>
      <c r="W25" s="52"/>
      <c r="X25" s="52"/>
      <c r="Y25" s="52"/>
      <c r="Z25" s="52"/>
      <c r="AA25" s="52"/>
    </row>
    <row r="26" spans="2:27">
      <c r="B26" s="3" t="s">
        <v>130</v>
      </c>
      <c r="C26" s="4"/>
      <c r="D26" s="4"/>
      <c r="E26" s="4"/>
      <c r="F26" s="4"/>
      <c r="S26" s="52"/>
      <c r="T26" s="52"/>
      <c r="U26" s="52"/>
      <c r="V26" s="52"/>
      <c r="W26" s="52"/>
      <c r="X26" s="52"/>
      <c r="Y26" s="52"/>
      <c r="Z26" s="52"/>
      <c r="AA26" s="52"/>
    </row>
    <row r="27" spans="2:27">
      <c r="B27" s="4"/>
      <c r="C27" s="4"/>
      <c r="D27" s="4"/>
      <c r="E27" s="4"/>
      <c r="F27" s="4"/>
      <c r="S27" s="52"/>
      <c r="T27" s="52"/>
      <c r="U27" s="52"/>
      <c r="V27" s="52"/>
      <c r="W27" s="52"/>
      <c r="X27" s="52"/>
      <c r="Y27" s="52"/>
      <c r="Z27" s="52"/>
      <c r="AA27" s="52"/>
    </row>
    <row r="28" spans="2:27">
      <c r="B28" s="3" t="s">
        <v>138</v>
      </c>
      <c r="C28" s="4"/>
      <c r="D28" s="4"/>
      <c r="E28" s="4"/>
      <c r="F28" s="4"/>
      <c r="S28" s="52"/>
      <c r="T28" s="52"/>
      <c r="U28" s="52"/>
      <c r="V28" s="52"/>
      <c r="W28" s="52"/>
      <c r="X28" s="52"/>
      <c r="Y28" s="52"/>
      <c r="Z28" s="52"/>
      <c r="AA28" s="52"/>
    </row>
    <row r="29" spans="2:27">
      <c r="B29" s="4" t="s">
        <v>93</v>
      </c>
      <c r="C29" s="4"/>
      <c r="D29" s="1" t="s">
        <v>129</v>
      </c>
      <c r="E29" s="4"/>
      <c r="F29" s="4"/>
      <c r="H29" s="76">
        <f>'Wegingsfactoren REG2022'!J29</f>
        <v>26.043085449153235</v>
      </c>
      <c r="S29" s="52"/>
      <c r="T29" s="52"/>
      <c r="U29" s="52"/>
      <c r="V29" s="52"/>
      <c r="W29" s="52"/>
      <c r="X29" s="52"/>
      <c r="Y29" s="52"/>
      <c r="Z29" s="52"/>
      <c r="AA29" s="52"/>
    </row>
    <row r="30" spans="2:27">
      <c r="B30" s="4" t="s">
        <v>131</v>
      </c>
      <c r="C30" s="4"/>
      <c r="D30" s="1" t="s">
        <v>129</v>
      </c>
      <c r="E30" s="4"/>
      <c r="F30" s="4"/>
      <c r="H30" s="76">
        <f>'Wegingsfactoren REG2022'!J30</f>
        <v>25.909433727611123</v>
      </c>
      <c r="S30" s="52"/>
      <c r="T30" s="52"/>
      <c r="U30" s="52"/>
      <c r="V30" s="52"/>
      <c r="W30" s="52"/>
      <c r="X30" s="52"/>
      <c r="Y30" s="52"/>
      <c r="Z30" s="52"/>
      <c r="AA30" s="52"/>
    </row>
    <row r="31" spans="2:27">
      <c r="B31" s="4" t="s">
        <v>97</v>
      </c>
      <c r="C31" s="4"/>
      <c r="D31" s="1" t="s">
        <v>129</v>
      </c>
      <c r="E31" s="4"/>
      <c r="F31" s="4"/>
      <c r="H31" s="76">
        <f>'Wegingsfactoren REG2022'!J31</f>
        <v>21.965623005145261</v>
      </c>
      <c r="S31" s="52"/>
      <c r="T31" s="52"/>
      <c r="U31" s="52"/>
      <c r="V31" s="52"/>
      <c r="W31" s="52"/>
      <c r="X31" s="52"/>
      <c r="Y31" s="52"/>
      <c r="Z31" s="52"/>
      <c r="AA31" s="52"/>
    </row>
    <row r="32" spans="2:27">
      <c r="S32" s="52"/>
      <c r="T32" s="52"/>
      <c r="U32" s="52"/>
      <c r="V32" s="52"/>
      <c r="W32" s="52"/>
      <c r="X32" s="52"/>
      <c r="Y32" s="52"/>
      <c r="Z32" s="52"/>
      <c r="AA32" s="52"/>
    </row>
    <row r="33" spans="2:27">
      <c r="B33" s="92" t="s">
        <v>216</v>
      </c>
      <c r="S33" s="52"/>
      <c r="T33" s="52"/>
      <c r="U33" s="52"/>
      <c r="V33" s="52"/>
      <c r="W33" s="52"/>
      <c r="X33" s="52"/>
      <c r="Y33" s="52"/>
      <c r="Z33" s="52"/>
      <c r="AA33" s="52"/>
    </row>
    <row r="34" spans="2:27">
      <c r="B34" s="4" t="s">
        <v>198</v>
      </c>
      <c r="C34" s="4"/>
      <c r="D34" s="4"/>
      <c r="E34" s="4"/>
      <c r="F34" s="4"/>
      <c r="G34" s="4"/>
      <c r="H34" s="91">
        <f>'Wegingsfactoren REG2022'!J46</f>
        <v>1.3800000000000001</v>
      </c>
      <c r="I34" s="4"/>
      <c r="S34" s="52"/>
      <c r="T34" s="52"/>
      <c r="U34" s="52"/>
      <c r="V34" s="52"/>
      <c r="W34" s="52"/>
      <c r="X34" s="52"/>
      <c r="Y34" s="52"/>
      <c r="Z34" s="52"/>
      <c r="AA34" s="52"/>
    </row>
    <row r="35" spans="2:27">
      <c r="B35" s="4" t="s">
        <v>200</v>
      </c>
      <c r="C35" s="4"/>
      <c r="D35" s="4" t="s">
        <v>74</v>
      </c>
      <c r="E35" s="4"/>
      <c r="F35" s="4"/>
      <c r="G35" s="4"/>
      <c r="H35" s="86">
        <f>'Wegingsfactoren REG2022'!H37</f>
        <v>2.4E-2</v>
      </c>
      <c r="I35" s="4"/>
      <c r="S35" s="52"/>
      <c r="T35" s="52"/>
      <c r="U35" s="52"/>
      <c r="V35" s="52"/>
      <c r="W35" s="52"/>
      <c r="X35" s="52"/>
      <c r="Y35" s="52"/>
      <c r="Z35" s="52"/>
      <c r="AA35" s="52"/>
    </row>
    <row r="36" spans="2:27">
      <c r="B36" s="4" t="s">
        <v>201</v>
      </c>
      <c r="C36" s="4"/>
      <c r="D36" s="4" t="s">
        <v>74</v>
      </c>
      <c r="E36" s="4"/>
      <c r="F36" s="4"/>
      <c r="G36" s="4"/>
      <c r="H36" s="86">
        <f>'Wegingsfactoren REG2022'!H38</f>
        <v>0.12</v>
      </c>
      <c r="I36" s="4"/>
      <c r="S36" s="52"/>
      <c r="T36" s="52"/>
      <c r="U36" s="52"/>
      <c r="V36" s="52"/>
      <c r="W36" s="52"/>
      <c r="X36" s="52"/>
      <c r="Y36" s="52"/>
      <c r="Z36" s="52"/>
      <c r="AA36" s="52"/>
    </row>
    <row r="37" spans="2:27">
      <c r="B37" s="4"/>
      <c r="C37" s="4"/>
      <c r="D37" s="4"/>
      <c r="E37" s="4"/>
      <c r="F37" s="4"/>
      <c r="G37" s="4"/>
      <c r="H37" s="4"/>
      <c r="I37" s="4"/>
      <c r="J37" s="4"/>
      <c r="K37" s="4"/>
      <c r="L37" s="4"/>
      <c r="M37" s="4"/>
      <c r="N37" s="4"/>
      <c r="O37" s="4"/>
      <c r="P37" s="4"/>
      <c r="Q37" s="4"/>
      <c r="R37" s="4"/>
      <c r="S37" s="52"/>
      <c r="T37" s="52"/>
      <c r="U37" s="52"/>
      <c r="V37" s="52"/>
      <c r="W37" s="52"/>
      <c r="X37" s="52"/>
      <c r="Y37" s="52"/>
      <c r="Z37" s="52"/>
      <c r="AA37" s="52"/>
    </row>
    <row r="38" spans="2:27" s="10" customFormat="1">
      <c r="B38" s="10" t="s">
        <v>136</v>
      </c>
    </row>
    <row r="39" spans="2:27">
      <c r="S39" s="52"/>
      <c r="T39" s="52"/>
      <c r="U39" s="52"/>
      <c r="V39" s="52"/>
      <c r="W39" s="52"/>
      <c r="X39" s="52"/>
      <c r="Y39" s="52"/>
      <c r="Z39" s="52"/>
      <c r="AA39" s="52"/>
    </row>
    <row r="40" spans="2:27">
      <c r="B40" s="3" t="s">
        <v>137</v>
      </c>
      <c r="C40" s="4"/>
      <c r="D40" s="4"/>
      <c r="E40" s="4"/>
      <c r="F40" s="4"/>
      <c r="S40" s="52"/>
      <c r="T40" s="52"/>
      <c r="U40" s="52"/>
      <c r="V40" s="52"/>
      <c r="W40" s="52"/>
      <c r="X40" s="52"/>
      <c r="Y40" s="52"/>
      <c r="Z40" s="52"/>
      <c r="AA40" s="52"/>
    </row>
    <row r="41" spans="2:27">
      <c r="B41" s="4"/>
      <c r="C41" s="4"/>
      <c r="D41" s="4"/>
      <c r="E41" s="4"/>
      <c r="F41" s="4"/>
      <c r="S41" s="52"/>
      <c r="T41" s="52"/>
      <c r="U41" s="52"/>
      <c r="V41" s="52"/>
      <c r="W41" s="52"/>
      <c r="X41" s="52"/>
      <c r="Y41" s="52"/>
      <c r="Z41" s="52"/>
      <c r="AA41" s="52"/>
    </row>
    <row r="42" spans="2:27">
      <c r="B42" s="26" t="s">
        <v>93</v>
      </c>
      <c r="C42" s="4"/>
      <c r="D42" s="4"/>
      <c r="E42" s="4"/>
      <c r="F42" s="4"/>
      <c r="S42" s="52"/>
      <c r="T42" s="52"/>
      <c r="U42" s="52"/>
      <c r="V42" s="52"/>
      <c r="W42" s="52"/>
      <c r="X42" s="52"/>
      <c r="Y42" s="52"/>
      <c r="Z42" s="52"/>
      <c r="AA42" s="52"/>
    </row>
    <row r="43" spans="2:27">
      <c r="B43" s="4" t="s">
        <v>94</v>
      </c>
      <c r="C43" s="4"/>
      <c r="D43" s="1" t="s">
        <v>128</v>
      </c>
      <c r="E43" s="4"/>
      <c r="F43" s="4"/>
      <c r="H43" s="54">
        <f>H15*(1-$H$34/100+$H$35)*(1-$H$34/100+$H$36)</f>
        <v>20.112547802161494</v>
      </c>
      <c r="S43" s="52"/>
      <c r="T43" s="52"/>
      <c r="U43" s="52"/>
      <c r="V43" s="52"/>
      <c r="W43" s="52"/>
      <c r="X43" s="52"/>
      <c r="Y43" s="52"/>
      <c r="Z43" s="52"/>
      <c r="AA43" s="52"/>
    </row>
    <row r="44" spans="2:27">
      <c r="B44" s="4" t="s">
        <v>95</v>
      </c>
      <c r="C44" s="4"/>
      <c r="D44" s="1" t="s">
        <v>129</v>
      </c>
      <c r="E44" s="4"/>
      <c r="F44" s="4"/>
      <c r="H44" s="54">
        <f>H16*(1-$H$34/100+$H$35)*(1-$H$34/100+$H$36)</f>
        <v>29.102711507316609</v>
      </c>
      <c r="S44" s="52"/>
      <c r="T44" s="52"/>
      <c r="U44" s="52"/>
      <c r="V44" s="52"/>
      <c r="W44" s="52"/>
      <c r="X44" s="52"/>
      <c r="Y44" s="52"/>
      <c r="Z44" s="52"/>
      <c r="AA44" s="52"/>
    </row>
    <row r="45" spans="2:27">
      <c r="B45" s="4"/>
      <c r="C45" s="4"/>
      <c r="D45" s="4"/>
      <c r="E45" s="4"/>
      <c r="F45" s="4"/>
      <c r="S45" s="52"/>
      <c r="T45" s="52"/>
      <c r="U45" s="52"/>
      <c r="V45" s="52"/>
      <c r="W45" s="52"/>
      <c r="X45" s="52"/>
      <c r="Y45" s="52"/>
      <c r="Z45" s="52"/>
      <c r="AA45" s="52"/>
    </row>
    <row r="46" spans="2:27">
      <c r="B46" s="26" t="s">
        <v>131</v>
      </c>
      <c r="C46" s="4"/>
      <c r="D46" s="4"/>
      <c r="E46" s="4"/>
      <c r="F46" s="4"/>
      <c r="S46" s="52"/>
      <c r="T46" s="52"/>
      <c r="U46" s="52"/>
      <c r="V46" s="52"/>
      <c r="W46" s="52"/>
      <c r="X46" s="52"/>
      <c r="Y46" s="52"/>
      <c r="Z46" s="52"/>
      <c r="AA46" s="52"/>
    </row>
    <row r="47" spans="2:27">
      <c r="B47" s="4" t="s">
        <v>94</v>
      </c>
      <c r="C47" s="4"/>
      <c r="D47" s="1" t="s">
        <v>128</v>
      </c>
      <c r="E47" s="4"/>
      <c r="F47" s="4"/>
      <c r="H47" s="54">
        <f>H19*(1-$H$34/100+$H$35)*(1-$H$34/100+$H$36)</f>
        <v>20.114698319999995</v>
      </c>
      <c r="S47" s="52"/>
      <c r="T47" s="52"/>
      <c r="U47" s="52"/>
      <c r="V47" s="52"/>
      <c r="W47" s="52"/>
      <c r="X47" s="52"/>
      <c r="Y47" s="52"/>
      <c r="Z47" s="52"/>
      <c r="AA47" s="52"/>
    </row>
    <row r="48" spans="2:27">
      <c r="B48" s="4" t="s">
        <v>95</v>
      </c>
      <c r="C48" s="4"/>
      <c r="D48" s="1" t="s">
        <v>129</v>
      </c>
      <c r="E48" s="4"/>
      <c r="F48" s="4"/>
      <c r="H48" s="54">
        <f>H20*(1-$H$34/100+$H$35)*(1-$H$34/100+$H$36)</f>
        <v>28.953357948496151</v>
      </c>
      <c r="S48" s="52"/>
      <c r="T48" s="52"/>
      <c r="U48" s="52"/>
      <c r="V48" s="52"/>
      <c r="W48" s="52"/>
      <c r="X48" s="52"/>
      <c r="Y48" s="52"/>
      <c r="Z48" s="52"/>
      <c r="AA48" s="52"/>
    </row>
    <row r="49" spans="2:27">
      <c r="B49" s="4"/>
      <c r="C49" s="4"/>
      <c r="D49" s="4"/>
      <c r="E49" s="4"/>
      <c r="F49" s="4"/>
      <c r="S49" s="52"/>
      <c r="T49" s="52"/>
      <c r="U49" s="52"/>
      <c r="V49" s="52"/>
      <c r="W49" s="52"/>
      <c r="X49" s="52"/>
      <c r="Y49" s="52"/>
      <c r="Z49" s="52"/>
      <c r="AA49" s="52"/>
    </row>
    <row r="50" spans="2:27">
      <c r="B50" s="26" t="s">
        <v>97</v>
      </c>
      <c r="C50" s="4"/>
      <c r="E50" s="4"/>
      <c r="F50" s="4"/>
      <c r="S50" s="52"/>
      <c r="T50" s="52"/>
      <c r="U50" s="52"/>
      <c r="V50" s="52"/>
      <c r="W50" s="52"/>
      <c r="X50" s="52"/>
      <c r="Y50" s="52"/>
      <c r="Z50" s="52"/>
      <c r="AA50" s="52"/>
    </row>
    <row r="51" spans="2:27">
      <c r="B51" s="4" t="s">
        <v>94</v>
      </c>
      <c r="C51" s="4"/>
      <c r="D51" s="1" t="s">
        <v>128</v>
      </c>
      <c r="E51" s="4"/>
      <c r="F51" s="4"/>
      <c r="H51" s="54">
        <f>H23*(1-$H$34/100+$H$35)*(1-$H$34/100+$H$36)</f>
        <v>835.08750335081243</v>
      </c>
      <c r="S51" s="52"/>
      <c r="T51" s="52"/>
      <c r="U51" s="52"/>
      <c r="V51" s="52"/>
      <c r="W51" s="52"/>
      <c r="X51" s="52"/>
      <c r="Y51" s="52"/>
      <c r="Z51" s="52"/>
      <c r="AA51" s="52"/>
    </row>
    <row r="52" spans="2:27">
      <c r="B52" s="4" t="s">
        <v>101</v>
      </c>
      <c r="C52" s="4"/>
      <c r="D52" s="1" t="s">
        <v>129</v>
      </c>
      <c r="E52" s="4"/>
      <c r="F52" s="4"/>
      <c r="H52" s="54">
        <f>H24*(1-$H$34/100+$H$35)*(1-$H$34/100+$H$36)</f>
        <v>24.546215564408261</v>
      </c>
      <c r="S52" s="52"/>
      <c r="T52" s="52"/>
      <c r="U52" s="52"/>
      <c r="V52" s="52"/>
      <c r="W52" s="52"/>
      <c r="X52" s="52"/>
      <c r="Y52" s="52"/>
      <c r="Z52" s="52"/>
      <c r="AA52" s="52"/>
    </row>
    <row r="53" spans="2:27">
      <c r="B53" s="4"/>
      <c r="C53" s="4"/>
      <c r="E53" s="4"/>
      <c r="F53" s="4"/>
      <c r="S53" s="52"/>
      <c r="T53" s="52"/>
      <c r="U53" s="52"/>
      <c r="V53" s="52"/>
      <c r="W53" s="52"/>
      <c r="X53" s="52"/>
      <c r="Y53" s="52"/>
      <c r="Z53" s="52"/>
      <c r="AA53" s="52"/>
    </row>
    <row r="54" spans="2:27">
      <c r="B54" s="3" t="s">
        <v>130</v>
      </c>
      <c r="C54" s="4"/>
      <c r="D54" s="4"/>
      <c r="E54" s="4"/>
      <c r="F54" s="4"/>
      <c r="S54" s="52"/>
      <c r="T54" s="52"/>
      <c r="U54" s="52"/>
      <c r="V54" s="52"/>
      <c r="W54" s="52"/>
      <c r="X54" s="52"/>
      <c r="Y54" s="52"/>
      <c r="Z54" s="52"/>
      <c r="AA54" s="52"/>
    </row>
    <row r="55" spans="2:27">
      <c r="B55" s="4"/>
      <c r="C55" s="4"/>
      <c r="D55" s="4"/>
      <c r="E55" s="4"/>
      <c r="F55" s="4"/>
      <c r="S55" s="52"/>
      <c r="T55" s="52"/>
      <c r="U55" s="52"/>
      <c r="V55" s="52"/>
      <c r="W55" s="52"/>
      <c r="X55" s="52"/>
      <c r="Y55" s="52"/>
      <c r="Z55" s="52"/>
      <c r="AA55" s="52"/>
    </row>
    <row r="56" spans="2:27">
      <c r="B56" s="3" t="s">
        <v>138</v>
      </c>
      <c r="C56" s="4"/>
      <c r="D56" s="4"/>
      <c r="E56" s="4"/>
      <c r="F56" s="4"/>
      <c r="S56" s="52"/>
      <c r="T56" s="52"/>
      <c r="U56" s="52"/>
      <c r="V56" s="52"/>
      <c r="W56" s="52"/>
      <c r="X56" s="52"/>
      <c r="Y56" s="52"/>
      <c r="Z56" s="52"/>
      <c r="AA56" s="52"/>
    </row>
    <row r="57" spans="2:27">
      <c r="B57" s="4" t="s">
        <v>93</v>
      </c>
      <c r="C57" s="4"/>
      <c r="D57" s="1" t="s">
        <v>129</v>
      </c>
      <c r="E57" s="4"/>
      <c r="F57" s="4"/>
      <c r="H57" s="98">
        <f>H44</f>
        <v>29.102711507316609</v>
      </c>
      <c r="S57" s="52"/>
      <c r="T57" s="52"/>
      <c r="U57" s="52"/>
      <c r="V57" s="52"/>
      <c r="W57" s="52"/>
      <c r="X57" s="52"/>
      <c r="Y57" s="52"/>
      <c r="Z57" s="52"/>
      <c r="AA57" s="52"/>
    </row>
    <row r="58" spans="2:27">
      <c r="B58" s="4" t="s">
        <v>131</v>
      </c>
      <c r="C58" s="4"/>
      <c r="D58" s="1" t="s">
        <v>129</v>
      </c>
      <c r="E58" s="4"/>
      <c r="F58" s="4"/>
      <c r="H58" s="98">
        <f>H48</f>
        <v>28.953357948496151</v>
      </c>
      <c r="S58" s="52"/>
      <c r="T58" s="52"/>
      <c r="U58" s="52"/>
      <c r="V58" s="52"/>
      <c r="W58" s="52"/>
      <c r="X58" s="52"/>
      <c r="Y58" s="52"/>
      <c r="Z58" s="52"/>
      <c r="AA58" s="52"/>
    </row>
    <row r="59" spans="2:27">
      <c r="B59" s="4" t="s">
        <v>97</v>
      </c>
      <c r="C59" s="4"/>
      <c r="D59" s="1" t="s">
        <v>129</v>
      </c>
      <c r="E59" s="4"/>
      <c r="F59" s="4"/>
      <c r="H59" s="98">
        <f>H52</f>
        <v>24.546215564408261</v>
      </c>
      <c r="S59" s="52"/>
      <c r="T59" s="52"/>
      <c r="U59" s="52"/>
      <c r="V59" s="52"/>
      <c r="W59" s="52"/>
      <c r="X59" s="52"/>
      <c r="Y59" s="52"/>
      <c r="Z59" s="52"/>
      <c r="AA59" s="52"/>
    </row>
    <row r="60" spans="2:27">
      <c r="S60" s="52"/>
      <c r="T60" s="52"/>
      <c r="U60" s="52"/>
      <c r="V60" s="52"/>
      <c r="W60" s="52"/>
      <c r="X60" s="52"/>
      <c r="Y60" s="52"/>
      <c r="Z60" s="52"/>
      <c r="AA60" s="52"/>
    </row>
  </sheetData>
  <pageMargins left="0.7" right="0.7" top="0.75" bottom="0.75" header="0.3" footer="0.3"/>
  <pageSetup paperSize="9" scale="1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B2:W40"/>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ColWidth="9.140625" defaultRowHeight="12.75"/>
  <cols>
    <col min="1" max="1" width="4.7109375" style="4" customWidth="1"/>
    <col min="2" max="2" width="58.7109375" style="4" customWidth="1"/>
    <col min="3" max="3" width="4.7109375" style="4" customWidth="1"/>
    <col min="4" max="5" width="4.5703125" style="4" customWidth="1"/>
    <col min="6" max="6" width="14.28515625" style="4" customWidth="1"/>
    <col min="7" max="7" width="2.7109375" style="4" customWidth="1"/>
    <col min="8" max="8" width="13.7109375" style="4" customWidth="1"/>
    <col min="9" max="9" width="2.7109375" style="4" customWidth="1"/>
    <col min="10" max="10" width="16.5703125" style="4" bestFit="1" customWidth="1"/>
    <col min="11" max="11" width="2.7109375" style="4" customWidth="1"/>
    <col min="12" max="12" width="15.7109375" style="4" bestFit="1" customWidth="1"/>
    <col min="13" max="13" width="14" style="4" bestFit="1" customWidth="1"/>
    <col min="14" max="15" width="14.140625" style="4" bestFit="1" customWidth="1"/>
    <col min="16" max="16" width="14" style="4" bestFit="1" customWidth="1"/>
    <col min="17" max="17" width="14.140625" style="4" bestFit="1" customWidth="1"/>
    <col min="18" max="18" width="12.28515625" style="4" bestFit="1" customWidth="1"/>
    <col min="19" max="21" width="2.7109375" style="4" customWidth="1"/>
    <col min="22" max="36" width="13.7109375" style="4" customWidth="1"/>
    <col min="37" max="16384" width="9.140625" style="4"/>
  </cols>
  <sheetData>
    <row r="2" spans="2:23" s="19" customFormat="1" ht="18">
      <c r="B2" s="19" t="s">
        <v>87</v>
      </c>
    </row>
    <row r="4" spans="2:23">
      <c r="B4" s="26" t="s">
        <v>54</v>
      </c>
      <c r="C4" s="3"/>
      <c r="D4" s="3"/>
    </row>
    <row r="5" spans="2:23" ht="38.1" customHeight="1">
      <c r="B5" s="102" t="s">
        <v>229</v>
      </c>
      <c r="C5" s="102"/>
      <c r="D5" s="102"/>
      <c r="E5" s="102"/>
      <c r="F5" s="102"/>
      <c r="G5" s="102"/>
      <c r="H5" s="102"/>
      <c r="I5" s="102"/>
      <c r="J5" s="102"/>
      <c r="K5" s="102"/>
      <c r="L5" s="102"/>
      <c r="M5" s="102"/>
    </row>
    <row r="6" spans="2:23" ht="12.95" customHeight="1">
      <c r="B6" s="101" t="s">
        <v>91</v>
      </c>
      <c r="C6" s="101"/>
      <c r="D6" s="101"/>
      <c r="E6" s="101"/>
      <c r="F6" s="101"/>
      <c r="H6" s="20"/>
    </row>
    <row r="8" spans="2:23" s="10" customFormat="1">
      <c r="B8" s="10" t="s">
        <v>43</v>
      </c>
      <c r="F8" s="10" t="s">
        <v>26</v>
      </c>
      <c r="H8" s="10" t="s">
        <v>27</v>
      </c>
      <c r="J8" s="10" t="s">
        <v>46</v>
      </c>
      <c r="L8" s="10" t="s">
        <v>77</v>
      </c>
      <c r="M8" s="10" t="s">
        <v>68</v>
      </c>
      <c r="N8" s="10" t="s">
        <v>69</v>
      </c>
      <c r="O8" s="10" t="s">
        <v>70</v>
      </c>
      <c r="P8" s="10" t="s">
        <v>71</v>
      </c>
      <c r="Q8" s="10" t="s">
        <v>72</v>
      </c>
      <c r="V8" s="10" t="s">
        <v>45</v>
      </c>
    </row>
    <row r="11" spans="2:23" s="10" customFormat="1">
      <c r="B11" s="10" t="s">
        <v>133</v>
      </c>
    </row>
    <row r="12" spans="2:23">
      <c r="W12"/>
    </row>
    <row r="13" spans="2:23">
      <c r="B13" s="4" t="s">
        <v>146</v>
      </c>
      <c r="F13" s="4" t="s">
        <v>81</v>
      </c>
      <c r="J13" s="70">
        <f t="shared" ref="J13:J15" si="0">SUM(L13:Q13)</f>
        <v>22572280.033821385</v>
      </c>
      <c r="L13" s="69">
        <f>'Rekenvolumes TD'!L15</f>
        <v>467889.15918032784</v>
      </c>
      <c r="M13" s="69">
        <f>'Rekenvolumes TD'!M15</f>
        <v>7328171.9287251653</v>
      </c>
      <c r="N13" s="69">
        <f>'Rekenvolumes TD'!N15</f>
        <v>7874376.5576156462</v>
      </c>
      <c r="O13" s="69">
        <f>'Rekenvolumes TD'!O15</f>
        <v>340514.64999999997</v>
      </c>
      <c r="P13" s="69">
        <f>'Rekenvolumes TD'!P15</f>
        <v>6392096.3850025656</v>
      </c>
      <c r="Q13" s="69">
        <f>'Rekenvolumes TD'!Q15</f>
        <v>169231.35329768088</v>
      </c>
      <c r="W13"/>
    </row>
    <row r="14" spans="2:23">
      <c r="B14" s="4" t="s">
        <v>147</v>
      </c>
      <c r="F14" s="4" t="s">
        <v>81</v>
      </c>
      <c r="J14" s="70">
        <f t="shared" si="0"/>
        <v>1833014.5441086765</v>
      </c>
      <c r="L14" s="69">
        <f>'Rekenvolumes TD'!L19</f>
        <v>32998.333333333336</v>
      </c>
      <c r="M14" s="69">
        <f>'Rekenvolumes TD'!M19</f>
        <v>580645.73452814098</v>
      </c>
      <c r="N14" s="69">
        <f>'Rekenvolumes TD'!N19</f>
        <v>600697.86502657167</v>
      </c>
      <c r="O14" s="69">
        <f>'Rekenvolumes TD'!O19</f>
        <v>20660.583333333332</v>
      </c>
      <c r="P14" s="69">
        <f>'Rekenvolumes TD'!P19</f>
        <v>543247.74890911288</v>
      </c>
      <c r="Q14" s="69">
        <f>'Rekenvolumes TD'!Q19</f>
        <v>54764.278978184528</v>
      </c>
      <c r="W14"/>
    </row>
    <row r="15" spans="2:23">
      <c r="B15" s="4" t="s">
        <v>148</v>
      </c>
      <c r="F15" s="4" t="s">
        <v>81</v>
      </c>
      <c r="J15" s="70">
        <f t="shared" si="0"/>
        <v>2593760.9394599902</v>
      </c>
      <c r="L15" s="69">
        <f>'Rekenvolumes TD'!L26</f>
        <v>31224.111111111109</v>
      </c>
      <c r="M15" s="69">
        <f>'Rekenvolumes TD'!M26</f>
        <v>783519.48312986642</v>
      </c>
      <c r="N15" s="69">
        <f>'Rekenvolumes TD'!N26</f>
        <v>767972.55111111107</v>
      </c>
      <c r="O15" s="69">
        <f>'Rekenvolumes TD'!O26</f>
        <v>27504.899999999998</v>
      </c>
      <c r="P15" s="69">
        <f>'Rekenvolumes TD'!P26</f>
        <v>674648.42630164605</v>
      </c>
      <c r="Q15" s="69">
        <f>'Rekenvolumes TD'!Q26</f>
        <v>308891.46780625609</v>
      </c>
      <c r="W15"/>
    </row>
    <row r="17" spans="2:17" s="10" customFormat="1">
      <c r="B17" s="10" t="s">
        <v>230</v>
      </c>
    </row>
    <row r="18" spans="2:17" s="49" customFormat="1"/>
    <row r="19" spans="2:17" s="49" customFormat="1">
      <c r="B19" s="4" t="s">
        <v>146</v>
      </c>
      <c r="C19" s="4"/>
      <c r="D19" s="4"/>
      <c r="E19" s="4"/>
      <c r="F19" s="4" t="s">
        <v>81</v>
      </c>
      <c r="J19" s="71">
        <f t="shared" ref="J19:J21" si="1">SUM(L19:Q19)</f>
        <v>21251601.833481401</v>
      </c>
      <c r="L19" s="67">
        <f>'Aggregatie volumes 2023'!L93</f>
        <v>444074</v>
      </c>
      <c r="M19" s="67">
        <f>'Aggregatie volumes 2023'!M93</f>
        <v>6884736.5474220905</v>
      </c>
      <c r="N19" s="67">
        <f>'Aggregatie volumes 2023'!N93</f>
        <v>7442582.1287154295</v>
      </c>
      <c r="O19" s="67">
        <f>'Aggregatie volumes 2023'!O93</f>
        <v>320420.98000000004</v>
      </c>
      <c r="P19" s="67">
        <f>'Aggregatie volumes 2023'!P93</f>
        <v>5996594.0313524064</v>
      </c>
      <c r="Q19" s="67">
        <f>'Aggregatie volumes 2023'!Q93</f>
        <v>163194.14599147532</v>
      </c>
    </row>
    <row r="20" spans="2:17" s="49" customFormat="1">
      <c r="B20" s="4" t="s">
        <v>147</v>
      </c>
      <c r="C20" s="4"/>
      <c r="D20" s="4"/>
      <c r="E20" s="4"/>
      <c r="F20" s="4" t="s">
        <v>81</v>
      </c>
      <c r="J20" s="71">
        <f t="shared" si="1"/>
        <v>1671681.5133801831</v>
      </c>
      <c r="L20" s="67">
        <f>'Aggregatie volumes 2023'!L97</f>
        <v>32100</v>
      </c>
      <c r="M20" s="67">
        <f>'Aggregatie volumes 2023'!M97</f>
        <v>534986.50338718563</v>
      </c>
      <c r="N20" s="67">
        <f>'Aggregatie volumes 2023'!N97</f>
        <v>547205.4291666667</v>
      </c>
      <c r="O20" s="67">
        <f>'Aggregatie volumes 2023'!O97</f>
        <v>19336.400000000001</v>
      </c>
      <c r="P20" s="67">
        <f>'Aggregatie volumes 2023'!P97</f>
        <v>487139.60444444453</v>
      </c>
      <c r="Q20" s="67">
        <f>'Aggregatie volumes 2023'!Q97</f>
        <v>50913.576381886101</v>
      </c>
    </row>
    <row r="21" spans="2:17" s="49" customFormat="1">
      <c r="B21" s="4" t="s">
        <v>148</v>
      </c>
      <c r="C21" s="4"/>
      <c r="D21" s="4"/>
      <c r="E21" s="4"/>
      <c r="F21" s="4" t="s">
        <v>81</v>
      </c>
      <c r="J21" s="71">
        <f t="shared" si="1"/>
        <v>2510574.389277861</v>
      </c>
      <c r="L21" s="67">
        <f>'Aggregatie volumes 2023'!L104</f>
        <v>29505</v>
      </c>
      <c r="M21" s="67">
        <f>'Aggregatie volumes 2023'!M104</f>
        <v>752800.60098651855</v>
      </c>
      <c r="N21" s="67">
        <f>'Aggregatie volumes 2023'!N104</f>
        <v>745968.36333333328</v>
      </c>
      <c r="O21" s="67">
        <f>'Aggregatie volumes 2023'!O104</f>
        <v>28078</v>
      </c>
      <c r="P21" s="67">
        <f>'Aggregatie volumes 2023'!P104</f>
        <v>645622.89263235836</v>
      </c>
      <c r="Q21" s="67">
        <f>'Aggregatie volumes 2023'!Q104</f>
        <v>308599.53232565097</v>
      </c>
    </row>
    <row r="22" spans="2:17" s="49" customFormat="1">
      <c r="B22" s="51"/>
    </row>
    <row r="23" spans="2:17" s="10" customFormat="1">
      <c r="B23" s="10" t="s">
        <v>231</v>
      </c>
    </row>
    <row r="24" spans="2:17" s="49" customFormat="1">
      <c r="B24" s="51"/>
    </row>
    <row r="25" spans="2:17" s="49" customFormat="1">
      <c r="B25" s="4" t="s">
        <v>146</v>
      </c>
      <c r="C25" s="4"/>
      <c r="F25" s="1" t="s">
        <v>129</v>
      </c>
      <c r="J25" s="76">
        <f>Wegingsfactoren!H44</f>
        <v>29.102711507316609</v>
      </c>
    </row>
    <row r="26" spans="2:17" s="49" customFormat="1">
      <c r="B26" s="4" t="s">
        <v>147</v>
      </c>
      <c r="C26" s="4"/>
      <c r="F26" s="1" t="s">
        <v>129</v>
      </c>
      <c r="J26" s="76">
        <f>Wegingsfactoren!H48</f>
        <v>28.953357948496151</v>
      </c>
    </row>
    <row r="27" spans="2:17" s="49" customFormat="1">
      <c r="B27" s="4" t="s">
        <v>148</v>
      </c>
      <c r="C27" s="4"/>
      <c r="F27" s="1" t="s">
        <v>129</v>
      </c>
      <c r="J27" s="76">
        <f>Wegingsfactoren!H52</f>
        <v>24.546215564408261</v>
      </c>
    </row>
    <row r="28" spans="2:17" s="49" customFormat="1">
      <c r="B28" s="51"/>
    </row>
    <row r="29" spans="2:17" s="10" customFormat="1">
      <c r="B29" s="10" t="s">
        <v>82</v>
      </c>
    </row>
    <row r="30" spans="2:17" s="49" customFormat="1">
      <c r="B30" s="51"/>
    </row>
    <row r="31" spans="2:17" s="49" customFormat="1">
      <c r="B31" s="4" t="s">
        <v>146</v>
      </c>
      <c r="C31" s="4"/>
      <c r="D31" s="4"/>
      <c r="E31" s="4"/>
      <c r="F31" s="4" t="s">
        <v>81</v>
      </c>
      <c r="J31" s="71">
        <f t="shared" ref="J31:J33" si="2">SUM(L31:Q31)</f>
        <v>-1320678.2003399839</v>
      </c>
      <c r="L31" s="71">
        <f t="shared" ref="L31:Q33" si="3">L19-L13</f>
        <v>-23815.159180327842</v>
      </c>
      <c r="M31" s="71">
        <f t="shared" si="3"/>
        <v>-443435.38130307477</v>
      </c>
      <c r="N31" s="71">
        <f t="shared" si="3"/>
        <v>-431794.42890021671</v>
      </c>
      <c r="O31" s="71">
        <f t="shared" si="3"/>
        <v>-20093.669999999925</v>
      </c>
      <c r="P31" s="71">
        <f t="shared" si="3"/>
        <v>-395502.3536501592</v>
      </c>
      <c r="Q31" s="71">
        <f t="shared" si="3"/>
        <v>-6037.207306205557</v>
      </c>
    </row>
    <row r="32" spans="2:17" s="49" customFormat="1">
      <c r="B32" s="4" t="s">
        <v>147</v>
      </c>
      <c r="C32" s="4"/>
      <c r="D32" s="4"/>
      <c r="E32" s="4"/>
      <c r="F32" s="4" t="s">
        <v>81</v>
      </c>
      <c r="J32" s="71">
        <f t="shared" si="2"/>
        <v>-161333.03072849376</v>
      </c>
      <c r="L32" s="71">
        <f t="shared" si="3"/>
        <v>-898.33333333333576</v>
      </c>
      <c r="M32" s="71">
        <f t="shared" si="3"/>
        <v>-45659.231140955351</v>
      </c>
      <c r="N32" s="71">
        <f t="shared" si="3"/>
        <v>-53492.435859904974</v>
      </c>
      <c r="O32" s="71">
        <f t="shared" si="3"/>
        <v>-1324.1833333333307</v>
      </c>
      <c r="P32" s="71">
        <f t="shared" si="3"/>
        <v>-56108.144464668352</v>
      </c>
      <c r="Q32" s="71">
        <f t="shared" si="3"/>
        <v>-3850.7025962984262</v>
      </c>
    </row>
    <row r="33" spans="2:17" s="49" customFormat="1">
      <c r="B33" s="4" t="s">
        <v>148</v>
      </c>
      <c r="C33" s="4"/>
      <c r="D33" s="4"/>
      <c r="E33" s="4"/>
      <c r="F33" s="4" t="s">
        <v>81</v>
      </c>
      <c r="J33" s="71">
        <f t="shared" si="2"/>
        <v>-83186.550182129562</v>
      </c>
      <c r="L33" s="71">
        <f t="shared" si="3"/>
        <v>-1719.1111111111095</v>
      </c>
      <c r="M33" s="71">
        <f t="shared" si="3"/>
        <v>-30718.882143347873</v>
      </c>
      <c r="N33" s="71">
        <f t="shared" si="3"/>
        <v>-22004.187777777785</v>
      </c>
      <c r="O33" s="71">
        <f t="shared" si="3"/>
        <v>573.10000000000218</v>
      </c>
      <c r="P33" s="71">
        <f t="shared" si="3"/>
        <v>-29025.533669287688</v>
      </c>
      <c r="Q33" s="71">
        <f t="shared" si="3"/>
        <v>-291.93548060511239</v>
      </c>
    </row>
    <row r="34" spans="2:17" s="49" customFormat="1">
      <c r="B34" s="51"/>
    </row>
    <row r="35" spans="2:17" s="10" customFormat="1">
      <c r="B35" s="10" t="s">
        <v>83</v>
      </c>
    </row>
    <row r="36" spans="2:17" s="39" customFormat="1">
      <c r="B36" s="40"/>
    </row>
    <row r="37" spans="2:17">
      <c r="B37" s="39" t="s">
        <v>139</v>
      </c>
      <c r="F37" s="49" t="s">
        <v>165</v>
      </c>
      <c r="L37" s="37">
        <f>$J$25*L31+$J$26*L32+$J$27*L33</f>
        <v>-761293.14559547242</v>
      </c>
      <c r="M37" s="37">
        <f t="shared" ref="M37:Q37" si="4">$J$25*M31+$J$26*M32+$J$27*M33</f>
        <v>-14981192.340065794</v>
      </c>
      <c r="N37" s="37">
        <f t="shared" si="4"/>
        <v>-14655293.874251392</v>
      </c>
      <c r="O37" s="37">
        <f t="shared" si="4"/>
        <v>-609052.39903269068</v>
      </c>
      <c r="P37" s="37">
        <f t="shared" si="4"/>
        <v>-13847177.095575092</v>
      </c>
      <c r="Q37" s="37">
        <f t="shared" si="4"/>
        <v>-294355.78440402838</v>
      </c>
    </row>
    <row r="38" spans="2:17">
      <c r="B38" s="39"/>
    </row>
    <row r="39" spans="2:17">
      <c r="B39" s="39"/>
    </row>
    <row r="40" spans="2:17">
      <c r="B40" s="39"/>
    </row>
  </sheetData>
  <mergeCells count="2">
    <mergeCell ref="B6:F6"/>
    <mergeCell ref="B5:M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sheetPr>
  <dimension ref="B2:U47"/>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ColWidth="9.140625" defaultRowHeight="12.75"/>
  <cols>
    <col min="1" max="1" width="4.7109375" style="4" customWidth="1"/>
    <col min="2" max="2" width="59.5703125" style="4" customWidth="1"/>
    <col min="3" max="3" width="4.7109375" style="4" customWidth="1"/>
    <col min="4" max="5" width="4.5703125" style="4" customWidth="1"/>
    <col min="6" max="6" width="13.7109375" style="4" customWidth="1"/>
    <col min="7" max="7" width="2.7109375" style="4" customWidth="1"/>
    <col min="8" max="8" width="13.7109375" style="4" customWidth="1"/>
    <col min="9" max="9" width="2.7109375" style="4" customWidth="1"/>
    <col min="10" max="10" width="13.7109375" style="4" customWidth="1"/>
    <col min="11" max="11" width="2.7109375" style="4" customWidth="1"/>
    <col min="12" max="12" width="15.5703125" style="4" bestFit="1" customWidth="1"/>
    <col min="13" max="13" width="12.28515625" style="4" bestFit="1" customWidth="1"/>
    <col min="14" max="15" width="14" style="4" bestFit="1" customWidth="1"/>
    <col min="16" max="16" width="12.28515625" style="4" bestFit="1" customWidth="1"/>
    <col min="17" max="17" width="14" style="4" bestFit="1" customWidth="1"/>
    <col min="18" max="18" width="12.28515625" style="4" bestFit="1" customWidth="1"/>
    <col min="19" max="33" width="13.7109375" style="4" customWidth="1"/>
    <col min="34" max="16384" width="9.140625" style="4"/>
  </cols>
  <sheetData>
    <row r="2" spans="2:19" s="19" customFormat="1" ht="18">
      <c r="B2" s="19" t="s">
        <v>76</v>
      </c>
    </row>
    <row r="4" spans="2:19">
      <c r="B4" s="26" t="s">
        <v>54</v>
      </c>
      <c r="C4" s="3"/>
      <c r="D4" s="3"/>
    </row>
    <row r="5" spans="2:19">
      <c r="B5" s="4" t="s">
        <v>140</v>
      </c>
      <c r="C5" s="5"/>
      <c r="D5" s="5"/>
      <c r="H5" s="20"/>
    </row>
    <row r="6" spans="2:19">
      <c r="B6" s="6" t="s">
        <v>141</v>
      </c>
      <c r="C6" s="5"/>
      <c r="D6" s="5"/>
    </row>
    <row r="7" spans="2:19">
      <c r="B7" s="6" t="s">
        <v>153</v>
      </c>
    </row>
    <row r="9" spans="2:19" s="10" customFormat="1">
      <c r="B9" s="10" t="s">
        <v>43</v>
      </c>
      <c r="F9" s="10" t="s">
        <v>26</v>
      </c>
      <c r="H9" s="10" t="s">
        <v>27</v>
      </c>
      <c r="J9" s="10" t="s">
        <v>46</v>
      </c>
      <c r="L9" s="10" t="s">
        <v>77</v>
      </c>
      <c r="M9" s="10" t="s">
        <v>68</v>
      </c>
      <c r="N9" s="10" t="s">
        <v>69</v>
      </c>
      <c r="O9" s="10" t="s">
        <v>70</v>
      </c>
      <c r="P9" s="10" t="s">
        <v>71</v>
      </c>
      <c r="Q9" s="10" t="s">
        <v>72</v>
      </c>
      <c r="S9" s="10" t="s">
        <v>45</v>
      </c>
    </row>
    <row r="12" spans="2:19" s="10" customFormat="1">
      <c r="B12" s="10" t="s">
        <v>90</v>
      </c>
    </row>
    <row r="14" spans="2:19">
      <c r="B14" s="3" t="s">
        <v>93</v>
      </c>
    </row>
    <row r="15" spans="2:19">
      <c r="B15" s="4" t="s">
        <v>94</v>
      </c>
      <c r="F15" s="4" t="s">
        <v>81</v>
      </c>
      <c r="J15" s="70">
        <f>SUM(L15:Q15)</f>
        <v>129849382.97241102</v>
      </c>
      <c r="L15" s="69">
        <f>'SO REG2022'!J13</f>
        <v>2554734.604290484</v>
      </c>
      <c r="M15" s="69">
        <f>'SO REG2022'!K13</f>
        <v>41079512.423977166</v>
      </c>
      <c r="N15" s="69">
        <f>'SO REG2022'!L13</f>
        <v>45433817.773542456</v>
      </c>
      <c r="O15" s="69">
        <f>'SO REG2022'!M13</f>
        <v>1881797.550325311</v>
      </c>
      <c r="P15" s="69">
        <f>'SO REG2022'!N13</f>
        <v>37928133.117229462</v>
      </c>
      <c r="Q15" s="69">
        <f>'SO REG2022'!O13</f>
        <v>971387.50304613705</v>
      </c>
    </row>
    <row r="16" spans="2:19">
      <c r="B16" s="4" t="s">
        <v>95</v>
      </c>
      <c r="F16" s="4" t="s">
        <v>81</v>
      </c>
      <c r="J16" s="70">
        <f t="shared" ref="J16:J31" si="0">SUM(L16:Q16)</f>
        <v>587851817.70302582</v>
      </c>
      <c r="L16" s="69">
        <f>'SO REG2022'!J14</f>
        <v>12185277.353265738</v>
      </c>
      <c r="M16" s="69">
        <f>'SO REG2022'!K14</f>
        <v>190848207.72587556</v>
      </c>
      <c r="N16" s="69">
        <f>'SO REG2022'!L14</f>
        <v>205073061.54879338</v>
      </c>
      <c r="O16" s="69">
        <f>'SO REG2022'!M14</f>
        <v>8868052.1266385056</v>
      </c>
      <c r="P16" s="69">
        <f>'SO REG2022'!N14</f>
        <v>166469912.3538453</v>
      </c>
      <c r="Q16" s="69">
        <f>'SO REG2022'!O14</f>
        <v>4407306.594607343</v>
      </c>
    </row>
    <row r="17" spans="2:21">
      <c r="J17" s="68"/>
      <c r="L17" s="68"/>
      <c r="M17" s="68"/>
      <c r="N17" s="68"/>
      <c r="O17" s="68"/>
      <c r="P17" s="68"/>
      <c r="Q17" s="68"/>
    </row>
    <row r="18" spans="2:21">
      <c r="B18" s="3" t="s">
        <v>96</v>
      </c>
      <c r="J18" s="68"/>
      <c r="L18" s="68"/>
      <c r="M18" s="68"/>
      <c r="N18" s="68"/>
      <c r="O18" s="68"/>
      <c r="P18" s="68"/>
      <c r="Q18" s="68"/>
    </row>
    <row r="19" spans="2:21">
      <c r="B19" s="4" t="s">
        <v>94</v>
      </c>
      <c r="F19" s="4" t="s">
        <v>81</v>
      </c>
      <c r="J19" s="70">
        <f t="shared" si="0"/>
        <v>464624.66513092176</v>
      </c>
      <c r="L19" s="69">
        <f>'SO REG2022'!J17</f>
        <v>8676</v>
      </c>
      <c r="M19" s="69">
        <f>'SO REG2022'!K17</f>
        <v>147112.09593638417</v>
      </c>
      <c r="N19" s="69">
        <f>'SO REG2022'!L17</f>
        <v>159593.95999999996</v>
      </c>
      <c r="O19" s="69">
        <f>'SO REG2022'!M17</f>
        <v>5647.0199999999995</v>
      </c>
      <c r="P19" s="69">
        <f>'SO REG2022'!N17</f>
        <v>132652.91919453762</v>
      </c>
      <c r="Q19" s="69">
        <f>'SO REG2022'!O17</f>
        <v>10942.669999999998</v>
      </c>
    </row>
    <row r="20" spans="2:21">
      <c r="B20" s="4" t="s">
        <v>95</v>
      </c>
      <c r="F20" s="4" t="s">
        <v>81</v>
      </c>
      <c r="J20" s="70">
        <f t="shared" si="0"/>
        <v>47492368.85233108</v>
      </c>
      <c r="L20" s="69">
        <f>'SO REG2022'!J18</f>
        <v>854968.13062162115</v>
      </c>
      <c r="M20" s="69">
        <f>'SO REG2022'!K18</f>
        <v>15044202.177976951</v>
      </c>
      <c r="N20" s="69">
        <f>'SO REG2022'!L18</f>
        <v>15563741.524223451</v>
      </c>
      <c r="O20" s="69">
        <f>'SO REG2022'!M18</f>
        <v>535304.01464878686</v>
      </c>
      <c r="P20" s="69">
        <f>'SO REG2022'!N18</f>
        <v>14075241.548034588</v>
      </c>
      <c r="Q20" s="69">
        <f>'SO REG2022'!O18</f>
        <v>1418911.4568256789</v>
      </c>
    </row>
    <row r="21" spans="2:21">
      <c r="J21" s="68"/>
      <c r="L21" s="68"/>
      <c r="M21" s="68"/>
      <c r="N21" s="68"/>
      <c r="O21" s="68"/>
      <c r="P21" s="68"/>
      <c r="Q21" s="68"/>
    </row>
    <row r="22" spans="2:21">
      <c r="B22" s="3" t="s">
        <v>97</v>
      </c>
      <c r="J22" s="68"/>
      <c r="L22" s="68"/>
      <c r="M22" s="68"/>
      <c r="N22" s="68"/>
      <c r="O22" s="68"/>
      <c r="P22" s="68"/>
      <c r="Q22" s="68"/>
    </row>
    <row r="23" spans="2:21">
      <c r="B23" s="4" t="s">
        <v>94</v>
      </c>
      <c r="F23" s="4" t="s">
        <v>81</v>
      </c>
      <c r="J23" s="70">
        <f t="shared" si="0"/>
        <v>6540558.2664067056</v>
      </c>
      <c r="L23" s="69">
        <f>'SO REG2022'!J21</f>
        <v>88678.780003563865</v>
      </c>
      <c r="M23" s="69">
        <f>'SO REG2022'!K21</f>
        <v>1979597.8922038693</v>
      </c>
      <c r="N23" s="69">
        <f>'SO REG2022'!L21</f>
        <v>2153967.7106551034</v>
      </c>
      <c r="O23" s="69">
        <f>'SO REG2022'!M21</f>
        <v>65745.849660170323</v>
      </c>
      <c r="P23" s="69">
        <f>'SO REG2022'!N21</f>
        <v>1629756.7629277324</v>
      </c>
      <c r="Q23" s="69">
        <f>'SO REG2022'!O21</f>
        <v>622811.27095626714</v>
      </c>
    </row>
    <row r="24" spans="2:21" s="39" customFormat="1">
      <c r="B24" s="4" t="s">
        <v>101</v>
      </c>
      <c r="C24" s="4"/>
      <c r="E24" s="4"/>
      <c r="F24" s="4" t="s">
        <v>81</v>
      </c>
      <c r="G24" s="4"/>
      <c r="H24" s="4"/>
      <c r="I24" s="4"/>
      <c r="J24" s="70">
        <f t="shared" si="0"/>
        <v>56973574.961649559</v>
      </c>
      <c r="K24" s="4"/>
      <c r="L24" s="69">
        <f>'SO REG2022'!J22</f>
        <v>685857.05333743396</v>
      </c>
      <c r="M24" s="69">
        <f>'SO REG2022'!K22</f>
        <v>17210493.58361692</v>
      </c>
      <c r="N24" s="69">
        <f>'SO REG2022'!L22</f>
        <v>16868995.536006317</v>
      </c>
      <c r="O24" s="69">
        <f>'SO REG2022'!M22</f>
        <v>604162.26419421984</v>
      </c>
      <c r="P24" s="69">
        <f>'SO REG2022'!N22</f>
        <v>14819072.993156483</v>
      </c>
      <c r="Q24" s="69">
        <f>'SO REG2022'!O22</f>
        <v>6784993.5313381851</v>
      </c>
      <c r="R24" s="4"/>
      <c r="S24" s="4"/>
      <c r="T24" s="4"/>
      <c r="U24" s="4"/>
    </row>
    <row r="25" spans="2:21" s="39" customFormat="1">
      <c r="B25" s="4"/>
      <c r="C25" s="4"/>
      <c r="E25" s="4"/>
      <c r="F25" s="4"/>
      <c r="G25" s="4"/>
      <c r="H25" s="4"/>
      <c r="I25" s="4"/>
      <c r="J25" s="68"/>
      <c r="K25" s="4"/>
      <c r="L25" s="68"/>
      <c r="M25" s="68"/>
      <c r="N25" s="68"/>
      <c r="O25" s="68"/>
      <c r="P25" s="68"/>
      <c r="Q25" s="68"/>
      <c r="R25" s="4"/>
      <c r="S25" s="4"/>
      <c r="T25" s="4"/>
      <c r="U25" s="4"/>
    </row>
    <row r="26" spans="2:21" s="39" customFormat="1">
      <c r="B26" s="3" t="s">
        <v>130</v>
      </c>
      <c r="C26" s="4"/>
      <c r="E26" s="4"/>
      <c r="F26" s="4"/>
      <c r="G26" s="4"/>
      <c r="H26" s="4"/>
      <c r="I26" s="4"/>
      <c r="J26" s="68"/>
      <c r="K26" s="4"/>
      <c r="L26" s="68"/>
      <c r="M26" s="68"/>
      <c r="N26" s="68"/>
      <c r="O26" s="68"/>
      <c r="P26" s="68"/>
      <c r="Q26" s="68"/>
      <c r="R26" s="4"/>
      <c r="S26" s="4"/>
      <c r="T26" s="4"/>
      <c r="U26" s="4"/>
    </row>
    <row r="27" spans="2:21" s="39" customFormat="1">
      <c r="B27" s="4" t="s">
        <v>93</v>
      </c>
      <c r="C27" s="4"/>
      <c r="E27" s="4"/>
      <c r="F27" s="4" t="s">
        <v>81</v>
      </c>
      <c r="G27" s="4"/>
      <c r="H27" s="4"/>
      <c r="I27" s="4"/>
      <c r="J27" s="70">
        <f t="shared" si="0"/>
        <v>651.07713622883091</v>
      </c>
      <c r="K27" s="4"/>
      <c r="L27" s="69">
        <f>'SO REG2022'!J25</f>
        <v>0</v>
      </c>
      <c r="M27" s="69">
        <f>'SO REG2022'!K25</f>
        <v>0</v>
      </c>
      <c r="N27" s="69">
        <f>'SO REG2022'!L25</f>
        <v>0</v>
      </c>
      <c r="O27" s="69">
        <f>'SO REG2022'!M25</f>
        <v>0</v>
      </c>
      <c r="P27" s="69">
        <f>'SO REG2022'!N25</f>
        <v>651.07713622883091</v>
      </c>
      <c r="Q27" s="69">
        <f>'SO REG2022'!O25</f>
        <v>0</v>
      </c>
      <c r="R27" s="4"/>
      <c r="S27" s="4"/>
      <c r="T27" s="4"/>
      <c r="U27" s="4"/>
    </row>
    <row r="28" spans="2:21" s="39" customFormat="1">
      <c r="B28" s="66" t="s">
        <v>131</v>
      </c>
      <c r="C28" s="4"/>
      <c r="E28" s="4"/>
      <c r="F28" s="4" t="s">
        <v>81</v>
      </c>
      <c r="G28" s="4"/>
      <c r="H28" s="4"/>
      <c r="I28" s="4"/>
      <c r="J28" s="70">
        <f t="shared" si="0"/>
        <v>604.55345364425955</v>
      </c>
      <c r="K28" s="4"/>
      <c r="L28" s="69">
        <f>'SO REG2022'!J26</f>
        <v>0</v>
      </c>
      <c r="M28" s="69">
        <f>'SO REG2022'!K26</f>
        <v>0</v>
      </c>
      <c r="N28" s="69">
        <f>'SO REG2022'!L26</f>
        <v>604.55345364425955</v>
      </c>
      <c r="O28" s="69">
        <f>'SO REG2022'!M26</f>
        <v>0</v>
      </c>
      <c r="P28" s="69">
        <f>'SO REG2022'!N26</f>
        <v>0</v>
      </c>
      <c r="Q28" s="69">
        <f>'SO REG2022'!O26</f>
        <v>0</v>
      </c>
      <c r="R28" s="4"/>
      <c r="S28" s="4"/>
      <c r="T28" s="4"/>
      <c r="U28" s="4"/>
    </row>
    <row r="29" spans="2:21" s="39" customFormat="1">
      <c r="B29" s="4" t="s">
        <v>97</v>
      </c>
      <c r="C29" s="4"/>
      <c r="E29" s="4"/>
      <c r="F29" s="4" t="s">
        <v>81</v>
      </c>
      <c r="G29" s="4"/>
      <c r="H29" s="4"/>
      <c r="I29" s="4"/>
      <c r="J29" s="70">
        <f t="shared" si="0"/>
        <v>624599.29013998096</v>
      </c>
      <c r="K29" s="4"/>
      <c r="L29" s="69">
        <f>'SO REG2022'!J27</f>
        <v>23488.572866835329</v>
      </c>
      <c r="M29" s="69">
        <f>'SO REG2022'!K27</f>
        <v>224632.66397450716</v>
      </c>
      <c r="N29" s="69">
        <f>'SO REG2022'!L27</f>
        <v>201805.50042260459</v>
      </c>
      <c r="O29" s="69">
        <f>'SO REG2022'!M27</f>
        <v>79530.199027295937</v>
      </c>
      <c r="P29" s="69">
        <f>'SO REG2022'!N27</f>
        <v>82723.867894163632</v>
      </c>
      <c r="Q29" s="69">
        <f>'SO REG2022'!O27</f>
        <v>12418.48595457436</v>
      </c>
      <c r="R29" s="4"/>
      <c r="S29" s="4"/>
      <c r="T29" s="4"/>
      <c r="U29" s="4"/>
    </row>
    <row r="30" spans="2:21" s="39" customFormat="1">
      <c r="B30" s="4"/>
      <c r="C30" s="4"/>
      <c r="E30" s="4"/>
      <c r="F30" s="4"/>
      <c r="G30" s="4"/>
      <c r="H30" s="4"/>
      <c r="I30" s="4"/>
      <c r="J30" s="68"/>
      <c r="K30" s="4"/>
      <c r="L30" s="68"/>
      <c r="M30" s="68"/>
      <c r="N30" s="68"/>
      <c r="O30" s="68"/>
      <c r="P30" s="68"/>
      <c r="Q30" s="68"/>
      <c r="R30" s="4"/>
      <c r="S30" s="4"/>
      <c r="T30" s="4"/>
      <c r="U30" s="4"/>
    </row>
    <row r="31" spans="2:21">
      <c r="B31" s="3" t="s">
        <v>132</v>
      </c>
      <c r="F31" s="4" t="s">
        <v>81</v>
      </c>
      <c r="J31" s="70">
        <f t="shared" si="0"/>
        <v>829798182.34168494</v>
      </c>
      <c r="L31" s="69">
        <f>'SO REG2022'!J29</f>
        <v>16401680.494385676</v>
      </c>
      <c r="M31" s="69">
        <f>'SO REG2022'!K29</f>
        <v>266533758.56356135</v>
      </c>
      <c r="N31" s="69">
        <f>'SO REG2022'!L29</f>
        <v>285455588.10709691</v>
      </c>
      <c r="O31" s="69">
        <f>'SO REG2022'!M29</f>
        <v>12040239.024494292</v>
      </c>
      <c r="P31" s="69">
        <f>'SO REG2022'!N29</f>
        <v>235138144.63941851</v>
      </c>
      <c r="Q31" s="69">
        <f>'SO REG2022'!O29</f>
        <v>14228771.512728186</v>
      </c>
    </row>
    <row r="33" spans="2:18" s="10" customFormat="1">
      <c r="B33" s="10" t="s">
        <v>83</v>
      </c>
    </row>
    <row r="35" spans="2:18">
      <c r="B35" s="39" t="s">
        <v>139</v>
      </c>
      <c r="F35" s="49" t="s">
        <v>165</v>
      </c>
      <c r="L35" s="69">
        <f>'Ontwikkeling inkomsten TD'!L37</f>
        <v>-761293.14559547242</v>
      </c>
      <c r="M35" s="69">
        <f>'Ontwikkeling inkomsten TD'!M37</f>
        <v>-14981192.340065794</v>
      </c>
      <c r="N35" s="69">
        <f>'Ontwikkeling inkomsten TD'!N37</f>
        <v>-14655293.874251392</v>
      </c>
      <c r="O35" s="69">
        <f>'Ontwikkeling inkomsten TD'!O37</f>
        <v>-609052.39903269068</v>
      </c>
      <c r="P35" s="69">
        <f>'Ontwikkeling inkomsten TD'!P37</f>
        <v>-13847177.095575092</v>
      </c>
      <c r="Q35" s="69">
        <f>'Ontwikkeling inkomsten TD'!Q37</f>
        <v>-294355.78440402838</v>
      </c>
    </row>
    <row r="36" spans="2:18" s="39" customFormat="1">
      <c r="J36" s="41"/>
      <c r="K36" s="41"/>
      <c r="L36" s="41"/>
      <c r="M36" s="41"/>
      <c r="N36" s="41"/>
      <c r="O36" s="41"/>
      <c r="P36" s="41"/>
      <c r="Q36" s="41"/>
      <c r="R36" s="41"/>
    </row>
    <row r="37" spans="2:18" s="10" customFormat="1">
      <c r="B37" s="10" t="s">
        <v>75</v>
      </c>
    </row>
    <row r="39" spans="2:18">
      <c r="B39" s="4" t="s">
        <v>79</v>
      </c>
      <c r="F39" s="4" t="s">
        <v>74</v>
      </c>
      <c r="L39" s="43">
        <f>SUM(L27:L29)/SUM(L16,L20,L24)</f>
        <v>1.7112339648589247E-3</v>
      </c>
      <c r="M39" s="43">
        <f t="shared" ref="M39:Q39" si="1">SUM(M27:M29)/SUM(M16,M20,M24)</f>
        <v>1.0068567484471291E-3</v>
      </c>
      <c r="N39" s="43">
        <f t="shared" si="1"/>
        <v>8.5223205101384438E-4</v>
      </c>
      <c r="O39" s="43">
        <f t="shared" si="1"/>
        <v>7.9470449920665751E-3</v>
      </c>
      <c r="P39" s="43">
        <f t="shared" si="1"/>
        <v>4.2676669293804464E-4</v>
      </c>
      <c r="Q39" s="43">
        <f t="shared" si="1"/>
        <v>9.8471791334782291E-4</v>
      </c>
      <c r="R39" s="48"/>
    </row>
    <row r="40" spans="2:18" s="97" customFormat="1">
      <c r="L40" s="48"/>
      <c r="M40" s="48"/>
      <c r="N40" s="48"/>
      <c r="O40" s="48"/>
      <c r="P40" s="48"/>
      <c r="Q40" s="48"/>
      <c r="R40" s="48"/>
    </row>
    <row r="41" spans="2:18">
      <c r="B41" s="96" t="s">
        <v>84</v>
      </c>
      <c r="F41" s="4" t="s">
        <v>165</v>
      </c>
      <c r="L41" s="28">
        <f>L35*L39</f>
        <v>-1302.7506879572629</v>
      </c>
      <c r="M41" s="28">
        <f t="shared" ref="M41:Q41" si="2">M35*M39</f>
        <v>-15083.914607379684</v>
      </c>
      <c r="N41" s="28">
        <f t="shared" si="2"/>
        <v>-12489.711156663892</v>
      </c>
      <c r="O41" s="28">
        <f t="shared" si="2"/>
        <v>-4840.1668176388775</v>
      </c>
      <c r="P41" s="28">
        <f t="shared" si="2"/>
        <v>-5909.5139756060207</v>
      </c>
      <c r="Q41" s="28">
        <f t="shared" si="2"/>
        <v>-289.85741380019647</v>
      </c>
      <c r="R41" s="34"/>
    </row>
    <row r="42" spans="2:18">
      <c r="L42" s="34"/>
    </row>
    <row r="43" spans="2:18">
      <c r="L43" s="2"/>
      <c r="M43" s="2"/>
      <c r="N43" s="2"/>
      <c r="O43" s="2"/>
      <c r="P43" s="2"/>
      <c r="Q43" s="2"/>
      <c r="R43" s="2"/>
    </row>
    <row r="44" spans="2:18">
      <c r="L44" s="34"/>
      <c r="M44" s="34"/>
      <c r="N44" s="34"/>
      <c r="O44" s="34"/>
      <c r="P44" s="34"/>
      <c r="Q44" s="34"/>
      <c r="R44" s="34"/>
    </row>
    <row r="47" spans="2:18">
      <c r="L47"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G38"/>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cols>
    <col min="1" max="1" width="4.7109375" style="4" customWidth="1"/>
    <col min="2" max="2" width="19.140625" style="4" customWidth="1"/>
    <col min="3" max="3" width="20.7109375" style="4" customWidth="1"/>
    <col min="4" max="4" width="56.85546875" style="4" customWidth="1"/>
    <col min="5" max="5" width="29.85546875" style="4" customWidth="1"/>
    <col min="6" max="6" width="24.7109375" style="4" customWidth="1"/>
    <col min="7" max="7" width="37.28515625" style="4" customWidth="1"/>
    <col min="8" max="16384" width="9.140625" style="4"/>
  </cols>
  <sheetData>
    <row r="2" spans="2:6" s="9" customFormat="1" ht="18">
      <c r="B2" s="9" t="s">
        <v>50</v>
      </c>
    </row>
    <row r="4" spans="2:6" s="10" customFormat="1">
      <c r="B4" s="10" t="s">
        <v>14</v>
      </c>
    </row>
    <row r="6" spans="2:6">
      <c r="B6" s="4" t="s">
        <v>232</v>
      </c>
    </row>
    <row r="8" spans="2:6" s="10" customFormat="1">
      <c r="B8" s="10" t="s">
        <v>15</v>
      </c>
    </row>
    <row r="10" spans="2:6">
      <c r="B10" s="26" t="s">
        <v>37</v>
      </c>
      <c r="D10" s="26" t="s">
        <v>16</v>
      </c>
      <c r="F10" s="7"/>
    </row>
    <row r="12" spans="2:6">
      <c r="B12" s="31">
        <v>123</v>
      </c>
      <c r="D12" s="4" t="s">
        <v>62</v>
      </c>
    </row>
    <row r="13" spans="2:6">
      <c r="B13" s="36">
        <f>B12</f>
        <v>123</v>
      </c>
      <c r="D13" s="4" t="s">
        <v>17</v>
      </c>
    </row>
    <row r="14" spans="2:6">
      <c r="B14" s="37">
        <f>B13+B12</f>
        <v>246</v>
      </c>
      <c r="D14" s="4" t="s">
        <v>18</v>
      </c>
    </row>
    <row r="15" spans="2:6">
      <c r="B15" s="28">
        <f>B13+B14</f>
        <v>369</v>
      </c>
      <c r="D15" s="4" t="s">
        <v>63</v>
      </c>
      <c r="E15" s="7"/>
      <c r="F15" s="7"/>
    </row>
    <row r="16" spans="2:6">
      <c r="B16" s="13"/>
      <c r="D16" s="4" t="s">
        <v>19</v>
      </c>
      <c r="E16" s="7"/>
    </row>
    <row r="18" spans="2:7">
      <c r="B18" s="27" t="s">
        <v>20</v>
      </c>
    </row>
    <row r="19" spans="2:7">
      <c r="B19" s="30">
        <f>B15+16</f>
        <v>385</v>
      </c>
      <c r="D19" s="4" t="s">
        <v>64</v>
      </c>
    </row>
    <row r="20" spans="2:7">
      <c r="B20" s="58">
        <f>B13*PI()</f>
        <v>386.41589639154455</v>
      </c>
      <c r="C20" s="15"/>
      <c r="D20" s="4" t="s">
        <v>21</v>
      </c>
    </row>
    <row r="21" spans="2:7">
      <c r="B21" s="15"/>
      <c r="C21" s="15"/>
    </row>
    <row r="22" spans="2:7">
      <c r="B22" s="27" t="s">
        <v>22</v>
      </c>
      <c r="C22" s="16"/>
    </row>
    <row r="23" spans="2:7">
      <c r="B23" s="35">
        <v>123</v>
      </c>
      <c r="C23" s="16"/>
      <c r="D23" s="4" t="s">
        <v>65</v>
      </c>
      <c r="G23" s="7"/>
    </row>
    <row r="24" spans="2:7">
      <c r="B24" s="32">
        <v>124</v>
      </c>
      <c r="C24" s="16"/>
      <c r="D24" s="4" t="s">
        <v>67</v>
      </c>
    </row>
    <row r="25" spans="2:7">
      <c r="B25" s="33">
        <f>B23-B24</f>
        <v>-1</v>
      </c>
      <c r="C25" s="17"/>
      <c r="D25" s="4" t="s">
        <v>55</v>
      </c>
    </row>
    <row r="28" spans="2:7">
      <c r="B28" s="26" t="s">
        <v>32</v>
      </c>
    </row>
    <row r="29" spans="2:7">
      <c r="B29" s="3"/>
    </row>
    <row r="30" spans="2:7">
      <c r="B30" s="27" t="s">
        <v>38</v>
      </c>
    </row>
    <row r="31" spans="2:7">
      <c r="B31" s="21" t="s">
        <v>31</v>
      </c>
      <c r="D31" s="5" t="s">
        <v>41</v>
      </c>
    </row>
    <row r="32" spans="2:7">
      <c r="B32" s="31" t="s">
        <v>29</v>
      </c>
      <c r="D32" s="5" t="s">
        <v>33</v>
      </c>
    </row>
    <row r="33" spans="2:4">
      <c r="B33" s="29" t="s">
        <v>30</v>
      </c>
      <c r="D33" s="5" t="s">
        <v>34</v>
      </c>
    </row>
    <row r="34" spans="2:4">
      <c r="B34" s="14" t="s">
        <v>30</v>
      </c>
      <c r="D34" s="5" t="s">
        <v>36</v>
      </c>
    </row>
    <row r="35" spans="2:4">
      <c r="D35" s="5"/>
    </row>
    <row r="36" spans="2:4">
      <c r="B36" s="27" t="s">
        <v>40</v>
      </c>
      <c r="D36" s="5"/>
    </row>
    <row r="37" spans="2:4">
      <c r="B37" s="22" t="s">
        <v>35</v>
      </c>
      <c r="D37" s="5" t="s">
        <v>42</v>
      </c>
    </row>
    <row r="38" spans="2:4">
      <c r="B38" s="23" t="s">
        <v>39</v>
      </c>
      <c r="D38" s="4" t="s">
        <v>66</v>
      </c>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21"/>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cols>
    <col min="1" max="1" width="4.7109375" style="4" customWidth="1"/>
    <col min="2" max="2" width="7.5703125" style="4" customWidth="1"/>
    <col min="3" max="3" width="42.42578125" style="4" bestFit="1" customWidth="1"/>
    <col min="4" max="4" width="54.28515625" style="4" bestFit="1" customWidth="1"/>
    <col min="5" max="5" width="92.85546875" style="4" bestFit="1" customWidth="1"/>
    <col min="6" max="6" width="4.5703125" style="4" customWidth="1"/>
    <col min="7" max="7" width="43.42578125" style="4" customWidth="1"/>
    <col min="8" max="8" width="28.7109375" style="4" customWidth="1"/>
    <col min="9" max="9" width="18.42578125" style="4" customWidth="1"/>
    <col min="10" max="11" width="58.42578125" style="4" customWidth="1"/>
    <col min="12" max="16384" width="9.140625" style="4"/>
  </cols>
  <sheetData>
    <row r="2" spans="2:5" s="9" customFormat="1" ht="18">
      <c r="B2" s="9" t="s">
        <v>23</v>
      </c>
    </row>
    <row r="4" spans="2:5" s="10" customFormat="1">
      <c r="B4" s="10" t="s">
        <v>24</v>
      </c>
    </row>
    <row r="6" spans="2:5">
      <c r="B6" s="27" t="s">
        <v>59</v>
      </c>
    </row>
    <row r="7" spans="2:5">
      <c r="B7" s="27" t="s">
        <v>60</v>
      </c>
    </row>
    <row r="9" spans="2:5">
      <c r="B9" s="45" t="s">
        <v>51</v>
      </c>
      <c r="C9" s="45" t="s">
        <v>52</v>
      </c>
      <c r="D9" s="45" t="s">
        <v>53</v>
      </c>
      <c r="E9" s="45" t="s">
        <v>56</v>
      </c>
    </row>
    <row r="10" spans="2:5">
      <c r="B10" s="18"/>
      <c r="C10" s="24" t="s">
        <v>58</v>
      </c>
      <c r="D10" s="24" t="s">
        <v>25</v>
      </c>
      <c r="E10" s="24" t="s">
        <v>57</v>
      </c>
    </row>
    <row r="11" spans="2:5">
      <c r="B11" s="8">
        <v>1</v>
      </c>
      <c r="C11" s="8" t="s">
        <v>246</v>
      </c>
      <c r="D11" s="44" t="s">
        <v>247</v>
      </c>
      <c r="E11" s="99" t="s">
        <v>245</v>
      </c>
    </row>
    <row r="12" spans="2:5">
      <c r="B12" s="8">
        <v>2</v>
      </c>
      <c r="C12" s="8" t="s">
        <v>241</v>
      </c>
      <c r="D12" s="8" t="s">
        <v>244</v>
      </c>
      <c r="E12" s="99" t="s">
        <v>245</v>
      </c>
    </row>
    <row r="13" spans="2:5" ht="12.75" customHeight="1">
      <c r="B13" s="8">
        <v>3</v>
      </c>
      <c r="C13" s="8" t="s">
        <v>151</v>
      </c>
      <c r="D13" s="95"/>
      <c r="E13" s="100"/>
    </row>
    <row r="14" spans="2:5" ht="12.75" customHeight="1">
      <c r="B14" s="8">
        <v>4</v>
      </c>
      <c r="C14" s="8" t="s">
        <v>236</v>
      </c>
      <c r="D14" s="8" t="s">
        <v>236</v>
      </c>
      <c r="E14" s="8"/>
    </row>
    <row r="15" spans="2:5" ht="12.75" customHeight="1">
      <c r="B15" s="8">
        <v>5</v>
      </c>
      <c r="C15" s="8" t="s">
        <v>239</v>
      </c>
      <c r="D15" s="8" t="s">
        <v>242</v>
      </c>
      <c r="E15" s="99" t="s">
        <v>243</v>
      </c>
    </row>
    <row r="16" spans="2:5">
      <c r="B16" s="8">
        <v>6</v>
      </c>
      <c r="C16" s="8" t="s">
        <v>237</v>
      </c>
      <c r="D16" s="95"/>
      <c r="E16" s="46" t="s">
        <v>238</v>
      </c>
    </row>
    <row r="18" spans="2:2" s="10" customFormat="1">
      <c r="B18" s="10" t="s">
        <v>49</v>
      </c>
    </row>
    <row r="20" spans="2:2">
      <c r="B20" s="27" t="s">
        <v>47</v>
      </c>
    </row>
    <row r="21" spans="2:2">
      <c r="B21" s="27" t="s">
        <v>48</v>
      </c>
    </row>
  </sheetData>
  <sortState xmlns:xlrd2="http://schemas.microsoft.com/office/spreadsheetml/2017/richdata2" ref="C11:E16">
    <sortCondition ref="C11:C16"/>
  </sortState>
  <hyperlinks>
    <hyperlink ref="E16" r:id="rId1" location="/CBS/nl/dataset/70936ned/table?ts=1631782812900" xr:uid="{C3EEB3FE-3A1A-4232-A2B8-C35FEF4B8DCD}"/>
    <hyperlink ref="E15" r:id="rId2" display="https://www.acm.nl/nl/publicaties/berekening-totale-inkomsten-2023-regionaal-netbeheer-gas" xr:uid="{A8C2A802-2371-4838-BD43-B7E74CDDBF42}"/>
    <hyperlink ref="E12" r:id="rId3" display="https://www.acm.nl/nl/publicaties/berekening-x-factor-bij-gewijzigde-x-factorbesluiten-gas-2022-2026?_exception_statuscode=404&amp;arguments_sanitized=%2BLZFmU3mG3vbbQ%3D%3D" xr:uid="{EF89D5AC-084E-49C3-A3B1-034D97450BEA}"/>
    <hyperlink ref="E11" r:id="rId4" display="https://www.acm.nl/nl/publicaties/berekening-x-factor-bij-gewijzigde-x-factorbesluiten-gas-2022-2026?_exception_statuscode=404&amp;arguments_sanitized=%2BLZFmU3mG3vbbQ%3D%3D" xr:uid="{1BF78936-5C3F-4EE5-AAFA-20FA130DB6E1}"/>
  </hyperlinks>
  <pageMargins left="0.75" right="0.75" top="1" bottom="1" header="0.5" footer="0.5"/>
  <pageSetup paperSize="9"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
  <sheetViews>
    <sheetView showGridLines="0" zoomScale="85" zoomScaleNormal="85" workbookViewId="0"/>
  </sheetViews>
  <sheetFormatPr defaultColWidth="9.140625" defaultRowHeight="12.75"/>
  <cols>
    <col min="1" max="16384" width="9.140625" style="22"/>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1FFE1"/>
  </sheetPr>
  <dimension ref="B2:Y56"/>
  <sheetViews>
    <sheetView showGridLines="0" zoomScale="85" zoomScaleNormal="85" workbookViewId="0">
      <pane xSplit="6" ySplit="8" topLeftCell="G9" activePane="bottomRight" state="frozen"/>
      <selection activeCell="R6" sqref="R6"/>
      <selection pane="topRight" activeCell="R6" sqref="R6"/>
      <selection pane="bottomLeft" activeCell="R6" sqref="R6"/>
      <selection pane="bottomRight" activeCell="G9" sqref="G9"/>
    </sheetView>
  </sheetViews>
  <sheetFormatPr defaultColWidth="9.140625" defaultRowHeight="12.75"/>
  <cols>
    <col min="1" max="1" width="4.7109375" style="4" customWidth="1"/>
    <col min="2" max="2" width="41.42578125" style="4" customWidth="1"/>
    <col min="3" max="3" width="4.7109375" style="4" customWidth="1"/>
    <col min="4" max="4" width="4.5703125" style="4" customWidth="1"/>
    <col min="5" max="5" width="6.140625" style="4" customWidth="1"/>
    <col min="6" max="6" width="13.7109375" style="4" customWidth="1"/>
    <col min="7" max="7" width="2.7109375" style="4" customWidth="1"/>
    <col min="8" max="8" width="13.7109375" style="4" customWidth="1"/>
    <col min="9" max="9" width="2.7109375" style="4" customWidth="1"/>
    <col min="10" max="10" width="16.5703125" style="4" bestFit="1" customWidth="1"/>
    <col min="11" max="11" width="2.7109375" style="4" customWidth="1"/>
    <col min="12" max="12" width="12.5703125" style="4" customWidth="1"/>
    <col min="13" max="13" width="14.140625" style="4" bestFit="1" customWidth="1"/>
    <col min="14" max="14" width="15" style="4" bestFit="1" customWidth="1"/>
    <col min="15" max="15" width="14.5703125" style="4" bestFit="1" customWidth="1"/>
    <col min="16" max="17" width="14.140625" style="4" bestFit="1" customWidth="1"/>
    <col min="18" max="18" width="4.42578125" style="4" customWidth="1"/>
    <col min="19" max="19" width="72" style="4" bestFit="1" customWidth="1"/>
    <col min="20" max="20" width="2.7109375" style="4" customWidth="1"/>
    <col min="21" max="21" width="13.7109375" style="4" customWidth="1"/>
    <col min="22" max="22" width="2.7109375" style="4" customWidth="1"/>
    <col min="23" max="37" width="13.7109375" style="4" customWidth="1"/>
    <col min="38" max="16384" width="9.140625" style="4"/>
  </cols>
  <sheetData>
    <row r="2" spans="2:25" s="55" customFormat="1" ht="18">
      <c r="B2" s="55" t="s">
        <v>222</v>
      </c>
    </row>
    <row r="4" spans="2:25">
      <c r="B4" s="26" t="s">
        <v>28</v>
      </c>
      <c r="C4" s="3"/>
      <c r="D4" s="3"/>
      <c r="L4"/>
    </row>
    <row r="5" spans="2:25">
      <c r="B5" s="4" t="s">
        <v>221</v>
      </c>
      <c r="H5" s="20"/>
    </row>
    <row r="7" spans="2:25" s="56" customFormat="1">
      <c r="F7" s="56" t="s">
        <v>26</v>
      </c>
      <c r="H7" s="56" t="s">
        <v>27</v>
      </c>
      <c r="J7" s="56" t="s">
        <v>46</v>
      </c>
      <c r="L7" s="56" t="s">
        <v>77</v>
      </c>
      <c r="M7" s="56" t="s">
        <v>68</v>
      </c>
      <c r="N7" s="56" t="s">
        <v>69</v>
      </c>
      <c r="O7" s="56" t="s">
        <v>70</v>
      </c>
      <c r="P7" s="56" t="s">
        <v>71</v>
      </c>
      <c r="Q7" s="56" t="s">
        <v>72</v>
      </c>
      <c r="S7" s="56" t="s">
        <v>44</v>
      </c>
      <c r="U7" s="56" t="s">
        <v>45</v>
      </c>
    </row>
    <row r="10" spans="2:25" s="10" customFormat="1">
      <c r="B10" s="10" t="s">
        <v>220</v>
      </c>
    </row>
    <row r="12" spans="2:25">
      <c r="B12" s="26" t="s">
        <v>102</v>
      </c>
    </row>
    <row r="13" spans="2:25">
      <c r="Y13" s="62"/>
    </row>
    <row r="14" spans="2:25">
      <c r="B14" s="26" t="s">
        <v>103</v>
      </c>
    </row>
    <row r="15" spans="2:25">
      <c r="B15" s="63" t="s">
        <v>104</v>
      </c>
      <c r="F15" s="4" t="s">
        <v>81</v>
      </c>
      <c r="J15" s="37">
        <f>SUM(L15:Q15)</f>
        <v>1291123.2394442032</v>
      </c>
      <c r="L15" s="79">
        <v>16036</v>
      </c>
      <c r="M15" s="31">
        <v>347685.3776790417</v>
      </c>
      <c r="N15" s="31">
        <v>458344.19178082194</v>
      </c>
      <c r="O15" s="31">
        <v>12268.14</v>
      </c>
      <c r="P15" s="31">
        <v>446799.20999103948</v>
      </c>
      <c r="Q15" s="31">
        <v>9990.3199932997923</v>
      </c>
      <c r="S15" s="4" t="s">
        <v>233</v>
      </c>
    </row>
    <row r="16" spans="2:25">
      <c r="B16" s="63" t="s">
        <v>105</v>
      </c>
      <c r="F16" s="4" t="s">
        <v>81</v>
      </c>
      <c r="J16" s="37">
        <f t="shared" ref="J16:J20" si="0">SUM(L16:Q16)</f>
        <v>5644224.0687873596</v>
      </c>
      <c r="L16" s="79">
        <v>118989</v>
      </c>
      <c r="M16" s="31">
        <v>1841210.5407401437</v>
      </c>
      <c r="N16" s="31">
        <v>1975814.5424312914</v>
      </c>
      <c r="O16" s="31">
        <v>87210.8</v>
      </c>
      <c r="P16" s="31">
        <v>1578022.5186379927</v>
      </c>
      <c r="Q16" s="31">
        <v>42976.666977931345</v>
      </c>
      <c r="S16" s="4" t="s">
        <v>233</v>
      </c>
    </row>
    <row r="17" spans="2:19">
      <c r="B17" s="63" t="s">
        <v>106</v>
      </c>
      <c r="F17" s="4" t="s">
        <v>81</v>
      </c>
      <c r="J17" s="37">
        <f t="shared" si="0"/>
        <v>99121.262786333202</v>
      </c>
      <c r="L17" s="79">
        <v>3098</v>
      </c>
      <c r="M17" s="31">
        <v>34806.896816182008</v>
      </c>
      <c r="N17" s="31">
        <v>35413.358921340565</v>
      </c>
      <c r="O17" s="31">
        <v>2202.04</v>
      </c>
      <c r="P17" s="31">
        <v>22934.861418330769</v>
      </c>
      <c r="Q17" s="31">
        <v>666.10563047986909</v>
      </c>
      <c r="S17" s="4" t="s">
        <v>233</v>
      </c>
    </row>
    <row r="18" spans="2:19">
      <c r="B18" s="4" t="s">
        <v>107</v>
      </c>
      <c r="F18" s="4" t="s">
        <v>81</v>
      </c>
      <c r="J18" s="37">
        <f t="shared" si="0"/>
        <v>28369.566988084796</v>
      </c>
      <c r="L18" s="79">
        <v>172</v>
      </c>
      <c r="M18" s="31">
        <v>7693.1298282183125</v>
      </c>
      <c r="N18" s="31">
        <v>11651.317808219177</v>
      </c>
      <c r="O18" s="31">
        <v>616.76</v>
      </c>
      <c r="P18" s="31">
        <v>7882.5821172555043</v>
      </c>
      <c r="Q18" s="31">
        <v>353.77723439180386</v>
      </c>
      <c r="S18" s="4" t="s">
        <v>233</v>
      </c>
    </row>
    <row r="19" spans="2:19">
      <c r="B19" s="4" t="s">
        <v>108</v>
      </c>
      <c r="F19" s="4" t="s">
        <v>81</v>
      </c>
      <c r="J19" s="37">
        <f t="shared" si="0"/>
        <v>58473.277648498151</v>
      </c>
      <c r="L19" s="79">
        <v>1770</v>
      </c>
      <c r="M19" s="31">
        <v>22324.685051607616</v>
      </c>
      <c r="N19" s="31">
        <v>18988.663010467822</v>
      </c>
      <c r="O19" s="31">
        <v>840.58</v>
      </c>
      <c r="P19" s="31">
        <v>14210.092108294933</v>
      </c>
      <c r="Q19" s="31">
        <v>339.25747812777536</v>
      </c>
      <c r="S19" s="4" t="s">
        <v>233</v>
      </c>
    </row>
    <row r="20" spans="2:19">
      <c r="B20" s="4" t="s">
        <v>109</v>
      </c>
      <c r="F20" s="4" t="s">
        <v>81</v>
      </c>
      <c r="J20" s="37">
        <f t="shared" si="0"/>
        <v>22729.963159128118</v>
      </c>
      <c r="L20" s="79">
        <v>577</v>
      </c>
      <c r="M20" s="31">
        <v>7864.3687471239982</v>
      </c>
      <c r="N20" s="31">
        <v>7792.41095890411</v>
      </c>
      <c r="O20" s="31">
        <v>302.29000000000002</v>
      </c>
      <c r="P20" s="31">
        <v>5941.2478814644137</v>
      </c>
      <c r="Q20" s="31">
        <v>252.64557163559556</v>
      </c>
      <c r="S20" s="4" t="s">
        <v>233</v>
      </c>
    </row>
    <row r="22" spans="2:19">
      <c r="B22" s="3" t="s">
        <v>110</v>
      </c>
    </row>
    <row r="23" spans="2:19">
      <c r="B23" s="4" t="s">
        <v>111</v>
      </c>
      <c r="F23" s="4" t="s">
        <v>81</v>
      </c>
      <c r="J23" s="37">
        <f t="shared" ref="J23:J27" si="1">SUM(L23:Q23)</f>
        <v>8850.2228189042653</v>
      </c>
      <c r="L23" s="79">
        <v>226</v>
      </c>
      <c r="M23" s="31">
        <v>2883.5119107479522</v>
      </c>
      <c r="N23" s="31">
        <v>3145.6325000000011</v>
      </c>
      <c r="O23" s="31">
        <v>122.25</v>
      </c>
      <c r="P23" s="31">
        <v>2360.0366666666664</v>
      </c>
      <c r="Q23" s="31">
        <v>112.79174148964563</v>
      </c>
      <c r="S23" s="4" t="s">
        <v>233</v>
      </c>
    </row>
    <row r="24" spans="2:19">
      <c r="B24" s="4" t="s">
        <v>112</v>
      </c>
      <c r="F24" s="4" t="s">
        <v>81</v>
      </c>
      <c r="J24" s="37">
        <f t="shared" si="1"/>
        <v>9525.5688890748552</v>
      </c>
      <c r="L24" s="79">
        <v>168</v>
      </c>
      <c r="M24" s="31">
        <v>2885.5124630298105</v>
      </c>
      <c r="N24" s="31">
        <v>3412.1574999999998</v>
      </c>
      <c r="O24" s="31">
        <v>118.84</v>
      </c>
      <c r="P24" s="31">
        <v>2753.4973333333332</v>
      </c>
      <c r="Q24" s="31">
        <v>187.56159271171305</v>
      </c>
      <c r="S24" s="4" t="s">
        <v>233</v>
      </c>
    </row>
    <row r="25" spans="2:19">
      <c r="B25" s="4" t="s">
        <v>113</v>
      </c>
      <c r="F25" s="4" t="s">
        <v>81</v>
      </c>
      <c r="J25" s="37">
        <f t="shared" si="1"/>
        <v>3930.9456021176029</v>
      </c>
      <c r="L25" s="79">
        <v>50</v>
      </c>
      <c r="M25" s="31">
        <v>1258.0419717872196</v>
      </c>
      <c r="N25" s="31">
        <v>1228.135</v>
      </c>
      <c r="O25" s="31">
        <v>31.17</v>
      </c>
      <c r="P25" s="31">
        <v>1204.7494444444446</v>
      </c>
      <c r="Q25" s="31">
        <v>158.84918588593879</v>
      </c>
      <c r="S25" s="4" t="s">
        <v>233</v>
      </c>
    </row>
    <row r="26" spans="2:19">
      <c r="B26" s="4" t="s">
        <v>114</v>
      </c>
      <c r="F26" s="4" t="s">
        <v>81</v>
      </c>
      <c r="J26" s="37">
        <f t="shared" si="1"/>
        <v>1149.6160272973843</v>
      </c>
      <c r="L26" s="79">
        <v>29</v>
      </c>
      <c r="M26" s="31">
        <v>389.75930712877289</v>
      </c>
      <c r="N26" s="31">
        <v>361.73916666666668</v>
      </c>
      <c r="O26" s="31">
        <v>17.78</v>
      </c>
      <c r="P26" s="31">
        <v>272.995</v>
      </c>
      <c r="Q26" s="31">
        <v>78.342553501944636</v>
      </c>
      <c r="S26" s="4" t="s">
        <v>233</v>
      </c>
    </row>
    <row r="27" spans="2:19">
      <c r="B27" s="4" t="s">
        <v>115</v>
      </c>
      <c r="F27" s="4" t="s">
        <v>81</v>
      </c>
      <c r="J27" s="37">
        <f t="shared" si="1"/>
        <v>485.9099930192192</v>
      </c>
      <c r="L27" s="79">
        <v>10</v>
      </c>
      <c r="M27" s="31">
        <v>175.68812216401685</v>
      </c>
      <c r="N27" s="31">
        <v>75.592500000000015</v>
      </c>
      <c r="O27" s="31">
        <v>3.04</v>
      </c>
      <c r="P27" s="31">
        <v>198.42666666666668</v>
      </c>
      <c r="Q27" s="31">
        <v>23.162704188535638</v>
      </c>
      <c r="S27" s="4" t="s">
        <v>233</v>
      </c>
    </row>
    <row r="29" spans="2:19">
      <c r="B29" s="26" t="s">
        <v>116</v>
      </c>
    </row>
    <row r="31" spans="2:19">
      <c r="B31" s="4" t="s">
        <v>117</v>
      </c>
      <c r="F31" s="4" t="s">
        <v>81</v>
      </c>
      <c r="J31" s="37">
        <f>SUM(L31:Q31)</f>
        <v>8280.5852758514411</v>
      </c>
      <c r="L31" s="79">
        <v>121</v>
      </c>
      <c r="M31" s="31">
        <v>2579.748553758629</v>
      </c>
      <c r="N31" s="31">
        <v>2770.2975000000006</v>
      </c>
      <c r="O31" s="31">
        <v>88.712999999999994</v>
      </c>
      <c r="P31" s="31">
        <v>2036.9535419126325</v>
      </c>
      <c r="Q31" s="31">
        <v>683.87268018018017</v>
      </c>
      <c r="S31" s="4" t="s">
        <v>233</v>
      </c>
    </row>
    <row r="33" spans="2:24">
      <c r="B33" s="26" t="s">
        <v>118</v>
      </c>
    </row>
    <row r="35" spans="2:24">
      <c r="B35" s="26" t="s">
        <v>117</v>
      </c>
    </row>
    <row r="36" spans="2:24">
      <c r="B36" s="4" t="s">
        <v>98</v>
      </c>
      <c r="F36" s="4" t="s">
        <v>81</v>
      </c>
      <c r="J36" s="37">
        <f t="shared" ref="J36:J37" si="2">SUM(L36:Q36)</f>
        <v>679554.31416666671</v>
      </c>
      <c r="L36" s="79">
        <v>22564</v>
      </c>
      <c r="M36" s="31">
        <v>0</v>
      </c>
      <c r="N36" s="31">
        <v>631815.51416666666</v>
      </c>
      <c r="O36" s="31">
        <v>25174.799999999999</v>
      </c>
      <c r="P36" s="31">
        <v>0</v>
      </c>
      <c r="Q36" s="31">
        <v>0</v>
      </c>
      <c r="S36" s="4" t="s">
        <v>233</v>
      </c>
    </row>
    <row r="37" spans="2:24">
      <c r="B37" s="4" t="s">
        <v>99</v>
      </c>
      <c r="F37" s="4" t="s">
        <v>81</v>
      </c>
      <c r="J37" s="37">
        <f t="shared" si="2"/>
        <v>123997.04916666666</v>
      </c>
      <c r="L37" s="79">
        <v>6941</v>
      </c>
      <c r="M37" s="31">
        <v>0</v>
      </c>
      <c r="N37" s="31">
        <v>114152.84916666667</v>
      </c>
      <c r="O37" s="31">
        <v>2903.2</v>
      </c>
      <c r="P37" s="31">
        <v>0</v>
      </c>
      <c r="Q37" s="31">
        <v>0</v>
      </c>
      <c r="S37" s="4" t="s">
        <v>233</v>
      </c>
    </row>
    <row r="39" spans="2:24">
      <c r="B39" s="4" t="s">
        <v>100</v>
      </c>
      <c r="F39" s="4" t="s">
        <v>81</v>
      </c>
      <c r="J39" s="37">
        <f>SUM(L39:Q39)</f>
        <v>1707023.0259445279</v>
      </c>
      <c r="L39" s="79">
        <v>0</v>
      </c>
      <c r="M39" s="31">
        <v>752800.60098651855</v>
      </c>
      <c r="N39" s="31">
        <v>0</v>
      </c>
      <c r="O39" s="31">
        <v>0</v>
      </c>
      <c r="P39" s="31">
        <v>645622.89263235836</v>
      </c>
      <c r="Q39" s="31">
        <v>308599.53232565097</v>
      </c>
      <c r="S39" s="4" t="s">
        <v>233</v>
      </c>
    </row>
    <row r="41" spans="2:24" s="10" customFormat="1">
      <c r="B41" s="10" t="s">
        <v>119</v>
      </c>
    </row>
    <row r="43" spans="2:24">
      <c r="B43" s="26" t="s">
        <v>103</v>
      </c>
    </row>
    <row r="44" spans="2:24">
      <c r="B44" s="4" t="s">
        <v>104</v>
      </c>
      <c r="F44" s="4" t="s">
        <v>81</v>
      </c>
      <c r="H44" s="64">
        <v>1.5</v>
      </c>
      <c r="S44" s="4" t="s">
        <v>154</v>
      </c>
      <c r="X44" s="65"/>
    </row>
    <row r="45" spans="2:24">
      <c r="B45" s="4" t="s">
        <v>105</v>
      </c>
      <c r="F45" s="4" t="s">
        <v>81</v>
      </c>
      <c r="H45" s="31">
        <v>3</v>
      </c>
      <c r="S45" s="4" t="s">
        <v>155</v>
      </c>
    </row>
    <row r="46" spans="2:24">
      <c r="B46" s="4" t="s">
        <v>106</v>
      </c>
      <c r="F46" s="4" t="s">
        <v>81</v>
      </c>
      <c r="H46" s="31">
        <v>6</v>
      </c>
      <c r="S46" s="4" t="s">
        <v>156</v>
      </c>
    </row>
    <row r="47" spans="2:24">
      <c r="B47" s="4" t="s">
        <v>120</v>
      </c>
      <c r="F47" s="4" t="s">
        <v>81</v>
      </c>
      <c r="H47" s="31">
        <v>10</v>
      </c>
      <c r="S47" s="4" t="s">
        <v>157</v>
      </c>
    </row>
    <row r="48" spans="2:24">
      <c r="B48" s="4" t="s">
        <v>121</v>
      </c>
      <c r="F48" s="4" t="s">
        <v>81</v>
      </c>
      <c r="H48" s="31">
        <v>16</v>
      </c>
      <c r="S48" s="4" t="s">
        <v>158</v>
      </c>
    </row>
    <row r="49" spans="2:19">
      <c r="B49" s="4" t="s">
        <v>122</v>
      </c>
      <c r="F49" s="4" t="s">
        <v>81</v>
      </c>
      <c r="H49" s="31">
        <v>25</v>
      </c>
      <c r="S49" s="4" t="s">
        <v>159</v>
      </c>
    </row>
    <row r="51" spans="2:19">
      <c r="B51" s="3" t="s">
        <v>110</v>
      </c>
    </row>
    <row r="52" spans="2:19">
      <c r="B52" s="4" t="s">
        <v>123</v>
      </c>
      <c r="F52" s="4" t="s">
        <v>81</v>
      </c>
      <c r="H52" s="31">
        <v>40</v>
      </c>
      <c r="S52" s="4" t="s">
        <v>160</v>
      </c>
    </row>
    <row r="53" spans="2:19">
      <c r="B53" s="4" t="s">
        <v>124</v>
      </c>
      <c r="F53" s="4" t="s">
        <v>81</v>
      </c>
      <c r="H53" s="31">
        <v>65</v>
      </c>
      <c r="S53" s="4" t="s">
        <v>161</v>
      </c>
    </row>
    <row r="54" spans="2:19">
      <c r="B54" s="4" t="s">
        <v>125</v>
      </c>
      <c r="F54" s="4" t="s">
        <v>81</v>
      </c>
      <c r="H54" s="31">
        <v>100</v>
      </c>
      <c r="S54" s="4" t="s">
        <v>162</v>
      </c>
    </row>
    <row r="55" spans="2:19">
      <c r="B55" s="4" t="s">
        <v>126</v>
      </c>
      <c r="F55" s="4" t="s">
        <v>81</v>
      </c>
      <c r="H55" s="31">
        <v>160</v>
      </c>
      <c r="S55" s="4" t="s">
        <v>163</v>
      </c>
    </row>
    <row r="56" spans="2:19">
      <c r="B56" s="4" t="s">
        <v>127</v>
      </c>
      <c r="F56" s="4" t="s">
        <v>81</v>
      </c>
      <c r="H56" s="31">
        <v>250</v>
      </c>
      <c r="S56" s="4" t="s">
        <v>164</v>
      </c>
    </row>
  </sheetData>
  <phoneticPr fontId="75"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1FFE1"/>
  </sheetPr>
  <dimension ref="B2:S29"/>
  <sheetViews>
    <sheetView showGridLines="0" zoomScale="85" zoomScaleNormal="85" workbookViewId="0">
      <pane xSplit="4" ySplit="8" topLeftCell="E9" activePane="bottomRight" state="frozen"/>
      <selection activeCell="R6" sqref="R6"/>
      <selection pane="topRight" activeCell="R6" sqref="R6"/>
      <selection pane="bottomLeft" activeCell="R6" sqref="R6"/>
      <selection pane="bottomRight" activeCell="E9" sqref="E9"/>
    </sheetView>
  </sheetViews>
  <sheetFormatPr defaultColWidth="9.140625" defaultRowHeight="12.75"/>
  <cols>
    <col min="1" max="1" width="4.7109375" style="4" customWidth="1"/>
    <col min="2" max="2" width="41.42578125" style="4" customWidth="1"/>
    <col min="3" max="3" width="4.5703125" style="4" customWidth="1"/>
    <col min="4" max="4" width="13.7109375" style="4" customWidth="1"/>
    <col min="5" max="5" width="2.7109375" style="4" customWidth="1"/>
    <col min="6" max="6" width="10.28515625" style="4" customWidth="1"/>
    <col min="7" max="7" width="2.7109375" style="4" customWidth="1"/>
    <col min="8" max="8" width="13.7109375" style="4" customWidth="1"/>
    <col min="9" max="9" width="2.7109375" style="4" customWidth="1"/>
    <col min="10" max="11" width="12.5703125" style="4" customWidth="1"/>
    <col min="12" max="13" width="14" style="4" bestFit="1" customWidth="1"/>
    <col min="14" max="14" width="12.5703125" style="4" customWidth="1"/>
    <col min="15" max="15" width="14" style="4" bestFit="1" customWidth="1"/>
    <col min="16" max="16" width="4.42578125" style="4" customWidth="1"/>
    <col min="17" max="17" width="81.42578125" style="4" bestFit="1" customWidth="1"/>
    <col min="18" max="18" width="2.7109375" style="4" customWidth="1"/>
    <col min="19" max="19" width="13.7109375" style="4" customWidth="1"/>
    <col min="20" max="20" width="2.7109375" style="4" customWidth="1"/>
    <col min="21" max="35" width="13.7109375" style="4" customWidth="1"/>
    <col min="36" max="16384" width="9.140625" style="4"/>
  </cols>
  <sheetData>
    <row r="2" spans="2:19" s="19" customFormat="1" ht="18">
      <c r="B2" s="19" t="s">
        <v>86</v>
      </c>
    </row>
    <row r="4" spans="2:19">
      <c r="B4" s="26" t="s">
        <v>28</v>
      </c>
      <c r="J4"/>
    </row>
    <row r="5" spans="2:19">
      <c r="B5" s="4" t="s">
        <v>88</v>
      </c>
      <c r="F5" s="20"/>
    </row>
    <row r="7" spans="2:19" s="10" customFormat="1">
      <c r="B7" s="10" t="s">
        <v>80</v>
      </c>
      <c r="D7" s="10" t="s">
        <v>26</v>
      </c>
      <c r="F7" s="10" t="s">
        <v>27</v>
      </c>
      <c r="H7" s="10" t="s">
        <v>46</v>
      </c>
      <c r="J7" s="10" t="s">
        <v>77</v>
      </c>
      <c r="K7" s="10" t="s">
        <v>68</v>
      </c>
      <c r="L7" s="10" t="s">
        <v>69</v>
      </c>
      <c r="M7" s="10" t="s">
        <v>70</v>
      </c>
      <c r="N7" s="10" t="s">
        <v>71</v>
      </c>
      <c r="O7" s="10" t="s">
        <v>72</v>
      </c>
      <c r="Q7" s="10" t="s">
        <v>44</v>
      </c>
      <c r="S7" s="10" t="s">
        <v>45</v>
      </c>
    </row>
    <row r="10" spans="2:19" s="10" customFormat="1">
      <c r="B10" s="10" t="s">
        <v>223</v>
      </c>
    </row>
    <row r="12" spans="2:19">
      <c r="B12" s="3" t="s">
        <v>93</v>
      </c>
    </row>
    <row r="13" spans="2:19">
      <c r="B13" s="4" t="s">
        <v>94</v>
      </c>
      <c r="D13" s="4" t="s">
        <v>81</v>
      </c>
      <c r="H13" s="37">
        <f>SUM(J13:O13)</f>
        <v>129849382.97241102</v>
      </c>
      <c r="J13" s="59">
        <v>2554734.604290484</v>
      </c>
      <c r="K13" s="59">
        <v>41079512.423977166</v>
      </c>
      <c r="L13" s="59">
        <v>45433817.773542456</v>
      </c>
      <c r="M13" s="59">
        <v>1881797.550325311</v>
      </c>
      <c r="N13" s="59">
        <v>37928133.117229462</v>
      </c>
      <c r="O13" s="59">
        <v>971387.50304613705</v>
      </c>
      <c r="Q13" s="4" t="s">
        <v>166</v>
      </c>
    </row>
    <row r="14" spans="2:19">
      <c r="B14" s="4" t="s">
        <v>95</v>
      </c>
      <c r="D14" s="4" t="s">
        <v>81</v>
      </c>
      <c r="H14" s="37">
        <f>SUM(J14:O14)</f>
        <v>587851817.70302582</v>
      </c>
      <c r="J14" s="59">
        <v>12185277.353265738</v>
      </c>
      <c r="K14" s="59">
        <v>190848207.72587556</v>
      </c>
      <c r="L14" s="59">
        <v>205073061.54879338</v>
      </c>
      <c r="M14" s="59">
        <v>8868052.1266385056</v>
      </c>
      <c r="N14" s="59">
        <v>166469912.3538453</v>
      </c>
      <c r="O14" s="59">
        <v>4407306.594607343</v>
      </c>
      <c r="Q14" s="4" t="s">
        <v>167</v>
      </c>
    </row>
    <row r="16" spans="2:19">
      <c r="B16" s="3" t="s">
        <v>96</v>
      </c>
    </row>
    <row r="17" spans="2:17">
      <c r="B17" s="4" t="s">
        <v>94</v>
      </c>
      <c r="D17" s="4" t="s">
        <v>81</v>
      </c>
      <c r="H17" s="37">
        <f>SUM(J17:O17)</f>
        <v>464624.66513092176</v>
      </c>
      <c r="J17" s="59">
        <v>8676</v>
      </c>
      <c r="K17" s="59">
        <v>147112.09593638417</v>
      </c>
      <c r="L17" s="59">
        <v>159593.95999999996</v>
      </c>
      <c r="M17" s="59">
        <v>5647.0199999999995</v>
      </c>
      <c r="N17" s="59">
        <v>132652.91919453762</v>
      </c>
      <c r="O17" s="59">
        <v>10942.669999999998</v>
      </c>
      <c r="Q17" s="4" t="s">
        <v>168</v>
      </c>
    </row>
    <row r="18" spans="2:17">
      <c r="B18" s="4" t="s">
        <v>95</v>
      </c>
      <c r="D18" s="4" t="s">
        <v>81</v>
      </c>
      <c r="H18" s="37">
        <f>SUM(J18:O18)</f>
        <v>47492368.85233108</v>
      </c>
      <c r="J18" s="59">
        <v>854968.13062162115</v>
      </c>
      <c r="K18" s="59">
        <v>15044202.177976951</v>
      </c>
      <c r="L18" s="59">
        <v>15563741.524223451</v>
      </c>
      <c r="M18" s="59">
        <v>535304.01464878686</v>
      </c>
      <c r="N18" s="59">
        <v>14075241.548034588</v>
      </c>
      <c r="O18" s="59">
        <v>1418911.4568256789</v>
      </c>
      <c r="Q18" s="4" t="s">
        <v>169</v>
      </c>
    </row>
    <row r="20" spans="2:17">
      <c r="B20" s="3" t="s">
        <v>97</v>
      </c>
    </row>
    <row r="21" spans="2:17">
      <c r="B21" s="4" t="s">
        <v>94</v>
      </c>
      <c r="D21" s="4" t="s">
        <v>81</v>
      </c>
      <c r="H21" s="37">
        <f>SUM(J21:O21)</f>
        <v>6540558.2664067056</v>
      </c>
      <c r="J21" s="59">
        <v>88678.780003563865</v>
      </c>
      <c r="K21" s="59">
        <v>1979597.8922038693</v>
      </c>
      <c r="L21" s="59">
        <v>2153967.7106551034</v>
      </c>
      <c r="M21" s="59">
        <v>65745.849660170323</v>
      </c>
      <c r="N21" s="59">
        <v>1629756.7629277324</v>
      </c>
      <c r="O21" s="59">
        <v>622811.27095626714</v>
      </c>
      <c r="Q21" s="4" t="s">
        <v>170</v>
      </c>
    </row>
    <row r="22" spans="2:17">
      <c r="B22" s="4" t="s">
        <v>101</v>
      </c>
      <c r="D22" s="4" t="s">
        <v>81</v>
      </c>
      <c r="H22" s="37">
        <f>SUM(J22:O22)</f>
        <v>56973574.961649559</v>
      </c>
      <c r="J22" s="59">
        <v>685857.05333743396</v>
      </c>
      <c r="K22" s="59">
        <v>17210493.58361692</v>
      </c>
      <c r="L22" s="59">
        <v>16868995.536006317</v>
      </c>
      <c r="M22" s="59">
        <v>604162.26419421984</v>
      </c>
      <c r="N22" s="59">
        <v>14819072.993156483</v>
      </c>
      <c r="O22" s="59">
        <v>6784993.5313381851</v>
      </c>
      <c r="Q22" s="4" t="s">
        <v>171</v>
      </c>
    </row>
    <row r="24" spans="2:17">
      <c r="B24" s="3" t="s">
        <v>130</v>
      </c>
    </row>
    <row r="25" spans="2:17">
      <c r="B25" s="4" t="s">
        <v>93</v>
      </c>
      <c r="D25" s="4" t="s">
        <v>81</v>
      </c>
      <c r="H25" s="37">
        <f>SUM(J25:O25)</f>
        <v>651.07713622883091</v>
      </c>
      <c r="J25" s="59">
        <v>0</v>
      </c>
      <c r="K25" s="59">
        <v>0</v>
      </c>
      <c r="L25" s="59">
        <v>0</v>
      </c>
      <c r="M25" s="59">
        <v>0</v>
      </c>
      <c r="N25" s="59">
        <v>651.07713622883091</v>
      </c>
      <c r="O25" s="59">
        <v>0</v>
      </c>
      <c r="Q25" s="4" t="s">
        <v>172</v>
      </c>
    </row>
    <row r="26" spans="2:17">
      <c r="B26" s="66" t="s">
        <v>131</v>
      </c>
      <c r="D26" s="4" t="s">
        <v>81</v>
      </c>
      <c r="H26" s="37">
        <f>SUM(J26:O26)</f>
        <v>604.55345364425955</v>
      </c>
      <c r="J26" s="59">
        <v>0</v>
      </c>
      <c r="K26" s="59">
        <v>0</v>
      </c>
      <c r="L26" s="59">
        <v>604.55345364425955</v>
      </c>
      <c r="M26" s="59">
        <v>0</v>
      </c>
      <c r="N26" s="59">
        <v>0</v>
      </c>
      <c r="O26" s="59">
        <v>0</v>
      </c>
      <c r="Q26" s="4" t="s">
        <v>173</v>
      </c>
    </row>
    <row r="27" spans="2:17">
      <c r="B27" s="4" t="s">
        <v>97</v>
      </c>
      <c r="D27" s="4" t="s">
        <v>81</v>
      </c>
      <c r="H27" s="37">
        <f>SUM(J27:O27)</f>
        <v>624599.29013998096</v>
      </c>
      <c r="J27" s="59">
        <v>23488.572866835329</v>
      </c>
      <c r="K27" s="59">
        <v>224632.66397450716</v>
      </c>
      <c r="L27" s="59">
        <v>201805.50042260459</v>
      </c>
      <c r="M27" s="59">
        <v>79530.199027295937</v>
      </c>
      <c r="N27" s="59">
        <v>82723.867894163632</v>
      </c>
      <c r="O27" s="59">
        <v>12418.48595457436</v>
      </c>
      <c r="Q27" s="4" t="s">
        <v>174</v>
      </c>
    </row>
    <row r="29" spans="2:17">
      <c r="B29" s="3" t="s">
        <v>132</v>
      </c>
      <c r="D29" s="4" t="s">
        <v>81</v>
      </c>
      <c r="H29" s="37">
        <f>SUM(J29:O29)</f>
        <v>829798182.34168494</v>
      </c>
      <c r="J29" s="59">
        <v>16401680.494385676</v>
      </c>
      <c r="K29" s="59">
        <v>266533758.56356135</v>
      </c>
      <c r="L29" s="59">
        <v>285455588.10709691</v>
      </c>
      <c r="M29" s="59">
        <v>12040239.024494292</v>
      </c>
      <c r="N29" s="59">
        <v>235138144.63941851</v>
      </c>
      <c r="O29" s="59">
        <v>14228771.512728186</v>
      </c>
      <c r="Q29" s="4" t="s">
        <v>175</v>
      </c>
    </row>
  </sheetData>
  <phoneticPr fontId="75"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X26"/>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ColWidth="9.140625" defaultRowHeight="12.75"/>
  <cols>
    <col min="1" max="1" width="4.7109375" style="4" customWidth="1"/>
    <col min="2" max="2" width="41.42578125" style="4" customWidth="1"/>
    <col min="3" max="3" width="4.7109375" style="4" customWidth="1"/>
    <col min="4" max="5" width="4.5703125" style="4" customWidth="1"/>
    <col min="6" max="6" width="13.7109375" style="4" customWidth="1"/>
    <col min="7" max="7" width="2.7109375" style="4" customWidth="1"/>
    <col min="8" max="8" width="13.7109375" style="4" customWidth="1"/>
    <col min="9" max="9" width="2.7109375" style="4" customWidth="1"/>
    <col min="10" max="10" width="15" style="4" bestFit="1" customWidth="1"/>
    <col min="11" max="11" width="2.7109375" style="4" customWidth="1"/>
    <col min="12" max="12" width="12.5703125" style="4" customWidth="1"/>
    <col min="13" max="17" width="14" style="4" bestFit="1" customWidth="1"/>
    <col min="18" max="18" width="4.42578125" style="4" customWidth="1"/>
    <col min="19" max="19" width="81.7109375" style="4" bestFit="1" customWidth="1"/>
    <col min="20" max="20" width="2.85546875" style="4" customWidth="1"/>
    <col min="21" max="21" width="13.7109375" style="4" customWidth="1"/>
    <col min="22" max="22" width="2.7109375" style="4" customWidth="1"/>
    <col min="23" max="37" width="13.7109375" style="4" customWidth="1"/>
    <col min="38" max="16384" width="9.140625" style="4"/>
  </cols>
  <sheetData>
    <row r="2" spans="2:24" s="19" customFormat="1" ht="18">
      <c r="B2" s="19" t="s">
        <v>80</v>
      </c>
    </row>
    <row r="4" spans="2:24">
      <c r="B4" s="26" t="s">
        <v>28</v>
      </c>
      <c r="C4" s="3"/>
      <c r="D4" s="3"/>
      <c r="L4"/>
    </row>
    <row r="5" spans="2:24">
      <c r="B5" s="4" t="s">
        <v>73</v>
      </c>
      <c r="C5" s="5"/>
      <c r="D5" s="5"/>
      <c r="H5" s="20"/>
    </row>
    <row r="6" spans="2:24">
      <c r="B6" s="4" t="s">
        <v>224</v>
      </c>
      <c r="C6" s="5"/>
      <c r="D6" s="5"/>
      <c r="H6" s="20"/>
    </row>
    <row r="8" spans="2:24" s="10" customFormat="1">
      <c r="F8" s="10" t="s">
        <v>26</v>
      </c>
      <c r="H8" s="10" t="s">
        <v>27</v>
      </c>
      <c r="J8" s="10" t="s">
        <v>46</v>
      </c>
      <c r="L8" s="10" t="s">
        <v>77</v>
      </c>
      <c r="M8" s="10" t="s">
        <v>68</v>
      </c>
      <c r="N8" s="10" t="s">
        <v>69</v>
      </c>
      <c r="O8" s="10" t="s">
        <v>70</v>
      </c>
      <c r="P8" s="10" t="s">
        <v>71</v>
      </c>
      <c r="Q8" s="10" t="s">
        <v>72</v>
      </c>
      <c r="S8" s="10" t="s">
        <v>44</v>
      </c>
      <c r="U8" s="10" t="s">
        <v>45</v>
      </c>
    </row>
    <row r="11" spans="2:24" s="53" customFormat="1">
      <c r="B11" s="10" t="s">
        <v>92</v>
      </c>
    </row>
    <row r="12" spans="2:24">
      <c r="S12" s="42"/>
    </row>
    <row r="13" spans="2:24">
      <c r="B13" s="3" t="s">
        <v>93</v>
      </c>
    </row>
    <row r="14" spans="2:24">
      <c r="B14" s="4" t="s">
        <v>94</v>
      </c>
      <c r="F14" s="4" t="s">
        <v>81</v>
      </c>
      <c r="J14" s="37">
        <f>SUM(L14:Q14)</f>
        <v>7214625.9451234872</v>
      </c>
      <c r="L14" s="31">
        <v>141944.87595628412</v>
      </c>
      <c r="M14" s="60">
        <v>2282439.1565265926</v>
      </c>
      <c r="N14" s="60">
        <v>2524370.8748670518</v>
      </c>
      <c r="O14" s="60">
        <v>104555.48666666665</v>
      </c>
      <c r="P14" s="61">
        <v>2107343.808447673</v>
      </c>
      <c r="Q14" s="60">
        <v>53971.742659219308</v>
      </c>
      <c r="S14" s="4" t="s">
        <v>176</v>
      </c>
      <c r="X14" s="6"/>
    </row>
    <row r="15" spans="2:24">
      <c r="B15" s="4" t="s">
        <v>95</v>
      </c>
      <c r="F15" s="4" t="s">
        <v>81</v>
      </c>
      <c r="J15" s="37">
        <f>SUM(L15:Q15)</f>
        <v>22572280.033821385</v>
      </c>
      <c r="L15" s="60">
        <v>467889.15918032784</v>
      </c>
      <c r="M15" s="60">
        <v>7328171.9287251653</v>
      </c>
      <c r="N15" s="60">
        <v>7874376.5576156462</v>
      </c>
      <c r="O15" s="60">
        <v>340514.64999999997</v>
      </c>
      <c r="P15" s="61">
        <v>6392096.3850025656</v>
      </c>
      <c r="Q15" s="60">
        <v>169231.35329768088</v>
      </c>
      <c r="S15" s="4" t="s">
        <v>177</v>
      </c>
    </row>
    <row r="17" spans="2:24">
      <c r="B17" s="3" t="s">
        <v>96</v>
      </c>
    </row>
    <row r="18" spans="2:24">
      <c r="B18" s="4" t="s">
        <v>94</v>
      </c>
      <c r="F18" s="4" t="s">
        <v>81</v>
      </c>
      <c r="J18" s="37">
        <f>SUM(L18:Q18)</f>
        <v>25812.481396162319</v>
      </c>
      <c r="L18" s="60">
        <v>482</v>
      </c>
      <c r="M18" s="60">
        <v>8172.8942186880095</v>
      </c>
      <c r="N18" s="60">
        <v>8866.3311111111088</v>
      </c>
      <c r="O18" s="60">
        <v>313.7233333333333</v>
      </c>
      <c r="P18" s="61">
        <v>7369.606621918756</v>
      </c>
      <c r="Q18" s="60">
        <v>607.92611111111103</v>
      </c>
      <c r="S18" s="4" t="s">
        <v>178</v>
      </c>
      <c r="X18" s="6"/>
    </row>
    <row r="19" spans="2:24">
      <c r="B19" s="4" t="s">
        <v>95</v>
      </c>
      <c r="F19" s="4" t="s">
        <v>81</v>
      </c>
      <c r="J19" s="37">
        <f>SUM(L19:Q19)</f>
        <v>1833014.5441086765</v>
      </c>
      <c r="L19" s="60">
        <v>32998.333333333336</v>
      </c>
      <c r="M19" s="60">
        <v>580645.73452814098</v>
      </c>
      <c r="N19" s="60">
        <v>600697.86502657167</v>
      </c>
      <c r="O19" s="60">
        <v>20660.583333333332</v>
      </c>
      <c r="P19" s="61">
        <v>543247.74890911288</v>
      </c>
      <c r="Q19" s="60">
        <v>54764.278978184528</v>
      </c>
      <c r="S19" s="4" t="s">
        <v>179</v>
      </c>
    </row>
    <row r="21" spans="2:24">
      <c r="B21" s="3" t="s">
        <v>97</v>
      </c>
    </row>
    <row r="22" spans="2:24">
      <c r="B22" s="4" t="s">
        <v>94</v>
      </c>
      <c r="F22" s="4" t="s">
        <v>81</v>
      </c>
      <c r="J22" s="37">
        <f>SUM(L22:Q22)</f>
        <v>8752.3333945550876</v>
      </c>
      <c r="L22" s="60">
        <v>118.66666666666667</v>
      </c>
      <c r="M22" s="60">
        <v>2649.0247520179205</v>
      </c>
      <c r="N22" s="60">
        <v>2882.3599999999992</v>
      </c>
      <c r="O22" s="60">
        <v>87.978666666666683</v>
      </c>
      <c r="P22" s="61">
        <v>2180.8802796601235</v>
      </c>
      <c r="Q22" s="60">
        <v>833.42302954371007</v>
      </c>
      <c r="S22" s="4" t="s">
        <v>180</v>
      </c>
      <c r="X22" s="6"/>
    </row>
    <row r="23" spans="2:24">
      <c r="B23" s="4" t="s">
        <v>98</v>
      </c>
      <c r="F23" s="4" t="s">
        <v>81</v>
      </c>
      <c r="J23" s="37">
        <f>SUM(L23:Q23)</f>
        <v>613827.3168529222</v>
      </c>
      <c r="L23" s="60">
        <v>24297.111111111109</v>
      </c>
      <c r="M23" s="60">
        <v>0</v>
      </c>
      <c r="N23" s="60">
        <v>498818.40444444446</v>
      </c>
      <c r="O23" s="60">
        <v>24627.766666666663</v>
      </c>
      <c r="P23" s="61">
        <v>66084.034630699898</v>
      </c>
      <c r="Q23" s="60">
        <v>0</v>
      </c>
      <c r="S23" s="4" t="s">
        <v>181</v>
      </c>
    </row>
    <row r="24" spans="2:24">
      <c r="B24" s="4" t="s">
        <v>99</v>
      </c>
      <c r="F24" s="4" t="s">
        <v>81</v>
      </c>
      <c r="J24" s="37">
        <f t="shared" ref="J24:J26" si="0">SUM(L24:Q24)</f>
        <v>289588.52238278743</v>
      </c>
      <c r="L24" s="60">
        <v>6927</v>
      </c>
      <c r="M24" s="60">
        <v>0</v>
      </c>
      <c r="N24" s="60">
        <v>269154.14666666667</v>
      </c>
      <c r="O24" s="60">
        <v>2877.1333333333337</v>
      </c>
      <c r="P24" s="61">
        <v>10630.242382787381</v>
      </c>
      <c r="Q24" s="60">
        <v>0</v>
      </c>
      <c r="S24" s="4" t="s">
        <v>182</v>
      </c>
    </row>
    <row r="25" spans="2:24">
      <c r="B25" s="4" t="s">
        <v>100</v>
      </c>
      <c r="F25" s="4" t="s">
        <v>81</v>
      </c>
      <c r="J25" s="37">
        <f t="shared" si="0"/>
        <v>1690345.1002242814</v>
      </c>
      <c r="L25" s="60">
        <v>0</v>
      </c>
      <c r="M25" s="60">
        <v>783519.48312986642</v>
      </c>
      <c r="N25" s="60">
        <v>0</v>
      </c>
      <c r="O25" s="60">
        <v>0</v>
      </c>
      <c r="P25" s="61">
        <v>597934.14928815875</v>
      </c>
      <c r="Q25" s="60">
        <v>308891.46780625609</v>
      </c>
      <c r="S25" s="4" t="s">
        <v>183</v>
      </c>
    </row>
    <row r="26" spans="2:24">
      <c r="B26" s="4" t="s">
        <v>101</v>
      </c>
      <c r="F26" s="4" t="s">
        <v>81</v>
      </c>
      <c r="J26" s="37">
        <f t="shared" si="0"/>
        <v>2593760.9394599902</v>
      </c>
      <c r="L26" s="60">
        <v>31224.111111111109</v>
      </c>
      <c r="M26" s="60">
        <v>783519.48312986642</v>
      </c>
      <c r="N26" s="60">
        <v>767972.55111111107</v>
      </c>
      <c r="O26" s="60">
        <v>27504.899999999998</v>
      </c>
      <c r="P26" s="61">
        <v>674648.42630164605</v>
      </c>
      <c r="Q26" s="60">
        <v>308891.46780625609</v>
      </c>
      <c r="S26" s="4" t="s">
        <v>184</v>
      </c>
    </row>
  </sheetData>
  <phoneticPr fontId="75"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EF637-4E77-4AF0-A7AA-1189520BDF9A}">
  <sheetPr>
    <tabColor rgb="FFE1FFE1"/>
  </sheetPr>
  <dimension ref="B2:X46"/>
  <sheetViews>
    <sheetView showGridLines="0" zoomScale="85" zoomScaleNormal="85" workbookViewId="0">
      <pane xSplit="6" ySplit="8" topLeftCell="G9" activePane="bottomRight" state="frozen"/>
      <selection activeCell="R6" sqref="R6"/>
      <selection pane="topRight" activeCell="R6" sqref="R6"/>
      <selection pane="bottomLeft" activeCell="R6" sqref="R6"/>
      <selection pane="bottomRight" activeCell="G9" sqref="G9"/>
    </sheetView>
  </sheetViews>
  <sheetFormatPr defaultColWidth="9.140625" defaultRowHeight="12.75"/>
  <cols>
    <col min="1" max="1" width="4.7109375" style="4" customWidth="1"/>
    <col min="2" max="2" width="41.42578125" style="4" customWidth="1"/>
    <col min="3" max="3" width="4.7109375" style="4" customWidth="1"/>
    <col min="4" max="5" width="4.5703125" style="4" customWidth="1"/>
    <col min="6" max="6" width="13.7109375" style="4" customWidth="1"/>
    <col min="7" max="7" width="2.7109375" style="4" customWidth="1"/>
    <col min="8" max="8" width="13.7109375" style="4" customWidth="1"/>
    <col min="9" max="9" width="2.7109375" style="4" customWidth="1"/>
    <col min="10" max="10" width="15" style="4" bestFit="1" customWidth="1"/>
    <col min="11" max="11" width="2.7109375" style="4" customWidth="1"/>
    <col min="12" max="12" width="12.5703125" style="4" customWidth="1"/>
    <col min="13" max="17" width="14" style="4" bestFit="1" customWidth="1"/>
    <col min="18" max="18" width="4.42578125" style="4" customWidth="1"/>
    <col min="19" max="19" width="81.7109375" style="4" bestFit="1" customWidth="1"/>
    <col min="20" max="20" width="2.85546875" style="4" customWidth="1"/>
    <col min="21" max="21" width="13.7109375" style="4" customWidth="1"/>
    <col min="22" max="22" width="2.7109375" style="4" customWidth="1"/>
    <col min="23" max="37" width="13.7109375" style="4" customWidth="1"/>
    <col min="38" max="16384" width="9.140625" style="4"/>
  </cols>
  <sheetData>
    <row r="2" spans="2:24" s="19" customFormat="1" ht="18">
      <c r="B2" s="19" t="s">
        <v>197</v>
      </c>
    </row>
    <row r="4" spans="2:24">
      <c r="B4" s="26" t="s">
        <v>28</v>
      </c>
      <c r="C4" s="3"/>
      <c r="D4" s="3"/>
      <c r="L4"/>
    </row>
    <row r="5" spans="2:24">
      <c r="B5" s="4" t="s">
        <v>218</v>
      </c>
      <c r="C5" s="5"/>
      <c r="D5" s="5"/>
      <c r="H5" s="20"/>
    </row>
    <row r="7" spans="2:24" s="10" customFormat="1">
      <c r="F7" s="10" t="s">
        <v>26</v>
      </c>
      <c r="H7" s="10" t="s">
        <v>27</v>
      </c>
      <c r="J7" s="10" t="s">
        <v>46</v>
      </c>
      <c r="L7" s="10" t="s">
        <v>77</v>
      </c>
      <c r="M7" s="10" t="s">
        <v>68</v>
      </c>
      <c r="N7" s="10" t="s">
        <v>69</v>
      </c>
      <c r="O7" s="10" t="s">
        <v>70</v>
      </c>
      <c r="P7" s="10" t="s">
        <v>71</v>
      </c>
      <c r="Q7" s="10" t="s">
        <v>72</v>
      </c>
      <c r="S7" s="10" t="s">
        <v>44</v>
      </c>
      <c r="U7" s="10" t="s">
        <v>45</v>
      </c>
    </row>
    <row r="10" spans="2:24" s="53" customFormat="1">
      <c r="B10" s="10" t="s">
        <v>196</v>
      </c>
    </row>
    <row r="11" spans="2:24">
      <c r="S11" s="42"/>
    </row>
    <row r="12" spans="2:24">
      <c r="B12" s="3" t="s">
        <v>137</v>
      </c>
    </row>
    <row r="13" spans="2:24">
      <c r="X13" s="6"/>
    </row>
    <row r="14" spans="2:24">
      <c r="B14" s="26" t="s">
        <v>93</v>
      </c>
    </row>
    <row r="15" spans="2:24">
      <c r="B15" s="4" t="s">
        <v>94</v>
      </c>
      <c r="F15" s="4" t="s">
        <v>81</v>
      </c>
      <c r="J15" s="82">
        <v>17.99807557038752</v>
      </c>
      <c r="S15" s="4" t="s">
        <v>248</v>
      </c>
    </row>
    <row r="16" spans="2:24">
      <c r="B16" s="4" t="s">
        <v>95</v>
      </c>
      <c r="F16" s="4" t="s">
        <v>81</v>
      </c>
      <c r="J16" s="82">
        <v>26.043085449153235</v>
      </c>
      <c r="S16" s="4" t="s">
        <v>249</v>
      </c>
    </row>
    <row r="17" spans="2:24">
      <c r="J17" s="15"/>
      <c r="X17" s="6"/>
    </row>
    <row r="18" spans="2:24">
      <c r="B18" s="26" t="s">
        <v>131</v>
      </c>
      <c r="J18" s="15"/>
    </row>
    <row r="19" spans="2:24">
      <c r="B19" s="4" t="s">
        <v>94</v>
      </c>
      <c r="F19" s="4" t="s">
        <v>81</v>
      </c>
      <c r="J19" s="82">
        <v>18</v>
      </c>
      <c r="S19" s="4" t="s">
        <v>250</v>
      </c>
    </row>
    <row r="20" spans="2:24">
      <c r="B20" s="4" t="s">
        <v>95</v>
      </c>
      <c r="F20" s="4" t="s">
        <v>81</v>
      </c>
      <c r="J20" s="82">
        <v>25.909433727611123</v>
      </c>
      <c r="S20" s="4" t="s">
        <v>251</v>
      </c>
    </row>
    <row r="21" spans="2:24">
      <c r="J21" s="15"/>
      <c r="X21" s="6"/>
    </row>
    <row r="22" spans="2:24">
      <c r="B22" s="26" t="s">
        <v>97</v>
      </c>
      <c r="J22" s="15"/>
    </row>
    <row r="23" spans="2:24">
      <c r="B23" s="4" t="s">
        <v>94</v>
      </c>
      <c r="F23" s="4" t="s">
        <v>81</v>
      </c>
      <c r="J23" s="82">
        <v>747.293089917673</v>
      </c>
      <c r="S23" s="4" t="s">
        <v>191</v>
      </c>
    </row>
    <row r="24" spans="2:24">
      <c r="B24" s="4" t="s">
        <v>101</v>
      </c>
      <c r="F24" s="4" t="s">
        <v>81</v>
      </c>
      <c r="J24" s="82">
        <v>21.965623005145261</v>
      </c>
      <c r="S24" s="4" t="s">
        <v>192</v>
      </c>
    </row>
    <row r="25" spans="2:24">
      <c r="J25" s="15"/>
    </row>
    <row r="26" spans="2:24">
      <c r="B26" s="3" t="s">
        <v>130</v>
      </c>
      <c r="J26" s="15"/>
    </row>
    <row r="27" spans="2:24">
      <c r="J27" s="15"/>
    </row>
    <row r="28" spans="2:24">
      <c r="B28" s="3" t="s">
        <v>138</v>
      </c>
      <c r="J28" s="15"/>
    </row>
    <row r="29" spans="2:24">
      <c r="B29" s="4" t="s">
        <v>93</v>
      </c>
      <c r="F29" s="4" t="s">
        <v>81</v>
      </c>
      <c r="J29" s="81">
        <v>26.043085449153235</v>
      </c>
      <c r="S29" s="4" t="s">
        <v>193</v>
      </c>
    </row>
    <row r="30" spans="2:24">
      <c r="B30" s="4" t="s">
        <v>131</v>
      </c>
      <c r="F30" s="4" t="s">
        <v>81</v>
      </c>
      <c r="J30" s="81">
        <v>25.909433727611123</v>
      </c>
      <c r="S30" s="4" t="s">
        <v>194</v>
      </c>
    </row>
    <row r="31" spans="2:24">
      <c r="B31" s="4" t="s">
        <v>97</v>
      </c>
      <c r="F31" s="4" t="s">
        <v>81</v>
      </c>
      <c r="J31" s="81">
        <v>21.965623005145261</v>
      </c>
      <c r="S31" s="4" t="s">
        <v>195</v>
      </c>
    </row>
    <row r="33" spans="2:19" s="10" customFormat="1">
      <c r="B33" s="10" t="s">
        <v>199</v>
      </c>
    </row>
    <row r="35" spans="2:19">
      <c r="B35" s="3" t="s">
        <v>209</v>
      </c>
    </row>
    <row r="36" spans="2:19">
      <c r="B36" s="4" t="s">
        <v>210</v>
      </c>
      <c r="F36" s="4" t="s">
        <v>74</v>
      </c>
      <c r="H36" s="87">
        <v>1.7999999999999999E-2</v>
      </c>
      <c r="S36" s="39" t="s">
        <v>211</v>
      </c>
    </row>
    <row r="37" spans="2:19">
      <c r="B37" s="4" t="s">
        <v>200</v>
      </c>
      <c r="F37" s="49" t="s">
        <v>74</v>
      </c>
      <c r="H37" s="83">
        <v>2.4E-2</v>
      </c>
      <c r="S37" s="4" t="s">
        <v>240</v>
      </c>
    </row>
    <row r="38" spans="2:19">
      <c r="B38" s="4" t="s">
        <v>201</v>
      </c>
      <c r="F38" s="49" t="s">
        <v>74</v>
      </c>
      <c r="H38" s="83">
        <v>0.12</v>
      </c>
      <c r="S38" s="4" t="s">
        <v>240</v>
      </c>
    </row>
    <row r="40" spans="2:19">
      <c r="B40" s="26" t="s">
        <v>202</v>
      </c>
    </row>
    <row r="41" spans="2:19">
      <c r="B41" s="4" t="s">
        <v>203</v>
      </c>
      <c r="F41" s="4" t="s">
        <v>204</v>
      </c>
      <c r="J41" s="59">
        <v>1172785308.1406469</v>
      </c>
      <c r="L41" s="59">
        <v>23017675.960507385</v>
      </c>
      <c r="M41" s="59">
        <v>375367487.48965442</v>
      </c>
      <c r="N41" s="59">
        <v>407020417.70622271</v>
      </c>
      <c r="O41" s="59">
        <v>16863318.222685933</v>
      </c>
      <c r="P41" s="59">
        <v>330959954.95050144</v>
      </c>
      <c r="Q41" s="59">
        <v>19556453.811075315</v>
      </c>
      <c r="S41" s="39" t="s">
        <v>212</v>
      </c>
    </row>
    <row r="42" spans="2:19">
      <c r="B42" s="4" t="s">
        <v>205</v>
      </c>
      <c r="F42" s="4" t="s">
        <v>206</v>
      </c>
      <c r="J42" s="59">
        <v>1197432527.3972814</v>
      </c>
      <c r="L42" s="59">
        <v>23479290.548211947</v>
      </c>
      <c r="M42" s="59">
        <v>383044590.45655859</v>
      </c>
      <c r="N42" s="59">
        <v>416205492.39792609</v>
      </c>
      <c r="O42" s="59">
        <v>17194828.368147749</v>
      </c>
      <c r="P42" s="59">
        <v>337704578.61468327</v>
      </c>
      <c r="Q42" s="59">
        <v>19803747.01175376</v>
      </c>
      <c r="S42" s="39" t="s">
        <v>213</v>
      </c>
    </row>
    <row r="43" spans="2:19">
      <c r="S43" s="39"/>
    </row>
    <row r="44" spans="2:19">
      <c r="B44" s="3" t="s">
        <v>207</v>
      </c>
      <c r="C44" s="39"/>
      <c r="E44" s="39"/>
      <c r="F44" s="39"/>
      <c r="H44" s="84"/>
      <c r="I44" s="84"/>
      <c r="J44" s="84"/>
      <c r="S44" s="39"/>
    </row>
    <row r="45" spans="2:19">
      <c r="B45" s="4" t="s">
        <v>208</v>
      </c>
      <c r="J45" s="85">
        <f>(1+$H$36-(J42/J41)^(1/5))*100</f>
        <v>1.383170085580554</v>
      </c>
      <c r="L45" s="88">
        <v>1.402083635561624</v>
      </c>
      <c r="M45" s="88">
        <v>1.3942612236149898</v>
      </c>
      <c r="N45" s="88">
        <v>1.352687332943292</v>
      </c>
      <c r="O45" s="88">
        <v>1.4098826402070719</v>
      </c>
      <c r="P45" s="88">
        <v>1.3957029256413955</v>
      </c>
      <c r="Q45" s="88">
        <v>1.5483676830623683</v>
      </c>
      <c r="S45" s="39" t="s">
        <v>214</v>
      </c>
    </row>
    <row r="46" spans="2:19">
      <c r="B46" s="4" t="s">
        <v>198</v>
      </c>
      <c r="J46" s="90">
        <f t="shared" ref="J46" si="0">IF(J45&gt;0,FLOOR(J45,0.01),CEILING(J45,0.01))</f>
        <v>1.3800000000000001</v>
      </c>
      <c r="L46" s="89">
        <v>1.4000000000000001</v>
      </c>
      <c r="M46" s="89">
        <v>1.3900000000000001</v>
      </c>
      <c r="N46" s="89">
        <v>1.35</v>
      </c>
      <c r="O46" s="89">
        <v>1.4000000000000001</v>
      </c>
      <c r="P46" s="89">
        <v>1.3900000000000001</v>
      </c>
      <c r="Q46" s="89">
        <v>1.54</v>
      </c>
      <c r="S46" s="39" t="s">
        <v>215</v>
      </c>
    </row>
  </sheetData>
  <phoneticPr fontId="75"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B2:U46"/>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ColWidth="9.140625" defaultRowHeight="12.75"/>
  <cols>
    <col min="1" max="1" width="4.7109375" style="4" customWidth="1"/>
    <col min="2" max="2" width="41.42578125" style="4" customWidth="1"/>
    <col min="3" max="3" width="4.7109375" style="4" customWidth="1"/>
    <col min="4" max="4" width="4.5703125" style="4" customWidth="1"/>
    <col min="5" max="5" width="4.5703125" style="4" hidden="1" customWidth="1"/>
    <col min="6" max="6" width="9.28515625" style="4" customWidth="1"/>
    <col min="7" max="7" width="2.7109375" style="4" customWidth="1"/>
    <col min="8" max="8" width="10" style="4" customWidth="1"/>
    <col min="9" max="9" width="2.7109375" style="4" customWidth="1"/>
    <col min="10" max="10" width="12.5703125" style="4" customWidth="1"/>
    <col min="11" max="11" width="2.7109375" style="4" customWidth="1"/>
    <col min="12" max="12" width="12.5703125" style="4" customWidth="1"/>
    <col min="13" max="14" width="15" style="4" bestFit="1" customWidth="1"/>
    <col min="15" max="15" width="12.5703125" style="4" customWidth="1"/>
    <col min="16" max="16" width="15" style="4" bestFit="1" customWidth="1"/>
    <col min="17" max="17" width="12.5703125" style="4" customWidth="1"/>
    <col min="18" max="18" width="2.7109375" style="4" customWidth="1"/>
    <col min="19" max="19" width="81.140625" style="4" bestFit="1" customWidth="1"/>
    <col min="20" max="20" width="2.7109375" style="4" customWidth="1"/>
    <col min="21" max="21" width="13.7109375" style="4" customWidth="1"/>
    <col min="22" max="22" width="2.7109375" style="4" customWidth="1"/>
    <col min="23" max="37" width="13.7109375" style="4" customWidth="1"/>
    <col min="38" max="16384" width="9.140625" style="4"/>
  </cols>
  <sheetData>
    <row r="2" spans="2:21" s="19" customFormat="1" ht="18">
      <c r="B2" s="19" t="s">
        <v>85</v>
      </c>
    </row>
    <row r="4" spans="2:21">
      <c r="B4" s="26" t="s">
        <v>28</v>
      </c>
      <c r="C4" s="3"/>
      <c r="D4" s="3"/>
      <c r="L4"/>
    </row>
    <row r="5" spans="2:21">
      <c r="B5" s="4" t="s">
        <v>152</v>
      </c>
      <c r="C5" s="5"/>
      <c r="D5" s="5"/>
      <c r="H5" s="20"/>
    </row>
    <row r="6" spans="2:21">
      <c r="B6" s="4" t="s">
        <v>225</v>
      </c>
      <c r="C6" s="5"/>
      <c r="D6" s="5"/>
      <c r="H6" s="20"/>
    </row>
    <row r="8" spans="2:21" s="10" customFormat="1">
      <c r="F8" s="10" t="s">
        <v>26</v>
      </c>
      <c r="H8" s="10" t="s">
        <v>27</v>
      </c>
      <c r="J8" s="10" t="s">
        <v>46</v>
      </c>
      <c r="L8" s="10" t="s">
        <v>77</v>
      </c>
      <c r="M8" s="10" t="s">
        <v>68</v>
      </c>
      <c r="N8" s="10" t="s">
        <v>69</v>
      </c>
      <c r="O8" s="10" t="s">
        <v>70</v>
      </c>
      <c r="P8" s="10" t="s">
        <v>71</v>
      </c>
      <c r="Q8" s="10" t="s">
        <v>72</v>
      </c>
      <c r="S8" s="10" t="s">
        <v>44</v>
      </c>
      <c r="U8" s="10" t="s">
        <v>45</v>
      </c>
    </row>
    <row r="11" spans="2:21" s="10" customFormat="1">
      <c r="B11" s="10" t="s">
        <v>89</v>
      </c>
    </row>
    <row r="13" spans="2:21">
      <c r="B13" s="4" t="s">
        <v>93</v>
      </c>
      <c r="F13" s="4" t="s">
        <v>81</v>
      </c>
      <c r="J13" s="70">
        <f>SUM(L13:Q13)</f>
        <v>25</v>
      </c>
      <c r="L13" s="77">
        <v>0</v>
      </c>
      <c r="M13" s="77">
        <v>0</v>
      </c>
      <c r="N13" s="77">
        <v>0</v>
      </c>
      <c r="O13" s="77">
        <v>0</v>
      </c>
      <c r="P13" s="61">
        <v>25</v>
      </c>
      <c r="Q13" s="77">
        <v>0</v>
      </c>
      <c r="S13" s="4" t="s">
        <v>185</v>
      </c>
    </row>
    <row r="14" spans="2:21">
      <c r="B14" s="4" t="s">
        <v>96</v>
      </c>
      <c r="F14" s="4" t="s">
        <v>81</v>
      </c>
      <c r="J14" s="70">
        <f t="shared" ref="J14:J15" si="0">SUM(L14:Q14)</f>
        <v>23.333333333333332</v>
      </c>
      <c r="L14" s="77">
        <v>0</v>
      </c>
      <c r="M14" s="77">
        <v>0</v>
      </c>
      <c r="N14" s="77">
        <v>23.333333333333332</v>
      </c>
      <c r="O14" s="77">
        <v>0</v>
      </c>
      <c r="P14" s="61">
        <v>0</v>
      </c>
      <c r="Q14" s="77">
        <v>0</v>
      </c>
      <c r="S14" s="4" t="s">
        <v>186</v>
      </c>
    </row>
    <row r="15" spans="2:21">
      <c r="B15" s="4" t="s">
        <v>142</v>
      </c>
      <c r="F15" s="4" t="s">
        <v>81</v>
      </c>
      <c r="J15" s="70">
        <f t="shared" si="0"/>
        <v>28435.309574131996</v>
      </c>
      <c r="L15" s="77">
        <v>1069.3333333333333</v>
      </c>
      <c r="M15" s="77">
        <v>10226.555555555555</v>
      </c>
      <c r="N15" s="77">
        <v>9187.3333333333339</v>
      </c>
      <c r="O15" s="77">
        <v>3620.6666666666665</v>
      </c>
      <c r="P15" s="61">
        <v>3766.0606245853473</v>
      </c>
      <c r="Q15" s="77">
        <v>565.36006065775757</v>
      </c>
      <c r="S15" s="4" t="s">
        <v>187</v>
      </c>
    </row>
    <row r="16" spans="2:21">
      <c r="H16" s="47"/>
      <c r="L16" s="38"/>
      <c r="M16" s="38"/>
      <c r="N16" s="38"/>
      <c r="O16" s="38"/>
      <c r="P16" s="38"/>
      <c r="Q16" s="38"/>
    </row>
    <row r="17" spans="2:19" s="10" customFormat="1">
      <c r="B17" s="10" t="s">
        <v>226</v>
      </c>
    </row>
    <row r="19" spans="2:19">
      <c r="B19" s="26" t="s">
        <v>102</v>
      </c>
    </row>
    <row r="20" spans="2:19">
      <c r="H20" s="47"/>
    </row>
    <row r="21" spans="2:19">
      <c r="B21" s="26" t="s">
        <v>103</v>
      </c>
      <c r="H21" s="47"/>
    </row>
    <row r="22" spans="2:19">
      <c r="B22" s="63" t="s">
        <v>104</v>
      </c>
      <c r="F22" s="4" t="s">
        <v>81</v>
      </c>
      <c r="H22" s="47"/>
      <c r="J22" s="70">
        <f t="shared" ref="J22:J27" si="1">SUM(L22:Q22)</f>
        <v>0</v>
      </c>
      <c r="L22" s="77">
        <v>0</v>
      </c>
      <c r="M22" s="77">
        <v>0</v>
      </c>
      <c r="N22" s="77">
        <v>0</v>
      </c>
      <c r="O22" s="77">
        <v>0</v>
      </c>
      <c r="P22" s="80">
        <v>0</v>
      </c>
      <c r="Q22" s="80">
        <v>0</v>
      </c>
      <c r="R22" s="20"/>
      <c r="S22" s="4" t="s">
        <v>234</v>
      </c>
    </row>
    <row r="23" spans="2:19">
      <c r="B23" s="63" t="s">
        <v>105</v>
      </c>
      <c r="F23" s="4" t="s">
        <v>81</v>
      </c>
      <c r="H23" s="47"/>
      <c r="J23" s="70">
        <f t="shared" si="1"/>
        <v>0</v>
      </c>
      <c r="L23" s="77">
        <v>0</v>
      </c>
      <c r="M23" s="77">
        <v>0</v>
      </c>
      <c r="N23" s="77">
        <v>0</v>
      </c>
      <c r="O23" s="77">
        <v>0</v>
      </c>
      <c r="P23" s="80">
        <v>0</v>
      </c>
      <c r="Q23" s="80">
        <v>0</v>
      </c>
      <c r="R23" s="20"/>
      <c r="S23" s="4" t="s">
        <v>234</v>
      </c>
    </row>
    <row r="24" spans="2:19">
      <c r="B24" s="63" t="s">
        <v>106</v>
      </c>
      <c r="F24" s="4" t="s">
        <v>81</v>
      </c>
      <c r="H24" s="47"/>
      <c r="J24" s="70">
        <f t="shared" si="1"/>
        <v>0</v>
      </c>
      <c r="L24" s="77">
        <v>0</v>
      </c>
      <c r="M24" s="77">
        <v>0</v>
      </c>
      <c r="N24" s="77">
        <v>0</v>
      </c>
      <c r="O24" s="77">
        <v>0</v>
      </c>
      <c r="P24" s="80">
        <v>0</v>
      </c>
      <c r="Q24" s="80">
        <v>0</v>
      </c>
      <c r="R24" s="20"/>
      <c r="S24" s="4" t="s">
        <v>234</v>
      </c>
    </row>
    <row r="25" spans="2:19">
      <c r="B25" s="4" t="s">
        <v>107</v>
      </c>
      <c r="F25" s="4" t="s">
        <v>81</v>
      </c>
      <c r="J25" s="70">
        <f t="shared" si="1"/>
        <v>0</v>
      </c>
      <c r="L25" s="77">
        <v>0</v>
      </c>
      <c r="M25" s="77">
        <v>0</v>
      </c>
      <c r="N25" s="77">
        <v>0</v>
      </c>
      <c r="O25" s="77">
        <v>0</v>
      </c>
      <c r="P25" s="80">
        <v>0</v>
      </c>
      <c r="Q25" s="80">
        <v>0</v>
      </c>
      <c r="R25" s="20"/>
      <c r="S25" s="4" t="s">
        <v>234</v>
      </c>
    </row>
    <row r="26" spans="2:19">
      <c r="B26" s="4" t="s">
        <v>108</v>
      </c>
      <c r="F26" s="4" t="s">
        <v>81</v>
      </c>
      <c r="J26" s="70">
        <f t="shared" si="1"/>
        <v>0</v>
      </c>
      <c r="L26" s="77">
        <v>0</v>
      </c>
      <c r="M26" s="77">
        <v>0</v>
      </c>
      <c r="N26" s="77">
        <v>0</v>
      </c>
      <c r="O26" s="77">
        <v>0</v>
      </c>
      <c r="P26" s="80">
        <v>0</v>
      </c>
      <c r="Q26" s="80">
        <v>0</v>
      </c>
      <c r="R26" s="20"/>
      <c r="S26" s="4" t="s">
        <v>234</v>
      </c>
    </row>
    <row r="27" spans="2:19">
      <c r="B27" s="4" t="s">
        <v>109</v>
      </c>
      <c r="F27" s="4" t="s">
        <v>81</v>
      </c>
      <c r="J27" s="70">
        <f t="shared" si="1"/>
        <v>1</v>
      </c>
      <c r="L27" s="77">
        <v>0</v>
      </c>
      <c r="M27" s="77">
        <v>0</v>
      </c>
      <c r="N27" s="77">
        <v>0</v>
      </c>
      <c r="O27" s="77">
        <v>0</v>
      </c>
      <c r="P27" s="80">
        <v>1</v>
      </c>
      <c r="Q27" s="80">
        <v>0</v>
      </c>
      <c r="R27" s="20"/>
      <c r="S27" s="4" t="s">
        <v>234</v>
      </c>
    </row>
    <row r="28" spans="2:19">
      <c r="B28" s="65"/>
      <c r="L28" s="20"/>
      <c r="O28" s="20"/>
      <c r="P28" s="20"/>
      <c r="Q28" s="20"/>
      <c r="R28" s="20"/>
    </row>
    <row r="29" spans="2:19">
      <c r="B29" s="3" t="s">
        <v>110</v>
      </c>
      <c r="L29" s="20"/>
      <c r="N29" s="20"/>
      <c r="O29" s="20"/>
      <c r="P29" s="20"/>
      <c r="Q29" s="20"/>
      <c r="R29" s="20"/>
    </row>
    <row r="30" spans="2:19">
      <c r="B30" s="4" t="s">
        <v>111</v>
      </c>
      <c r="F30" s="4" t="s">
        <v>81</v>
      </c>
      <c r="J30" s="70">
        <f t="shared" ref="J30:J34" si="2">SUM(L30:Q30)</f>
        <v>0</v>
      </c>
      <c r="L30" s="77">
        <v>0</v>
      </c>
      <c r="M30" s="77">
        <v>0</v>
      </c>
      <c r="N30" s="77">
        <v>0</v>
      </c>
      <c r="O30" s="77">
        <v>0</v>
      </c>
      <c r="P30" s="80">
        <v>0</v>
      </c>
      <c r="Q30" s="80">
        <v>0</v>
      </c>
      <c r="R30" s="20"/>
      <c r="S30" s="4" t="s">
        <v>234</v>
      </c>
    </row>
    <row r="31" spans="2:19">
      <c r="B31" s="4" t="s">
        <v>112</v>
      </c>
      <c r="F31" s="4" t="s">
        <v>81</v>
      </c>
      <c r="J31" s="70">
        <f t="shared" si="2"/>
        <v>0</v>
      </c>
      <c r="L31" s="77">
        <v>0</v>
      </c>
      <c r="M31" s="77">
        <v>0</v>
      </c>
      <c r="N31" s="77">
        <v>0</v>
      </c>
      <c r="O31" s="80">
        <v>0</v>
      </c>
      <c r="P31" s="80">
        <v>0</v>
      </c>
      <c r="Q31" s="80">
        <v>0</v>
      </c>
      <c r="R31" s="20"/>
      <c r="S31" s="4" t="s">
        <v>234</v>
      </c>
    </row>
    <row r="32" spans="2:19">
      <c r="B32" s="4" t="s">
        <v>113</v>
      </c>
      <c r="F32" s="4" t="s">
        <v>81</v>
      </c>
      <c r="J32" s="70">
        <f t="shared" si="2"/>
        <v>0</v>
      </c>
      <c r="L32" s="77">
        <v>0</v>
      </c>
      <c r="M32" s="77">
        <v>0</v>
      </c>
      <c r="N32" s="77">
        <v>0</v>
      </c>
      <c r="O32" s="77">
        <v>0</v>
      </c>
      <c r="P32" s="80">
        <v>0</v>
      </c>
      <c r="Q32" s="80">
        <v>0</v>
      </c>
      <c r="R32" s="20"/>
      <c r="S32" s="4" t="s">
        <v>234</v>
      </c>
    </row>
    <row r="33" spans="2:21">
      <c r="B33" s="4" t="s">
        <v>114</v>
      </c>
      <c r="F33" s="4" t="s">
        <v>81</v>
      </c>
      <c r="J33" s="70">
        <f t="shared" si="2"/>
        <v>0</v>
      </c>
      <c r="L33" s="77">
        <v>0</v>
      </c>
      <c r="M33" s="77">
        <v>0</v>
      </c>
      <c r="N33" s="77">
        <v>0</v>
      </c>
      <c r="O33" s="77">
        <v>0</v>
      </c>
      <c r="P33" s="80">
        <v>0</v>
      </c>
      <c r="Q33" s="80">
        <v>0</v>
      </c>
      <c r="R33" s="20"/>
      <c r="S33" s="4" t="s">
        <v>234</v>
      </c>
    </row>
    <row r="34" spans="2:21">
      <c r="B34" s="4" t="s">
        <v>115</v>
      </c>
      <c r="F34" s="4" t="s">
        <v>81</v>
      </c>
      <c r="J34" s="70">
        <f t="shared" si="2"/>
        <v>0</v>
      </c>
      <c r="L34" s="77">
        <v>0</v>
      </c>
      <c r="M34" s="77">
        <v>0</v>
      </c>
      <c r="N34" s="77">
        <v>0</v>
      </c>
      <c r="O34" s="77">
        <v>0</v>
      </c>
      <c r="P34" s="80">
        <v>0</v>
      </c>
      <c r="Q34" s="80">
        <v>0</v>
      </c>
      <c r="R34" s="20"/>
      <c r="S34" s="4" t="s">
        <v>234</v>
      </c>
    </row>
    <row r="35" spans="2:21">
      <c r="L35" s="20"/>
      <c r="N35" s="20"/>
      <c r="O35" s="20"/>
      <c r="P35" s="20"/>
      <c r="Q35" s="20"/>
      <c r="R35" s="20"/>
    </row>
    <row r="36" spans="2:21">
      <c r="B36" s="26" t="s">
        <v>143</v>
      </c>
      <c r="L36" s="20"/>
      <c r="N36" s="20"/>
      <c r="O36" s="20"/>
      <c r="P36" s="20"/>
      <c r="Q36" s="20"/>
      <c r="R36" s="20"/>
    </row>
    <row r="37" spans="2:21">
      <c r="L37" s="20"/>
      <c r="N37" s="20"/>
      <c r="O37" s="20"/>
      <c r="P37" s="20"/>
      <c r="Q37" s="20"/>
      <c r="R37" s="20"/>
    </row>
    <row r="38" spans="2:21">
      <c r="B38" s="26" t="s">
        <v>117</v>
      </c>
      <c r="L38" s="20"/>
      <c r="N38" s="20"/>
      <c r="O38" s="20"/>
      <c r="P38" s="20"/>
      <c r="Q38" s="20"/>
      <c r="R38" s="20"/>
    </row>
    <row r="39" spans="2:21">
      <c r="B39" s="4" t="s">
        <v>98</v>
      </c>
      <c r="F39" s="4" t="s">
        <v>81</v>
      </c>
      <c r="J39" s="70">
        <f t="shared" ref="J39:J40" si="3">SUM(L39:Q39)</f>
        <v>13962.079897640033</v>
      </c>
      <c r="L39" s="77">
        <v>4052</v>
      </c>
      <c r="M39" s="77">
        <v>0</v>
      </c>
      <c r="N39" s="77">
        <v>0</v>
      </c>
      <c r="O39" s="77">
        <v>5003</v>
      </c>
      <c r="P39" s="80">
        <v>4907.0798976400338</v>
      </c>
      <c r="Q39" s="80">
        <v>0</v>
      </c>
      <c r="R39" s="20"/>
      <c r="S39" s="4" t="s">
        <v>234</v>
      </c>
    </row>
    <row r="40" spans="2:21">
      <c r="B40" s="4" t="s">
        <v>99</v>
      </c>
      <c r="F40" s="4" t="s">
        <v>81</v>
      </c>
      <c r="J40" s="70">
        <f t="shared" si="3"/>
        <v>178</v>
      </c>
      <c r="L40" s="77">
        <v>178</v>
      </c>
      <c r="M40" s="77">
        <v>0</v>
      </c>
      <c r="N40" s="77">
        <v>0</v>
      </c>
      <c r="O40" s="77">
        <v>0</v>
      </c>
      <c r="P40" s="80">
        <v>0</v>
      </c>
      <c r="Q40" s="80">
        <v>0</v>
      </c>
      <c r="R40" s="20"/>
      <c r="S40" s="4" t="s">
        <v>234</v>
      </c>
    </row>
    <row r="41" spans="2:21">
      <c r="L41" s="20"/>
      <c r="N41" s="20"/>
      <c r="P41" s="20"/>
      <c r="Q41" s="20"/>
      <c r="R41" s="20"/>
    </row>
    <row r="42" spans="2:21">
      <c r="B42" s="4" t="s">
        <v>100</v>
      </c>
      <c r="F42" s="4" t="s">
        <v>81</v>
      </c>
      <c r="J42" s="70">
        <f>SUM(L42:Q42)</f>
        <v>36660.403468865508</v>
      </c>
      <c r="L42" s="77">
        <v>0</v>
      </c>
      <c r="M42" s="77">
        <v>20749</v>
      </c>
      <c r="N42" s="77">
        <v>15118</v>
      </c>
      <c r="O42" s="77">
        <v>0</v>
      </c>
      <c r="P42" s="80">
        <v>0</v>
      </c>
      <c r="Q42" s="80">
        <v>793.40346886551038</v>
      </c>
      <c r="R42" s="20"/>
      <c r="S42" s="4" t="s">
        <v>234</v>
      </c>
    </row>
    <row r="44" spans="2:21" s="10" customFormat="1">
      <c r="B44" s="10" t="s">
        <v>144</v>
      </c>
    </row>
    <row r="46" spans="2:21">
      <c r="B46" s="63" t="s">
        <v>227</v>
      </c>
      <c r="F46" s="4" t="s">
        <v>150</v>
      </c>
      <c r="J46" s="70">
        <f>SUM(L46:Q46)</f>
        <v>1518.72765</v>
      </c>
      <c r="L46" s="77">
        <v>0</v>
      </c>
      <c r="M46" s="77">
        <v>1518.72765</v>
      </c>
      <c r="N46" s="77">
        <v>0</v>
      </c>
      <c r="O46" s="77">
        <v>0</v>
      </c>
      <c r="P46" s="80">
        <v>0</v>
      </c>
      <c r="Q46" s="80">
        <v>0</v>
      </c>
      <c r="S46" s="4" t="s">
        <v>151</v>
      </c>
      <c r="U46" s="4" t="s">
        <v>149</v>
      </c>
    </row>
  </sheetData>
  <phoneticPr fontId="75" type="noConversion"/>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2.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CDAB9D1-B815-4B0E-93E7-4496A7FE99F6}">
  <ds:schemaRefs>
    <ds:schemaRef ds:uri="http://purl.org/dc/dcmitype/"/>
    <ds:schemaRef ds:uri="http://schemas.microsoft.com/office/infopath/2007/PartnerControls"/>
    <ds:schemaRef ds:uri="http://purl.org/dc/elements/1.1/"/>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Titelblad</vt:lpstr>
      <vt:lpstr>Toelichting</vt:lpstr>
      <vt:lpstr>Bronnen en toepassingen</vt:lpstr>
      <vt:lpstr>Input --&gt;</vt:lpstr>
      <vt:lpstr>Volumes TD 2023</vt:lpstr>
      <vt:lpstr>SO REG2022</vt:lpstr>
      <vt:lpstr>Rekenvolumes TD</vt:lpstr>
      <vt:lpstr>Wegingsfactoren REG2022</vt:lpstr>
      <vt:lpstr>Invoeding</vt:lpstr>
      <vt:lpstr>Berekeningen --&gt;</vt:lpstr>
      <vt:lpstr>Aggregatie volumes 2023</vt:lpstr>
      <vt:lpstr>Wegingsfactoren</vt:lpstr>
      <vt:lpstr>Ontwikkeling inkomsten TD</vt:lpstr>
      <vt:lpstr>Vergoeding inv. ontw. TD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2024-11-20T13:01:11Z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