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defaultThemeVersion="124226"/>
  <xr:revisionPtr revIDLastSave="0" documentId="13_ncr:1_{62877FD7-EC80-4EF3-A9D4-38063CAFA995}" xr6:coauthVersionLast="47" xr6:coauthVersionMax="47" xr10:uidLastSave="{00000000-0000-0000-0000-000000000000}"/>
  <bookViews>
    <workbookView xWindow="13005" yWindow="-18135" windowWidth="29040" windowHeight="17640" tabRatio="955" xr2:uid="{00000000-000D-0000-FFFF-FFFF00000000}"/>
  </bookViews>
  <sheets>
    <sheet name="Titelblad" sheetId="9" r:id="rId1"/>
    <sheet name="Toelichting" sheetId="10" r:id="rId2"/>
    <sheet name="Bronnen en toepassingen" sheetId="11" r:id="rId3"/>
    <sheet name="Input --&gt;" sheetId="13" r:id="rId4"/>
    <sheet name="Realisatie 2022" sheetId="40" r:id="rId5"/>
    <sheet name="SO REG2022" sheetId="18" r:id="rId6"/>
    <sheet name="Rekenvolumes TD" sheetId="38" r:id="rId7"/>
    <sheet name="Invoeding" sheetId="24" r:id="rId8"/>
    <sheet name="Berekeningen --&gt;" sheetId="15" r:id="rId9"/>
    <sheet name="Aggregatie volumes 2022" sheetId="43" r:id="rId10"/>
    <sheet name="Wegingsfactoren" sheetId="39" r:id="rId11"/>
    <sheet name="Ontwikkeling inkomsten TD" sheetId="36" r:id="rId12"/>
    <sheet name="Vergoeding inv. ontw. TD" sheetId="41" r:id="rId13"/>
  </sheets>
  <definedNames>
    <definedName name="AS2DocOpenMode" hidden="1">"AS2DocumentEdit"</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7" i="36" l="1"/>
  <c r="J39" i="40"/>
  <c r="J37" i="40"/>
  <c r="J36" i="40"/>
  <c r="J31" i="40"/>
  <c r="J27" i="40"/>
  <c r="J26" i="40"/>
  <c r="J25" i="40"/>
  <c r="J24" i="40"/>
  <c r="J23" i="40"/>
  <c r="J20" i="40"/>
  <c r="J19" i="40"/>
  <c r="J18" i="40"/>
  <c r="J17" i="40"/>
  <c r="J16" i="40"/>
  <c r="J15" i="40" l="1"/>
  <c r="M70" i="43"/>
  <c r="N70" i="43"/>
  <c r="O70" i="43"/>
  <c r="P70" i="43"/>
  <c r="Q70" i="43"/>
  <c r="L70" i="43"/>
  <c r="L47" i="43"/>
  <c r="M47" i="43"/>
  <c r="N47" i="43"/>
  <c r="O47" i="43"/>
  <c r="P47" i="43"/>
  <c r="Q47" i="43"/>
  <c r="L48" i="43"/>
  <c r="M48" i="43"/>
  <c r="N48" i="43"/>
  <c r="O48" i="43"/>
  <c r="P48" i="43"/>
  <c r="Q48" i="43"/>
  <c r="L49" i="43"/>
  <c r="M49" i="43"/>
  <c r="N49" i="43"/>
  <c r="O49" i="43"/>
  <c r="P49" i="43"/>
  <c r="Q49" i="43"/>
  <c r="L50" i="43"/>
  <c r="M50" i="43"/>
  <c r="N50" i="43"/>
  <c r="O50" i="43"/>
  <c r="P50" i="43"/>
  <c r="Q50" i="43"/>
  <c r="L51" i="43"/>
  <c r="M51" i="43"/>
  <c r="N51" i="43"/>
  <c r="O51" i="43"/>
  <c r="P51" i="43"/>
  <c r="Q51" i="43"/>
  <c r="L54" i="43"/>
  <c r="M54" i="43"/>
  <c r="N54" i="43"/>
  <c r="O54" i="43"/>
  <c r="P54" i="43"/>
  <c r="Q54" i="43"/>
  <c r="L55" i="43"/>
  <c r="M55" i="43"/>
  <c r="N55" i="43"/>
  <c r="O55" i="43"/>
  <c r="P55" i="43"/>
  <c r="Q55" i="43"/>
  <c r="L56" i="43"/>
  <c r="M56" i="43"/>
  <c r="N56" i="43"/>
  <c r="O56" i="43"/>
  <c r="P56" i="43"/>
  <c r="Q56" i="43"/>
  <c r="L57" i="43"/>
  <c r="M57" i="43"/>
  <c r="N57" i="43"/>
  <c r="O57" i="43"/>
  <c r="P57" i="43"/>
  <c r="Q57" i="43"/>
  <c r="L58" i="43"/>
  <c r="M58" i="43"/>
  <c r="N58" i="43"/>
  <c r="O58" i="43"/>
  <c r="P58" i="43"/>
  <c r="Q58" i="43"/>
  <c r="L63" i="43"/>
  <c r="M63" i="43"/>
  <c r="N63" i="43"/>
  <c r="O63" i="43"/>
  <c r="P63" i="43"/>
  <c r="Q63" i="43"/>
  <c r="L64" i="43"/>
  <c r="M64" i="43"/>
  <c r="N64" i="43"/>
  <c r="O64" i="43"/>
  <c r="P64" i="43"/>
  <c r="Q64" i="43"/>
  <c r="L66" i="43"/>
  <c r="M66" i="43"/>
  <c r="N66" i="43"/>
  <c r="O66" i="43"/>
  <c r="P66" i="43"/>
  <c r="Q66" i="43"/>
  <c r="M46" i="43"/>
  <c r="N46" i="43"/>
  <c r="O46" i="43"/>
  <c r="P46" i="43"/>
  <c r="Q46" i="43"/>
  <c r="L46" i="43"/>
  <c r="J46" i="24"/>
  <c r="J42" i="24"/>
  <c r="J40" i="24"/>
  <c r="J39" i="24"/>
  <c r="J34" i="24"/>
  <c r="J33" i="24"/>
  <c r="J32" i="24"/>
  <c r="J31" i="24"/>
  <c r="J30" i="24"/>
  <c r="J27" i="24"/>
  <c r="J26" i="24"/>
  <c r="J25" i="24"/>
  <c r="J24" i="24"/>
  <c r="J23" i="24"/>
  <c r="J22" i="24"/>
  <c r="J15" i="24"/>
  <c r="J14" i="24"/>
  <c r="J13" i="24"/>
  <c r="Q110" i="43" l="1"/>
  <c r="P110" i="43"/>
  <c r="O110" i="43"/>
  <c r="M110" i="43"/>
  <c r="J70" i="43"/>
  <c r="N110" i="43"/>
  <c r="J57" i="43"/>
  <c r="J51" i="43"/>
  <c r="J47" i="43"/>
  <c r="J63" i="43"/>
  <c r="J55" i="43"/>
  <c r="J49" i="43"/>
  <c r="J46" i="43"/>
  <c r="J66" i="43"/>
  <c r="J64" i="43"/>
  <c r="J58" i="43"/>
  <c r="J56" i="43"/>
  <c r="J54" i="43"/>
  <c r="J50" i="43"/>
  <c r="J48" i="43"/>
  <c r="L110" i="43"/>
  <c r="L16" i="41"/>
  <c r="M16" i="41"/>
  <c r="N16" i="41"/>
  <c r="O16" i="41"/>
  <c r="P16" i="41"/>
  <c r="Q16" i="41"/>
  <c r="L19" i="41"/>
  <c r="M19" i="41"/>
  <c r="N19" i="41"/>
  <c r="O19" i="41"/>
  <c r="P19" i="41"/>
  <c r="Q19" i="41"/>
  <c r="L20" i="41"/>
  <c r="M20" i="41"/>
  <c r="N20" i="41"/>
  <c r="O20" i="41"/>
  <c r="P20" i="41"/>
  <c r="Q20" i="41"/>
  <c r="L23" i="41"/>
  <c r="M23" i="41"/>
  <c r="N23" i="41"/>
  <c r="O23" i="41"/>
  <c r="P23" i="41"/>
  <c r="Q23" i="41"/>
  <c r="L24" i="41"/>
  <c r="M24" i="41"/>
  <c r="N24" i="41"/>
  <c r="O24" i="41"/>
  <c r="P24" i="41"/>
  <c r="Q24" i="41"/>
  <c r="L27" i="41"/>
  <c r="M27" i="41"/>
  <c r="N27" i="41"/>
  <c r="O27" i="41"/>
  <c r="P27" i="41"/>
  <c r="P39" i="41" s="1"/>
  <c r="Q27" i="41"/>
  <c r="L28" i="41"/>
  <c r="M28" i="41"/>
  <c r="N28" i="41"/>
  <c r="O28" i="41"/>
  <c r="P28" i="41"/>
  <c r="Q28" i="41"/>
  <c r="L29" i="41"/>
  <c r="M29" i="41"/>
  <c r="N29" i="41"/>
  <c r="O29" i="41"/>
  <c r="P29" i="41"/>
  <c r="Q29" i="41"/>
  <c r="M15" i="41"/>
  <c r="N15" i="41"/>
  <c r="O15" i="41"/>
  <c r="P15" i="41"/>
  <c r="Q15" i="41"/>
  <c r="L15" i="41"/>
  <c r="L13" i="36"/>
  <c r="M13" i="36"/>
  <c r="N13" i="36"/>
  <c r="O13" i="36"/>
  <c r="P13" i="36"/>
  <c r="Q13" i="36"/>
  <c r="L14" i="36"/>
  <c r="M14" i="36"/>
  <c r="N14" i="36"/>
  <c r="O14" i="36"/>
  <c r="P14" i="36"/>
  <c r="Q14" i="36"/>
  <c r="L15" i="36"/>
  <c r="M15" i="36"/>
  <c r="N15" i="36"/>
  <c r="O15" i="36"/>
  <c r="P15" i="36"/>
  <c r="Q15" i="36"/>
  <c r="K145" i="39"/>
  <c r="K162" i="39" s="1"/>
  <c r="L145" i="39"/>
  <c r="L162" i="39" s="1"/>
  <c r="N145" i="39"/>
  <c r="N162" i="39" s="1"/>
  <c r="O145" i="39"/>
  <c r="O162" i="39" s="1"/>
  <c r="J145" i="39"/>
  <c r="J162" i="39" s="1"/>
  <c r="M141" i="39"/>
  <c r="H141" i="39" s="1"/>
  <c r="J142" i="39"/>
  <c r="K142" i="39"/>
  <c r="L142" i="39"/>
  <c r="M142" i="39"/>
  <c r="N142" i="39"/>
  <c r="O142" i="39"/>
  <c r="K140" i="39"/>
  <c r="L140" i="39"/>
  <c r="M140" i="39"/>
  <c r="N140" i="39"/>
  <c r="O140" i="39"/>
  <c r="J140" i="39"/>
  <c r="J88" i="39"/>
  <c r="K88" i="39"/>
  <c r="L88" i="39"/>
  <c r="M88" i="39"/>
  <c r="N88" i="39"/>
  <c r="O88" i="39"/>
  <c r="J89" i="39"/>
  <c r="K89" i="39"/>
  <c r="L89" i="39"/>
  <c r="M89" i="39"/>
  <c r="N89" i="39"/>
  <c r="O89" i="39"/>
  <c r="J90" i="39"/>
  <c r="K90" i="39"/>
  <c r="L90" i="39"/>
  <c r="M90" i="39"/>
  <c r="N90" i="39"/>
  <c r="O90" i="39"/>
  <c r="J93" i="39"/>
  <c r="K93" i="39"/>
  <c r="L93" i="39"/>
  <c r="M93" i="39"/>
  <c r="N93" i="39"/>
  <c r="O93" i="39"/>
  <c r="J94" i="39"/>
  <c r="K94" i="39"/>
  <c r="L94" i="39"/>
  <c r="M94" i="39"/>
  <c r="N94" i="39"/>
  <c r="O94" i="39"/>
  <c r="J95" i="39"/>
  <c r="K95" i="39"/>
  <c r="L95" i="39"/>
  <c r="M95" i="39"/>
  <c r="N95" i="39"/>
  <c r="O95" i="39"/>
  <c r="J96" i="39"/>
  <c r="K96" i="39"/>
  <c r="L96" i="39"/>
  <c r="M96" i="39"/>
  <c r="N96" i="39"/>
  <c r="O96" i="39"/>
  <c r="J102" i="39"/>
  <c r="K102" i="39"/>
  <c r="L102" i="39"/>
  <c r="M102" i="39"/>
  <c r="N102" i="39"/>
  <c r="O102" i="39"/>
  <c r="J103" i="39"/>
  <c r="K103" i="39"/>
  <c r="L103" i="39"/>
  <c r="M103" i="39"/>
  <c r="N103" i="39"/>
  <c r="O103" i="39"/>
  <c r="J104" i="39"/>
  <c r="K104" i="39"/>
  <c r="L104" i="39"/>
  <c r="M104" i="39"/>
  <c r="N104" i="39"/>
  <c r="O104" i="39"/>
  <c r="J107" i="39"/>
  <c r="K107" i="39"/>
  <c r="L107" i="39"/>
  <c r="M107" i="39"/>
  <c r="N107" i="39"/>
  <c r="O107" i="39"/>
  <c r="J108" i="39"/>
  <c r="K108" i="39"/>
  <c r="L108" i="39"/>
  <c r="M108" i="39"/>
  <c r="N108" i="39"/>
  <c r="O108" i="39"/>
  <c r="J109" i="39"/>
  <c r="K109" i="39"/>
  <c r="L109" i="39"/>
  <c r="M109" i="39"/>
  <c r="N109" i="39"/>
  <c r="O109" i="39"/>
  <c r="J112" i="39"/>
  <c r="K112" i="39"/>
  <c r="L112" i="39"/>
  <c r="M112" i="39"/>
  <c r="N112" i="39"/>
  <c r="O112" i="39"/>
  <c r="J113" i="39"/>
  <c r="K113" i="39"/>
  <c r="L113" i="39"/>
  <c r="M113" i="39"/>
  <c r="N113" i="39"/>
  <c r="O113" i="39"/>
  <c r="J114" i="39"/>
  <c r="K114" i="39"/>
  <c r="L114" i="39"/>
  <c r="M114" i="39"/>
  <c r="N114" i="39"/>
  <c r="O114" i="39"/>
  <c r="J117" i="39"/>
  <c r="K117" i="39"/>
  <c r="L117" i="39"/>
  <c r="M117" i="39"/>
  <c r="N117" i="39"/>
  <c r="O117" i="39"/>
  <c r="J118" i="39"/>
  <c r="K118" i="39"/>
  <c r="L118" i="39"/>
  <c r="M118" i="39"/>
  <c r="N118" i="39"/>
  <c r="O118" i="39"/>
  <c r="J119" i="39"/>
  <c r="K119" i="39"/>
  <c r="L119" i="39"/>
  <c r="M119" i="39"/>
  <c r="N119" i="39"/>
  <c r="O119" i="39"/>
  <c r="K87" i="39"/>
  <c r="L87" i="39"/>
  <c r="M87" i="39"/>
  <c r="N87" i="39"/>
  <c r="O87" i="39"/>
  <c r="J87" i="39"/>
  <c r="J70" i="39"/>
  <c r="K70" i="39"/>
  <c r="L70" i="39"/>
  <c r="M70" i="39"/>
  <c r="N70" i="39"/>
  <c r="O70" i="39"/>
  <c r="J73" i="39"/>
  <c r="J174" i="39" s="1"/>
  <c r="K73" i="39"/>
  <c r="K174" i="39" s="1"/>
  <c r="L73" i="39"/>
  <c r="L174" i="39" s="1"/>
  <c r="M73" i="39"/>
  <c r="M174" i="39" s="1"/>
  <c r="N73" i="39"/>
  <c r="N174" i="39" s="1"/>
  <c r="O73" i="39"/>
  <c r="O174" i="39" s="1"/>
  <c r="J74" i="39"/>
  <c r="K74" i="39"/>
  <c r="L74" i="39"/>
  <c r="M74" i="39"/>
  <c r="N74" i="39"/>
  <c r="O74" i="39"/>
  <c r="J77" i="39"/>
  <c r="K77" i="39"/>
  <c r="L77" i="39"/>
  <c r="M77" i="39"/>
  <c r="N77" i="39"/>
  <c r="O77" i="39"/>
  <c r="J78" i="39"/>
  <c r="J124" i="39" s="1"/>
  <c r="K78" i="39"/>
  <c r="K124" i="39" s="1"/>
  <c r="L78" i="39"/>
  <c r="L124" i="39" s="1"/>
  <c r="M78" i="39"/>
  <c r="M124" i="39" s="1"/>
  <c r="N78" i="39"/>
  <c r="N124" i="39" s="1"/>
  <c r="O78" i="39"/>
  <c r="O124" i="39" s="1"/>
  <c r="J79" i="39"/>
  <c r="J125" i="39" s="1"/>
  <c r="K79" i="39"/>
  <c r="K125" i="39" s="1"/>
  <c r="L79" i="39"/>
  <c r="L125" i="39" s="1"/>
  <c r="M79" i="39"/>
  <c r="M125" i="39" s="1"/>
  <c r="N79" i="39"/>
  <c r="N125" i="39" s="1"/>
  <c r="O79" i="39"/>
  <c r="O125" i="39" s="1"/>
  <c r="J80" i="39"/>
  <c r="J126" i="39" s="1"/>
  <c r="K80" i="39"/>
  <c r="K126" i="39" s="1"/>
  <c r="K135" i="39" s="1"/>
  <c r="L80" i="39"/>
  <c r="L126" i="39" s="1"/>
  <c r="M80" i="39"/>
  <c r="M126" i="39" s="1"/>
  <c r="N80" i="39"/>
  <c r="N126" i="39" s="1"/>
  <c r="N135" i="39" s="1"/>
  <c r="O80" i="39"/>
  <c r="O126" i="39" s="1"/>
  <c r="O135" i="39" s="1"/>
  <c r="K69" i="39"/>
  <c r="K170" i="39" s="1"/>
  <c r="L69" i="39"/>
  <c r="L170" i="39" s="1"/>
  <c r="M69" i="39"/>
  <c r="M170" i="39" s="1"/>
  <c r="N69" i="39"/>
  <c r="N170" i="39" s="1"/>
  <c r="O69" i="39"/>
  <c r="O170" i="39" s="1"/>
  <c r="J69" i="39"/>
  <c r="J170" i="39" s="1"/>
  <c r="J33" i="39"/>
  <c r="K33" i="39"/>
  <c r="L33" i="39"/>
  <c r="M33" i="39"/>
  <c r="N33" i="39"/>
  <c r="O33" i="39"/>
  <c r="J34" i="39"/>
  <c r="K34" i="39"/>
  <c r="L34" i="39"/>
  <c r="M34" i="39"/>
  <c r="N34" i="39"/>
  <c r="O34" i="39"/>
  <c r="J35" i="39"/>
  <c r="K35" i="39"/>
  <c r="L35" i="39"/>
  <c r="M35" i="39"/>
  <c r="N35" i="39"/>
  <c r="O35" i="39"/>
  <c r="J38" i="39"/>
  <c r="K38" i="39"/>
  <c r="L38" i="39"/>
  <c r="M38" i="39"/>
  <c r="N38" i="39"/>
  <c r="O38" i="39"/>
  <c r="J39" i="39"/>
  <c r="K39" i="39"/>
  <c r="L39" i="39"/>
  <c r="M39" i="39"/>
  <c r="N39" i="39"/>
  <c r="O39" i="39"/>
  <c r="J40" i="39"/>
  <c r="K40" i="39"/>
  <c r="L40" i="39"/>
  <c r="M40" i="39"/>
  <c r="N40" i="39"/>
  <c r="O40" i="39"/>
  <c r="J41" i="39"/>
  <c r="K41" i="39"/>
  <c r="L41" i="39"/>
  <c r="M41" i="39"/>
  <c r="N41" i="39"/>
  <c r="O41" i="39"/>
  <c r="J47" i="39"/>
  <c r="K47" i="39"/>
  <c r="L47" i="39"/>
  <c r="M47" i="39"/>
  <c r="N47" i="39"/>
  <c r="O47" i="39"/>
  <c r="J48" i="39"/>
  <c r="K48" i="39"/>
  <c r="L48" i="39"/>
  <c r="M48" i="39"/>
  <c r="N48" i="39"/>
  <c r="O48" i="39"/>
  <c r="J49" i="39"/>
  <c r="K49" i="39"/>
  <c r="L49" i="39"/>
  <c r="M49" i="39"/>
  <c r="N49" i="39"/>
  <c r="O49" i="39"/>
  <c r="J52" i="39"/>
  <c r="K52" i="39"/>
  <c r="L52" i="39"/>
  <c r="M52" i="39"/>
  <c r="N52" i="39"/>
  <c r="O52" i="39"/>
  <c r="J53" i="39"/>
  <c r="K53" i="39"/>
  <c r="L53" i="39"/>
  <c r="M53" i="39"/>
  <c r="N53" i="39"/>
  <c r="O53" i="39"/>
  <c r="J54" i="39"/>
  <c r="K54" i="39"/>
  <c r="L54" i="39"/>
  <c r="M54" i="39"/>
  <c r="N54" i="39"/>
  <c r="O54" i="39"/>
  <c r="J57" i="39"/>
  <c r="K57" i="39"/>
  <c r="L57" i="39"/>
  <c r="M57" i="39"/>
  <c r="N57" i="39"/>
  <c r="O57" i="39"/>
  <c r="J58" i="39"/>
  <c r="K58" i="39"/>
  <c r="L58" i="39"/>
  <c r="M58" i="39"/>
  <c r="N58" i="39"/>
  <c r="O58" i="39"/>
  <c r="J59" i="39"/>
  <c r="K59" i="39"/>
  <c r="L59" i="39"/>
  <c r="M59" i="39"/>
  <c r="N59" i="39"/>
  <c r="O59" i="39"/>
  <c r="J62" i="39"/>
  <c r="K62" i="39"/>
  <c r="L62" i="39"/>
  <c r="M62" i="39"/>
  <c r="N62" i="39"/>
  <c r="O62" i="39"/>
  <c r="J63" i="39"/>
  <c r="K63" i="39"/>
  <c r="L63" i="39"/>
  <c r="M63" i="39"/>
  <c r="N63" i="39"/>
  <c r="O63" i="39"/>
  <c r="J64" i="39"/>
  <c r="K64" i="39"/>
  <c r="L64" i="39"/>
  <c r="M64" i="39"/>
  <c r="N64" i="39"/>
  <c r="O64" i="39"/>
  <c r="K32" i="39"/>
  <c r="L32" i="39"/>
  <c r="M32" i="39"/>
  <c r="N32" i="39"/>
  <c r="O32" i="39"/>
  <c r="J32" i="39"/>
  <c r="L16" i="43"/>
  <c r="M16" i="43"/>
  <c r="N16" i="43"/>
  <c r="O16" i="43"/>
  <c r="P16" i="43"/>
  <c r="Q16" i="43"/>
  <c r="L17" i="43"/>
  <c r="M17" i="43"/>
  <c r="N17" i="43"/>
  <c r="O17" i="43"/>
  <c r="P17" i="43"/>
  <c r="Q17" i="43"/>
  <c r="L18" i="43"/>
  <c r="M18" i="43"/>
  <c r="N18" i="43"/>
  <c r="O18" i="43"/>
  <c r="P18" i="43"/>
  <c r="Q18" i="43"/>
  <c r="L19" i="43"/>
  <c r="M19" i="43"/>
  <c r="N19" i="43"/>
  <c r="O19" i="43"/>
  <c r="P19" i="43"/>
  <c r="Q19" i="43"/>
  <c r="L20" i="43"/>
  <c r="M20" i="43"/>
  <c r="N20" i="43"/>
  <c r="O20" i="43"/>
  <c r="P20" i="43"/>
  <c r="Q20" i="43"/>
  <c r="L23" i="43"/>
  <c r="M23" i="43"/>
  <c r="N23" i="43"/>
  <c r="O23" i="43"/>
  <c r="P23" i="43"/>
  <c r="Q23" i="43"/>
  <c r="L24" i="43"/>
  <c r="M24" i="43"/>
  <c r="N24" i="43"/>
  <c r="O24" i="43"/>
  <c r="P24" i="43"/>
  <c r="Q24" i="43"/>
  <c r="L25" i="43"/>
  <c r="M25" i="43"/>
  <c r="N25" i="43"/>
  <c r="O25" i="43"/>
  <c r="P25" i="43"/>
  <c r="Q25" i="43"/>
  <c r="L26" i="43"/>
  <c r="M26" i="43"/>
  <c r="N26" i="43"/>
  <c r="O26" i="43"/>
  <c r="P26" i="43"/>
  <c r="Q26" i="43"/>
  <c r="L27" i="43"/>
  <c r="M27" i="43"/>
  <c r="N27" i="43"/>
  <c r="O27" i="43"/>
  <c r="P27" i="43"/>
  <c r="Q27" i="43"/>
  <c r="L31" i="43"/>
  <c r="L100" i="43" s="1"/>
  <c r="M31" i="43"/>
  <c r="M100" i="43" s="1"/>
  <c r="K21" i="39" s="1"/>
  <c r="N31" i="43"/>
  <c r="N100" i="43" s="1"/>
  <c r="L21" i="39" s="1"/>
  <c r="O31" i="43"/>
  <c r="O100" i="43" s="1"/>
  <c r="M21" i="39" s="1"/>
  <c r="P31" i="43"/>
  <c r="P100" i="43" s="1"/>
  <c r="N21" i="39" s="1"/>
  <c r="Q31" i="43"/>
  <c r="Q100" i="43" s="1"/>
  <c r="O21" i="39" s="1"/>
  <c r="L36" i="43"/>
  <c r="L101" i="43" s="1"/>
  <c r="M36" i="43"/>
  <c r="M101" i="43" s="1"/>
  <c r="N36" i="43"/>
  <c r="N101" i="43" s="1"/>
  <c r="O36" i="43"/>
  <c r="O101" i="43" s="1"/>
  <c r="P36" i="43"/>
  <c r="P101" i="43" s="1"/>
  <c r="N22" i="39" s="1"/>
  <c r="N130" i="39" s="1"/>
  <c r="Q36" i="43"/>
  <c r="Q101" i="43" s="1"/>
  <c r="L37" i="43"/>
  <c r="L102" i="43" s="1"/>
  <c r="M37" i="43"/>
  <c r="M102" i="43" s="1"/>
  <c r="K23" i="39" s="1"/>
  <c r="K129" i="39" s="1"/>
  <c r="N37" i="43"/>
  <c r="N102" i="43" s="1"/>
  <c r="L23" i="39" s="1"/>
  <c r="L129" i="39" s="1"/>
  <c r="O37" i="43"/>
  <c r="O102" i="43" s="1"/>
  <c r="M23" i="39" s="1"/>
  <c r="M129" i="39" s="1"/>
  <c r="P37" i="43"/>
  <c r="P102" i="43" s="1"/>
  <c r="N23" i="39" s="1"/>
  <c r="N129" i="39" s="1"/>
  <c r="Q37" i="43"/>
  <c r="Q102" i="43" s="1"/>
  <c r="O23" i="39" s="1"/>
  <c r="O129" i="39" s="1"/>
  <c r="L39" i="43"/>
  <c r="L103" i="43" s="1"/>
  <c r="M39" i="43"/>
  <c r="M103" i="43" s="1"/>
  <c r="K24" i="39" s="1"/>
  <c r="K131" i="39" s="1"/>
  <c r="N39" i="43"/>
  <c r="N103" i="43" s="1"/>
  <c r="L24" i="39" s="1"/>
  <c r="L131" i="39" s="1"/>
  <c r="O39" i="43"/>
  <c r="O103" i="43" s="1"/>
  <c r="M24" i="39" s="1"/>
  <c r="M131" i="39" s="1"/>
  <c r="P39" i="43"/>
  <c r="P103" i="43" s="1"/>
  <c r="N24" i="39" s="1"/>
  <c r="N131" i="39" s="1"/>
  <c r="Q39" i="43"/>
  <c r="Q103" i="43" s="1"/>
  <c r="O24" i="39" s="1"/>
  <c r="O131" i="39" s="1"/>
  <c r="M15" i="43"/>
  <c r="N15" i="43"/>
  <c r="O15" i="43"/>
  <c r="P15" i="43"/>
  <c r="Q15" i="43"/>
  <c r="L15" i="43"/>
  <c r="H76" i="43"/>
  <c r="H77" i="43"/>
  <c r="H78" i="43"/>
  <c r="H79" i="43"/>
  <c r="H80" i="43"/>
  <c r="H83" i="43"/>
  <c r="H84" i="43"/>
  <c r="H85" i="43"/>
  <c r="H86" i="43"/>
  <c r="H87" i="43"/>
  <c r="H75" i="43"/>
  <c r="Q108" i="43" l="1"/>
  <c r="N144" i="39"/>
  <c r="N161" i="39" s="1"/>
  <c r="M108" i="43"/>
  <c r="L108" i="43"/>
  <c r="P108" i="43"/>
  <c r="N108" i="43"/>
  <c r="N109" i="43"/>
  <c r="L109" i="43"/>
  <c r="P109" i="43"/>
  <c r="O109" i="43"/>
  <c r="M109" i="43"/>
  <c r="O108" i="43"/>
  <c r="Q109" i="43"/>
  <c r="M154" i="39"/>
  <c r="J27" i="43"/>
  <c r="J110" i="43"/>
  <c r="O39" i="41"/>
  <c r="N39" i="41"/>
  <c r="L39" i="41"/>
  <c r="Q39" i="41"/>
  <c r="M39" i="41"/>
  <c r="P96" i="43"/>
  <c r="N17" i="39" s="1"/>
  <c r="L93" i="43"/>
  <c r="L19" i="36" s="1"/>
  <c r="J26" i="43"/>
  <c r="M97" i="43"/>
  <c r="K18" i="39" s="1"/>
  <c r="J20" i="43"/>
  <c r="O92" i="43"/>
  <c r="M13" i="39" s="1"/>
  <c r="M93" i="43"/>
  <c r="M19" i="36" s="1"/>
  <c r="M31" i="36" s="1"/>
  <c r="Q92" i="43"/>
  <c r="O13" i="39" s="1"/>
  <c r="J25" i="43"/>
  <c r="J24" i="43"/>
  <c r="P93" i="43"/>
  <c r="N14" i="39" s="1"/>
  <c r="J18" i="43"/>
  <c r="L97" i="43"/>
  <c r="J18" i="39" s="1"/>
  <c r="J17" i="43"/>
  <c r="N93" i="43"/>
  <c r="L14" i="39" s="1"/>
  <c r="Q97" i="43"/>
  <c r="Q20" i="36" s="1"/>
  <c r="Q32" i="36" s="1"/>
  <c r="O96" i="43"/>
  <c r="M17" i="39" s="1"/>
  <c r="Q93" i="43"/>
  <c r="Q19" i="36" s="1"/>
  <c r="Q31" i="36" s="1"/>
  <c r="M92" i="43"/>
  <c r="K13" i="39" s="1"/>
  <c r="P97" i="43"/>
  <c r="P20" i="36" s="1"/>
  <c r="P32" i="36" s="1"/>
  <c r="N97" i="43"/>
  <c r="N20" i="36" s="1"/>
  <c r="N32" i="36" s="1"/>
  <c r="J19" i="43"/>
  <c r="P92" i="43"/>
  <c r="N13" i="39" s="1"/>
  <c r="Q96" i="43"/>
  <c r="O17" i="39" s="1"/>
  <c r="M96" i="43"/>
  <c r="K17" i="39" s="1"/>
  <c r="J103" i="43"/>
  <c r="J24" i="39"/>
  <c r="J131" i="39" s="1"/>
  <c r="L104" i="43"/>
  <c r="J101" i="43"/>
  <c r="J22" i="39"/>
  <c r="J130" i="39" s="1"/>
  <c r="Q104" i="43"/>
  <c r="O104" i="43"/>
  <c r="M22" i="39"/>
  <c r="M130" i="39" s="1"/>
  <c r="J23" i="39"/>
  <c r="J129" i="39" s="1"/>
  <c r="J102" i="43"/>
  <c r="N104" i="43"/>
  <c r="L22" i="39"/>
  <c r="L130" i="39" s="1"/>
  <c r="J21" i="39"/>
  <c r="H21" i="39" s="1"/>
  <c r="J100" i="43"/>
  <c r="M104" i="43"/>
  <c r="K22" i="39"/>
  <c r="K130" i="39" s="1"/>
  <c r="J36" i="43"/>
  <c r="L92" i="43"/>
  <c r="N92" i="43"/>
  <c r="L13" i="39" s="1"/>
  <c r="L96" i="43"/>
  <c r="N96" i="43"/>
  <c r="L17" i="39" s="1"/>
  <c r="J15" i="43"/>
  <c r="J31" i="43"/>
  <c r="J37" i="43"/>
  <c r="J16" i="43"/>
  <c r="O22" i="39"/>
  <c r="O130" i="39" s="1"/>
  <c r="O93" i="43"/>
  <c r="O97" i="43"/>
  <c r="J39" i="43"/>
  <c r="J23" i="43"/>
  <c r="P104" i="43"/>
  <c r="J15" i="41"/>
  <c r="J23" i="41"/>
  <c r="J29" i="41"/>
  <c r="J27" i="41"/>
  <c r="J19" i="41"/>
  <c r="J28" i="41"/>
  <c r="J24" i="41"/>
  <c r="J20" i="41"/>
  <c r="J16" i="41"/>
  <c r="J13" i="36"/>
  <c r="J14" i="36"/>
  <c r="J15" i="36"/>
  <c r="O154" i="39"/>
  <c r="K154" i="39"/>
  <c r="N154" i="39"/>
  <c r="L154" i="39"/>
  <c r="J154" i="39"/>
  <c r="O144" i="39"/>
  <c r="O161" i="39" s="1"/>
  <c r="K144" i="39"/>
  <c r="K161" i="39" s="1"/>
  <c r="M144" i="39"/>
  <c r="J144" i="39"/>
  <c r="J161" i="39" s="1"/>
  <c r="H140" i="39"/>
  <c r="M145" i="39"/>
  <c r="L144" i="39"/>
  <c r="H142" i="39"/>
  <c r="H32" i="39"/>
  <c r="H59" i="39"/>
  <c r="H47" i="39"/>
  <c r="H38" i="39"/>
  <c r="H53" i="39"/>
  <c r="H63" i="39"/>
  <c r="H58" i="39"/>
  <c r="H57" i="39"/>
  <c r="H52" i="39"/>
  <c r="H49" i="39"/>
  <c r="H41" i="39"/>
  <c r="H40" i="39"/>
  <c r="H35" i="39"/>
  <c r="H34" i="39"/>
  <c r="H64" i="39"/>
  <c r="H62" i="39"/>
  <c r="H54" i="39"/>
  <c r="H48" i="39"/>
  <c r="H39" i="39"/>
  <c r="H33" i="39"/>
  <c r="M150" i="39" l="1"/>
  <c r="L20" i="36"/>
  <c r="L32" i="36" s="1"/>
  <c r="P19" i="36"/>
  <c r="P31" i="36" s="1"/>
  <c r="O14" i="39"/>
  <c r="J108" i="43"/>
  <c r="J109" i="43"/>
  <c r="L150" i="39"/>
  <c r="N150" i="39"/>
  <c r="K150" i="39"/>
  <c r="L18" i="39"/>
  <c r="L149" i="39" s="1"/>
  <c r="N19" i="36"/>
  <c r="N31" i="36" s="1"/>
  <c r="K14" i="39"/>
  <c r="K149" i="39" s="1"/>
  <c r="H24" i="39"/>
  <c r="H23" i="39"/>
  <c r="J97" i="43"/>
  <c r="J14" i="39"/>
  <c r="M20" i="36"/>
  <c r="M32" i="36" s="1"/>
  <c r="N18" i="39"/>
  <c r="N149" i="39" s="1"/>
  <c r="O18" i="39"/>
  <c r="O149" i="39" s="1"/>
  <c r="O150" i="39"/>
  <c r="L31" i="36"/>
  <c r="O20" i="36"/>
  <c r="O32" i="36" s="1"/>
  <c r="M18" i="39"/>
  <c r="J17" i="39"/>
  <c r="H17" i="39" s="1"/>
  <c r="H190" i="39" s="1"/>
  <c r="J96" i="43"/>
  <c r="J92" i="43"/>
  <c r="J13" i="39"/>
  <c r="O25" i="39"/>
  <c r="O132" i="39" s="1"/>
  <c r="Q21" i="36"/>
  <c r="Q33" i="36" s="1"/>
  <c r="H22" i="39"/>
  <c r="N21" i="36"/>
  <c r="N33" i="36" s="1"/>
  <c r="L25" i="39"/>
  <c r="L132" i="39" s="1"/>
  <c r="L135" i="39" s="1"/>
  <c r="O21" i="36"/>
  <c r="O33" i="36" s="1"/>
  <c r="M25" i="39"/>
  <c r="M132" i="39" s="1"/>
  <c r="M135" i="39" s="1"/>
  <c r="J25" i="39"/>
  <c r="L21" i="36"/>
  <c r="J104" i="43"/>
  <c r="P21" i="36"/>
  <c r="P33" i="36" s="1"/>
  <c r="N25" i="39"/>
  <c r="N132" i="39" s="1"/>
  <c r="O19" i="36"/>
  <c r="O31" i="36" s="1"/>
  <c r="M14" i="39"/>
  <c r="K25" i="39"/>
  <c r="K132" i="39" s="1"/>
  <c r="M21" i="36"/>
  <c r="M33" i="36" s="1"/>
  <c r="J93" i="43"/>
  <c r="H145" i="39"/>
  <c r="H144" i="39"/>
  <c r="L161" i="39"/>
  <c r="L151" i="39" l="1"/>
  <c r="K151" i="39"/>
  <c r="K165" i="39" s="1"/>
  <c r="K178" i="39" s="1"/>
  <c r="N151" i="39"/>
  <c r="N165" i="39" s="1"/>
  <c r="O151" i="39"/>
  <c r="O165" i="39" s="1"/>
  <c r="O178" i="39" s="1"/>
  <c r="H18" i="39"/>
  <c r="J32" i="36"/>
  <c r="L165" i="39"/>
  <c r="J31" i="36"/>
  <c r="H13" i="39"/>
  <c r="H186" i="39" s="1"/>
  <c r="J150" i="39"/>
  <c r="J149" i="39"/>
  <c r="M149" i="39"/>
  <c r="H14" i="39"/>
  <c r="J19" i="36"/>
  <c r="L33" i="36"/>
  <c r="J33" i="36" s="1"/>
  <c r="J21" i="36"/>
  <c r="J20" i="36"/>
  <c r="J132" i="39"/>
  <c r="J135" i="39" s="1"/>
  <c r="H25" i="39"/>
  <c r="N179" i="39"/>
  <c r="K179" i="39"/>
  <c r="K171" i="39"/>
  <c r="K175" i="39"/>
  <c r="O171" i="39" l="1"/>
  <c r="N175" i="39"/>
  <c r="N178" i="39"/>
  <c r="N171" i="39"/>
  <c r="L171" i="39"/>
  <c r="L178" i="39"/>
  <c r="O175" i="39"/>
  <c r="O179" i="39"/>
  <c r="J151" i="39"/>
  <c r="J165" i="39" s="1"/>
  <c r="J178" i="39" s="1"/>
  <c r="L175" i="39"/>
  <c r="L179" i="39"/>
  <c r="M157" i="39"/>
  <c r="M151" i="39"/>
  <c r="J171" i="39" l="1"/>
  <c r="J175" i="39"/>
  <c r="J179" i="39"/>
  <c r="M158" i="39"/>
  <c r="M162" i="39" s="1"/>
  <c r="M161" i="39"/>
  <c r="M165" i="39" s="1"/>
  <c r="M178" i="39" s="1"/>
  <c r="H194" i="39" l="1"/>
  <c r="M175" i="39"/>
  <c r="H191" i="39" s="1"/>
  <c r="M171" i="39"/>
  <c r="H187" i="39" s="1"/>
  <c r="M179" i="39"/>
  <c r="H195" i="39" s="1"/>
  <c r="J27" i="36" l="1"/>
  <c r="H202" i="39"/>
  <c r="H200" i="39"/>
  <c r="J25" i="36"/>
  <c r="H201" i="39"/>
  <c r="J26" i="36"/>
  <c r="J95" i="40"/>
  <c r="J94" i="40"/>
  <c r="J93" i="40"/>
  <c r="J90" i="40"/>
  <c r="J89" i="40"/>
  <c r="J88" i="40"/>
  <c r="J85" i="40"/>
  <c r="J84" i="40"/>
  <c r="J83" i="40"/>
  <c r="J80" i="40"/>
  <c r="J79" i="40"/>
  <c r="J78" i="40"/>
  <c r="J72" i="40"/>
  <c r="J71" i="40"/>
  <c r="J70" i="40"/>
  <c r="J69" i="40"/>
  <c r="J64" i="40"/>
  <c r="J65" i="40"/>
  <c r="J66" i="40"/>
  <c r="J63" i="40"/>
  <c r="M37" i="36" l="1"/>
  <c r="M35" i="41" s="1"/>
  <c r="M41" i="41" s="1"/>
  <c r="N37" i="36"/>
  <c r="N35" i="41" s="1"/>
  <c r="N41" i="41" s="1"/>
  <c r="Q37" i="36"/>
  <c r="Q35" i="41" s="1"/>
  <c r="Q41" i="41" s="1"/>
  <c r="L35" i="41"/>
  <c r="L41" i="41" s="1"/>
  <c r="O37" i="36"/>
  <c r="O35" i="41" s="1"/>
  <c r="O41" i="41" s="1"/>
  <c r="P37" i="36"/>
  <c r="P35" i="41" s="1"/>
  <c r="P41" i="41" s="1"/>
  <c r="O29" i="18"/>
  <c r="Q31" i="41" s="1"/>
  <c r="N29" i="18"/>
  <c r="P31" i="41" s="1"/>
  <c r="M29" i="18"/>
  <c r="O31" i="41" s="1"/>
  <c r="L29" i="18"/>
  <c r="K29" i="18"/>
  <c r="M31" i="41" s="1"/>
  <c r="J29" i="18"/>
  <c r="L31" i="41" s="1"/>
  <c r="H26" i="18"/>
  <c r="H22" i="18"/>
  <c r="H18" i="18"/>
  <c r="H14" i="18"/>
  <c r="H27" i="18"/>
  <c r="H25" i="18"/>
  <c r="H21" i="18"/>
  <c r="H17" i="18"/>
  <c r="H13" i="18"/>
  <c r="H29" i="18" l="1"/>
  <c r="N31" i="41"/>
  <c r="J31" i="41"/>
  <c r="J26" i="38"/>
  <c r="J25" i="38"/>
  <c r="J24" i="38"/>
  <c r="J23" i="38"/>
  <c r="J22" i="38"/>
  <c r="J19" i="38"/>
  <c r="J18" i="38"/>
  <c r="J15" i="38"/>
  <c r="J14" i="38"/>
  <c r="B25" i="10" l="1"/>
  <c r="B13" i="10" l="1"/>
  <c r="B20" i="10" s="1"/>
  <c r="B14" i="10" l="1"/>
  <c r="B15" i="10" l="1"/>
  <c r="B19"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19" authorId="0" shapeId="0" xr:uid="{00000000-0006-0000-0100-000001000000}">
      <text>
        <r>
          <rPr>
            <sz val="8"/>
            <color indexed="81"/>
            <rFont val="Tahoma"/>
            <family val="2"/>
          </rPr>
          <t xml:space="preserve">In alle gevallen wordt een (groep van) roze cel(len) voorzien van een opmerking die uitlegt wat er bijzonder is aan de betreffende gegevens of berekening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N7" authorId="0" shapeId="0" xr:uid="{00000000-0006-0000-0600-000001000000}">
      <text>
        <r>
          <rPr>
            <b/>
            <sz val="8"/>
            <color indexed="81"/>
            <rFont val="Tahoma"/>
            <family val="2"/>
          </rPr>
          <t>Author:</t>
        </r>
        <r>
          <rPr>
            <sz val="8"/>
            <color indexed="81"/>
            <rFont val="Tahoma"/>
            <family val="2"/>
          </rPr>
          <t xml:space="preserve">
Inclusief Enduris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8" authorId="0" shapeId="0" xr:uid="{00000000-0006-0000-0700-000001000000}">
      <text>
        <r>
          <rPr>
            <b/>
            <sz val="8"/>
            <color indexed="81"/>
            <rFont val="Tahoma"/>
            <family val="2"/>
          </rPr>
          <t>Author:</t>
        </r>
        <r>
          <rPr>
            <sz val="8"/>
            <color indexed="81"/>
            <rFont val="Tahoma"/>
            <family val="2"/>
          </rPr>
          <t xml:space="preserve">
Inclusief Enduris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8" authorId="0" shapeId="0" xr:uid="{00000000-0006-0000-0800-000001000000}">
      <text>
        <r>
          <rPr>
            <b/>
            <sz val="8"/>
            <color indexed="81"/>
            <rFont val="Tahoma"/>
            <family val="2"/>
          </rPr>
          <t>Author:</t>
        </r>
        <r>
          <rPr>
            <sz val="8"/>
            <color indexed="81"/>
            <rFont val="Tahoma"/>
            <family val="2"/>
          </rPr>
          <t xml:space="preserve">
Inclusief Enduris</t>
        </r>
      </text>
    </comment>
  </commentList>
</comments>
</file>

<file path=xl/sharedStrings.xml><?xml version="1.0" encoding="utf-8"?>
<sst xmlns="http://schemas.openxmlformats.org/spreadsheetml/2006/main" count="1011" uniqueCount="314">
  <si>
    <t>Over dit bestand</t>
  </si>
  <si>
    <t>Zaaknummer</t>
  </si>
  <si>
    <t>Titel</t>
  </si>
  <si>
    <t>Ondertitel</t>
  </si>
  <si>
    <t>Hoort bij besluit(en):</t>
  </si>
  <si>
    <t>Hoort bij onderzoek/publicatie ACM:</t>
  </si>
  <si>
    <t>Kenmerk besluit(en)</t>
  </si>
  <si>
    <t>Samenhang met andere rekenbestanden</t>
  </si>
  <si>
    <t>Overig opmerkingen</t>
  </si>
  <si>
    <t>Over de status van dit bestand</t>
  </si>
  <si>
    <t>Definitief? (j/n)</t>
  </si>
  <si>
    <t>Juridisch integraal onderdeel van bovenstaande besluit(en) (j/n)?</t>
  </si>
  <si>
    <t>Opmerkingen openbare versiegeschiedenis</t>
  </si>
  <si>
    <t>Disclaimer</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</si>
  <si>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</si>
  <si>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</si>
  <si>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</si>
  <si>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</si>
  <si>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</si>
  <si>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</si>
  <si>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Bijzonderheden:</t>
  </si>
  <si>
    <t>Ingevoerde waarde of berekening die nog niet juist is (indien van toepassing)</t>
  </si>
  <si>
    <t>Eventueel te gebruiken:</t>
  </si>
  <si>
    <t>Bronnenoverzicht en specifieke toepassingen</t>
  </si>
  <si>
    <t>Bronnenoverzicht</t>
  </si>
  <si>
    <t>Exacte bestandsnaam</t>
  </si>
  <si>
    <t>Eenheid</t>
  </si>
  <si>
    <t>Constante</t>
  </si>
  <si>
    <t>Beschrijving gegevens</t>
  </si>
  <si>
    <t>Data</t>
  </si>
  <si>
    <t>Berekening</t>
  </si>
  <si>
    <t>Resultaat</t>
  </si>
  <si>
    <t>Tabkleur</t>
  </si>
  <si>
    <t>Tabblad met input</t>
  </si>
  <si>
    <t>Tabblad met berekeningen</t>
  </si>
  <si>
    <t>Input --&gt;</t>
  </si>
  <si>
    <t>Tabblad dat als geheel nog onjuist of niet up to date is</t>
  </si>
  <si>
    <t>Celkleur getallen</t>
  </si>
  <si>
    <t>Tabbladen die het model vormen</t>
  </si>
  <si>
    <t>Toelichting</t>
  </si>
  <si>
    <t>Tabbladen ten behoeve van begrip</t>
  </si>
  <si>
    <t>Tabblad met resultaten/output</t>
  </si>
  <si>
    <t>Leeg tabblad dat wordt gebruikt als index/markering voor een serie tabbladen (kleur: licht grijs)</t>
  </si>
  <si>
    <t>Omschrijving</t>
  </si>
  <si>
    <t>Bronverwijzing</t>
  </si>
  <si>
    <t>Opmerking</t>
  </si>
  <si>
    <t>Rijtotaal</t>
  </si>
  <si>
    <t>In rekenmodellen probeert ACM zoveel mogelijk eenvoudige navolgbare berekeningen te maken en geen ingewikkelde functies of toepassingen te gebruiken.</t>
  </si>
  <si>
    <t>Wanneer toch gebruik wordt gemaakt van cel- en rangenamen, macro's of andere bijzondere functies in Excel wordt de werking ervan hier toegelicht</t>
  </si>
  <si>
    <t>Duiding van specifieke Excel-toepassingen en overige bijzonderheden</t>
  </si>
  <si>
    <t>Toelichting bij dit bestand</t>
  </si>
  <si>
    <t>Nr.</t>
  </si>
  <si>
    <t xml:space="preserve">Verkorte naam </t>
  </si>
  <si>
    <t>Naam bestand extern</t>
  </si>
  <si>
    <t>Beschrijving berekening</t>
  </si>
  <si>
    <t>Grijze cijfers geven de uitkomt van een check berekening; dit is geen resultaat waarmee verder wordt gerekend</t>
  </si>
  <si>
    <t>Aanvullende gegevens bestand extern</t>
  </si>
  <si>
    <t>Datum ontvangst, versie nr., opmerkingen</t>
  </si>
  <si>
    <t>Zoals gebruikt in dit bestand</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</si>
  <si>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</si>
  <si>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</si>
  <si>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Is of wordt gepubliceerd? (j/n)</t>
  </si>
  <si>
    <t>Data en input (bron wordt vermeld)</t>
  </si>
  <si>
    <t>Berekende waarde die wordt opgehaald op een ander tabblad, incl. (eind)resultaat van berekening</t>
  </si>
  <si>
    <t>Waarde of berekening die speciale aandacht vraagt (zie toelichting in opmerking)</t>
  </si>
  <si>
    <t>Deze kleur wordt uitsluitend gebruikt bij een informatieverzoek: cellen die door de ontvanger van het dataverzoek moeten worden ingevuld</t>
  </si>
  <si>
    <t>Gestandaardiseerde tabbladen, omvat tenminste: 'Titelblad', 'Toelichting' en 'Bronnen en toepassingen' (kleur: ACM-lichtpaars)</t>
  </si>
  <si>
    <t>Een kader kan worden gebruikt om aan te geven dat een bepaald veld input bevat, maar deze input automatisch wordt ingeladen, bijvoorbeeld door middel van een macro (dus niet handmatig in te vullen)</t>
  </si>
  <si>
    <t>Enexis</t>
  </si>
  <si>
    <t>Liander</t>
  </si>
  <si>
    <t>RENDO</t>
  </si>
  <si>
    <t>Stedin</t>
  </si>
  <si>
    <t>Westland</t>
  </si>
  <si>
    <t>Op dit tabblad worden de rekenvolumes voor afname en invoeding opgehaald uit het SO-bestand.</t>
  </si>
  <si>
    <t>%</t>
  </si>
  <si>
    <t>Aandeel invoeding in SO</t>
  </si>
  <si>
    <t>Vergoeding invoeding door ontwikkeling volumes TD</t>
  </si>
  <si>
    <t>Coteq</t>
  </si>
  <si>
    <t>Wegingsfactoren</t>
  </si>
  <si>
    <t>Aandeel SO invoeding in SO transportdienst</t>
  </si>
  <si>
    <t>Gecorrigeerde tarieven TD voor berekening wegingsfactoren</t>
  </si>
  <si>
    <t>Rekenvolumes REG2022</t>
  </si>
  <si>
    <t>Samengestelde output 2022</t>
  </si>
  <si>
    <t>Gerealiseerde volumes invoeding 2022</t>
  </si>
  <si>
    <t>Ophalen gerealiseerde volumes AD 2022 (voor gecorrigeerde tarieven)</t>
  </si>
  <si>
    <t>Ophalen tarieven TD 2022</t>
  </si>
  <si>
    <t>Ophalen tarieven AD 2022 (voor gecorrigeerde tarieven)</t>
  </si>
  <si>
    <t>Lokale heffingen 2020</t>
  </si>
  <si>
    <t>#</t>
  </si>
  <si>
    <t>Ontwikkeling volumes transportdienst t.o.v. rekenvolumes</t>
  </si>
  <si>
    <t>Ontwikkeling inkomsten TD t.o.v. rekenvolumes</t>
  </si>
  <si>
    <t>Ontwikkeling vergoeding invoeding door ontwikkeling volumes TD</t>
  </si>
  <si>
    <t>Invoedingsvolumes</t>
  </si>
  <si>
    <t>SO REG2022</t>
  </si>
  <si>
    <t>Ontwikkeling efficiënte kosten TD</t>
  </si>
  <si>
    <t>Op dit tabblad wordt de samengestelde output (SO) voor de transportdienst en invoeding opgehaald uit het SO-bestand. Deze zijn nodig om per netbeheerder te bepalen wat het aandeel invoeding is van de SO.</t>
  </si>
  <si>
    <t>Schatting volumes 2022-2026</t>
  </si>
  <si>
    <t xml:space="preserve">Ophalen samengestelde output TD REG2022 </t>
  </si>
  <si>
    <t>De vastrechttarieven worden uitgesloten bij het bepalen van de ontwikkeling van de volumes.</t>
  </si>
  <si>
    <t>Gerealiseerde volumes TD 2022</t>
  </si>
  <si>
    <t>Rekenvolumes TD 2022-2026</t>
  </si>
  <si>
    <t>Kleinverbruik (t/m 40 m3/h)</t>
  </si>
  <si>
    <t>Vastrecht (TOVT)</t>
  </si>
  <si>
    <t>Capaciteitsafhankelijk tarief (TAVTc)</t>
  </si>
  <si>
    <t>Profielgrootverbruik ( &gt;40 m3/h)</t>
  </si>
  <si>
    <t>Telemetriegrootverbruik (&lt; 16 bar)</t>
  </si>
  <si>
    <t>Hoge druk (&gt;= 200 Mbar en &lt; 16 Bar)</t>
  </si>
  <si>
    <t>Lage druk (&lt; 200 Mbar)</t>
  </si>
  <si>
    <t>Totaal volume indien geen onderscheid LD/HD: Standaard</t>
  </si>
  <si>
    <t>Capaciteitsafhankelijk tarief (TAVTc) gestandaardiseerd</t>
  </si>
  <si>
    <t>VOLUMES PROFIELVEBRUIK: AANTAL AANSLUITINGEN</t>
  </si>
  <si>
    <t>Kleinverbruikers</t>
  </si>
  <si>
    <t>=&lt; 10 m3(n)h, jaarverbruik &lt; 500 Nm3</t>
  </si>
  <si>
    <t>=&lt; 10 m3(n)h, jaarverbruik vanaf 500 Nm3 en &lt; 4.000 Nm3</t>
  </si>
  <si>
    <t>=&lt; 10 m3(n)h, jaarverbruik vanaf 4.000 Nm3</t>
  </si>
  <si>
    <t>&gt; 10 en =&lt; 16 m3(n)/h</t>
  </si>
  <si>
    <t>&gt; 16 en =&lt; 25 m3(n)/h</t>
  </si>
  <si>
    <t>&gt; 25 en =&lt; 40 m3(n)/h</t>
  </si>
  <si>
    <t>Profielgrootverbruikers</t>
  </si>
  <si>
    <t>&gt; 40 en =&lt; 65 m3(n)/h</t>
  </si>
  <si>
    <t>&gt; 65 en =&lt; 100 m3(n)/h</t>
  </si>
  <si>
    <t>&gt; 100 en =&lt; 160 m3(n)/h</t>
  </si>
  <si>
    <t>&gt; 160 en =&lt; 250 m3(n)/h</t>
  </si>
  <si>
    <t>&gt; 250 m3(n)/h</t>
  </si>
  <si>
    <t>VOLUMES TELEMETRIE: AANTAL AANSLUITINGEN</t>
  </si>
  <si>
    <t>Telemetrie &lt; 16 bar</t>
  </si>
  <si>
    <t>VOLUMES TELEMTRIE: GECONTRACTEERDE CAPACITEIT</t>
  </si>
  <si>
    <t>Rekencapaciteiten TD profielverbruikers</t>
  </si>
  <si>
    <t>&gt; 10 en =&lt; 16 m3(n)h</t>
  </si>
  <si>
    <t>&gt; 16 en =&lt; 25 m3(n)h</t>
  </si>
  <si>
    <t>&gt; 25 en =&lt; 40 m3(n)h</t>
  </si>
  <si>
    <t>&gt; 40 en =&lt; 65 m3(n)h</t>
  </si>
  <si>
    <t>&gt; 65 en =&lt; 100 m3(n)h</t>
  </si>
  <si>
    <t>&gt; 100 en =&lt; 160 m3(n)h</t>
  </si>
  <si>
    <t>&gt; 160 en =&lt; 250 m3(n)h</t>
  </si>
  <si>
    <t>&gt; 250 m3(n)h</t>
  </si>
  <si>
    <t>Tarieven TD 2022</t>
  </si>
  <si>
    <t>Capaciteitsafhankelijk tarief (TAVTc) lage druk</t>
  </si>
  <si>
    <t>Capaciteitsafhankelijk tarief (TAVTc) hoge druk</t>
  </si>
  <si>
    <t>Capaciteitsafhankelijk tarief (TAVTc) standaard</t>
  </si>
  <si>
    <t>EUR/jaar</t>
  </si>
  <si>
    <t>EUR/jaar/m3/h</t>
  </si>
  <si>
    <t>tarievenblad-[netbeheerder]-gas-2022; tabblad 'Bijlage 2 Tarieven', cel K17</t>
  </si>
  <si>
    <t>tarievenblad-[netbeheerder]-gas-2022; tabblad 'Bijlage 2 Tarieven', cel K18</t>
  </si>
  <si>
    <t>tarievenblad-[netbeheerder]-gas-2022; tabblad 'Bijlage 2 Tarieven', cel K21</t>
  </si>
  <si>
    <t>tarievenblad-[netbeheerder]-gas-2022; tabblad 'Bijlage 2 Tarieven', cel K22</t>
  </si>
  <si>
    <t>tarievenblad-[netbeheerder]-gas-2022; tabblad 'Bijlage 2 Tarieven', cel K25</t>
  </si>
  <si>
    <t>tarievenblad-[netbeheerder]-gas-2022; tabblad 'Bijlage 2 Tarieven', cel K26</t>
  </si>
  <si>
    <t>tarievenblad-[netbeheerder]-gas-2022; tabblad 'Bijlage 2 Tarieven', cel K27</t>
  </si>
  <si>
    <t>tarievenblad-[netbeheerder]-gas-2022; tabblad 'Bijlage 2 Tarieven', cel K28</t>
  </si>
  <si>
    <t>Nacalculaties 2022</t>
  </si>
  <si>
    <t>Invoeding</t>
  </si>
  <si>
    <t>Profielgrootverbruik (&gt; 40 m3/h)</t>
  </si>
  <si>
    <t>SO Transportdienst</t>
  </si>
  <si>
    <t>Ophalen gerealiseerde volumes TD 2022</t>
  </si>
  <si>
    <t>Ophalen rekenvolumes TD 2022-2026</t>
  </si>
  <si>
    <t>Gerealiseerde volumes AD 2022</t>
  </si>
  <si>
    <t>Periodieke Aansluitvergoeding aansluitingen ≤ 40 m3(n)/uur</t>
  </si>
  <si>
    <t>artikel 2.3 lid 1</t>
  </si>
  <si>
    <t>0 ≤ 10 m3(n)/uur</t>
  </si>
  <si>
    <t>&gt; 10 ≤ 16 m3(n)/uur</t>
  </si>
  <si>
    <t>&gt; 16 ≤ 25 m3(n)/uur</t>
  </si>
  <si>
    <t>&gt; 25 ≤ 40 m3(n)/uur</t>
  </si>
  <si>
    <t>artikel 2.3 lid 2</t>
  </si>
  <si>
    <t>Periodieke Aansluitvergoeding aansluitingen &gt; 40 m3(n)/uur</t>
  </si>
  <si>
    <t>artikel 2.4 lid 1</t>
  </si>
  <si>
    <t>&gt; 40 ≤ 100 m3(n)/uur</t>
  </si>
  <si>
    <t>&gt; 100 ≤ 400 m3(n)/uur</t>
  </si>
  <si>
    <t>&gt; 400 ≤ 650 m3(n)/uur</t>
  </si>
  <si>
    <t>artikel 2.4 lid 2</t>
  </si>
  <si>
    <t>artikel 2.4 lid 3</t>
  </si>
  <si>
    <t>&gt; 400 ≤ 1600 m3(n)/uur</t>
  </si>
  <si>
    <t>artikel 2.4 lid 4</t>
  </si>
  <si>
    <t xml:space="preserve"> </t>
  </si>
  <si>
    <t>Tarieven AD 2022</t>
  </si>
  <si>
    <t>Periodieke Aansluitvergoeding aansluitingen t/m 40 m3/h</t>
  </si>
  <si>
    <t>0 t/m 10 m3(n)/h</t>
  </si>
  <si>
    <t>10 t/m 16 m3(n)/h</t>
  </si>
  <si>
    <t>16 t/m 25 m3(n)/h</t>
  </si>
  <si>
    <t>25 t/m 40 m3(n)/h</t>
  </si>
  <si>
    <t>Periodieke Aansluitvergoeding aansluitingen groter dan 40 m3/h</t>
  </si>
  <si>
    <t>tarievenblad-[netbeheerder]-gas-2022; tabblad 'Bijlage 2 Tarieven', cel K38</t>
  </si>
  <si>
    <t>tarievenblad-[netbeheerder]-gas-2022; tabblad 'Bijlage 2 Tarieven', cel K39</t>
  </si>
  <si>
    <t>tarievenblad-[netbeheerder]-gas-2022; tabblad 'Bijlage 2 Tarieven', cel K40</t>
  </si>
  <si>
    <t>tarievenblad-[netbeheerder]-gas-2022; tabblad 'Bijlage 2 Tarieven', cel K41</t>
  </si>
  <si>
    <t>tarievenblad-[netbeheerder]-gas-2022; tabblad 'Bijlage 2 Tarieven', cel K44</t>
  </si>
  <si>
    <t>tarievenblad-[netbeheerder]-gas-2022; tabblad 'Bijlage 2 Tarieven', cel K45</t>
  </si>
  <si>
    <t>tarievenblad-[netbeheerder]-gas-2022; tabblad 'Bijlage 2 Tarieven', cel K46</t>
  </si>
  <si>
    <t>tarievenblad-[netbeheerder]-gas-2022; tabblad 'Bijlage 2 Tarieven', cel K47</t>
  </si>
  <si>
    <t>tarievenblad-[netbeheerder]-gas-2022; tabblad 'Bijlage 2 Tarieven', cel K53</t>
  </si>
  <si>
    <t>tarievenblad-[netbeheerder]-gas-2022; tabblad 'Bijlage 2 Tarieven', cel K54</t>
  </si>
  <si>
    <t>tarievenblad-[netbeheerder]-gas-2022; tabblad 'Bijlage 2 Tarieven', cel K55</t>
  </si>
  <si>
    <t>tarievenblad-[netbeheerder]-gas-2022; tabblad 'Bijlage 2 Tarieven', cel K58</t>
  </si>
  <si>
    <t>tarievenblad-[netbeheerder]-gas-2022; tabblad 'Bijlage 2 Tarieven', cel K59</t>
  </si>
  <si>
    <t>tarievenblad-[netbeheerder]-gas-2022; tabblad 'Bijlage 2 Tarieven', cel K60</t>
  </si>
  <si>
    <t>tarievenblad-[netbeheerder]-gas-2022; tabblad 'Bijlage 2 Tarieven', cel K63</t>
  </si>
  <si>
    <t>tarievenblad-[netbeheerder]-gas-2022; tabblad 'Bijlage 2 Tarieven', cel K64</t>
  </si>
  <si>
    <t>tarievenblad-[netbeheerder]-gas-2022; tabblad 'Bijlage 2 Tarieven', cel K65</t>
  </si>
  <si>
    <t>tarievenblad-[netbeheerder]-gas-2022; tabblad 'Bijlage 2 Tarieven', cel K68</t>
  </si>
  <si>
    <t>tarievenblad-[netbeheerder]-gas-2022; tabblad 'Bijlage 2 Tarieven', cel K69</t>
  </si>
  <si>
    <t>tarievenblad-[netbeheerder]-gas-2022; tabblad 'Bijlage 2 Tarieven', cel K70</t>
  </si>
  <si>
    <t>Nacalculaties in tarieven 2022 (die niet zien op 2022)</t>
  </si>
  <si>
    <t>Nacalculatie saldo verrekenen i.v.m. lagere tarieven RENDO 2020</t>
  </si>
  <si>
    <t>Invoeding groen gas 2021</t>
  </si>
  <si>
    <t>RNB-G - TI-berekening 2022; tabblad 'TI-berekening 2022', rij 21</t>
  </si>
  <si>
    <t>RNB-G - TI-berekening 2022; tabblad 'TI-berekening 2022', rij 22</t>
  </si>
  <si>
    <t>RNB-G - TI-berekening 2022; tabblad 'TI-berekening 2022', rij 23</t>
  </si>
  <si>
    <t>Aggregatie volumes TD</t>
  </si>
  <si>
    <t>Op dit blad worden de volumegegevens van de transportdienst geaggregeerd en gestandaardiseerd aan de hand van de standaard rekencapaciteiten.</t>
  </si>
  <si>
    <t>Volumes TD 2022</t>
  </si>
  <si>
    <t>Berekening gestandaardiseerd capaciteitstarief Telemetrie</t>
  </si>
  <si>
    <t>Capaciteitstarieven telemetrie</t>
  </si>
  <si>
    <t>Corresponderende rekenvolumes</t>
  </si>
  <si>
    <t>Capaciteitsafhankelijk tarief (TAVTc) gestandaardaardiseerd</t>
  </si>
  <si>
    <t>Berekening gestandaardiseerd capaciteitstarief telemetrie</t>
  </si>
  <si>
    <t>EUR, pp 2022</t>
  </si>
  <si>
    <t>Correcties te verrekenen met alleen tarieven TD</t>
  </si>
  <si>
    <t>Correcties te verrekenen met tarieven TD en PAV</t>
  </si>
  <si>
    <t>Berekening inkomstenbedragen en correctiepercentages</t>
  </si>
  <si>
    <t>Totale inkomsten transportdienst</t>
  </si>
  <si>
    <t>Waarvan vastrecht kleinvebruik en profielgrootverbruik</t>
  </si>
  <si>
    <t xml:space="preserve">Betrokken inkomsten </t>
  </si>
  <si>
    <t>Totale inkomsten aansluitdienst</t>
  </si>
  <si>
    <t xml:space="preserve">Inkomsten PAV </t>
  </si>
  <si>
    <t>Aandelen te verrekenen correcties voor transportdienst en PAV</t>
  </si>
  <si>
    <t>Aandeel transportdienst</t>
  </si>
  <si>
    <t>Aandeel PAV</t>
  </si>
  <si>
    <t>Totaal te verrekenen correctiebedragen</t>
  </si>
  <si>
    <t>Totaal te verrekenen correcties met transportdienst</t>
  </si>
  <si>
    <t>Totaal te verrekenen correcties met PAV</t>
  </si>
  <si>
    <t>Procentuele aanpassing van tarieven</t>
  </si>
  <si>
    <t>Procentuele aanpassing van tarieven transportdienst excl. vastrecht</t>
  </si>
  <si>
    <t>Berekening wegingsfactoren</t>
  </si>
  <si>
    <t>Transportdienst</t>
  </si>
  <si>
    <t>Invoeding capaciteitsafhankelijk tarief (TAVTc)</t>
  </si>
  <si>
    <t>Totaal verschil in inkomsten TD exclusief vastrecht</t>
  </si>
  <si>
    <t xml:space="preserve">Op dit tabblad wordt berekend wat de ontwikkeling is van de vergoeding voor invoeding door de ontwikkeling van gerealiseerde transportafhankelijke volumes ten opzichte van de rekenvolumes. Hiervoor worden de volgende stappen doorlopen: </t>
  </si>
  <si>
    <t>1. In regel 39 wordt het aandeel SO invoeding in het transportafhankelijke deel van de SO transportdienst (i.e. exclusief vastrecht) berekend.</t>
  </si>
  <si>
    <t>Telemetriegrootverbruik (&lt; 16 bar) gestandaardiseerd</t>
  </si>
  <si>
    <t>VOLUMES TELEMETRIE</t>
  </si>
  <si>
    <t>Volumes groen gas booster</t>
  </si>
  <si>
    <t>Volumes overstort GTS 2022</t>
  </si>
  <si>
    <t>Volumes invoeding 2022</t>
  </si>
  <si>
    <t>Aggregatie volumes TD 2022</t>
  </si>
  <si>
    <t>Aggregatie volumes invoeding 2022</t>
  </si>
  <si>
    <t>Gecorrigeerd voor de volumes overstort GTS: groen gas booster</t>
  </si>
  <si>
    <t>Capaciteitsafhankelijk tarief kleinverbruik (t/m 40 m3/h)</t>
  </si>
  <si>
    <t>Capaciteitsafhankelijk tarief profielgrootverbruik (&gt; 40 m3/h)</t>
  </si>
  <si>
    <t>Capaciteitsafhankelijk tarief gestandaardiseerd telemetriegrootverbruik (&lt; 16 bar)</t>
  </si>
  <si>
    <t>Ophalen aangepaste wegingsfactoren transportdienst 2022</t>
  </si>
  <si>
    <t>De rekenvolumes zijn nodig om te bepalen wat de groei van invoeding is in 2022 ten opzichte van de rekenvolumes gehanteerd in REG2022.</t>
  </si>
  <si>
    <t>Correcties in tarieven 2022</t>
  </si>
  <si>
    <t>Correctiebedragen als gevolg van nacalculaties in de tarieven 2022</t>
  </si>
  <si>
    <t>Tarievenbesluit regionale netbeheerders gas 2024</t>
  </si>
  <si>
    <t xml:space="preserve">Deze volumes zien op het gemiddelde van de maandpiek invoedingsvolumes per groen gas booster. </t>
  </si>
  <si>
    <t>m3(n)/h</t>
  </si>
  <si>
    <t>Reguleringsdata 2022, tabel 4B</t>
  </si>
  <si>
    <t>Reguleringsdata 2022, tabel 4A</t>
  </si>
  <si>
    <t>Reguleringsdata 2022, tabel 5A</t>
  </si>
  <si>
    <t>Informatieverzoek groen gas booster</t>
  </si>
  <si>
    <t>Op dit tabblad worden de geschatte invoedingsvolumes 2022-2026 opgehaald uit het x-factormodel en de gerealiseerde volumes voor invoeding opgehaald uit de Reguleringsdata.</t>
  </si>
  <si>
    <t>De gerealiseerde volumes zijn nodig om te bepalen wat de groei in invoeding is in 2022 ten opzichte van de gehanteerde rekenvolumes.</t>
  </si>
  <si>
    <t>2. Om tot de ontwikkeling in vergoeding voor invoeding door volumeontwikkeling TD te komen wordt het aandeel dat resulteert uit stap 1 vermenigvuldigd met de ontwikkeling in inkomsten TD t.o.v. rekenvolumes.</t>
  </si>
  <si>
    <t>Reguleringsdata 2022</t>
  </si>
  <si>
    <t>Tarievenblad [netbeheerder] gas 2022</t>
  </si>
  <si>
    <t>RNB-G - TI-berekening 2022</t>
  </si>
  <si>
    <t>SO-bestand RNB G 2022-2026</t>
  </si>
  <si>
    <t>SO-bestand regionale netbeheerders gas 2022-2026</t>
  </si>
  <si>
    <t>Zoeken in Publicaties: tarievenbesluit gas 2022 | ACM.nl</t>
  </si>
  <si>
    <t>Berekening totale inkomsten 2022 regionaal netbeheer gas | ACM.nl</t>
  </si>
  <si>
    <t>https://www.acm.nl/nl/publicaties/herstel-x-factorberekening-regionale-netbeheerders-gas-2021-2026</t>
  </si>
  <si>
    <t>SO-bestand RNB G 2022-2026; tabblad 'Volumes TD 2015-2020', rij 22</t>
  </si>
  <si>
    <t>SO-bestand RNB G 2022-2026; tabblad 'Volumes TD 2015-2020', rij 23</t>
  </si>
  <si>
    <t>SO-bestand RNB G 2022-2026; tabblad 'Volumes TD 2015-2020', rij 24</t>
  </si>
  <si>
    <t>SO-bestand RNB G 2022-2026; tabblad 'Volumes TD 2015-2020', rij 25</t>
  </si>
  <si>
    <t>SO-bestand RNB G 2022-2026; tabblad 'Volumes TD 2015-2020', rij 26</t>
  </si>
  <si>
    <t>SO-bestand RNB G 2022-2026; tabblad 'Volumes TD 2015-2020', rij 27</t>
  </si>
  <si>
    <t>SO-bestand RNB G 2022-2026; tabblad 'Volumes TD 2015-2020', rij 30</t>
  </si>
  <si>
    <t>SO-bestand RNB G 2022-2026; tabblad 'Volumes TD 2015-2020', rij 31</t>
  </si>
  <si>
    <t>SO-bestand RNB G 2022-2026; tabblad 'Volumes TD 2015-2020', rij 32</t>
  </si>
  <si>
    <t>SO-bestand RNB G 2022-2026; tabblad 'Volumes TD 2015-2020', rij 33</t>
  </si>
  <si>
    <t>SO-bestand RNB G 2022-2026; tabblad 'Volumes TD 2015-2020', rij 34</t>
  </si>
  <si>
    <t>SO-bestand RNB G 2022-2026; tabblad 'SO voor maatstaf', rij 370</t>
  </si>
  <si>
    <t>SO-bestand RNB G 2022-2026; tabblad 'SO voor maatstaf', rij 371</t>
  </si>
  <si>
    <t>SO-bestand RNB G 2022-2026; tabblad 'SO voor maatstaf', rij 374</t>
  </si>
  <si>
    <t>SO-bestand RNB G 2022-2026; tabblad 'SO voor maatstaf', rij 375</t>
  </si>
  <si>
    <t>SO-bestand RNB G 2022-2026; tabblad 'SO voor maatstaf', rij 378</t>
  </si>
  <si>
    <t>SO-bestand RNB G 2022-2026; tabblad 'SO voor maatstaf', rij 379</t>
  </si>
  <si>
    <t>SO-bestand RNB G 2022-2026; tabblad 'SO voor maatstaf', rij 382</t>
  </si>
  <si>
    <t>SO-bestand RNB G 2022-2026; tabblad 'SO voor maatstaf', rij 383</t>
  </si>
  <si>
    <t>SO-bestand RNB G 2022-2026; tabblad 'SO voor maatstaf', rij 384</t>
  </si>
  <si>
    <t>SO-bestand RNB G 2022-2026; tabblad 'SO voor maatstaf', rij 386</t>
  </si>
  <si>
    <t>SO-bestand RNB G 2022-2026; tabblad '(reken)volumes TD', rij 356</t>
  </si>
  <si>
    <t>SO-bestand RNB G 2022-2026; tabblad '(reken)volumes TD', rij 357</t>
  </si>
  <si>
    <t>SO-bestand RNB G 2022-2026; tabblad '(reken)volumes TD', rij 360</t>
  </si>
  <si>
    <t>SO-bestand RNB G 2022-2026; tabblad '(reken)volumes TD', rij 361</t>
  </si>
  <si>
    <t>SO-bestand RNB G 2022-2026; tabblad '(reken)volumes TD', rij 364</t>
  </si>
  <si>
    <t>SO-bestand RNB G 2022-2026; tabblad '(reken)volumes TD', rij 365</t>
  </si>
  <si>
    <t>SO-bestand RNB G 2022-2026; tabblad '(reken)volumes TD', rij 366</t>
  </si>
  <si>
    <t>SO-bestand RNB G 2022-2026; tabblad '(reken)volumes TD', rij 367</t>
  </si>
  <si>
    <t>SO-bestand RNB G 2022-2026; tabblad '(reken)volumes TD', rij 368</t>
  </si>
  <si>
    <t>SO-bestand RNB G 2022-2026; tabblad 'Rekenvolumes invoeding', rij 252</t>
  </si>
  <si>
    <t>SO-bestand RNB G 2022-2026; tabblad 'Rekenvolumes invoeding', rij 253</t>
  </si>
  <si>
    <t>SO-bestand RNB G 2022-2026; tabblad 'Rekenvolumes invoeding', rij 254</t>
  </si>
  <si>
    <t>Informatieverzoek volumes overstort via groen gas booster 2022</t>
  </si>
  <si>
    <t>ACM/22/179207</t>
  </si>
  <si>
    <t>Berekening totale inkomsten regionale netbeheerders gas 2024</t>
  </si>
  <si>
    <t>Ja</t>
  </si>
  <si>
    <t>Realisatie 2022</t>
  </si>
  <si>
    <t>Op dit tabblad worden de gerealiseerde volumes en tarieven uit 2022 opgehaald.</t>
  </si>
  <si>
    <t>Op dit tabblad worden de 'rolling-forward' wegingsfactoren per categorie bepaald. Deze worden op dezelfde manier berekend als de wegingsfactoren in het x-factormodel, maar maken gebruik van de tarieven en volumes van 2022.</t>
  </si>
  <si>
    <t>Op dit tabblad wordt berekend wat de ontwikkeling van de transportafhankelijke volumes is ten opzichte van rekenvolumes. Het verschil tussen de volumes in 2022 en de rekenvolumes wordt vermenigvuldigd met de rolling-forward wegingsfactor. Dit resulteert in het verschil tussen de efficiënte kosten van het transportafhankelijke deel van de transportdienst op basis van rekenvolumes en de efficiënte kosten van het transportafhankelijke deel van de transportdienst op basis van gerealiseerde volumes.</t>
  </si>
  <si>
    <t>In dit bestand berekent de ACM de nacalculatie invoeding gas 2022, die onderdeel uitmaakt van de berekening van de Totale Inkomsten (TI) voor het jaar 2024 voor de regionale netbeheerders gas.</t>
  </si>
  <si>
    <t>Berekening input nacalculatie invoeding 2022 regionale netbeheerders 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</si>
</sst>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00_ ;_ * \-#,##0.00_ ;_ * &quot;-&quot;_ ;_ @_ "/>
    <numFmt numFmtId="165" formatCode="0.0%"/>
    <numFmt numFmtId="166" formatCode="_(* #,##0_);_(* \(#,##0\);_(* &quot;-&quot;_);_(@_)"/>
    <numFmt numFmtId="167" formatCode="&quot;£ &quot;#,##0;\-&quot;£ &quot;#,##0"/>
    <numFmt numFmtId="168" formatCode="_ * #,##0_ ;_ * \-#,##0_ ;_ * &quot;-&quot;??_ ;_ @_ "/>
    <numFmt numFmtId="169" formatCode="_-* #,##0.00_-;_-* #,##0.00\-;_-* &quot;-&quot;??_-;_-@_-"/>
    <numFmt numFmtId="170" formatCode="_([$€]* #,##0.00_);_([$€]* \(#,##0.00\);_([$€]* &quot;-&quot;??_);_(@_)"/>
    <numFmt numFmtId="171" formatCode="_-[$€]\ * #,##0.00_-;_-[$€]\ * #,##0.00\-;_-[$€]\ * &quot;-&quot;??_-;_-@_-"/>
    <numFmt numFmtId="172" formatCode="_ * #,##0.00000_ ;_ * \-#,##0.00000_ ;_ * &quot;-&quot;??_ ;_ @_ "/>
    <numFmt numFmtId="173" formatCode="_ * #,##0.0_ ;_ * \-#,##0.0_ ;_ * &quot;-&quot;_ ;_ @_ "/>
    <numFmt numFmtId="174" formatCode="_-* #,##0_-;_-* #,##0\-;_-* &quot;-&quot;??_-;_-@_-"/>
  </numFmts>
  <fonts count="80">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color theme="0"/>
      <name val="Arial"/>
      <family val="2"/>
    </font>
    <font>
      <i/>
      <sz val="10"/>
      <name val="Arial"/>
      <family val="2"/>
    </font>
    <font>
      <b/>
      <sz val="10"/>
      <color rgb="FFFF0000"/>
      <name val="Arial"/>
      <family val="2"/>
    </font>
    <font>
      <sz val="8"/>
      <color indexed="81"/>
      <name val="Tahoma"/>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9"/>
      <name val="Arial"/>
      <family val="2"/>
    </font>
    <font>
      <sz val="10"/>
      <color indexed="8"/>
      <name val="MS Sans Serif"/>
      <family val="2"/>
    </font>
    <font>
      <sz val="12"/>
      <name val="Times New Roman"/>
      <family val="1"/>
    </font>
    <font>
      <sz val="10"/>
      <name val="DTLArgoT"/>
    </font>
    <font>
      <sz val="10"/>
      <color indexed="8"/>
      <name val="EYInterstate Light"/>
      <family val="2"/>
    </font>
    <font>
      <sz val="11"/>
      <color indexed="8"/>
      <name val="Calibri"/>
      <family val="2"/>
    </font>
    <font>
      <sz val="10"/>
      <color indexed="9"/>
      <name val="EYInterstate Light"/>
      <family val="2"/>
    </font>
    <font>
      <sz val="11"/>
      <color indexed="9"/>
      <name val="Calibri"/>
      <family val="2"/>
    </font>
    <font>
      <sz val="11"/>
      <color indexed="20"/>
      <name val="Calibri"/>
      <family val="2"/>
    </font>
    <font>
      <sz val="10"/>
      <color indexed="20"/>
      <name val="EYInterstate Light"/>
      <family val="2"/>
    </font>
    <font>
      <b/>
      <sz val="11"/>
      <color indexed="52"/>
      <name val="Calibri"/>
      <family val="2"/>
    </font>
    <font>
      <b/>
      <sz val="11"/>
      <color indexed="9"/>
      <name val="Calibri"/>
      <family val="2"/>
    </font>
    <font>
      <b/>
      <sz val="10"/>
      <color indexed="9"/>
      <name val="EYInterstate Light"/>
      <family val="2"/>
    </font>
    <font>
      <i/>
      <sz val="11"/>
      <color indexed="23"/>
      <name val="Calibri"/>
      <family val="2"/>
    </font>
    <font>
      <i/>
      <sz val="10"/>
      <color indexed="23"/>
      <name val="EYInterstate Light"/>
      <family val="2"/>
    </font>
    <font>
      <sz val="11"/>
      <color indexed="52"/>
      <name val="Calibri"/>
      <family val="2"/>
    </font>
    <font>
      <sz val="11"/>
      <color indexed="17"/>
      <name val="Calibri"/>
      <family val="2"/>
    </font>
    <font>
      <sz val="10"/>
      <color indexed="17"/>
      <name val="EYInterstate Light"/>
      <family val="2"/>
    </font>
    <font>
      <b/>
      <sz val="8"/>
      <name val="Arial"/>
      <family val="2"/>
    </font>
    <font>
      <b/>
      <sz val="15"/>
      <color indexed="56"/>
      <name val="Calibri"/>
      <family val="2"/>
    </font>
    <font>
      <b/>
      <sz val="15"/>
      <color indexed="56"/>
      <name val="EYInterstate Light"/>
      <family val="2"/>
    </font>
    <font>
      <b/>
      <sz val="13"/>
      <color indexed="56"/>
      <name val="Calibri"/>
      <family val="2"/>
    </font>
    <font>
      <b/>
      <sz val="13"/>
      <color indexed="56"/>
      <name val="EYInterstate Light"/>
      <family val="2"/>
    </font>
    <font>
      <b/>
      <sz val="11"/>
      <color indexed="56"/>
      <name val="Calibri"/>
      <family val="2"/>
    </font>
    <font>
      <b/>
      <sz val="11"/>
      <color indexed="56"/>
      <name val="EYInterstate Light"/>
      <family val="2"/>
    </font>
    <font>
      <sz val="11"/>
      <color indexed="62"/>
      <name val="Calibri"/>
      <family val="2"/>
    </font>
    <font>
      <sz val="10"/>
      <color indexed="62"/>
      <name val="EYInterstate Light"/>
      <family val="2"/>
    </font>
    <font>
      <sz val="11"/>
      <name val="Verdana"/>
      <family val="2"/>
    </font>
    <font>
      <sz val="10"/>
      <color indexed="52"/>
      <name val="EYInterstate Light"/>
      <family val="2"/>
    </font>
    <font>
      <sz val="11"/>
      <color indexed="60"/>
      <name val="Calibri"/>
      <family val="2"/>
    </font>
    <font>
      <sz val="10"/>
      <color indexed="60"/>
      <name val="EYInterstate Light"/>
      <family val="2"/>
    </font>
    <font>
      <sz val="9"/>
      <name val="Verdana"/>
      <family val="2"/>
    </font>
    <font>
      <b/>
      <sz val="10"/>
      <color indexed="63"/>
      <name val="EYInterstate Light"/>
      <family val="2"/>
    </font>
    <font>
      <sz val="11"/>
      <name val="Essent Proforma"/>
    </font>
    <font>
      <b/>
      <sz val="18"/>
      <color indexed="56"/>
      <name val="Cambria"/>
      <family val="2"/>
    </font>
    <font>
      <b/>
      <sz val="11"/>
      <color indexed="8"/>
      <name val="Calibri"/>
      <family val="2"/>
    </font>
    <font>
      <sz val="11"/>
      <color indexed="10"/>
      <name val="Calibri"/>
      <family val="2"/>
    </font>
    <font>
      <b/>
      <sz val="10"/>
      <color indexed="52"/>
      <name val="EYInterstate Light"/>
      <family val="2"/>
    </font>
    <font>
      <b/>
      <sz val="11"/>
      <color indexed="63"/>
      <name val="Calibri"/>
      <family val="2"/>
    </font>
    <font>
      <b/>
      <sz val="10"/>
      <color indexed="8"/>
      <name val="EYInterstate Light"/>
      <family val="2"/>
    </font>
    <font>
      <sz val="10"/>
      <color indexed="10"/>
      <name val="EYInterstate Light"/>
      <family val="2"/>
    </font>
    <font>
      <sz val="8"/>
      <name val="Arial"/>
      <family val="2"/>
    </font>
    <font>
      <b/>
      <sz val="8"/>
      <color indexed="81"/>
      <name val="Tahoma"/>
      <family val="2"/>
    </font>
    <font>
      <i/>
      <sz val="10"/>
      <color rgb="FFFF0000"/>
      <name val="Arial"/>
      <family val="2"/>
    </font>
    <font>
      <sz val="10"/>
      <name val="Calibri"/>
      <family val="2"/>
      <scheme val="minor"/>
    </font>
    <font>
      <sz val="10"/>
      <color indexed="55"/>
      <name val="Calibri"/>
      <family val="2"/>
      <scheme val="minor"/>
    </font>
  </fonts>
  <fills count="7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1"/>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99FF99"/>
        <bgColor indexed="64"/>
      </patternFill>
    </fill>
    <fill>
      <patternFill patternType="solid">
        <fgColor rgb="FFE1FFE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CC8D9"/>
        <bgColor rgb="FF000000"/>
      </patternFill>
    </fill>
  </fills>
  <borders count="2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s>
  <cellStyleXfs count="295">
    <xf numFmtId="0" fontId="0" fillId="0" borderId="0">
      <alignment vertical="top"/>
    </xf>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0" borderId="0">
      <alignment vertical="top"/>
    </xf>
    <xf numFmtId="49" fontId="12" fillId="5" borderId="1">
      <alignment vertical="top"/>
    </xf>
    <xf numFmtId="49" fontId="10" fillId="19" borderId="1">
      <alignment vertical="top"/>
    </xf>
    <xf numFmtId="49" fontId="10" fillId="0" borderId="0">
      <alignment vertical="top"/>
    </xf>
    <xf numFmtId="41" fontId="9" fillId="12" borderId="0">
      <alignment vertical="top"/>
    </xf>
    <xf numFmtId="41" fontId="9" fillId="11" borderId="0">
      <alignment vertical="top"/>
    </xf>
    <xf numFmtId="41" fontId="9" fillId="9" borderId="0">
      <alignment vertical="top"/>
    </xf>
    <xf numFmtId="41" fontId="9" fillId="46" borderId="0">
      <alignment vertical="top"/>
    </xf>
    <xf numFmtId="41" fontId="9" fillId="7" borderId="0">
      <alignment vertical="top"/>
    </xf>
    <xf numFmtId="41" fontId="9" fillId="13" borderId="0">
      <alignment vertical="top"/>
    </xf>
    <xf numFmtId="49" fontId="14" fillId="0" borderId="0">
      <alignment vertical="top"/>
    </xf>
    <xf numFmtId="49" fontId="13" fillId="0" borderId="0">
      <alignment vertical="top"/>
    </xf>
    <xf numFmtId="0" fontId="20" fillId="15" borderId="3" applyNumberFormat="0" applyAlignment="0" applyProtection="0"/>
    <xf numFmtId="0" fontId="21" fillId="16" borderId="4" applyNumberFormat="0" applyAlignment="0" applyProtection="0"/>
    <xf numFmtId="0" fontId="22" fillId="16" borderId="3" applyNumberFormat="0" applyAlignment="0" applyProtection="0"/>
    <xf numFmtId="0" fontId="23" fillId="0" borderId="5" applyNumberFormat="0" applyFill="0" applyAlignment="0" applyProtection="0"/>
    <xf numFmtId="0" fontId="17" fillId="17" borderId="6" applyNumberFormat="0" applyAlignment="0" applyProtection="0"/>
    <xf numFmtId="0" fontId="19" fillId="18" borderId="7" applyNumberFormat="0" applyFont="0" applyAlignment="0" applyProtection="0"/>
    <xf numFmtId="0" fontId="24" fillId="0" borderId="0" applyNumberForma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9" fontId="19" fillId="0" borderId="0" applyFon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8" fillId="0" borderId="9" applyNumberFormat="0" applyFill="0" applyAlignment="0" applyProtection="0"/>
    <xf numFmtId="0" fontId="29" fillId="0" borderId="10" applyNumberFormat="0" applyFill="0" applyAlignment="0" applyProtection="0"/>
    <xf numFmtId="0" fontId="29" fillId="0" borderId="0" applyNumberFormat="0" applyFill="0" applyBorder="0" applyAlignment="0" applyProtection="0"/>
    <xf numFmtId="0" fontId="18" fillId="0" borderId="0" applyNumberFormat="0" applyFill="0" applyBorder="0" applyAlignment="0" applyProtection="0"/>
    <xf numFmtId="0" fontId="30" fillId="0" borderId="0" applyNumberFormat="0" applyFill="0" applyBorder="0" applyAlignment="0" applyProtection="0"/>
    <xf numFmtId="0" fontId="31" fillId="0" borderId="11" applyNumberFormat="0" applyFill="0" applyAlignment="0" applyProtection="0"/>
    <xf numFmtId="0" fontId="32"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32" fillId="27" borderId="0" applyNumberFormat="0" applyBorder="0" applyAlignment="0" applyProtection="0"/>
    <xf numFmtId="0" fontId="32"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32" fillId="31" borderId="0" applyNumberFormat="0" applyBorder="0" applyAlignment="0" applyProtection="0"/>
    <xf numFmtId="0" fontId="32"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32" fillId="43" borderId="0" applyNumberFormat="0" applyBorder="0" applyAlignment="0" applyProtection="0"/>
    <xf numFmtId="0" fontId="33" fillId="0" borderId="0" applyNumberFormat="0" applyFill="0" applyBorder="0" applyAlignment="0" applyProtection="0"/>
    <xf numFmtId="49" fontId="25" fillId="0" borderId="0" applyFill="0" applyBorder="0" applyAlignment="0" applyProtection="0"/>
    <xf numFmtId="43" fontId="9" fillId="44" borderId="0" applyNumberFormat="0">
      <alignment vertical="top"/>
    </xf>
    <xf numFmtId="43" fontId="9" fillId="11" borderId="0" applyFont="0" applyFill="0" applyBorder="0" applyAlignment="0" applyProtection="0">
      <alignment vertical="top"/>
    </xf>
    <xf numFmtId="10" fontId="9" fillId="0" borderId="0" applyFont="0" applyFill="0" applyBorder="0" applyAlignment="0" applyProtection="0">
      <alignment vertical="top"/>
    </xf>
    <xf numFmtId="41" fontId="9" fillId="45" borderId="0">
      <alignment vertical="top"/>
    </xf>
    <xf numFmtId="0" fontId="9" fillId="0" borderId="0" applyNumberFormat="0" applyFill="0" applyBorder="0" applyAlignment="0" applyProtection="0"/>
    <xf numFmtId="38" fontId="9" fillId="0" borderId="0" applyFont="0" applyFill="0" applyBorder="0" applyAlignment="0" applyProtection="0"/>
    <xf numFmtId="166" fontId="9" fillId="0" borderId="0" applyFont="0" applyFill="0" applyBorder="0" applyAlignment="0" applyProtection="0"/>
    <xf numFmtId="0" fontId="34" fillId="0" borderId="0">
      <alignment vertical="top"/>
    </xf>
    <xf numFmtId="0" fontId="34" fillId="0" borderId="0">
      <alignment vertical="top"/>
    </xf>
    <xf numFmtId="0" fontId="34" fillId="0" borderId="0">
      <alignment vertical="top"/>
    </xf>
    <xf numFmtId="43" fontId="9" fillId="46" borderId="0">
      <alignment vertical="top"/>
    </xf>
    <xf numFmtId="41" fontId="9" fillId="46" borderId="0">
      <alignment vertical="top"/>
    </xf>
    <xf numFmtId="43" fontId="9" fillId="45" borderId="0">
      <alignment vertical="top"/>
    </xf>
    <xf numFmtId="167" fontId="9" fillId="0" borderId="0"/>
    <xf numFmtId="168" fontId="9" fillId="6" borderId="0"/>
    <xf numFmtId="0" fontId="9" fillId="0" borderId="0"/>
    <xf numFmtId="9" fontId="4" fillId="0" borderId="0" applyFont="0" applyFill="0" applyBorder="0" applyAlignment="0" applyProtection="0"/>
    <xf numFmtId="0" fontId="9" fillId="0" borderId="0"/>
    <xf numFmtId="0" fontId="9" fillId="0" borderId="0"/>
    <xf numFmtId="0" fontId="9" fillId="0" borderId="0"/>
    <xf numFmtId="0" fontId="9" fillId="0" borderId="0"/>
    <xf numFmtId="0" fontId="36" fillId="0" borderId="0"/>
    <xf numFmtId="0" fontId="9" fillId="0" borderId="0"/>
    <xf numFmtId="0" fontId="37" fillId="0" borderId="0"/>
    <xf numFmtId="0" fontId="35" fillId="0" borderId="0"/>
    <xf numFmtId="0" fontId="9" fillId="0" borderId="0"/>
    <xf numFmtId="0" fontId="38"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4" fillId="21" borderId="0" applyNumberFormat="0" applyBorder="0" applyAlignment="0" applyProtection="0"/>
    <xf numFmtId="0" fontId="38" fillId="48" borderId="0" applyNumberFormat="0" applyBorder="0" applyAlignment="0" applyProtection="0"/>
    <xf numFmtId="0" fontId="39" fillId="48" borderId="0" applyNumberFormat="0" applyBorder="0" applyAlignment="0" applyProtection="0"/>
    <xf numFmtId="0" fontId="39" fillId="48" borderId="0" applyNumberFormat="0" applyBorder="0" applyAlignment="0" applyProtection="0"/>
    <xf numFmtId="0" fontId="4" fillId="25" borderId="0" applyNumberFormat="0" applyBorder="0" applyAlignment="0" applyProtection="0"/>
    <xf numFmtId="0" fontId="38"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4" fillId="29" borderId="0" applyNumberFormat="0" applyBorder="0" applyAlignment="0" applyProtection="0"/>
    <xf numFmtId="0" fontId="38"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4" fillId="33" borderId="0" applyNumberFormat="0" applyBorder="0" applyAlignment="0" applyProtection="0"/>
    <xf numFmtId="0" fontId="38"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4" fillId="37" borderId="0" applyNumberFormat="0" applyBorder="0" applyAlignment="0" applyProtection="0"/>
    <xf numFmtId="0" fontId="38"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4" fillId="41" borderId="0" applyNumberFormat="0" applyBorder="0" applyAlignment="0" applyProtection="0"/>
    <xf numFmtId="0" fontId="38"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4" fillId="22" borderId="0" applyNumberFormat="0" applyBorder="0" applyAlignment="0" applyProtection="0"/>
    <xf numFmtId="0" fontId="38"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4" fillId="26" borderId="0" applyNumberFormat="0" applyBorder="0" applyAlignment="0" applyProtection="0"/>
    <xf numFmtId="0" fontId="38" fillId="55" borderId="0" applyNumberFormat="0" applyBorder="0" applyAlignment="0" applyProtection="0"/>
    <xf numFmtId="0" fontId="39" fillId="55" borderId="0" applyNumberFormat="0" applyBorder="0" applyAlignment="0" applyProtection="0"/>
    <xf numFmtId="0" fontId="39" fillId="55" borderId="0" applyNumberFormat="0" applyBorder="0" applyAlignment="0" applyProtection="0"/>
    <xf numFmtId="0" fontId="4" fillId="30" borderId="0" applyNumberFormat="0" applyBorder="0" applyAlignment="0" applyProtection="0"/>
    <xf numFmtId="0" fontId="38"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4" fillId="34" borderId="0" applyNumberFormat="0" applyBorder="0" applyAlignment="0" applyProtection="0"/>
    <xf numFmtId="0" fontId="38"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4" fillId="38" borderId="0" applyNumberFormat="0" applyBorder="0" applyAlignment="0" applyProtection="0"/>
    <xf numFmtId="0" fontId="38"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4" fillId="42"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0" fillId="59" borderId="0" applyNumberFormat="0" applyBorder="0" applyAlignment="0" applyProtection="0"/>
    <xf numFmtId="0" fontId="41" fillId="59" borderId="0" applyNumberFormat="0" applyBorder="0" applyAlignment="0" applyProtection="0"/>
    <xf numFmtId="0" fontId="41" fillId="59"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0"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0"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0" fillId="63" borderId="0" applyNumberFormat="0" applyBorder="0" applyAlignment="0" applyProtection="0"/>
    <xf numFmtId="0" fontId="41" fillId="63" borderId="0" applyNumberFormat="0" applyBorder="0" applyAlignment="0" applyProtection="0"/>
    <xf numFmtId="0" fontId="41" fillId="63"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0" fillId="59" borderId="0" applyNumberFormat="0" applyBorder="0" applyAlignment="0" applyProtection="0"/>
    <xf numFmtId="0" fontId="41" fillId="59" borderId="0" applyNumberFormat="0" applyBorder="0" applyAlignment="0" applyProtection="0"/>
    <xf numFmtId="0" fontId="41" fillId="59" borderId="0" applyNumberFormat="0" applyBorder="0" applyAlignment="0" applyProtection="0"/>
    <xf numFmtId="0" fontId="40" fillId="64" borderId="0" applyNumberFormat="0" applyBorder="0" applyAlignment="0" applyProtection="0"/>
    <xf numFmtId="0" fontId="41" fillId="64" borderId="0" applyNumberFormat="0" applyBorder="0" applyAlignment="0" applyProtection="0"/>
    <xf numFmtId="0" fontId="41" fillId="64" borderId="0" applyNumberFormat="0" applyBorder="0" applyAlignment="0" applyProtection="0"/>
    <xf numFmtId="0" fontId="43" fillId="48" borderId="0" applyNumberFormat="0" applyBorder="0" applyAlignment="0" applyProtection="0"/>
    <xf numFmtId="0" fontId="44" fillId="65" borderId="12" applyNumberFormat="0" applyAlignment="0" applyProtection="0"/>
    <xf numFmtId="0" fontId="44" fillId="65" borderId="12" applyNumberFormat="0" applyAlignment="0" applyProtection="0"/>
    <xf numFmtId="0" fontId="44" fillId="65" borderId="12" applyNumberFormat="0" applyAlignment="0" applyProtection="0"/>
    <xf numFmtId="0" fontId="46" fillId="66" borderId="13" applyNumberFormat="0" applyAlignment="0" applyProtection="0"/>
    <xf numFmtId="43" fontId="36" fillId="0" borderId="0" applyFont="0" applyFill="0" applyBorder="0" applyAlignment="0" applyProtection="0"/>
    <xf numFmtId="0" fontId="45" fillId="66" borderId="13" applyNumberFormat="0" applyAlignment="0" applyProtection="0"/>
    <xf numFmtId="170" fontId="9" fillId="0" borderId="0" applyFont="0" applyFill="0" applyBorder="0" applyAlignment="0" applyProtection="0"/>
    <xf numFmtId="170" fontId="9" fillId="0" borderId="0" applyFont="0" applyFill="0" applyBorder="0" applyAlignment="0" applyProtection="0"/>
    <xf numFmtId="171" fontId="9" fillId="0" borderId="0" applyFont="0" applyFill="0" applyBorder="0" applyAlignment="0" applyProtection="0"/>
    <xf numFmtId="0" fontId="48" fillId="0" borderId="0" applyNumberFormat="0" applyFill="0" applyBorder="0" applyAlignment="0" applyProtection="0"/>
    <xf numFmtId="0" fontId="49" fillId="0" borderId="14" applyNumberFormat="0" applyFill="0" applyAlignment="0" applyProtection="0"/>
    <xf numFmtId="0" fontId="50" fillId="49" borderId="0" applyNumberFormat="0" applyBorder="0" applyAlignment="0" applyProtection="0"/>
    <xf numFmtId="0" fontId="50" fillId="49" borderId="0" applyNumberFormat="0" applyBorder="0" applyAlignment="0" applyProtection="0"/>
    <xf numFmtId="0" fontId="51" fillId="49" borderId="0" applyNumberFormat="0" applyBorder="0" applyAlignment="0" applyProtection="0"/>
    <xf numFmtId="0" fontId="52" fillId="0" borderId="0"/>
    <xf numFmtId="0" fontId="54" fillId="0" borderId="15" applyNumberFormat="0" applyFill="0" applyAlignment="0" applyProtection="0"/>
    <xf numFmtId="0" fontId="56" fillId="0" borderId="16" applyNumberFormat="0" applyFill="0" applyAlignment="0" applyProtection="0"/>
    <xf numFmtId="0" fontId="58" fillId="0" borderId="17" applyNumberFormat="0" applyFill="0" applyAlignment="0" applyProtection="0"/>
    <xf numFmtId="0" fontId="58" fillId="0" borderId="0" applyNumberFormat="0" applyFill="0" applyBorder="0" applyAlignment="0" applyProtection="0"/>
    <xf numFmtId="0" fontId="60" fillId="52" borderId="12" applyNumberFormat="0" applyAlignment="0" applyProtection="0"/>
    <xf numFmtId="0" fontId="59" fillId="52" borderId="12" applyNumberFormat="0" applyAlignment="0" applyProtection="0"/>
    <xf numFmtId="0" fontId="59" fillId="52" borderId="12" applyNumberFormat="0" applyAlignment="0" applyProtection="0"/>
    <xf numFmtId="43" fontId="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6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9" fontId="9" fillId="0" borderId="0" applyFont="0" applyFill="0" applyBorder="0" applyAlignment="0" applyProtection="0"/>
    <xf numFmtId="43" fontId="4" fillId="0" borderId="0" applyFont="0" applyFill="0" applyBorder="0" applyAlignment="0" applyProtection="0"/>
    <xf numFmtId="169" fontId="9" fillId="0" borderId="0" applyFont="0" applyFill="0" applyBorder="0" applyAlignment="0" applyProtection="0"/>
    <xf numFmtId="0" fontId="53" fillId="0" borderId="15" applyNumberFormat="0" applyFill="0" applyAlignment="0" applyProtection="0"/>
    <xf numFmtId="0" fontId="55" fillId="0" borderId="16" applyNumberFormat="0" applyFill="0" applyAlignment="0" applyProtection="0"/>
    <xf numFmtId="0" fontId="57" fillId="0" borderId="17" applyNumberFormat="0" applyFill="0" applyAlignment="0" applyProtection="0"/>
    <xf numFmtId="0" fontId="57" fillId="0" borderId="0" applyNumberFormat="0" applyFill="0" applyBorder="0" applyAlignment="0" applyProtection="0"/>
    <xf numFmtId="0" fontId="49" fillId="0" borderId="14" applyNumberFormat="0" applyFill="0" applyAlignment="0" applyProtection="0"/>
    <xf numFmtId="0" fontId="62" fillId="0" borderId="14" applyNumberFormat="0" applyFill="0" applyAlignment="0" applyProtection="0"/>
    <xf numFmtId="0" fontId="63" fillId="67" borderId="0" applyNumberFormat="0" applyBorder="0" applyAlignment="0" applyProtection="0"/>
    <xf numFmtId="0" fontId="63" fillId="67" borderId="0" applyNumberFormat="0" applyBorder="0" applyAlignment="0" applyProtection="0"/>
    <xf numFmtId="0" fontId="64" fillId="67" borderId="0" applyNumberFormat="0" applyBorder="0" applyAlignment="0" applyProtection="0"/>
    <xf numFmtId="0" fontId="65" fillId="0" borderId="0"/>
    <xf numFmtId="0" fontId="36" fillId="0" borderId="0"/>
    <xf numFmtId="0" fontId="36" fillId="68" borderId="18" applyNumberFormat="0" applyFont="0" applyAlignment="0" applyProtection="0"/>
    <xf numFmtId="0" fontId="9" fillId="68" borderId="18" applyNumberFormat="0" applyFont="0" applyAlignment="0" applyProtection="0"/>
    <xf numFmtId="0" fontId="37" fillId="68" borderId="18" applyNumberFormat="0" applyFont="0" applyAlignment="0" applyProtection="0"/>
    <xf numFmtId="0" fontId="37" fillId="68" borderId="18" applyNumberFormat="0" applyFont="0" applyAlignment="0" applyProtection="0"/>
    <xf numFmtId="0" fontId="37" fillId="68" borderId="18" applyNumberFormat="0" applyFont="0" applyAlignment="0" applyProtection="0"/>
    <xf numFmtId="0" fontId="4" fillId="18" borderId="7" applyNumberFormat="0" applyFont="0" applyAlignment="0" applyProtection="0"/>
    <xf numFmtId="0" fontId="4" fillId="18" borderId="7" applyNumberFormat="0" applyFont="0" applyAlignment="0" applyProtection="0"/>
    <xf numFmtId="0" fontId="4" fillId="18" borderId="7" applyNumberFormat="0" applyFont="0" applyAlignment="0" applyProtection="0"/>
    <xf numFmtId="0" fontId="42" fillId="48" borderId="0" applyNumberFormat="0" applyBorder="0" applyAlignment="0" applyProtection="0"/>
    <xf numFmtId="0" fontId="66" fillId="65" borderId="19" applyNumberFormat="0" applyAlignment="0" applyProtection="0"/>
    <xf numFmtId="9" fontId="9" fillId="0" borderId="0" applyFont="0" applyFill="0" applyBorder="0" applyAlignment="0" applyProtection="0"/>
    <xf numFmtId="9" fontId="4" fillId="0" borderId="0" applyFont="0" applyFill="0" applyBorder="0" applyAlignment="0" applyProtection="0"/>
    <xf numFmtId="9" fontId="61"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9" fillId="0" borderId="0"/>
    <xf numFmtId="0" fontId="9" fillId="0" borderId="0"/>
    <xf numFmtId="0" fontId="9" fillId="0" borderId="0"/>
    <xf numFmtId="0" fontId="4" fillId="0" borderId="0"/>
    <xf numFmtId="0" fontId="9" fillId="0" borderId="0"/>
    <xf numFmtId="0" fontId="4" fillId="0" borderId="0"/>
    <xf numFmtId="0" fontId="9" fillId="0" borderId="0"/>
    <xf numFmtId="0" fontId="34" fillId="0" borderId="0"/>
    <xf numFmtId="0" fontId="67" fillId="0" borderId="0"/>
    <xf numFmtId="0" fontId="4" fillId="0" borderId="0"/>
    <xf numFmtId="0" fontId="9" fillId="0" borderId="0" applyFill="0"/>
    <xf numFmtId="0" fontId="9" fillId="0" borderId="0"/>
    <xf numFmtId="0" fontId="9" fillId="0" borderId="0"/>
    <xf numFmtId="0" fontId="4" fillId="0" borderId="0"/>
    <xf numFmtId="0" fontId="61" fillId="0" borderId="0"/>
    <xf numFmtId="0" fontId="9" fillId="0" borderId="0"/>
    <xf numFmtId="0" fontId="9" fillId="0" borderId="0"/>
    <xf numFmtId="0" fontId="4" fillId="0" borderId="0"/>
    <xf numFmtId="0" fontId="4" fillId="0" borderId="0"/>
    <xf numFmtId="0" fontId="4" fillId="0" borderId="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47" fillId="0" borderId="0" applyNumberFormat="0" applyFill="0" applyBorder="0" applyAlignment="0" applyProtection="0"/>
    <xf numFmtId="0" fontId="70" fillId="0" borderId="0" applyNumberFormat="0" applyFill="0" applyBorder="0" applyAlignment="0" applyProtection="0"/>
    <xf numFmtId="0" fontId="3" fillId="0" borderId="0"/>
    <xf numFmtId="0" fontId="42" fillId="48" borderId="0" applyNumberFormat="0" applyBorder="0" applyAlignment="0" applyProtection="0"/>
    <xf numFmtId="0" fontId="71" fillId="65" borderId="12" applyNumberFormat="0" applyAlignment="0" applyProtection="0"/>
    <xf numFmtId="0" fontId="45" fillId="66" borderId="13" applyNumberFormat="0" applyAlignment="0" applyProtection="0"/>
    <xf numFmtId="43" fontId="3" fillId="0" borderId="0" applyFont="0" applyFill="0" applyBorder="0" applyAlignment="0" applyProtection="0"/>
    <xf numFmtId="0" fontId="47" fillId="0" borderId="0" applyNumberFormat="0" applyFill="0" applyBorder="0" applyAlignment="0" applyProtection="0"/>
    <xf numFmtId="0" fontId="53" fillId="0" borderId="15" applyNumberFormat="0" applyFill="0" applyAlignment="0" applyProtection="0"/>
    <xf numFmtId="0" fontId="55" fillId="0" borderId="16" applyNumberFormat="0" applyFill="0" applyAlignment="0" applyProtection="0"/>
    <xf numFmtId="0" fontId="57" fillId="0" borderId="17" applyNumberFormat="0" applyFill="0" applyAlignment="0" applyProtection="0"/>
    <xf numFmtId="0" fontId="57" fillId="0" borderId="0" applyNumberFormat="0" applyFill="0" applyBorder="0" applyAlignment="0" applyProtection="0"/>
    <xf numFmtId="0" fontId="59" fillId="52" borderId="12" applyNumberFormat="0" applyAlignment="0" applyProtection="0"/>
    <xf numFmtId="169" fontId="9" fillId="0" borderId="0" applyFont="0" applyFill="0" applyBorder="0" applyAlignment="0" applyProtection="0"/>
    <xf numFmtId="0" fontId="9" fillId="68" borderId="18" applyNumberFormat="0" applyFont="0" applyAlignment="0" applyProtection="0"/>
    <xf numFmtId="0" fontId="72" fillId="65" borderId="19" applyNumberFormat="0" applyAlignment="0" applyProtection="0"/>
    <xf numFmtId="0" fontId="9" fillId="0" borderId="0"/>
    <xf numFmtId="0" fontId="73" fillId="0" borderId="20" applyNumberFormat="0" applyFill="0" applyAlignment="0" applyProtection="0"/>
    <xf numFmtId="0" fontId="72" fillId="65" borderId="19" applyNumberFormat="0" applyAlignment="0" applyProtection="0"/>
    <xf numFmtId="0" fontId="72" fillId="65" borderId="19" applyNumberFormat="0" applyAlignment="0" applyProtection="0"/>
    <xf numFmtId="0" fontId="72" fillId="65" borderId="19" applyNumberFormat="0" applyAlignment="0" applyProtection="0"/>
    <xf numFmtId="44" fontId="9" fillId="0" borderId="0" applyFont="0" applyFill="0" applyBorder="0" applyAlignment="0" applyProtection="0"/>
    <xf numFmtId="0" fontId="70" fillId="0" borderId="0" applyNumberFormat="0" applyFill="0" applyBorder="0" applyAlignment="0" applyProtection="0"/>
    <xf numFmtId="0" fontId="74" fillId="0" borderId="0" applyNumberFormat="0" applyFill="0" applyBorder="0" applyAlignment="0" applyProtection="0"/>
    <xf numFmtId="0" fontId="75" fillId="0" borderId="0" applyNumberFormat="0" applyFont="0" applyBorder="0" applyAlignment="0" applyProtection="0"/>
    <xf numFmtId="0" fontId="2" fillId="0" borderId="0"/>
    <xf numFmtId="9" fontId="1" fillId="0" borderId="0" applyFont="0" applyFill="0" applyBorder="0" applyAlignment="0" applyProtection="0"/>
    <xf numFmtId="49" fontId="12" fillId="5" borderId="21">
      <alignment vertical="top"/>
    </xf>
    <xf numFmtId="49" fontId="10" fillId="19" borderId="21">
      <alignment vertical="top"/>
    </xf>
    <xf numFmtId="0" fontId="24" fillId="0" borderId="0" applyNumberFormat="0" applyFill="0" applyBorder="0" applyAlignment="0" applyProtection="0"/>
  </cellStyleXfs>
  <cellXfs count="102">
    <xf numFmtId="0" fontId="0" fillId="0" borderId="0" xfId="0">
      <alignment vertical="top"/>
    </xf>
    <xf numFmtId="43" fontId="9" fillId="0" borderId="0" xfId="4" applyNumberFormat="1">
      <alignment vertical="top"/>
    </xf>
    <xf numFmtId="41" fontId="9" fillId="0" borderId="0" xfId="64" applyNumberFormat="1">
      <alignment vertical="top"/>
    </xf>
    <xf numFmtId="0" fontId="10" fillId="0" borderId="0" xfId="4" applyFont="1">
      <alignment vertical="top"/>
    </xf>
    <xf numFmtId="0" fontId="9" fillId="0" borderId="0" xfId="4">
      <alignment vertical="top"/>
    </xf>
    <xf numFmtId="0" fontId="11" fillId="0" borderId="0" xfId="4" applyFont="1">
      <alignment vertical="top"/>
    </xf>
    <xf numFmtId="0" fontId="13" fillId="0" borderId="0" xfId="4" applyFont="1">
      <alignment vertical="top"/>
    </xf>
    <xf numFmtId="0" fontId="14" fillId="0" borderId="0" xfId="4" applyFont="1">
      <alignment vertical="top"/>
    </xf>
    <xf numFmtId="0" fontId="9" fillId="0" borderId="2" xfId="4" applyBorder="1">
      <alignment vertical="top"/>
    </xf>
    <xf numFmtId="49" fontId="12" fillId="5" borderId="1" xfId="5">
      <alignment vertical="top"/>
    </xf>
    <xf numFmtId="49" fontId="10" fillId="19" borderId="1" xfId="6">
      <alignment vertical="top"/>
    </xf>
    <xf numFmtId="0" fontId="11" fillId="0" borderId="2" xfId="4" applyFont="1" applyBorder="1" applyAlignment="1">
      <alignment horizontal="left" vertical="top" wrapText="1"/>
    </xf>
    <xf numFmtId="0" fontId="9" fillId="0" borderId="2" xfId="4" applyBorder="1" applyAlignment="1">
      <alignment horizontal="left" vertical="top" wrapText="1"/>
    </xf>
    <xf numFmtId="0" fontId="9" fillId="6" borderId="0" xfId="4" applyFill="1">
      <alignment vertical="top"/>
    </xf>
    <xf numFmtId="2" fontId="9" fillId="10" borderId="0" xfId="4" applyNumberFormat="1" applyFill="1">
      <alignment vertical="top"/>
    </xf>
    <xf numFmtId="1" fontId="9" fillId="0" borderId="0" xfId="4" applyNumberFormat="1">
      <alignment vertical="top"/>
    </xf>
    <xf numFmtId="1" fontId="13" fillId="0" borderId="0" xfId="4" applyNumberFormat="1" applyFont="1">
      <alignment vertical="top"/>
    </xf>
    <xf numFmtId="0" fontId="16" fillId="0" borderId="0" xfId="4" applyFont="1">
      <alignment vertical="top"/>
    </xf>
    <xf numFmtId="49" fontId="11" fillId="19" borderId="2" xfId="6" applyFont="1" applyBorder="1">
      <alignment vertical="top"/>
    </xf>
    <xf numFmtId="0" fontId="12" fillId="5" borderId="1" xfId="5" applyNumberFormat="1">
      <alignment vertical="top"/>
    </xf>
    <xf numFmtId="0" fontId="18" fillId="0" borderId="0" xfId="4" applyFont="1">
      <alignment vertical="top"/>
    </xf>
    <xf numFmtId="0" fontId="11" fillId="8" borderId="0" xfId="4" applyFont="1" applyFill="1">
      <alignment vertical="top"/>
    </xf>
    <xf numFmtId="0" fontId="9" fillId="14" borderId="0" xfId="4" applyFill="1">
      <alignment vertical="top"/>
    </xf>
    <xf numFmtId="49" fontId="11" fillId="19" borderId="0" xfId="6" applyFont="1" applyBorder="1">
      <alignment vertical="top"/>
    </xf>
    <xf numFmtId="49" fontId="9" fillId="19" borderId="2" xfId="6" applyFont="1" applyBorder="1">
      <alignment vertical="top"/>
    </xf>
    <xf numFmtId="0" fontId="11" fillId="0" borderId="0" xfId="4" applyFont="1" applyAlignment="1">
      <alignment horizontal="left" vertical="top" wrapText="1"/>
    </xf>
    <xf numFmtId="49" fontId="10" fillId="0" borderId="0" xfId="7">
      <alignment vertical="top"/>
    </xf>
    <xf numFmtId="49" fontId="13" fillId="0" borderId="0" xfId="15">
      <alignment vertical="top"/>
    </xf>
    <xf numFmtId="41" fontId="9" fillId="12" borderId="0" xfId="8">
      <alignment vertical="top"/>
    </xf>
    <xf numFmtId="0" fontId="11" fillId="11" borderId="0" xfId="4" applyFont="1" applyFill="1">
      <alignment vertical="top"/>
    </xf>
    <xf numFmtId="41" fontId="9" fillId="9" borderId="0" xfId="10">
      <alignment vertical="top"/>
    </xf>
    <xf numFmtId="41" fontId="9" fillId="46" borderId="0" xfId="11">
      <alignment vertical="top"/>
    </xf>
    <xf numFmtId="41" fontId="9" fillId="46" borderId="2" xfId="11" applyBorder="1">
      <alignment vertical="top"/>
    </xf>
    <xf numFmtId="43" fontId="16" fillId="0" borderId="0" xfId="63" applyFont="1" applyFill="1">
      <alignment vertical="top"/>
    </xf>
    <xf numFmtId="10" fontId="9" fillId="0" borderId="0" xfId="64">
      <alignment vertical="top"/>
    </xf>
    <xf numFmtId="41" fontId="9" fillId="45" borderId="0" xfId="65">
      <alignment vertical="top"/>
    </xf>
    <xf numFmtId="41" fontId="9" fillId="13" borderId="0" xfId="13">
      <alignment vertical="top"/>
    </xf>
    <xf numFmtId="41" fontId="9" fillId="11" borderId="0" xfId="9">
      <alignment vertical="top"/>
    </xf>
    <xf numFmtId="41" fontId="9" fillId="0" borderId="0" xfId="11" applyFill="1">
      <alignment vertical="top"/>
    </xf>
    <xf numFmtId="0" fontId="5" fillId="0" borderId="0" xfId="0" applyFont="1" applyAlignment="1"/>
    <xf numFmtId="0" fontId="31" fillId="0" borderId="0" xfId="0" applyFont="1" applyAlignment="1"/>
    <xf numFmtId="168" fontId="5" fillId="0" borderId="0" xfId="63" applyNumberFormat="1" applyFont="1" applyFill="1" applyAlignment="1"/>
    <xf numFmtId="0" fontId="0" fillId="0" borderId="0" xfId="0" applyAlignment="1"/>
    <xf numFmtId="10" fontId="9" fillId="11" borderId="0" xfId="64" applyFill="1">
      <alignment vertical="top"/>
    </xf>
    <xf numFmtId="0" fontId="9" fillId="0" borderId="2" xfId="4" applyBorder="1" applyAlignment="1">
      <alignment vertical="top" wrapText="1"/>
    </xf>
    <xf numFmtId="49" fontId="17" fillId="5" borderId="1" xfId="5" applyFont="1">
      <alignment vertical="top"/>
    </xf>
    <xf numFmtId="49" fontId="25" fillId="0" borderId="2" xfId="61" applyBorder="1" applyAlignment="1">
      <alignment vertical="top" wrapText="1"/>
    </xf>
    <xf numFmtId="10" fontId="9" fillId="0" borderId="0" xfId="4" applyNumberFormat="1">
      <alignment vertical="top"/>
    </xf>
    <xf numFmtId="10" fontId="9" fillId="0" borderId="0" xfId="64" applyFill="1">
      <alignment vertical="top"/>
    </xf>
    <xf numFmtId="0" fontId="5" fillId="0" borderId="0" xfId="0" applyFont="1">
      <alignment vertical="top"/>
    </xf>
    <xf numFmtId="0" fontId="31" fillId="0" borderId="0" xfId="0" applyFont="1">
      <alignment vertical="top"/>
    </xf>
    <xf numFmtId="0" fontId="10" fillId="0" borderId="0" xfId="0" applyFont="1">
      <alignment vertical="top"/>
    </xf>
    <xf numFmtId="43" fontId="5" fillId="0" borderId="0" xfId="0" applyNumberFormat="1" applyFont="1">
      <alignment vertical="top"/>
    </xf>
    <xf numFmtId="0" fontId="14" fillId="0" borderId="0" xfId="0" applyFont="1">
      <alignment vertical="top"/>
    </xf>
    <xf numFmtId="41" fontId="5" fillId="0" borderId="0" xfId="0" applyNumberFormat="1" applyFont="1">
      <alignment vertical="top"/>
    </xf>
    <xf numFmtId="172" fontId="5" fillId="0" borderId="0" xfId="0" applyNumberFormat="1" applyFont="1">
      <alignment vertical="top"/>
    </xf>
    <xf numFmtId="49" fontId="10" fillId="69" borderId="21" xfId="6" applyFill="1" applyBorder="1">
      <alignment vertical="top"/>
    </xf>
    <xf numFmtId="2" fontId="5" fillId="11" borderId="0" xfId="0" applyNumberFormat="1" applyFont="1" applyFill="1">
      <alignment vertical="top"/>
    </xf>
    <xf numFmtId="0" fontId="12" fillId="5" borderId="21" xfId="292" applyNumberFormat="1">
      <alignment vertical="top"/>
    </xf>
    <xf numFmtId="49" fontId="10" fillId="19" borderId="21" xfId="293">
      <alignment vertical="top"/>
    </xf>
    <xf numFmtId="0" fontId="5" fillId="0" borderId="1" xfId="0" applyFont="1" applyBorder="1">
      <alignment vertical="top"/>
    </xf>
    <xf numFmtId="41" fontId="9" fillId="7" borderId="0" xfId="12">
      <alignment vertical="top"/>
    </xf>
    <xf numFmtId="41" fontId="9" fillId="46" borderId="0" xfId="9" applyFill="1">
      <alignment vertical="top"/>
    </xf>
    <xf numFmtId="41" fontId="9" fillId="46" borderId="0" xfId="13" applyFill="1">
      <alignment vertical="top"/>
    </xf>
    <xf numFmtId="41" fontId="9" fillId="46" borderId="0" xfId="10" applyFill="1">
      <alignment vertical="top"/>
    </xf>
    <xf numFmtId="0" fontId="77" fillId="0" borderId="0" xfId="4" applyFont="1">
      <alignment vertical="top"/>
    </xf>
    <xf numFmtId="0" fontId="9" fillId="0" borderId="0" xfId="4" quotePrefix="1">
      <alignment vertical="top"/>
    </xf>
    <xf numFmtId="173" fontId="9" fillId="46" borderId="0" xfId="11" applyNumberFormat="1">
      <alignment vertical="top"/>
    </xf>
    <xf numFmtId="49" fontId="14" fillId="0" borderId="0" xfId="14">
      <alignment vertical="top"/>
    </xf>
    <xf numFmtId="49" fontId="9" fillId="0" borderId="0" xfId="7" applyFont="1">
      <alignment vertical="top"/>
    </xf>
    <xf numFmtId="41" fontId="9" fillId="11" borderId="0" xfId="8" applyFill="1">
      <alignment vertical="top"/>
    </xf>
    <xf numFmtId="41" fontId="5" fillId="13" borderId="0" xfId="0" applyNumberFormat="1" applyFont="1" applyFill="1">
      <alignment vertical="top"/>
    </xf>
    <xf numFmtId="41" fontId="9" fillId="0" borderId="0" xfId="4" applyNumberFormat="1">
      <alignment vertical="top"/>
    </xf>
    <xf numFmtId="41" fontId="9" fillId="13" borderId="0" xfId="4" applyNumberFormat="1" applyFill="1">
      <alignment vertical="top"/>
    </xf>
    <xf numFmtId="41" fontId="9" fillId="11" borderId="0" xfId="4" applyNumberFormat="1" applyFill="1">
      <alignment vertical="top"/>
    </xf>
    <xf numFmtId="41" fontId="5" fillId="11" borderId="0" xfId="0" applyNumberFormat="1" applyFont="1" applyFill="1">
      <alignment vertical="top"/>
    </xf>
    <xf numFmtId="43" fontId="9" fillId="46" borderId="0" xfId="72">
      <alignment vertical="top"/>
    </xf>
    <xf numFmtId="43" fontId="5" fillId="0" borderId="0" xfId="63" applyFont="1" applyFill="1" applyAlignment="1"/>
    <xf numFmtId="168" fontId="9" fillId="6" borderId="0" xfId="76"/>
    <xf numFmtId="168" fontId="5" fillId="46" borderId="0" xfId="0" applyNumberFormat="1" applyFont="1" applyFill="1" applyAlignment="1"/>
    <xf numFmtId="0" fontId="0" fillId="13" borderId="0" xfId="0" applyFill="1">
      <alignment vertical="top"/>
    </xf>
    <xf numFmtId="41" fontId="0" fillId="0" borderId="0" xfId="0" applyNumberFormat="1">
      <alignment vertical="top"/>
    </xf>
    <xf numFmtId="41" fontId="0" fillId="11" borderId="0" xfId="0" applyNumberFormat="1" applyFill="1">
      <alignment vertical="top"/>
    </xf>
    <xf numFmtId="41" fontId="0" fillId="13" borderId="0" xfId="0" applyNumberFormat="1" applyFill="1">
      <alignment vertical="top"/>
    </xf>
    <xf numFmtId="43" fontId="5" fillId="13" borderId="0" xfId="0" applyNumberFormat="1" applyFont="1" applyFill="1">
      <alignment vertical="top"/>
    </xf>
    <xf numFmtId="41" fontId="9" fillId="19" borderId="0" xfId="13" applyFill="1">
      <alignment vertical="top"/>
    </xf>
    <xf numFmtId="165" fontId="5" fillId="11" borderId="0" xfId="0" applyNumberFormat="1" applyFont="1" applyFill="1">
      <alignment vertical="top"/>
    </xf>
    <xf numFmtId="0" fontId="5" fillId="19" borderId="0" xfId="0" applyFont="1" applyFill="1">
      <alignment vertical="top"/>
    </xf>
    <xf numFmtId="2" fontId="5" fillId="13" borderId="0" xfId="0" applyNumberFormat="1" applyFont="1" applyFill="1">
      <alignment vertical="top"/>
    </xf>
    <xf numFmtId="41" fontId="9" fillId="46" borderId="0" xfId="8" applyFill="1">
      <alignment vertical="top"/>
    </xf>
    <xf numFmtId="41" fontId="9" fillId="13" borderId="0" xfId="4" applyNumberFormat="1" applyFill="1" applyAlignment="1">
      <alignment horizontal="center" vertical="top"/>
    </xf>
    <xf numFmtId="168" fontId="9" fillId="46" borderId="0" xfId="72" applyNumberFormat="1">
      <alignment vertical="top"/>
    </xf>
    <xf numFmtId="174" fontId="78" fillId="0" borderId="0" xfId="196" applyNumberFormat="1" applyFont="1" applyFill="1" applyBorder="1"/>
    <xf numFmtId="174" fontId="78" fillId="0" borderId="0" xfId="196" applyNumberFormat="1" applyFont="1" applyBorder="1"/>
    <xf numFmtId="0" fontId="79" fillId="0" borderId="0" xfId="0" applyFont="1" applyAlignment="1"/>
    <xf numFmtId="41" fontId="9" fillId="46" borderId="0" xfId="73">
      <alignment vertical="top"/>
    </xf>
    <xf numFmtId="0" fontId="9" fillId="0" borderId="0" xfId="4" applyAlignment="1">
      <alignment vertical="top" wrapText="1"/>
    </xf>
    <xf numFmtId="0" fontId="9" fillId="0" borderId="0" xfId="4" applyAlignment="1">
      <alignment horizontal="left" vertical="top" wrapText="1"/>
    </xf>
    <xf numFmtId="0" fontId="9" fillId="0" borderId="2" xfId="4" applyFont="1" applyBorder="1" applyAlignment="1">
      <alignment horizontal="left" vertical="top" wrapText="1"/>
    </xf>
    <xf numFmtId="164" fontId="9" fillId="12" borderId="0" xfId="8" applyNumberFormat="1">
      <alignment vertical="top"/>
    </xf>
    <xf numFmtId="0" fontId="9" fillId="0" borderId="0" xfId="4" applyFont="1">
      <alignment vertical="top"/>
    </xf>
    <xf numFmtId="0" fontId="9" fillId="0" borderId="0" xfId="4" applyFill="1">
      <alignment vertical="top"/>
    </xf>
  </cellXfs>
  <cellStyles count="295">
    <cellStyle name=" 1" xfId="66" xr:uid="{00000000-0005-0000-0000-000000000000}"/>
    <cellStyle name=" 2" xfId="67" xr:uid="{00000000-0005-0000-0000-000001000000}"/>
    <cellStyle name=" 3" xfId="68" xr:uid="{00000000-0005-0000-0000-000002000000}"/>
    <cellStyle name=" 4" xfId="69" xr:uid="{00000000-0005-0000-0000-000003000000}"/>
    <cellStyle name=" 5" xfId="70" xr:uid="{00000000-0005-0000-0000-000004000000}"/>
    <cellStyle name=" 6" xfId="71" xr:uid="{00000000-0005-0000-0000-000005000000}"/>
    <cellStyle name="_x000d__x000a_JournalTemplate=C:\COMFO\CTALK\JOURSTD.TPL_x000d__x000a_LbStateAddress=3 3 0 251 1 89 2 311_x000d__x000a_LbStateJou" xfId="77" xr:uid="{00000000-0005-0000-0000-000006000000}"/>
    <cellStyle name="_x000d__x000a_JournalTemplate=C:\COMFO\CTALK\JOURSTD.TPL_x000d__x000a_LbStateAddress=3 3 0 251 1 89 2 311_x000d__x000a_LbStateJou 10" xfId="79" xr:uid="{00000000-0005-0000-0000-000007000000}"/>
    <cellStyle name="_x000d__x000a_JournalTemplate=C:\COMFO\CTALK\JOURSTD.TPL_x000d__x000a_LbStateAddress=3 3 0 251 1 89 2 311_x000d__x000a_LbStateJou 2" xfId="80" xr:uid="{00000000-0005-0000-0000-000008000000}"/>
    <cellStyle name="_x000d__x000a_JournalTemplate=C:\COMFO\CTALK\JOURSTD.TPL_x000d__x000a_LbStateAddress=3 3 0 251 1 89 2 311_x000d__x000a_LbStateJou 2 2" xfId="81" xr:uid="{00000000-0005-0000-0000-000009000000}"/>
    <cellStyle name="_x000d__x000a_JournalTemplate=C:\COMFO\CTALK\JOURSTD.TPL_x000d__x000a_LbStateAddress=3 3 0 251 1 89 2 311_x000d__x000a_LbStateJou 2 3" xfId="82" xr:uid="{00000000-0005-0000-0000-00000A000000}"/>
    <cellStyle name="_x000d__x000a_JournalTemplate=C:\COMFO\CTALK\JOURSTD.TPL_x000d__x000a_LbStateAddress=3 3 0 251 1 89 2 311_x000d__x000a_LbStateJou 2 4" xfId="83" xr:uid="{00000000-0005-0000-0000-00000B000000}"/>
    <cellStyle name="_x000d__x000a_JournalTemplate=C:\COMFO\CTALK\JOURSTD.TPL_x000d__x000a_LbStateAddress=3 3 0 251 1 89 2 311_x000d__x000a_LbStateJou 3" xfId="84" xr:uid="{00000000-0005-0000-0000-00000C000000}"/>
    <cellStyle name="_x000d__x000a_JournalTemplate=C:\COMFO\CTALK\JOURSTD.TPL_x000d__x000a_LbStateAddress=3 3 0 251 1 89 2 311_x000d__x000a_LbStateJou 3 2" xfId="85" xr:uid="{00000000-0005-0000-0000-00000D000000}"/>
    <cellStyle name="_x000d__x000a_JournalTemplate=C:\COMFO\CTALK\JOURSTD.TPL_x000d__x000a_LbStateAddress=3 3 0 251 1 89 2 311_x000d__x000a_LbStateJou 4" xfId="86" xr:uid="{00000000-0005-0000-0000-00000E000000}"/>
    <cellStyle name="_x000d__x000a_JournalTemplate=C:\COMFO\CTALK\JOURSTD.TPL_x000d__x000a_LbStateAddress=3 3 0 251 1 89 2 311_x000d__x000a_LbStateJou_100720 berekening x-factoren NG4R v4.2" xfId="87" xr:uid="{00000000-0005-0000-0000-00000F000000}"/>
    <cellStyle name="_kop1 Bladtitel" xfId="5" xr:uid="{00000000-0005-0000-0000-000010000000}"/>
    <cellStyle name="_kop1 Bladtitel 2" xfId="292" xr:uid="{00000000-0005-0000-0000-000011000000}"/>
    <cellStyle name="_kop2 Bloktitel" xfId="6" xr:uid="{00000000-0005-0000-0000-000012000000}"/>
    <cellStyle name="_kop2 Bloktitel 2" xfId="293" xr:uid="{00000000-0005-0000-0000-000013000000}"/>
    <cellStyle name="_kop3 Subkop" xfId="7" xr:uid="{00000000-0005-0000-0000-000014000000}"/>
    <cellStyle name="20% - Accent1" xfId="37" builtinId="30" hidden="1"/>
    <cellStyle name="20% - Accent1 2" xfId="88" xr:uid="{00000000-0005-0000-0000-000016000000}"/>
    <cellStyle name="20% - Accent1 2 2" xfId="89" xr:uid="{00000000-0005-0000-0000-000017000000}"/>
    <cellStyle name="20% - Accent1 3" xfId="90" xr:uid="{00000000-0005-0000-0000-000018000000}"/>
    <cellStyle name="20% - Accent1 3 2" xfId="91" xr:uid="{00000000-0005-0000-0000-000019000000}"/>
    <cellStyle name="20% - Accent2" xfId="41" builtinId="34" hidden="1"/>
    <cellStyle name="20% - Accent2 2" xfId="92" xr:uid="{00000000-0005-0000-0000-00001B000000}"/>
    <cellStyle name="20% - Accent2 2 2" xfId="93" xr:uid="{00000000-0005-0000-0000-00001C000000}"/>
    <cellStyle name="20% - Accent2 3" xfId="94" xr:uid="{00000000-0005-0000-0000-00001D000000}"/>
    <cellStyle name="20% - Accent2 3 2" xfId="95" xr:uid="{00000000-0005-0000-0000-00001E000000}"/>
    <cellStyle name="20% - Accent3" xfId="45" builtinId="38" hidden="1"/>
    <cellStyle name="20% - Accent3 2" xfId="96" xr:uid="{00000000-0005-0000-0000-000020000000}"/>
    <cellStyle name="20% - Accent3 2 2" xfId="97" xr:uid="{00000000-0005-0000-0000-000021000000}"/>
    <cellStyle name="20% - Accent3 3" xfId="98" xr:uid="{00000000-0005-0000-0000-000022000000}"/>
    <cellStyle name="20% - Accent3 3 2" xfId="99" xr:uid="{00000000-0005-0000-0000-000023000000}"/>
    <cellStyle name="20% - Accent4" xfId="49" builtinId="42" hidden="1"/>
    <cellStyle name="20% - Accent4 2" xfId="100" xr:uid="{00000000-0005-0000-0000-000025000000}"/>
    <cellStyle name="20% - Accent4 2 2" xfId="101" xr:uid="{00000000-0005-0000-0000-000026000000}"/>
    <cellStyle name="20% - Accent4 3" xfId="102" xr:uid="{00000000-0005-0000-0000-000027000000}"/>
    <cellStyle name="20% - Accent4 3 2" xfId="103" xr:uid="{00000000-0005-0000-0000-000028000000}"/>
    <cellStyle name="20% - Accent5" xfId="53" builtinId="46" hidden="1"/>
    <cellStyle name="20% - Accent5 2" xfId="104" xr:uid="{00000000-0005-0000-0000-00002A000000}"/>
    <cellStyle name="20% - Accent5 2 2" xfId="105" xr:uid="{00000000-0005-0000-0000-00002B000000}"/>
    <cellStyle name="20% - Accent5 3" xfId="106" xr:uid="{00000000-0005-0000-0000-00002C000000}"/>
    <cellStyle name="20% - Accent5 3 2" xfId="107" xr:uid="{00000000-0005-0000-0000-00002D000000}"/>
    <cellStyle name="20% - Accent6" xfId="57" builtinId="50" hidden="1"/>
    <cellStyle name="20% - Accent6 2" xfId="108" xr:uid="{00000000-0005-0000-0000-00002F000000}"/>
    <cellStyle name="20% - Accent6 2 2" xfId="109" xr:uid="{00000000-0005-0000-0000-000030000000}"/>
    <cellStyle name="20% - Accent6 3" xfId="110" xr:uid="{00000000-0005-0000-0000-000031000000}"/>
    <cellStyle name="20% - Accent6 3 2" xfId="111" xr:uid="{00000000-0005-0000-0000-000032000000}"/>
    <cellStyle name="40% - Accent1" xfId="38" builtinId="31" hidden="1"/>
    <cellStyle name="40% - Accent1 2" xfId="112" xr:uid="{00000000-0005-0000-0000-000034000000}"/>
    <cellStyle name="40% - Accent1 2 2" xfId="113" xr:uid="{00000000-0005-0000-0000-000035000000}"/>
    <cellStyle name="40% - Accent1 3" xfId="114" xr:uid="{00000000-0005-0000-0000-000036000000}"/>
    <cellStyle name="40% - Accent1 3 2" xfId="115" xr:uid="{00000000-0005-0000-0000-000037000000}"/>
    <cellStyle name="40% - Accent2" xfId="42" builtinId="35" hidden="1"/>
    <cellStyle name="40% - Accent2 2" xfId="116" xr:uid="{00000000-0005-0000-0000-000039000000}"/>
    <cellStyle name="40% - Accent2 2 2" xfId="117" xr:uid="{00000000-0005-0000-0000-00003A000000}"/>
    <cellStyle name="40% - Accent2 3" xfId="118" xr:uid="{00000000-0005-0000-0000-00003B000000}"/>
    <cellStyle name="40% - Accent2 3 2" xfId="119" xr:uid="{00000000-0005-0000-0000-00003C000000}"/>
    <cellStyle name="40% - Accent3" xfId="46" builtinId="39" hidden="1"/>
    <cellStyle name="40% - Accent3 2" xfId="120" xr:uid="{00000000-0005-0000-0000-00003E000000}"/>
    <cellStyle name="40% - Accent3 2 2" xfId="121" xr:uid="{00000000-0005-0000-0000-00003F000000}"/>
    <cellStyle name="40% - Accent3 3" xfId="122" xr:uid="{00000000-0005-0000-0000-000040000000}"/>
    <cellStyle name="40% - Accent3 3 2" xfId="123" xr:uid="{00000000-0005-0000-0000-000041000000}"/>
    <cellStyle name="40% - Accent4" xfId="50" builtinId="43" hidden="1"/>
    <cellStyle name="40% - Accent4 2" xfId="124" xr:uid="{00000000-0005-0000-0000-000043000000}"/>
    <cellStyle name="40% - Accent4 2 2" xfId="125" xr:uid="{00000000-0005-0000-0000-000044000000}"/>
    <cellStyle name="40% - Accent4 3" xfId="126" xr:uid="{00000000-0005-0000-0000-000045000000}"/>
    <cellStyle name="40% - Accent4 3 2" xfId="127" xr:uid="{00000000-0005-0000-0000-000046000000}"/>
    <cellStyle name="40% - Accent5" xfId="54" builtinId="47" hidden="1"/>
    <cellStyle name="40% - Accent5 2" xfId="128" xr:uid="{00000000-0005-0000-0000-000048000000}"/>
    <cellStyle name="40% - Accent5 2 2" xfId="129" xr:uid="{00000000-0005-0000-0000-000049000000}"/>
    <cellStyle name="40% - Accent5 3" xfId="130" xr:uid="{00000000-0005-0000-0000-00004A000000}"/>
    <cellStyle name="40% - Accent5 3 2" xfId="131" xr:uid="{00000000-0005-0000-0000-00004B000000}"/>
    <cellStyle name="40% - Accent6" xfId="58" builtinId="51" hidden="1"/>
    <cellStyle name="40% - Accent6 2" xfId="132" xr:uid="{00000000-0005-0000-0000-00004D000000}"/>
    <cellStyle name="40% - Accent6 2 2" xfId="133" xr:uid="{00000000-0005-0000-0000-00004E000000}"/>
    <cellStyle name="40% - Accent6 3" xfId="134" xr:uid="{00000000-0005-0000-0000-00004F000000}"/>
    <cellStyle name="40% - Accent6 3 2" xfId="135" xr:uid="{00000000-0005-0000-0000-000050000000}"/>
    <cellStyle name="60% - Accent1" xfId="39" builtinId="32" hidden="1"/>
    <cellStyle name="60% - Accent1 2" xfId="136" xr:uid="{00000000-0005-0000-0000-000052000000}"/>
    <cellStyle name="60% - Accent1 2 2" xfId="137" xr:uid="{00000000-0005-0000-0000-000053000000}"/>
    <cellStyle name="60% - Accent1 3" xfId="138" xr:uid="{00000000-0005-0000-0000-000054000000}"/>
    <cellStyle name="60% - Accent2" xfId="43" builtinId="36" hidden="1"/>
    <cellStyle name="60% - Accent2 2" xfId="139" xr:uid="{00000000-0005-0000-0000-000056000000}"/>
    <cellStyle name="60% - Accent2 2 2" xfId="140" xr:uid="{00000000-0005-0000-0000-000057000000}"/>
    <cellStyle name="60% - Accent2 3" xfId="141" xr:uid="{00000000-0005-0000-0000-000058000000}"/>
    <cellStyle name="60% - Accent3" xfId="47" builtinId="40" hidden="1"/>
    <cellStyle name="60% - Accent3 2" xfId="142" xr:uid="{00000000-0005-0000-0000-00005A000000}"/>
    <cellStyle name="60% - Accent3 2 2" xfId="143" xr:uid="{00000000-0005-0000-0000-00005B000000}"/>
    <cellStyle name="60% - Accent3 3" xfId="144" xr:uid="{00000000-0005-0000-0000-00005C000000}"/>
    <cellStyle name="60% - Accent4" xfId="51" builtinId="44" hidden="1"/>
    <cellStyle name="60% - Accent4 2" xfId="145" xr:uid="{00000000-0005-0000-0000-00005E000000}"/>
    <cellStyle name="60% - Accent4 2 2" xfId="146" xr:uid="{00000000-0005-0000-0000-00005F000000}"/>
    <cellStyle name="60% - Accent4 3" xfId="147" xr:uid="{00000000-0005-0000-0000-000060000000}"/>
    <cellStyle name="60% - Accent5" xfId="55" builtinId="48" hidden="1"/>
    <cellStyle name="60% - Accent5 2" xfId="148" xr:uid="{00000000-0005-0000-0000-000062000000}"/>
    <cellStyle name="60% - Accent5 2 2" xfId="149" xr:uid="{00000000-0005-0000-0000-000063000000}"/>
    <cellStyle name="60% - Accent5 3" xfId="150" xr:uid="{00000000-0005-0000-0000-000064000000}"/>
    <cellStyle name="60% - Accent6" xfId="59" builtinId="52" hidden="1"/>
    <cellStyle name="60% - Accent6 2" xfId="151" xr:uid="{00000000-0005-0000-0000-000066000000}"/>
    <cellStyle name="60% - Accent6 2 2" xfId="152" xr:uid="{00000000-0005-0000-0000-000067000000}"/>
    <cellStyle name="60% - Accent6 3" xfId="153" xr:uid="{00000000-0005-0000-0000-000068000000}"/>
    <cellStyle name="Accent1" xfId="36" builtinId="29" hidden="1"/>
    <cellStyle name="Accent1 2" xfId="154" xr:uid="{00000000-0005-0000-0000-00006A000000}"/>
    <cellStyle name="Accent1 2 2" xfId="155" xr:uid="{00000000-0005-0000-0000-00006B000000}"/>
    <cellStyle name="Accent1 3" xfId="156" xr:uid="{00000000-0005-0000-0000-00006C000000}"/>
    <cellStyle name="Accent2" xfId="40" builtinId="33" hidden="1"/>
    <cellStyle name="Accent2 2" xfId="157" xr:uid="{00000000-0005-0000-0000-00006E000000}"/>
    <cellStyle name="Accent2 2 2" xfId="158" xr:uid="{00000000-0005-0000-0000-00006F000000}"/>
    <cellStyle name="Accent2 3" xfId="159" xr:uid="{00000000-0005-0000-0000-000070000000}"/>
    <cellStyle name="Accent3" xfId="44" builtinId="37" hidden="1"/>
    <cellStyle name="Accent3 2" xfId="160" xr:uid="{00000000-0005-0000-0000-000072000000}"/>
    <cellStyle name="Accent3 2 2" xfId="161" xr:uid="{00000000-0005-0000-0000-000073000000}"/>
    <cellStyle name="Accent3 3" xfId="162" xr:uid="{00000000-0005-0000-0000-000074000000}"/>
    <cellStyle name="Accent4" xfId="48" builtinId="41" hidden="1"/>
    <cellStyle name="Accent4 2" xfId="163" xr:uid="{00000000-0005-0000-0000-000076000000}"/>
    <cellStyle name="Accent4 2 2" xfId="164" xr:uid="{00000000-0005-0000-0000-000077000000}"/>
    <cellStyle name="Accent4 3" xfId="165" xr:uid="{00000000-0005-0000-0000-000078000000}"/>
    <cellStyle name="Accent5" xfId="52" builtinId="45" hidden="1"/>
    <cellStyle name="Accent5 2" xfId="166" xr:uid="{00000000-0005-0000-0000-00007A000000}"/>
    <cellStyle name="Accent5 2 2" xfId="167" xr:uid="{00000000-0005-0000-0000-00007B000000}"/>
    <cellStyle name="Accent5 3" xfId="168" xr:uid="{00000000-0005-0000-0000-00007C000000}"/>
    <cellStyle name="Accent6" xfId="56" builtinId="49" hidden="1"/>
    <cellStyle name="Accent6 2" xfId="169" xr:uid="{00000000-0005-0000-0000-00007E000000}"/>
    <cellStyle name="Accent6 2 2" xfId="170" xr:uid="{00000000-0005-0000-0000-00007F000000}"/>
    <cellStyle name="Accent6 3" xfId="171" xr:uid="{00000000-0005-0000-0000-000080000000}"/>
    <cellStyle name="Bad" xfId="2" hidden="1" xr:uid="{00000000-0005-0000-0000-000081000000}"/>
    <cellStyle name="Bad" xfId="268" xr:uid="{00000000-0005-0000-0000-000082000000}"/>
    <cellStyle name="Bad 2" xfId="172" xr:uid="{00000000-0005-0000-0000-000083000000}"/>
    <cellStyle name="Berekening 2" xfId="173" xr:uid="{00000000-0005-0000-0000-000084000000}"/>
    <cellStyle name="Berekening 2 2" xfId="174" xr:uid="{00000000-0005-0000-0000-000085000000}"/>
    <cellStyle name="Calculation" xfId="18" builtinId="22" hidden="1"/>
    <cellStyle name="Calculation" xfId="175" xr:uid="{00000000-0005-0000-0000-000087000000}"/>
    <cellStyle name="Calculation 2" xfId="269" xr:uid="{00000000-0005-0000-0000-000088000000}"/>
    <cellStyle name="Cel (tussen)resultaat" xfId="8" xr:uid="{00000000-0005-0000-0000-000089000000}"/>
    <cellStyle name="Cel Berekening" xfId="9" xr:uid="{00000000-0005-0000-0000-00008A000000}"/>
    <cellStyle name="Cel Bijzonderheid" xfId="10" xr:uid="{00000000-0005-0000-0000-00008B000000}"/>
    <cellStyle name="Cel Dataverzoek" xfId="65" xr:uid="{00000000-0005-0000-0000-00008C000000}"/>
    <cellStyle name="Cel Input" xfId="11" xr:uid="{00000000-0005-0000-0000-00008D000000}"/>
    <cellStyle name="Cel Input 2" xfId="72" xr:uid="{00000000-0005-0000-0000-00008E000000}"/>
    <cellStyle name="Cel Input 3" xfId="73" xr:uid="{00000000-0005-0000-0000-00008F000000}"/>
    <cellStyle name="Cel Input Data" xfId="74" xr:uid="{00000000-0005-0000-0000-000090000000}"/>
    <cellStyle name="Cel n.v.t. (leeg)" xfId="62" xr:uid="{00000000-0005-0000-0000-000091000000}"/>
    <cellStyle name="Cel PM extern" xfId="12" xr:uid="{00000000-0005-0000-0000-000092000000}"/>
    <cellStyle name="Cel Verwijzing" xfId="13" xr:uid="{00000000-0005-0000-0000-000093000000}"/>
    <cellStyle name="Check Cell" xfId="20" hidden="1" xr:uid="{00000000-0005-0000-0000-000094000000}"/>
    <cellStyle name="Check Cell" xfId="270" xr:uid="{00000000-0005-0000-0000-000095000000}"/>
    <cellStyle name="Check Cell 2" xfId="176" xr:uid="{00000000-0005-0000-0000-000096000000}"/>
    <cellStyle name="Comma" xfId="23" builtinId="3" hidden="1"/>
    <cellStyle name="Comma" xfId="63" builtinId="3"/>
    <cellStyle name="Comma [0]" xfId="24" builtinId="6" hidden="1"/>
    <cellStyle name="Comma 2" xfId="271" xr:uid="{00000000-0005-0000-0000-00009A000000}"/>
    <cellStyle name="Comma 3" xfId="177" xr:uid="{00000000-0005-0000-0000-00009B000000}"/>
    <cellStyle name="Controlecel 2" xfId="178" xr:uid="{00000000-0005-0000-0000-00009C000000}"/>
    <cellStyle name="Currency" xfId="25" builtinId="4" hidden="1"/>
    <cellStyle name="Currency [0]" xfId="26" builtinId="7" hidden="1"/>
    <cellStyle name="D_Lanvin BP Roth croissance 03 en 04 " xfId="75" xr:uid="{00000000-0005-0000-0000-00009F000000}"/>
    <cellStyle name="Euro" xfId="179" xr:uid="{00000000-0005-0000-0000-0000A0000000}"/>
    <cellStyle name="Euro 2" xfId="180" xr:uid="{00000000-0005-0000-0000-0000A1000000}"/>
    <cellStyle name="Euro 3" xfId="181" xr:uid="{00000000-0005-0000-0000-0000A2000000}"/>
    <cellStyle name="Explanatory Text" xfId="34" hidden="1" xr:uid="{00000000-0005-0000-0000-0000A3000000}"/>
    <cellStyle name="Explanatory Text" xfId="272" xr:uid="{00000000-0005-0000-0000-0000A4000000}"/>
    <cellStyle name="Explanatory Text 2" xfId="182" xr:uid="{00000000-0005-0000-0000-0000A5000000}"/>
    <cellStyle name="Followed Hyperlink" xfId="60" builtinId="9" hidden="1"/>
    <cellStyle name="Gekoppelde cel 2" xfId="183" xr:uid="{00000000-0005-0000-0000-0000A7000000}"/>
    <cellStyle name="Goed 2" xfId="184" xr:uid="{00000000-0005-0000-0000-0000A8000000}"/>
    <cellStyle name="Good" xfId="1" builtinId="26" hidden="1"/>
    <cellStyle name="Good" xfId="185" xr:uid="{00000000-0005-0000-0000-0000AA000000}"/>
    <cellStyle name="Good 2" xfId="186" xr:uid="{00000000-0005-0000-0000-0000AB000000}"/>
    <cellStyle name="Grijze cel" xfId="76" xr:uid="{00000000-0005-0000-0000-0000AC000000}"/>
    <cellStyle name="Header" xfId="187" xr:uid="{00000000-0005-0000-0000-0000AD000000}"/>
    <cellStyle name="Heading 1" xfId="29" hidden="1" xr:uid="{00000000-0005-0000-0000-0000AE000000}"/>
    <cellStyle name="Heading 1" xfId="273" xr:uid="{00000000-0005-0000-0000-0000AF000000}"/>
    <cellStyle name="Heading 1 2" xfId="188" xr:uid="{00000000-0005-0000-0000-0000B0000000}"/>
    <cellStyle name="Heading 2" xfId="30" hidden="1" xr:uid="{00000000-0005-0000-0000-0000B1000000}"/>
    <cellStyle name="Heading 2" xfId="274" xr:uid="{00000000-0005-0000-0000-0000B2000000}"/>
    <cellStyle name="Heading 2 2" xfId="189" xr:uid="{00000000-0005-0000-0000-0000B3000000}"/>
    <cellStyle name="Heading 3" xfId="31" hidden="1" xr:uid="{00000000-0005-0000-0000-0000B4000000}"/>
    <cellStyle name="Heading 3" xfId="275" xr:uid="{00000000-0005-0000-0000-0000B5000000}"/>
    <cellStyle name="Heading 3 2" xfId="190" xr:uid="{00000000-0005-0000-0000-0000B6000000}"/>
    <cellStyle name="Heading 4" xfId="32" hidden="1" xr:uid="{00000000-0005-0000-0000-0000B7000000}"/>
    <cellStyle name="Heading 4" xfId="276" xr:uid="{00000000-0005-0000-0000-0000B8000000}"/>
    <cellStyle name="Heading 4 2" xfId="191" xr:uid="{00000000-0005-0000-0000-0000B9000000}"/>
    <cellStyle name="Hyperlink" xfId="22" builtinId="8" hidden="1"/>
    <cellStyle name="Hyperlink" xfId="61" builtinId="8" customBuiltin="1"/>
    <cellStyle name="Hyperlink 2" xfId="294" xr:uid="{857919E0-CA41-456D-9AD9-1C898C6F903F}"/>
    <cellStyle name="Input" xfId="16" hidden="1" xr:uid="{00000000-0005-0000-0000-0000BC000000}"/>
    <cellStyle name="Input" xfId="277" xr:uid="{00000000-0005-0000-0000-0000BD000000}"/>
    <cellStyle name="Input 2" xfId="192" xr:uid="{00000000-0005-0000-0000-0000BE000000}"/>
    <cellStyle name="Invoer 2" xfId="193" xr:uid="{00000000-0005-0000-0000-0000BF000000}"/>
    <cellStyle name="Invoer 2 2" xfId="194" xr:uid="{00000000-0005-0000-0000-0000C0000000}"/>
    <cellStyle name="Komma 10 2" xfId="195" xr:uid="{00000000-0005-0000-0000-0000C1000000}"/>
    <cellStyle name="Komma 10 2 2" xfId="196" xr:uid="{00000000-0005-0000-0000-0000C2000000}"/>
    <cellStyle name="Komma 11" xfId="197" xr:uid="{00000000-0005-0000-0000-0000C3000000}"/>
    <cellStyle name="Komma 14 2" xfId="198" xr:uid="{00000000-0005-0000-0000-0000C4000000}"/>
    <cellStyle name="Komma 2" xfId="278" xr:uid="{00000000-0005-0000-0000-0000C5000000}"/>
    <cellStyle name="Komma 2 2" xfId="199" xr:uid="{00000000-0005-0000-0000-0000C6000000}"/>
    <cellStyle name="Komma 2 2 2" xfId="200" xr:uid="{00000000-0005-0000-0000-0000C7000000}"/>
    <cellStyle name="Komma 2 3" xfId="201" xr:uid="{00000000-0005-0000-0000-0000C8000000}"/>
    <cellStyle name="Komma 2 4" xfId="202" xr:uid="{00000000-0005-0000-0000-0000C9000000}"/>
    <cellStyle name="Komma 3" xfId="203" xr:uid="{00000000-0005-0000-0000-0000CA000000}"/>
    <cellStyle name="Komma 3 2" xfId="204" xr:uid="{00000000-0005-0000-0000-0000CB000000}"/>
    <cellStyle name="Komma 3 3" xfId="205" xr:uid="{00000000-0005-0000-0000-0000CC000000}"/>
    <cellStyle name="Komma 4" xfId="206" xr:uid="{00000000-0005-0000-0000-0000CD000000}"/>
    <cellStyle name="Komma 4 2" xfId="207" xr:uid="{00000000-0005-0000-0000-0000CE000000}"/>
    <cellStyle name="Komma 5" xfId="208" xr:uid="{00000000-0005-0000-0000-0000CF000000}"/>
    <cellStyle name="Komma 5 2" xfId="209" xr:uid="{00000000-0005-0000-0000-0000D0000000}"/>
    <cellStyle name="Komma 6" xfId="210" xr:uid="{00000000-0005-0000-0000-0000D1000000}"/>
    <cellStyle name="Kop 1 2" xfId="211" xr:uid="{00000000-0005-0000-0000-0000D2000000}"/>
    <cellStyle name="Kop 2 2" xfId="212" xr:uid="{00000000-0005-0000-0000-0000D3000000}"/>
    <cellStyle name="Kop 3 2" xfId="213" xr:uid="{00000000-0005-0000-0000-0000D4000000}"/>
    <cellStyle name="Kop 4 2" xfId="214" xr:uid="{00000000-0005-0000-0000-0000D5000000}"/>
    <cellStyle name="Linked Cell" xfId="19" builtinId="24" hidden="1"/>
    <cellStyle name="Linked Cell" xfId="215" xr:uid="{00000000-0005-0000-0000-0000D7000000}"/>
    <cellStyle name="Linked Cell 2" xfId="216" xr:uid="{00000000-0005-0000-0000-0000D8000000}"/>
    <cellStyle name="Neutraal 2" xfId="217" xr:uid="{00000000-0005-0000-0000-0000D9000000}"/>
    <cellStyle name="Neutral" xfId="3" builtinId="28" hidden="1"/>
    <cellStyle name="Neutral" xfId="218" xr:uid="{00000000-0005-0000-0000-0000DB000000}"/>
    <cellStyle name="Neutral 2" xfId="219" xr:uid="{00000000-0005-0000-0000-0000DC000000}"/>
    <cellStyle name="Normal" xfId="0" builtinId="0" customBuiltin="1"/>
    <cellStyle name="Normal 2" xfId="220" xr:uid="{00000000-0005-0000-0000-0000DE000000}"/>
    <cellStyle name="Normal 3" xfId="221" xr:uid="{00000000-0005-0000-0000-0000DF000000}"/>
    <cellStyle name="Normal 4" xfId="267" xr:uid="{00000000-0005-0000-0000-0000E0000000}"/>
    <cellStyle name="Normal 4 2" xfId="290" xr:uid="{00000000-0005-0000-0000-0000E1000000}"/>
    <cellStyle name="Note" xfId="21" hidden="1" xr:uid="{00000000-0005-0000-0000-0000E2000000}"/>
    <cellStyle name="Note" xfId="279" xr:uid="{00000000-0005-0000-0000-0000E3000000}"/>
    <cellStyle name="Note 2" xfId="222" xr:uid="{00000000-0005-0000-0000-0000E4000000}"/>
    <cellStyle name="Notitie 2" xfId="223" xr:uid="{00000000-0005-0000-0000-0000E5000000}"/>
    <cellStyle name="Notitie 2 2" xfId="224" xr:uid="{00000000-0005-0000-0000-0000E6000000}"/>
    <cellStyle name="Notitie 2 3" xfId="225" xr:uid="{00000000-0005-0000-0000-0000E7000000}"/>
    <cellStyle name="Notitie 2 4" xfId="226" xr:uid="{00000000-0005-0000-0000-0000E8000000}"/>
    <cellStyle name="Notitie 3" xfId="227" xr:uid="{00000000-0005-0000-0000-0000E9000000}"/>
    <cellStyle name="Notitie 3 2" xfId="228" xr:uid="{00000000-0005-0000-0000-0000EA000000}"/>
    <cellStyle name="Notitie 4" xfId="229" xr:uid="{00000000-0005-0000-0000-0000EB000000}"/>
    <cellStyle name="Ongeldig 2" xfId="230" xr:uid="{00000000-0005-0000-0000-0000EC000000}"/>
    <cellStyle name="Opm. INTERN" xfId="14" xr:uid="{00000000-0005-0000-0000-0000ED000000}"/>
    <cellStyle name="Output" xfId="17" hidden="1" xr:uid="{00000000-0005-0000-0000-0000EE000000}"/>
    <cellStyle name="Output" xfId="280" xr:uid="{00000000-0005-0000-0000-0000EF000000}"/>
    <cellStyle name="Output 2" xfId="231" xr:uid="{00000000-0005-0000-0000-0000F0000000}"/>
    <cellStyle name="Percent" xfId="27" builtinId="5" hidden="1"/>
    <cellStyle name="Percent" xfId="64" builtinId="5"/>
    <cellStyle name="Procent 2" xfId="78" xr:uid="{00000000-0005-0000-0000-0000F3000000}"/>
    <cellStyle name="Procent 2 2" xfId="232" xr:uid="{00000000-0005-0000-0000-0000F4000000}"/>
    <cellStyle name="Procent 2 3" xfId="291" xr:uid="{00000000-0005-0000-0000-0000F5000000}"/>
    <cellStyle name="Procent 3" xfId="233" xr:uid="{00000000-0005-0000-0000-0000F6000000}"/>
    <cellStyle name="Procent 3 2" xfId="234" xr:uid="{00000000-0005-0000-0000-0000F7000000}"/>
    <cellStyle name="Procent 4" xfId="235" xr:uid="{00000000-0005-0000-0000-0000F8000000}"/>
    <cellStyle name="Procent 4 2" xfId="236" xr:uid="{00000000-0005-0000-0000-0000F9000000}"/>
    <cellStyle name="Procent 5" xfId="237" xr:uid="{00000000-0005-0000-0000-0000FA000000}"/>
    <cellStyle name="Standaard 2" xfId="281" xr:uid="{00000000-0005-0000-0000-0000FB000000}"/>
    <cellStyle name="Standaard 2 2" xfId="238" xr:uid="{00000000-0005-0000-0000-0000FC000000}"/>
    <cellStyle name="Standaard 2 2 2" xfId="239" xr:uid="{00000000-0005-0000-0000-0000FD000000}"/>
    <cellStyle name="Standaard 2 3" xfId="240" xr:uid="{00000000-0005-0000-0000-0000FE000000}"/>
    <cellStyle name="Standaard 2 3 2" xfId="241" xr:uid="{00000000-0005-0000-0000-0000FF000000}"/>
    <cellStyle name="Standaard 2 4" xfId="242" xr:uid="{00000000-0005-0000-0000-000000010000}"/>
    <cellStyle name="Standaard 2 4 2" xfId="243" xr:uid="{00000000-0005-0000-0000-000001010000}"/>
    <cellStyle name="Standaard 3" xfId="244" xr:uid="{00000000-0005-0000-0000-000002010000}"/>
    <cellStyle name="Standaard 3 2" xfId="245" xr:uid="{00000000-0005-0000-0000-000003010000}"/>
    <cellStyle name="Standaard 3 3" xfId="246" xr:uid="{00000000-0005-0000-0000-000004010000}"/>
    <cellStyle name="Standaard 3 4" xfId="247" xr:uid="{00000000-0005-0000-0000-000005010000}"/>
    <cellStyle name="Standaard 4" xfId="248" xr:uid="{00000000-0005-0000-0000-000006010000}"/>
    <cellStyle name="Standaard 4 2" xfId="249" xr:uid="{00000000-0005-0000-0000-000007010000}"/>
    <cellStyle name="Standaard 4 3" xfId="250" xr:uid="{00000000-0005-0000-0000-000008010000}"/>
    <cellStyle name="Standaard 5" xfId="251" xr:uid="{00000000-0005-0000-0000-000009010000}"/>
    <cellStyle name="Standaard 5 2" xfId="252" xr:uid="{00000000-0005-0000-0000-00000A010000}"/>
    <cellStyle name="Standaard 6" xfId="253" xr:uid="{00000000-0005-0000-0000-00000B010000}"/>
    <cellStyle name="Standaard 6 2" xfId="254" xr:uid="{00000000-0005-0000-0000-00000C010000}"/>
    <cellStyle name="Standaard 6 2 2" xfId="255" xr:uid="{00000000-0005-0000-0000-00000D010000}"/>
    <cellStyle name="Standaard 6 3" xfId="256" xr:uid="{00000000-0005-0000-0000-00000E010000}"/>
    <cellStyle name="Standaard 7" xfId="257" xr:uid="{00000000-0005-0000-0000-00000F010000}"/>
    <cellStyle name="Standaard ACM-DE" xfId="4" xr:uid="{00000000-0005-0000-0000-000010010000}"/>
    <cellStyle name="Titel 2" xfId="258" xr:uid="{00000000-0005-0000-0000-000014010000}"/>
    <cellStyle name="Title" xfId="28" builtinId="15" hidden="1"/>
    <cellStyle name="Title" xfId="259" xr:uid="{00000000-0005-0000-0000-000016010000}"/>
    <cellStyle name="Title 2" xfId="260" xr:uid="{00000000-0005-0000-0000-000017010000}"/>
    <cellStyle name="Toelichting" xfId="15" xr:uid="{00000000-0005-0000-0000-000018010000}"/>
    <cellStyle name="Totaal 2" xfId="261" xr:uid="{00000000-0005-0000-0000-000019010000}"/>
    <cellStyle name="Totaal 2 2" xfId="262" xr:uid="{00000000-0005-0000-0000-00001A010000}"/>
    <cellStyle name="Totaal 2 3" xfId="263" xr:uid="{00000000-0005-0000-0000-00001B010000}"/>
    <cellStyle name="Total" xfId="35" builtinId="25" hidden="1"/>
    <cellStyle name="Total" xfId="264" xr:uid="{00000000-0005-0000-0000-00001D010000}"/>
    <cellStyle name="Total 2" xfId="282" xr:uid="{00000000-0005-0000-0000-00001E010000}"/>
    <cellStyle name="Uitvoer 2" xfId="283" xr:uid="{00000000-0005-0000-0000-00001F010000}"/>
    <cellStyle name="Uitvoer 2 2" xfId="284" xr:uid="{00000000-0005-0000-0000-000020010000}"/>
    <cellStyle name="Uitvoer 2 3" xfId="285" xr:uid="{00000000-0005-0000-0000-000021010000}"/>
    <cellStyle name="Valuta 2" xfId="286" xr:uid="{00000000-0005-0000-0000-000022010000}"/>
    <cellStyle name="Verklarende tekst 2" xfId="265" xr:uid="{00000000-0005-0000-0000-000023010000}"/>
    <cellStyle name="Waarschuwingstekst 2" xfId="266" xr:uid="{00000000-0005-0000-0000-000024010000}"/>
    <cellStyle name="Warning Text" xfId="33" builtinId="11" hidden="1"/>
    <cellStyle name="Warning Text" xfId="287" xr:uid="{00000000-0005-0000-0000-000026010000}"/>
    <cellStyle name="Warning Text 2" xfId="288" xr:uid="{00000000-0005-0000-0000-000027010000}"/>
    <cellStyle name="WIt" xfId="289" xr:uid="{00000000-0005-0000-0000-000028010000}"/>
  </cellStyles>
  <dxfs count="0"/>
  <tableStyles count="0" defaultTableStyle="TableStyleMedium2" defaultPivotStyle="PivotStyleLight16"/>
  <colors>
    <mruColors>
      <color rgb="FFCCFFFF"/>
      <color rgb="FFFFFFCC"/>
      <color rgb="FFFFCC99"/>
      <color rgb="FFFF00FF"/>
      <color rgb="FFE1FFE1"/>
      <color rgb="FFCCC8D9"/>
      <color rgb="FF99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acm.nl/nl/publicaties/x-factorberekening-regionale-netbeheerders-elektriciteit-2021-2026" TargetMode="External"/><Relationship Id="rId2" Type="http://schemas.openxmlformats.org/officeDocument/2006/relationships/hyperlink" Target="https://www.acm.nl/nl/publicaties/berekening-totale-inkomsten-2022-regionaal-netbeheer-gas" TargetMode="External"/><Relationship Id="rId1" Type="http://schemas.openxmlformats.org/officeDocument/2006/relationships/hyperlink" Target="https://www.acm.nl/nl/zoeken-publicaties?text=tarievenbesluit+gas+2022&amp;combined_date%5Bradiobuttons%5D=custom&amp;combined_date%5Bmin%5D=2021-11-28&amp;combined_date%5Bmax%5D=2021-12-12&amp;combined_keyword=All&amp;sort_by=search_api_relevance"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C8D9"/>
  </sheetPr>
  <dimension ref="B2:D33"/>
  <sheetViews>
    <sheetView showGridLines="0" tabSelected="1" zoomScale="85" zoomScaleNormal="85" workbookViewId="0">
      <pane ySplit="3" topLeftCell="A4" activePane="bottomLeft" state="frozen"/>
      <selection activeCell="O39" sqref="O39"/>
      <selection pane="bottomLeft" activeCell="A4" sqref="A4"/>
    </sheetView>
  </sheetViews>
  <sheetFormatPr defaultColWidth="9.140625" defaultRowHeight="12.75"/>
  <cols>
    <col min="1" max="1" width="4.7109375" style="4" customWidth="1"/>
    <col min="2" max="2" width="39.85546875" style="4" customWidth="1"/>
    <col min="3" max="3" width="91.85546875" style="4" customWidth="1"/>
    <col min="4" max="16384" width="9.140625" style="4"/>
  </cols>
  <sheetData>
    <row r="2" spans="2:3" s="9" customFormat="1" ht="18">
      <c r="B2" s="9" t="s">
        <v>313</v>
      </c>
    </row>
    <row r="6" spans="2:3">
      <c r="B6" s="5"/>
    </row>
    <row r="13" spans="2:3" s="10" customFormat="1">
      <c r="B13" s="10" t="s">
        <v>0</v>
      </c>
    </row>
    <row r="15" spans="2:3">
      <c r="B15" s="11" t="s">
        <v>1</v>
      </c>
      <c r="C15" s="12" t="s">
        <v>305</v>
      </c>
    </row>
    <row r="16" spans="2:3">
      <c r="B16" s="11" t="s">
        <v>2</v>
      </c>
      <c r="C16" s="98" t="s">
        <v>313</v>
      </c>
    </row>
    <row r="17" spans="2:4">
      <c r="B17" s="11" t="s">
        <v>3</v>
      </c>
      <c r="C17" s="12"/>
    </row>
    <row r="18" spans="2:4">
      <c r="B18" s="11" t="s">
        <v>4</v>
      </c>
      <c r="C18" s="12" t="s">
        <v>253</v>
      </c>
    </row>
    <row r="19" spans="2:4">
      <c r="B19" s="11" t="s">
        <v>5</v>
      </c>
      <c r="C19" s="12"/>
    </row>
    <row r="20" spans="2:4">
      <c r="B20" s="11" t="s">
        <v>6</v>
      </c>
      <c r="C20" s="12"/>
    </row>
    <row r="21" spans="2:4">
      <c r="B21" s="11" t="s">
        <v>7</v>
      </c>
      <c r="C21" s="12" t="s">
        <v>306</v>
      </c>
    </row>
    <row r="22" spans="2:4">
      <c r="B22" s="11" t="s">
        <v>8</v>
      </c>
      <c r="C22" s="12"/>
    </row>
    <row r="25" spans="2:4" s="10" customFormat="1">
      <c r="B25" s="10" t="s">
        <v>9</v>
      </c>
    </row>
    <row r="27" spans="2:4">
      <c r="B27" s="11" t="s">
        <v>10</v>
      </c>
      <c r="C27" s="12" t="s">
        <v>307</v>
      </c>
    </row>
    <row r="28" spans="2:4">
      <c r="B28" s="12" t="s">
        <v>61</v>
      </c>
      <c r="C28" s="12" t="s">
        <v>307</v>
      </c>
    </row>
    <row r="29" spans="2:4" ht="25.5">
      <c r="B29" s="11" t="s">
        <v>11</v>
      </c>
      <c r="C29" s="12" t="s">
        <v>307</v>
      </c>
    </row>
    <row r="30" spans="2:4">
      <c r="B30" s="11" t="s">
        <v>12</v>
      </c>
      <c r="C30" s="12"/>
    </row>
    <row r="31" spans="2:4">
      <c r="B31" s="11" t="s">
        <v>8</v>
      </c>
      <c r="C31" s="12"/>
    </row>
    <row r="32" spans="2:4">
      <c r="B32" s="25"/>
      <c r="C32" s="25"/>
      <c r="D32" s="7"/>
    </row>
    <row r="33" spans="2:2" s="10" customFormat="1">
      <c r="B33" s="10" t="s">
        <v>13</v>
      </c>
    </row>
  </sheetData>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2FDD0-47C4-44A6-9FE8-63A033D4D996}">
  <sheetPr>
    <tabColor rgb="FFFFFFCC"/>
  </sheetPr>
  <dimension ref="B2:S110"/>
  <sheetViews>
    <sheetView showGridLines="0" zoomScale="85" zoomScaleNormal="85" workbookViewId="0">
      <pane xSplit="6" ySplit="8" topLeftCell="G9" activePane="bottomRight" state="frozen"/>
      <selection pane="topRight" activeCell="G1" sqref="G1"/>
      <selection pane="bottomLeft" activeCell="A9" sqref="A9"/>
      <selection pane="bottomRight" activeCell="G9" sqref="G9"/>
    </sheetView>
  </sheetViews>
  <sheetFormatPr defaultRowHeight="12.75"/>
  <cols>
    <col min="1" max="1" width="2.5703125" customWidth="1"/>
    <col min="2" max="2" width="50.5703125" customWidth="1"/>
    <col min="3" max="3" width="3.28515625" customWidth="1"/>
    <col min="4" max="4" width="3.140625" customWidth="1"/>
    <col min="5" max="5" width="3.28515625" customWidth="1"/>
    <col min="8" max="8" width="12.5703125" customWidth="1"/>
    <col min="10" max="10" width="12.42578125" customWidth="1"/>
    <col min="12" max="17" width="12.5703125" customWidth="1"/>
  </cols>
  <sheetData>
    <row r="2" spans="2:19" s="19" customFormat="1" ht="18">
      <c r="B2" s="19" t="s">
        <v>207</v>
      </c>
    </row>
    <row r="3" spans="2:19" s="4" customFormat="1"/>
    <row r="4" spans="2:19" s="4" customFormat="1">
      <c r="B4" s="26" t="s">
        <v>54</v>
      </c>
      <c r="C4" s="3"/>
      <c r="D4" s="3"/>
    </row>
    <row r="5" spans="2:19" s="4" customFormat="1">
      <c r="B5" s="4" t="s">
        <v>208</v>
      </c>
      <c r="H5" s="20"/>
    </row>
    <row r="6" spans="2:19" s="4" customFormat="1">
      <c r="H6" s="20"/>
    </row>
    <row r="7" spans="2:19" s="10" customFormat="1">
      <c r="B7" s="10" t="s">
        <v>43</v>
      </c>
      <c r="F7" s="10" t="s">
        <v>26</v>
      </c>
      <c r="H7" s="10" t="s">
        <v>27</v>
      </c>
      <c r="J7" s="10" t="s">
        <v>46</v>
      </c>
      <c r="L7" s="10" t="s">
        <v>77</v>
      </c>
      <c r="M7" s="10" t="s">
        <v>68</v>
      </c>
      <c r="N7" s="10" t="s">
        <v>69</v>
      </c>
      <c r="O7" s="10" t="s">
        <v>70</v>
      </c>
      <c r="P7" s="10" t="s">
        <v>71</v>
      </c>
      <c r="Q7" s="10" t="s">
        <v>72</v>
      </c>
      <c r="S7" s="10" t="s">
        <v>45</v>
      </c>
    </row>
    <row r="8" spans="2:19" s="4" customFormat="1"/>
    <row r="9" spans="2:19" s="4" customFormat="1"/>
    <row r="10" spans="2:19" s="10" customFormat="1">
      <c r="B10" s="10" t="s">
        <v>209</v>
      </c>
    </row>
    <row r="11" spans="2:19" s="4" customFormat="1"/>
    <row r="12" spans="2:19" s="4" customFormat="1">
      <c r="B12" s="26" t="s">
        <v>110</v>
      </c>
    </row>
    <row r="13" spans="2:19" s="4" customFormat="1"/>
    <row r="14" spans="2:19" s="4" customFormat="1">
      <c r="B14" s="26" t="s">
        <v>111</v>
      </c>
    </row>
    <row r="15" spans="2:19" s="4" customFormat="1">
      <c r="B15" s="66" t="s">
        <v>112</v>
      </c>
      <c r="F15" s="4" t="s">
        <v>88</v>
      </c>
      <c r="J15" s="74">
        <f>SUM(L15:Q15)</f>
        <v>897799.04354732973</v>
      </c>
      <c r="L15" s="73">
        <f>'Realisatie 2022'!L15</f>
        <v>9393</v>
      </c>
      <c r="M15" s="73">
        <f>'Realisatie 2022'!M15</f>
        <v>225366.50447253222</v>
      </c>
      <c r="N15" s="73">
        <f>'Realisatie 2022'!N15</f>
        <v>321912.23286581447</v>
      </c>
      <c r="O15" s="73">
        <f>'Realisatie 2022'!O15</f>
        <v>7315.8</v>
      </c>
      <c r="P15" s="73">
        <f>'Realisatie 2022'!P15</f>
        <v>327172.05124807986</v>
      </c>
      <c r="Q15" s="73">
        <f>'Realisatie 2022'!Q15</f>
        <v>6639.4549609031374</v>
      </c>
    </row>
    <row r="16" spans="2:19" s="4" customFormat="1">
      <c r="B16" s="66" t="s">
        <v>113</v>
      </c>
      <c r="F16" s="4" t="s">
        <v>88</v>
      </c>
      <c r="J16" s="74">
        <f t="shared" ref="J16:J39" si="0">SUM(L16:Q16)</f>
        <v>6025563.336141414</v>
      </c>
      <c r="L16" s="73">
        <f>'Realisatie 2022'!L16</f>
        <v>124783</v>
      </c>
      <c r="M16" s="73">
        <f>'Realisatie 2022'!M16</f>
        <v>1955996.4323542889</v>
      </c>
      <c r="N16" s="73">
        <f>'Realisatie 2022'!N16</f>
        <v>2106353.5232833121</v>
      </c>
      <c r="O16" s="73">
        <f>'Realisatie 2022'!O16</f>
        <v>91653.95</v>
      </c>
      <c r="P16" s="73">
        <f>'Realisatie 2022'!P16</f>
        <v>1700608.8094636456</v>
      </c>
      <c r="Q16" s="73">
        <f>'Realisatie 2022'!Q16</f>
        <v>46167.621040167483</v>
      </c>
    </row>
    <row r="17" spans="2:17" s="4" customFormat="1">
      <c r="B17" s="66" t="s">
        <v>114</v>
      </c>
      <c r="F17" s="4" t="s">
        <v>88</v>
      </c>
      <c r="J17" s="74">
        <f t="shared" si="0"/>
        <v>156519.32752369982</v>
      </c>
      <c r="L17" s="73">
        <f>'Realisatie 2022'!L17</f>
        <v>4980</v>
      </c>
      <c r="M17" s="73">
        <f>'Realisatie 2022'!M17</f>
        <v>56666.224540710456</v>
      </c>
      <c r="N17" s="73">
        <f>'Realisatie 2022'!N17</f>
        <v>55285.350693649809</v>
      </c>
      <c r="O17" s="73">
        <f>'Realisatie 2022'!O17</f>
        <v>3470.21</v>
      </c>
      <c r="P17" s="73">
        <f>'Realisatie 2022'!P17</f>
        <v>35124.401126472098</v>
      </c>
      <c r="Q17" s="73">
        <f>'Realisatie 2022'!Q17</f>
        <v>993.14116286746184</v>
      </c>
    </row>
    <row r="18" spans="2:17" s="4" customFormat="1">
      <c r="B18" s="4" t="s">
        <v>115</v>
      </c>
      <c r="F18" s="4" t="s">
        <v>88</v>
      </c>
      <c r="J18" s="74">
        <f t="shared" si="0"/>
        <v>28819.981978328615</v>
      </c>
      <c r="L18" s="73">
        <f>'Realisatie 2022'!L18</f>
        <v>170</v>
      </c>
      <c r="M18" s="73">
        <f>'Realisatie 2022'!M18</f>
        <v>7835.7726981125334</v>
      </c>
      <c r="N18" s="73">
        <f>'Realisatie 2022'!N18</f>
        <v>11836.457547324026</v>
      </c>
      <c r="O18" s="73">
        <f>'Realisatie 2022'!O18</f>
        <v>627</v>
      </c>
      <c r="P18" s="73">
        <f>'Realisatie 2022'!P18</f>
        <v>7992.2661610343066</v>
      </c>
      <c r="Q18" s="73">
        <f>'Realisatie 2022'!Q18</f>
        <v>358.48557185774752</v>
      </c>
    </row>
    <row r="19" spans="2:17" s="4" customFormat="1">
      <c r="B19" s="4" t="s">
        <v>116</v>
      </c>
      <c r="F19" s="4" t="s">
        <v>88</v>
      </c>
      <c r="J19" s="74">
        <f t="shared" si="0"/>
        <v>60004.374084242474</v>
      </c>
      <c r="L19" s="73">
        <f>'Realisatie 2022'!L19</f>
        <v>1820</v>
      </c>
      <c r="M19" s="73">
        <f>'Realisatie 2022'!M19</f>
        <v>22992.943875139314</v>
      </c>
      <c r="N19" s="73">
        <f>'Realisatie 2022'!N19</f>
        <v>19441.627407068361</v>
      </c>
      <c r="O19" s="73">
        <f>'Realisatie 2022'!O19</f>
        <v>861.6</v>
      </c>
      <c r="P19" s="73">
        <f>'Realisatie 2022'!P19</f>
        <v>14538.52827060932</v>
      </c>
      <c r="Q19" s="73">
        <f>'Realisatie 2022'!Q19</f>
        <v>349.67453142548254</v>
      </c>
    </row>
    <row r="20" spans="2:17" s="4" customFormat="1">
      <c r="B20" s="4" t="s">
        <v>117</v>
      </c>
      <c r="F20" s="4" t="s">
        <v>88</v>
      </c>
      <c r="J20" s="74">
        <f t="shared" si="0"/>
        <v>23212.057560931153</v>
      </c>
      <c r="L20" s="73">
        <f>'Realisatie 2022'!L20</f>
        <v>593</v>
      </c>
      <c r="M20" s="73">
        <f>'Realisatie 2022'!M20</f>
        <v>8050.4025240759056</v>
      </c>
      <c r="N20" s="73">
        <f>'Realisatie 2022'!N20</f>
        <v>7932.7068493150682</v>
      </c>
      <c r="O20" s="73">
        <f>'Realisatie 2022'!O20</f>
        <v>309.7</v>
      </c>
      <c r="P20" s="73">
        <f>'Realisatie 2022'!P20</f>
        <v>6074.2851638504872</v>
      </c>
      <c r="Q20" s="73">
        <f>'Realisatie 2022'!Q20</f>
        <v>251.96302368969279</v>
      </c>
    </row>
    <row r="21" spans="2:17" s="4" customFormat="1">
      <c r="J21" s="72"/>
      <c r="L21" s="72"/>
      <c r="M21" s="72"/>
      <c r="N21" s="72"/>
      <c r="O21" s="72"/>
      <c r="P21" s="72"/>
      <c r="Q21" s="72"/>
    </row>
    <row r="22" spans="2:17" s="4" customFormat="1">
      <c r="B22" s="3" t="s">
        <v>118</v>
      </c>
      <c r="J22" s="72"/>
      <c r="L22" s="72"/>
      <c r="M22" s="72"/>
      <c r="N22" s="72"/>
      <c r="O22" s="72"/>
      <c r="P22" s="72"/>
      <c r="Q22" s="72"/>
    </row>
    <row r="23" spans="2:17" s="4" customFormat="1">
      <c r="B23" s="4" t="s">
        <v>119</v>
      </c>
      <c r="F23" s="4" t="s">
        <v>88</v>
      </c>
      <c r="J23" s="74">
        <f t="shared" si="0"/>
        <v>9011.9009676671485</v>
      </c>
      <c r="L23" s="73">
        <f>'Realisatie 2022'!L23</f>
        <v>229</v>
      </c>
      <c r="M23" s="73">
        <f>'Realisatie 2022'!M23</f>
        <v>2940.0047706351979</v>
      </c>
      <c r="N23" s="73">
        <f>'Realisatie 2022'!N23</f>
        <v>3212.8916666666664</v>
      </c>
      <c r="O23" s="73">
        <f>'Realisatie 2022'!O23</f>
        <v>125.49</v>
      </c>
      <c r="P23" s="73">
        <f>'Realisatie 2022'!P23</f>
        <v>2388.7711111111112</v>
      </c>
      <c r="Q23" s="73">
        <f>'Realisatie 2022'!Q23</f>
        <v>115.74341925417309</v>
      </c>
    </row>
    <row r="24" spans="2:17" s="4" customFormat="1">
      <c r="B24" s="4" t="s">
        <v>120</v>
      </c>
      <c r="F24" s="4" t="s">
        <v>88</v>
      </c>
      <c r="J24" s="74">
        <f t="shared" si="0"/>
        <v>9707.0675395662529</v>
      </c>
      <c r="L24" s="73">
        <f>'Realisatie 2022'!L24</f>
        <v>168</v>
      </c>
      <c r="M24" s="73">
        <f>'Realisatie 2022'!M24</f>
        <v>2951.8550616847497</v>
      </c>
      <c r="N24" s="73">
        <f>'Realisatie 2022'!N24</f>
        <v>3463.6175000000003</v>
      </c>
      <c r="O24" s="73">
        <f>'Realisatie 2022'!O24</f>
        <v>122.52</v>
      </c>
      <c r="P24" s="73">
        <f>'Realisatie 2022'!P24</f>
        <v>2808.2366666666662</v>
      </c>
      <c r="Q24" s="73">
        <f>'Realisatie 2022'!Q24</f>
        <v>192.83831121483715</v>
      </c>
    </row>
    <row r="25" spans="2:17" s="4" customFormat="1">
      <c r="B25" s="4" t="s">
        <v>121</v>
      </c>
      <c r="F25" s="4" t="s">
        <v>88</v>
      </c>
      <c r="J25" s="74">
        <f t="shared" si="0"/>
        <v>4019.9850072300719</v>
      </c>
      <c r="L25" s="73">
        <f>'Realisatie 2022'!L25</f>
        <v>49</v>
      </c>
      <c r="M25" s="73">
        <f>'Realisatie 2022'!M25</f>
        <v>1297.2780575612373</v>
      </c>
      <c r="N25" s="73">
        <f>'Realisatie 2022'!N25</f>
        <v>1250.5858333333335</v>
      </c>
      <c r="O25" s="73">
        <f>'Realisatie 2022'!O25</f>
        <v>32</v>
      </c>
      <c r="P25" s="73">
        <f>'Realisatie 2022'!P25</f>
        <v>1236.8222222222221</v>
      </c>
      <c r="Q25" s="73">
        <f>'Realisatie 2022'!Q25</f>
        <v>154.29889411327883</v>
      </c>
    </row>
    <row r="26" spans="2:17" s="4" customFormat="1">
      <c r="B26" s="4" t="s">
        <v>122</v>
      </c>
      <c r="F26" s="4" t="s">
        <v>88</v>
      </c>
      <c r="J26" s="74">
        <f t="shared" si="0"/>
        <v>1177.2378952512956</v>
      </c>
      <c r="L26" s="73">
        <f>'Realisatie 2022'!L26</f>
        <v>29</v>
      </c>
      <c r="M26" s="73">
        <f>'Realisatie 2022'!M26</f>
        <v>394.45253264060949</v>
      </c>
      <c r="N26" s="73">
        <f>'Realisatie 2022'!N26</f>
        <v>376.6583333333333</v>
      </c>
      <c r="O26" s="73">
        <f>'Realisatie 2022'!O26</f>
        <v>19.420000000000002</v>
      </c>
      <c r="P26" s="73">
        <f>'Realisatie 2022'!P26</f>
        <v>274.25944444444445</v>
      </c>
      <c r="Q26" s="73">
        <f>'Realisatie 2022'!Q26</f>
        <v>83.447584832908404</v>
      </c>
    </row>
    <row r="27" spans="2:17" s="4" customFormat="1">
      <c r="B27" s="4" t="s">
        <v>123</v>
      </c>
      <c r="F27" s="4" t="s">
        <v>88</v>
      </c>
      <c r="J27" s="74">
        <f t="shared" si="0"/>
        <v>505.83824136508338</v>
      </c>
      <c r="L27" s="73">
        <f>'Realisatie 2022'!L27</f>
        <v>10</v>
      </c>
      <c r="M27" s="73">
        <f>'Realisatie 2022'!M27</f>
        <v>176.56756189139188</v>
      </c>
      <c r="N27" s="73">
        <f>'Realisatie 2022'!N27</f>
        <v>77.468333333333334</v>
      </c>
      <c r="O27" s="73">
        <f>'Realisatie 2022'!O27</f>
        <v>3</v>
      </c>
      <c r="P27" s="73">
        <f>'Realisatie 2022'!P27</f>
        <v>216.26166666666668</v>
      </c>
      <c r="Q27" s="73">
        <f>'Realisatie 2022'!Q27</f>
        <v>22.540679473691494</v>
      </c>
    </row>
    <row r="28" spans="2:17" s="4" customFormat="1">
      <c r="J28" s="72"/>
      <c r="L28" s="72"/>
      <c r="M28" s="72"/>
      <c r="N28" s="72"/>
      <c r="O28" s="72"/>
      <c r="P28" s="72"/>
      <c r="Q28" s="72"/>
    </row>
    <row r="29" spans="2:17" s="4" customFormat="1">
      <c r="B29" s="26" t="s">
        <v>124</v>
      </c>
      <c r="J29" s="72"/>
      <c r="L29" s="72"/>
      <c r="M29" s="72"/>
      <c r="N29" s="72"/>
      <c r="O29" s="72"/>
      <c r="P29" s="72"/>
      <c r="Q29" s="72"/>
    </row>
    <row r="30" spans="2:17" s="4" customFormat="1">
      <c r="J30" s="72"/>
      <c r="L30" s="72"/>
      <c r="M30" s="72"/>
      <c r="N30" s="72"/>
      <c r="O30" s="72"/>
      <c r="P30" s="72"/>
      <c r="Q30" s="72"/>
    </row>
    <row r="31" spans="2:17" s="4" customFormat="1">
      <c r="B31" s="4" t="s">
        <v>125</v>
      </c>
      <c r="F31" s="4" t="s">
        <v>88</v>
      </c>
      <c r="J31" s="74">
        <f t="shared" si="0"/>
        <v>8373.0709092591296</v>
      </c>
      <c r="L31" s="73">
        <f>'Realisatie 2022'!L31</f>
        <v>118</v>
      </c>
      <c r="M31" s="73">
        <f>'Realisatie 2022'!M31</f>
        <v>2599.21691411353</v>
      </c>
      <c r="N31" s="73">
        <f>'Realisatie 2022'!N31</f>
        <v>2799.1625000000004</v>
      </c>
      <c r="O31" s="73">
        <f>'Realisatie 2022'!O31</f>
        <v>86.57</v>
      </c>
      <c r="P31" s="73">
        <f>'Realisatie 2022'!P31</f>
        <v>2064.6518566652071</v>
      </c>
      <c r="Q31" s="73">
        <f>'Realisatie 2022'!Q31</f>
        <v>705.46963848039218</v>
      </c>
    </row>
    <row r="32" spans="2:17" s="4" customFormat="1">
      <c r="J32" s="72"/>
      <c r="L32" s="72"/>
      <c r="M32" s="72"/>
      <c r="N32" s="72"/>
      <c r="O32" s="72"/>
      <c r="P32" s="72"/>
      <c r="Q32" s="72"/>
    </row>
    <row r="33" spans="2:19" s="4" customFormat="1">
      <c r="B33" s="26" t="s">
        <v>126</v>
      </c>
      <c r="J33" s="72"/>
      <c r="L33" s="72"/>
      <c r="M33" s="72"/>
      <c r="N33" s="72"/>
      <c r="O33" s="72"/>
      <c r="P33" s="72"/>
      <c r="Q33" s="72"/>
    </row>
    <row r="34" spans="2:19" s="4" customFormat="1">
      <c r="J34" s="72"/>
      <c r="L34" s="72"/>
      <c r="M34" s="72"/>
      <c r="N34" s="72"/>
      <c r="O34" s="72"/>
      <c r="P34" s="72"/>
      <c r="Q34" s="72"/>
    </row>
    <row r="35" spans="2:19" s="4" customFormat="1">
      <c r="B35" s="26" t="s">
        <v>125</v>
      </c>
      <c r="J35" s="72"/>
      <c r="L35" s="72"/>
      <c r="M35" s="72"/>
      <c r="N35" s="72"/>
      <c r="O35" s="72"/>
      <c r="P35" s="72"/>
      <c r="Q35" s="72"/>
    </row>
    <row r="36" spans="2:19" s="4" customFormat="1">
      <c r="B36" s="4" t="s">
        <v>106</v>
      </c>
      <c r="F36" s="4" t="s">
        <v>88</v>
      </c>
      <c r="J36" s="74">
        <f t="shared" si="0"/>
        <v>679277.14750000008</v>
      </c>
      <c r="L36" s="73">
        <f>'Realisatie 2022'!L36</f>
        <v>24620</v>
      </c>
      <c r="M36" s="73">
        <f>'Realisatie 2022'!M36</f>
        <v>0</v>
      </c>
      <c r="N36" s="73">
        <f>'Realisatie 2022'!N36</f>
        <v>629549.34750000003</v>
      </c>
      <c r="O36" s="73">
        <f>'Realisatie 2022'!O36</f>
        <v>25107.8</v>
      </c>
      <c r="P36" s="73">
        <f>'Realisatie 2022'!P36</f>
        <v>0</v>
      </c>
      <c r="Q36" s="73">
        <f>'Realisatie 2022'!Q36</f>
        <v>0</v>
      </c>
    </row>
    <row r="37" spans="2:19" s="4" customFormat="1">
      <c r="B37" s="4" t="s">
        <v>107</v>
      </c>
      <c r="F37" s="4" t="s">
        <v>88</v>
      </c>
      <c r="J37" s="74">
        <f t="shared" si="0"/>
        <v>125837.06416666668</v>
      </c>
      <c r="L37" s="73">
        <f>'Realisatie 2022'!L37</f>
        <v>6478</v>
      </c>
      <c r="M37" s="73">
        <f>'Realisatie 2022'!M37</f>
        <v>0</v>
      </c>
      <c r="N37" s="73">
        <f>'Realisatie 2022'!N37</f>
        <v>116519.46416666667</v>
      </c>
      <c r="O37" s="73">
        <f>'Realisatie 2022'!O37</f>
        <v>2839.6</v>
      </c>
      <c r="P37" s="73">
        <f>'Realisatie 2022'!P37</f>
        <v>0</v>
      </c>
      <c r="Q37" s="73">
        <f>'Realisatie 2022'!Q37</f>
        <v>0</v>
      </c>
    </row>
    <row r="38" spans="2:19" s="4" customFormat="1">
      <c r="J38" s="72"/>
      <c r="K38" s="72"/>
      <c r="L38" s="72"/>
      <c r="M38" s="72"/>
      <c r="N38" s="72"/>
      <c r="O38" s="72"/>
      <c r="P38" s="72"/>
      <c r="Q38" s="72"/>
      <c r="R38" s="72"/>
      <c r="S38" s="72"/>
    </row>
    <row r="39" spans="2:19" s="4" customFormat="1">
      <c r="B39" s="4" t="s">
        <v>108</v>
      </c>
      <c r="F39" s="4" t="s">
        <v>88</v>
      </c>
      <c r="J39" s="74">
        <f t="shared" si="0"/>
        <v>1712430.4855209796</v>
      </c>
      <c r="L39" s="73">
        <f>'Realisatie 2022'!L39</f>
        <v>0</v>
      </c>
      <c r="M39" s="73">
        <f>'Realisatie 2022'!M39</f>
        <v>760245.97428986104</v>
      </c>
      <c r="N39" s="73">
        <f>'Realisatie 2022'!N39</f>
        <v>0</v>
      </c>
      <c r="O39" s="73">
        <f>'Realisatie 2022'!O39</f>
        <v>0</v>
      </c>
      <c r="P39" s="73">
        <f>'Realisatie 2022'!P39</f>
        <v>642028.08714280347</v>
      </c>
      <c r="Q39" s="73">
        <f>'Realisatie 2022'!Q39</f>
        <v>310156.42408831517</v>
      </c>
    </row>
    <row r="40" spans="2:19" s="4" customFormat="1"/>
    <row r="41" spans="2:19" s="10" customFormat="1">
      <c r="B41" s="10" t="s">
        <v>242</v>
      </c>
    </row>
    <row r="42" spans="2:19" s="4" customFormat="1"/>
    <row r="43" spans="2:19" s="4" customFormat="1">
      <c r="B43" s="26" t="s">
        <v>110</v>
      </c>
    </row>
    <row r="44" spans="2:19" s="4" customFormat="1"/>
    <row r="45" spans="2:19" s="4" customFormat="1">
      <c r="B45" s="26" t="s">
        <v>111</v>
      </c>
    </row>
    <row r="46" spans="2:19" s="4" customFormat="1">
      <c r="B46" s="66" t="s">
        <v>112</v>
      </c>
      <c r="J46" s="74">
        <f>SUM(L46:Q46)</f>
        <v>0</v>
      </c>
      <c r="L46" s="73">
        <f>Invoeding!L22</f>
        <v>0</v>
      </c>
      <c r="M46" s="73">
        <f>Invoeding!M22</f>
        <v>0</v>
      </c>
      <c r="N46" s="73">
        <f>Invoeding!N22</f>
        <v>0</v>
      </c>
      <c r="O46" s="73">
        <f>Invoeding!O22</f>
        <v>0</v>
      </c>
      <c r="P46" s="73">
        <f>Invoeding!P22</f>
        <v>0</v>
      </c>
      <c r="Q46" s="73">
        <f>Invoeding!Q22</f>
        <v>0</v>
      </c>
    </row>
    <row r="47" spans="2:19" s="4" customFormat="1">
      <c r="B47" s="66" t="s">
        <v>113</v>
      </c>
      <c r="J47" s="74">
        <f t="shared" ref="J47:J66" si="1">SUM(L47:Q47)</f>
        <v>0</v>
      </c>
      <c r="L47" s="73">
        <f>Invoeding!L23</f>
        <v>0</v>
      </c>
      <c r="M47" s="73">
        <f>Invoeding!M23</f>
        <v>0</v>
      </c>
      <c r="N47" s="73">
        <f>Invoeding!N23</f>
        <v>0</v>
      </c>
      <c r="O47" s="73">
        <f>Invoeding!O23</f>
        <v>0</v>
      </c>
      <c r="P47" s="73">
        <f>Invoeding!P23</f>
        <v>0</v>
      </c>
      <c r="Q47" s="73">
        <f>Invoeding!Q23</f>
        <v>0</v>
      </c>
    </row>
    <row r="48" spans="2:19" s="4" customFormat="1">
      <c r="B48" s="66" t="s">
        <v>114</v>
      </c>
      <c r="J48" s="74">
        <f t="shared" si="1"/>
        <v>0</v>
      </c>
      <c r="L48" s="73">
        <f>Invoeding!L24</f>
        <v>0</v>
      </c>
      <c r="M48" s="73">
        <f>Invoeding!M24</f>
        <v>0</v>
      </c>
      <c r="N48" s="73">
        <f>Invoeding!N24</f>
        <v>0</v>
      </c>
      <c r="O48" s="73">
        <f>Invoeding!O24</f>
        <v>0</v>
      </c>
      <c r="P48" s="73">
        <f>Invoeding!P24</f>
        <v>0</v>
      </c>
      <c r="Q48" s="73">
        <f>Invoeding!Q24</f>
        <v>0</v>
      </c>
    </row>
    <row r="49" spans="2:17" s="4" customFormat="1">
      <c r="B49" s="4" t="s">
        <v>115</v>
      </c>
      <c r="J49" s="74">
        <f t="shared" si="1"/>
        <v>0</v>
      </c>
      <c r="L49" s="73">
        <f>Invoeding!L25</f>
        <v>0</v>
      </c>
      <c r="M49" s="73">
        <f>Invoeding!M25</f>
        <v>0</v>
      </c>
      <c r="N49" s="73">
        <f>Invoeding!N25</f>
        <v>0</v>
      </c>
      <c r="O49" s="73">
        <f>Invoeding!O25</f>
        <v>0</v>
      </c>
      <c r="P49" s="73">
        <f>Invoeding!P25</f>
        <v>0</v>
      </c>
      <c r="Q49" s="73">
        <f>Invoeding!Q25</f>
        <v>0</v>
      </c>
    </row>
    <row r="50" spans="2:17" s="4" customFormat="1">
      <c r="B50" s="4" t="s">
        <v>116</v>
      </c>
      <c r="J50" s="74">
        <f t="shared" si="1"/>
        <v>0</v>
      </c>
      <c r="L50" s="73">
        <f>Invoeding!L26</f>
        <v>0</v>
      </c>
      <c r="M50" s="73">
        <f>Invoeding!M26</f>
        <v>0</v>
      </c>
      <c r="N50" s="73">
        <f>Invoeding!N26</f>
        <v>0</v>
      </c>
      <c r="O50" s="73">
        <f>Invoeding!O26</f>
        <v>0</v>
      </c>
      <c r="P50" s="73">
        <f>Invoeding!P26</f>
        <v>0</v>
      </c>
      <c r="Q50" s="73">
        <f>Invoeding!Q26</f>
        <v>0</v>
      </c>
    </row>
    <row r="51" spans="2:17" s="4" customFormat="1">
      <c r="B51" s="4" t="s">
        <v>117</v>
      </c>
      <c r="J51" s="74">
        <f t="shared" si="1"/>
        <v>1</v>
      </c>
      <c r="L51" s="73">
        <f>Invoeding!L27</f>
        <v>0</v>
      </c>
      <c r="M51" s="73">
        <f>Invoeding!M27</f>
        <v>0</v>
      </c>
      <c r="N51" s="73">
        <f>Invoeding!N27</f>
        <v>0</v>
      </c>
      <c r="O51" s="73">
        <f>Invoeding!O27</f>
        <v>0</v>
      </c>
      <c r="P51" s="73">
        <f>Invoeding!P27</f>
        <v>1</v>
      </c>
      <c r="Q51" s="73">
        <f>Invoeding!Q27</f>
        <v>0</v>
      </c>
    </row>
    <row r="52" spans="2:17" s="4" customFormat="1">
      <c r="B52" s="68"/>
      <c r="J52" s="72"/>
      <c r="L52" s="72"/>
      <c r="M52" s="72"/>
      <c r="N52" s="72"/>
      <c r="O52" s="72"/>
      <c r="P52" s="72"/>
      <c r="Q52" s="72"/>
    </row>
    <row r="53" spans="2:17" s="4" customFormat="1">
      <c r="B53" s="3" t="s">
        <v>118</v>
      </c>
      <c r="J53" s="72"/>
      <c r="L53" s="72"/>
      <c r="M53" s="72"/>
      <c r="N53" s="72"/>
      <c r="O53" s="72"/>
      <c r="P53" s="72"/>
      <c r="Q53" s="72"/>
    </row>
    <row r="54" spans="2:17" s="4" customFormat="1">
      <c r="B54" s="4" t="s">
        <v>119</v>
      </c>
      <c r="J54" s="74">
        <f t="shared" si="1"/>
        <v>0</v>
      </c>
      <c r="L54" s="73">
        <f>Invoeding!L30</f>
        <v>0</v>
      </c>
      <c r="M54" s="73">
        <f>Invoeding!M30</f>
        <v>0</v>
      </c>
      <c r="N54" s="73">
        <f>Invoeding!N30</f>
        <v>0</v>
      </c>
      <c r="O54" s="73">
        <f>Invoeding!O30</f>
        <v>0</v>
      </c>
      <c r="P54" s="73">
        <f>Invoeding!P30</f>
        <v>0</v>
      </c>
      <c r="Q54" s="73">
        <f>Invoeding!Q30</f>
        <v>0</v>
      </c>
    </row>
    <row r="55" spans="2:17" s="4" customFormat="1">
      <c r="B55" s="4" t="s">
        <v>120</v>
      </c>
      <c r="J55" s="74">
        <f t="shared" si="1"/>
        <v>0</v>
      </c>
      <c r="L55" s="73">
        <f>Invoeding!L31</f>
        <v>0</v>
      </c>
      <c r="M55" s="73">
        <f>Invoeding!M31</f>
        <v>0</v>
      </c>
      <c r="N55" s="73">
        <f>Invoeding!N31</f>
        <v>0</v>
      </c>
      <c r="O55" s="73">
        <f>Invoeding!O31</f>
        <v>0</v>
      </c>
      <c r="P55" s="73">
        <f>Invoeding!P31</f>
        <v>0</v>
      </c>
      <c r="Q55" s="73">
        <f>Invoeding!Q31</f>
        <v>0</v>
      </c>
    </row>
    <row r="56" spans="2:17" s="4" customFormat="1">
      <c r="B56" s="4" t="s">
        <v>121</v>
      </c>
      <c r="J56" s="74">
        <f t="shared" si="1"/>
        <v>0</v>
      </c>
      <c r="L56" s="73">
        <f>Invoeding!L32</f>
        <v>0</v>
      </c>
      <c r="M56" s="73">
        <f>Invoeding!M32</f>
        <v>0</v>
      </c>
      <c r="N56" s="73">
        <f>Invoeding!N32</f>
        <v>0</v>
      </c>
      <c r="O56" s="73">
        <f>Invoeding!O32</f>
        <v>0</v>
      </c>
      <c r="P56" s="73">
        <f>Invoeding!P32</f>
        <v>0</v>
      </c>
      <c r="Q56" s="73">
        <f>Invoeding!Q32</f>
        <v>0</v>
      </c>
    </row>
    <row r="57" spans="2:17" s="4" customFormat="1">
      <c r="B57" s="4" t="s">
        <v>122</v>
      </c>
      <c r="J57" s="74">
        <f t="shared" si="1"/>
        <v>0</v>
      </c>
      <c r="L57" s="73">
        <f>Invoeding!L33</f>
        <v>0</v>
      </c>
      <c r="M57" s="73">
        <f>Invoeding!M33</f>
        <v>0</v>
      </c>
      <c r="N57" s="73">
        <f>Invoeding!N33</f>
        <v>0</v>
      </c>
      <c r="O57" s="73">
        <f>Invoeding!O33</f>
        <v>0</v>
      </c>
      <c r="P57" s="73">
        <f>Invoeding!P33</f>
        <v>0</v>
      </c>
      <c r="Q57" s="73">
        <f>Invoeding!Q33</f>
        <v>0</v>
      </c>
    </row>
    <row r="58" spans="2:17" s="4" customFormat="1">
      <c r="B58" s="4" t="s">
        <v>123</v>
      </c>
      <c r="J58" s="74">
        <f t="shared" si="1"/>
        <v>0</v>
      </c>
      <c r="L58" s="73">
        <f>Invoeding!L34</f>
        <v>0</v>
      </c>
      <c r="M58" s="73">
        <f>Invoeding!M34</f>
        <v>0</v>
      </c>
      <c r="N58" s="73">
        <f>Invoeding!N34</f>
        <v>0</v>
      </c>
      <c r="O58" s="73">
        <f>Invoeding!O34</f>
        <v>0</v>
      </c>
      <c r="P58" s="73">
        <f>Invoeding!P34</f>
        <v>0</v>
      </c>
      <c r="Q58" s="73">
        <f>Invoeding!Q34</f>
        <v>0</v>
      </c>
    </row>
    <row r="59" spans="2:17" s="4" customFormat="1">
      <c r="J59" s="72"/>
      <c r="L59" s="72"/>
      <c r="M59" s="72"/>
      <c r="N59" s="72"/>
      <c r="O59" s="72"/>
      <c r="P59" s="72"/>
      <c r="Q59" s="72"/>
    </row>
    <row r="60" spans="2:17" s="4" customFormat="1">
      <c r="B60" s="26" t="s">
        <v>239</v>
      </c>
      <c r="J60" s="72"/>
      <c r="L60" s="72"/>
      <c r="M60" s="72"/>
      <c r="N60" s="72"/>
      <c r="O60" s="72"/>
      <c r="P60" s="72"/>
      <c r="Q60" s="72"/>
    </row>
    <row r="61" spans="2:17" s="4" customFormat="1">
      <c r="J61" s="72"/>
      <c r="L61" s="72"/>
      <c r="M61" s="72"/>
      <c r="N61" s="72"/>
      <c r="O61" s="72"/>
      <c r="P61" s="72"/>
      <c r="Q61" s="72"/>
    </row>
    <row r="62" spans="2:17" s="4" customFormat="1">
      <c r="B62" s="26" t="s">
        <v>125</v>
      </c>
      <c r="J62" s="72"/>
      <c r="L62" s="72"/>
      <c r="M62" s="72"/>
      <c r="N62" s="72"/>
      <c r="O62" s="72"/>
      <c r="P62" s="72"/>
      <c r="Q62" s="72"/>
    </row>
    <row r="63" spans="2:17" s="4" customFormat="1">
      <c r="B63" s="4" t="s">
        <v>106</v>
      </c>
      <c r="J63" s="74">
        <f t="shared" si="1"/>
        <v>13102.936593687802</v>
      </c>
      <c r="L63" s="90">
        <f>Invoeding!L39</f>
        <v>2489</v>
      </c>
      <c r="M63" s="90">
        <f>Invoeding!M39</f>
        <v>0</v>
      </c>
      <c r="N63" s="90">
        <f>Invoeding!N39</f>
        <v>0</v>
      </c>
      <c r="O63" s="90">
        <f>Invoeding!O39</f>
        <v>4795</v>
      </c>
      <c r="P63" s="90">
        <f>Invoeding!P39</f>
        <v>5818.9365936878021</v>
      </c>
      <c r="Q63" s="90">
        <f>Invoeding!Q39</f>
        <v>0</v>
      </c>
    </row>
    <row r="64" spans="2:17" s="4" customFormat="1">
      <c r="B64" s="4" t="s">
        <v>107</v>
      </c>
      <c r="J64" s="74">
        <f t="shared" si="1"/>
        <v>178</v>
      </c>
      <c r="L64" s="90">
        <f>Invoeding!L40</f>
        <v>178</v>
      </c>
      <c r="M64" s="90">
        <f>Invoeding!M40</f>
        <v>0</v>
      </c>
      <c r="N64" s="90">
        <f>Invoeding!N40</f>
        <v>0</v>
      </c>
      <c r="O64" s="90">
        <f>Invoeding!O40</f>
        <v>0</v>
      </c>
      <c r="P64" s="90">
        <f>Invoeding!P40</f>
        <v>0</v>
      </c>
      <c r="Q64" s="90">
        <f>Invoeding!Q40</f>
        <v>0</v>
      </c>
    </row>
    <row r="65" spans="2:17" s="4" customFormat="1">
      <c r="J65" s="72"/>
      <c r="L65" s="72"/>
      <c r="M65" s="72"/>
      <c r="N65" s="72"/>
      <c r="O65" s="72"/>
      <c r="P65" s="72"/>
      <c r="Q65" s="72"/>
    </row>
    <row r="66" spans="2:17" s="4" customFormat="1">
      <c r="B66" s="4" t="s">
        <v>108</v>
      </c>
      <c r="J66" s="74">
        <f t="shared" si="1"/>
        <v>31296.436451521182</v>
      </c>
      <c r="L66" s="73">
        <f>Invoeding!L42</f>
        <v>0</v>
      </c>
      <c r="M66" s="73">
        <f>Invoeding!M42</f>
        <v>17780</v>
      </c>
      <c r="N66" s="73">
        <f>Invoeding!N42</f>
        <v>12671</v>
      </c>
      <c r="O66" s="73">
        <f>Invoeding!O42</f>
        <v>0</v>
      </c>
      <c r="P66" s="73">
        <f>Invoeding!P42</f>
        <v>0</v>
      </c>
      <c r="Q66" s="73">
        <f>Invoeding!Q42</f>
        <v>845.43645152118279</v>
      </c>
    </row>
    <row r="67" spans="2:17" s="4" customFormat="1"/>
    <row r="68" spans="2:17" s="10" customFormat="1">
      <c r="B68" s="10" t="s">
        <v>240</v>
      </c>
    </row>
    <row r="69" spans="2:17" s="4" customFormat="1"/>
    <row r="70" spans="2:17" s="4" customFormat="1">
      <c r="B70" s="66" t="s">
        <v>241</v>
      </c>
      <c r="F70" s="4" t="s">
        <v>255</v>
      </c>
      <c r="J70" s="74">
        <f>SUM(L70:Q70)</f>
        <v>1323</v>
      </c>
      <c r="L70" s="73">
        <f>Invoeding!L46</f>
        <v>0</v>
      </c>
      <c r="M70" s="73">
        <f>Invoeding!M46</f>
        <v>1323</v>
      </c>
      <c r="N70" s="73">
        <f>Invoeding!N46</f>
        <v>0</v>
      </c>
      <c r="O70" s="73">
        <f>Invoeding!O46</f>
        <v>0</v>
      </c>
      <c r="P70" s="73">
        <f>Invoeding!P46</f>
        <v>0</v>
      </c>
      <c r="Q70" s="73">
        <f>Invoeding!Q46</f>
        <v>0</v>
      </c>
    </row>
    <row r="71" spans="2:17" s="4" customFormat="1"/>
    <row r="72" spans="2:17" s="10" customFormat="1">
      <c r="B72" s="10" t="s">
        <v>127</v>
      </c>
    </row>
    <row r="74" spans="2:17">
      <c r="B74" s="26" t="s">
        <v>111</v>
      </c>
      <c r="C74" s="4"/>
      <c r="D74" s="4"/>
      <c r="E74" s="4"/>
      <c r="F74" s="4"/>
    </row>
    <row r="75" spans="2:17">
      <c r="B75" s="4" t="s">
        <v>112</v>
      </c>
      <c r="C75" s="4"/>
      <c r="D75" s="4"/>
      <c r="E75" s="4"/>
      <c r="F75" s="4" t="s">
        <v>88</v>
      </c>
      <c r="H75" s="80">
        <f>'Realisatie 2022'!H44</f>
        <v>1.5</v>
      </c>
    </row>
    <row r="76" spans="2:17">
      <c r="B76" s="4" t="s">
        <v>113</v>
      </c>
      <c r="C76" s="4"/>
      <c r="D76" s="4"/>
      <c r="E76" s="4"/>
      <c r="F76" s="4" t="s">
        <v>88</v>
      </c>
      <c r="H76" s="80">
        <f>'Realisatie 2022'!H45</f>
        <v>3</v>
      </c>
    </row>
    <row r="77" spans="2:17">
      <c r="B77" s="4" t="s">
        <v>114</v>
      </c>
      <c r="C77" s="4"/>
      <c r="D77" s="4"/>
      <c r="E77" s="4"/>
      <c r="F77" s="4" t="s">
        <v>88</v>
      </c>
      <c r="H77" s="80">
        <f>'Realisatie 2022'!H46</f>
        <v>6</v>
      </c>
    </row>
    <row r="78" spans="2:17">
      <c r="B78" s="4" t="s">
        <v>128</v>
      </c>
      <c r="C78" s="4"/>
      <c r="D78" s="4"/>
      <c r="E78" s="4"/>
      <c r="F78" s="4" t="s">
        <v>88</v>
      </c>
      <c r="H78" s="80">
        <f>'Realisatie 2022'!H47</f>
        <v>10</v>
      </c>
    </row>
    <row r="79" spans="2:17">
      <c r="B79" s="4" t="s">
        <v>129</v>
      </c>
      <c r="C79" s="4"/>
      <c r="D79" s="4"/>
      <c r="E79" s="4"/>
      <c r="F79" s="4" t="s">
        <v>88</v>
      </c>
      <c r="H79" s="80">
        <f>'Realisatie 2022'!H48</f>
        <v>16</v>
      </c>
    </row>
    <row r="80" spans="2:17">
      <c r="B80" s="4" t="s">
        <v>130</v>
      </c>
      <c r="C80" s="4"/>
      <c r="D80" s="4"/>
      <c r="E80" s="4"/>
      <c r="F80" s="4" t="s">
        <v>88</v>
      </c>
      <c r="H80" s="80">
        <f>'Realisatie 2022'!H49</f>
        <v>25</v>
      </c>
    </row>
    <row r="81" spans="2:17">
      <c r="B81" s="4"/>
      <c r="C81" s="4"/>
      <c r="D81" s="4"/>
      <c r="E81" s="4"/>
      <c r="F81" s="4"/>
    </row>
    <row r="82" spans="2:17">
      <c r="B82" s="3" t="s">
        <v>118</v>
      </c>
      <c r="C82" s="4"/>
      <c r="D82" s="4"/>
      <c r="E82" s="4"/>
      <c r="F82" s="4"/>
    </row>
    <row r="83" spans="2:17">
      <c r="B83" s="4" t="s">
        <v>131</v>
      </c>
      <c r="C83" s="4"/>
      <c r="D83" s="4"/>
      <c r="E83" s="4"/>
      <c r="F83" s="4" t="s">
        <v>88</v>
      </c>
      <c r="H83" s="80">
        <f>'Realisatie 2022'!H52</f>
        <v>40</v>
      </c>
    </row>
    <row r="84" spans="2:17">
      <c r="B84" s="4" t="s">
        <v>132</v>
      </c>
      <c r="C84" s="4"/>
      <c r="D84" s="4"/>
      <c r="E84" s="4"/>
      <c r="F84" s="4" t="s">
        <v>88</v>
      </c>
      <c r="H84" s="80">
        <f>'Realisatie 2022'!H53</f>
        <v>65</v>
      </c>
    </row>
    <row r="85" spans="2:17">
      <c r="B85" s="4" t="s">
        <v>133</v>
      </c>
      <c r="C85" s="4"/>
      <c r="D85" s="4"/>
      <c r="E85" s="4"/>
      <c r="F85" s="4" t="s">
        <v>88</v>
      </c>
      <c r="H85" s="80">
        <f>'Realisatie 2022'!H54</f>
        <v>100</v>
      </c>
    </row>
    <row r="86" spans="2:17">
      <c r="B86" s="4" t="s">
        <v>134</v>
      </c>
      <c r="C86" s="4"/>
      <c r="D86" s="4"/>
      <c r="E86" s="4"/>
      <c r="F86" s="4" t="s">
        <v>88</v>
      </c>
      <c r="H86" s="80">
        <f>'Realisatie 2022'!H55</f>
        <v>160</v>
      </c>
    </row>
    <row r="87" spans="2:17">
      <c r="B87" s="4" t="s">
        <v>135</v>
      </c>
      <c r="C87" s="4"/>
      <c r="D87" s="4"/>
      <c r="E87" s="4"/>
      <c r="F87" s="4" t="s">
        <v>88</v>
      </c>
      <c r="H87" s="80">
        <f>'Realisatie 2022'!H56</f>
        <v>250</v>
      </c>
    </row>
    <row r="89" spans="2:17" s="10" customFormat="1">
      <c r="B89" s="10" t="s">
        <v>243</v>
      </c>
    </row>
    <row r="91" spans="2:17">
      <c r="B91" s="3" t="s">
        <v>101</v>
      </c>
      <c r="C91" s="4"/>
      <c r="D91" s="4"/>
      <c r="E91" s="4"/>
      <c r="F91" s="4"/>
    </row>
    <row r="92" spans="2:17">
      <c r="B92" s="4" t="s">
        <v>102</v>
      </c>
      <c r="C92" s="4"/>
      <c r="D92" s="4"/>
      <c r="E92" s="4"/>
      <c r="F92" s="4" t="s">
        <v>88</v>
      </c>
      <c r="J92" s="82">
        <f>SUM(L92:Q92)</f>
        <v>7191918.120835945</v>
      </c>
      <c r="L92" s="82">
        <f t="shared" ref="L92:Q92" si="2">SUM(L15:L20)</f>
        <v>141739</v>
      </c>
      <c r="M92" s="82">
        <f t="shared" si="2"/>
        <v>2276908.2804648592</v>
      </c>
      <c r="N92" s="82">
        <f t="shared" si="2"/>
        <v>2522761.8986464841</v>
      </c>
      <c r="O92" s="82">
        <f t="shared" si="2"/>
        <v>104238.26000000001</v>
      </c>
      <c r="P92" s="82">
        <f t="shared" si="2"/>
        <v>2091510.3414336916</v>
      </c>
      <c r="Q92" s="82">
        <f t="shared" si="2"/>
        <v>54760.340290911001</v>
      </c>
    </row>
    <row r="93" spans="2:17">
      <c r="B93" s="4" t="s">
        <v>103</v>
      </c>
      <c r="C93" s="4"/>
      <c r="D93" s="4"/>
      <c r="E93" s="4"/>
      <c r="F93" s="4" t="s">
        <v>88</v>
      </c>
      <c r="J93" s="82">
        <f t="shared" ref="J93:J104" si="3">SUM(L93:Q93)</f>
        <v>22191075.783041883</v>
      </c>
      <c r="L93" s="82">
        <f t="shared" ref="L93:Q93" si="4">SUMPRODUCT(L15:L20,$H$75:$H$80)</f>
        <v>463963.5</v>
      </c>
      <c r="M93" s="82">
        <f t="shared" si="4"/>
        <v>7193541.2931011794</v>
      </c>
      <c r="N93" s="82">
        <f t="shared" si="4"/>
        <v>7761389.3085297681</v>
      </c>
      <c r="O93" s="82">
        <f t="shared" si="4"/>
        <v>334554.90999999997</v>
      </c>
      <c r="P93" s="82">
        <f t="shared" si="4"/>
        <v>6267727.1550582442</v>
      </c>
      <c r="Q93" s="82">
        <f t="shared" si="4"/>
        <v>169899.61635268945</v>
      </c>
    </row>
    <row r="94" spans="2:17">
      <c r="B94" s="4"/>
      <c r="C94" s="4"/>
      <c r="D94" s="4"/>
      <c r="E94" s="4"/>
      <c r="F94" s="4"/>
      <c r="J94" s="81"/>
    </row>
    <row r="95" spans="2:17">
      <c r="B95" s="3" t="s">
        <v>104</v>
      </c>
      <c r="C95" s="4"/>
      <c r="D95" s="4"/>
      <c r="E95" s="4"/>
      <c r="F95" s="4"/>
      <c r="J95" s="81"/>
    </row>
    <row r="96" spans="2:17">
      <c r="B96" s="4" t="s">
        <v>102</v>
      </c>
      <c r="C96" s="4"/>
      <c r="D96" s="4"/>
      <c r="E96" s="4"/>
      <c r="F96" s="4" t="s">
        <v>88</v>
      </c>
      <c r="J96" s="82">
        <f t="shared" si="3"/>
        <v>24422.029651079858</v>
      </c>
      <c r="L96" s="82">
        <f t="shared" ref="L96:Q96" si="5">SUM(L23:L27)</f>
        <v>485</v>
      </c>
      <c r="M96" s="82">
        <f t="shared" si="5"/>
        <v>7760.1579844131866</v>
      </c>
      <c r="N96" s="82">
        <f t="shared" si="5"/>
        <v>8381.2216666666682</v>
      </c>
      <c r="O96" s="82">
        <f t="shared" si="5"/>
        <v>302.43</v>
      </c>
      <c r="P96" s="82">
        <f t="shared" si="5"/>
        <v>6924.3511111111102</v>
      </c>
      <c r="Q96" s="82">
        <f t="shared" si="5"/>
        <v>568.86888888888905</v>
      </c>
    </row>
    <row r="97" spans="2:19">
      <c r="B97" s="4" t="s">
        <v>103</v>
      </c>
      <c r="C97" s="4"/>
      <c r="D97" s="4"/>
      <c r="E97" s="4"/>
      <c r="F97" s="4" t="s">
        <v>88</v>
      </c>
      <c r="J97" s="82">
        <f t="shared" si="3"/>
        <v>1708251.5530829779</v>
      </c>
      <c r="L97" s="82">
        <f t="shared" ref="L97:Q97" si="6">SUMPRODUCT(L23:L27,$H$83:$H$87)</f>
        <v>32120</v>
      </c>
      <c r="M97" s="82">
        <f t="shared" si="6"/>
        <v>546452.87128638593</v>
      </c>
      <c r="N97" s="82">
        <f t="shared" si="6"/>
        <v>558341.80416666681</v>
      </c>
      <c r="O97" s="82">
        <f t="shared" si="6"/>
        <v>20040.599999999999</v>
      </c>
      <c r="P97" s="82">
        <f t="shared" si="6"/>
        <v>499715.37777777773</v>
      </c>
      <c r="Q97" s="82">
        <f t="shared" si="6"/>
        <v>51580.899852147442</v>
      </c>
    </row>
    <row r="98" spans="2:19">
      <c r="B98" s="4"/>
      <c r="C98" s="4"/>
      <c r="D98" s="4"/>
      <c r="E98" s="4"/>
      <c r="F98" s="4"/>
      <c r="J98" s="81"/>
    </row>
    <row r="99" spans="2:19">
      <c r="B99" s="3" t="s">
        <v>105</v>
      </c>
      <c r="C99" s="4"/>
      <c r="D99" s="4"/>
      <c r="E99" s="4"/>
      <c r="F99" s="4"/>
      <c r="J99" s="81"/>
    </row>
    <row r="100" spans="2:19">
      <c r="B100" s="4" t="s">
        <v>102</v>
      </c>
      <c r="C100" s="4"/>
      <c r="D100" s="4"/>
      <c r="E100" s="4"/>
      <c r="F100" s="4" t="s">
        <v>88</v>
      </c>
      <c r="J100" s="82">
        <f t="shared" si="3"/>
        <v>8373.0709092591296</v>
      </c>
      <c r="L100" s="83">
        <f t="shared" ref="L100:Q100" si="7">L31</f>
        <v>118</v>
      </c>
      <c r="M100" s="83">
        <f t="shared" si="7"/>
        <v>2599.21691411353</v>
      </c>
      <c r="N100" s="83">
        <f t="shared" si="7"/>
        <v>2799.1625000000004</v>
      </c>
      <c r="O100" s="83">
        <f t="shared" si="7"/>
        <v>86.57</v>
      </c>
      <c r="P100" s="83">
        <f t="shared" si="7"/>
        <v>2064.6518566652071</v>
      </c>
      <c r="Q100" s="83">
        <f t="shared" si="7"/>
        <v>705.46963848039218</v>
      </c>
    </row>
    <row r="101" spans="2:19">
      <c r="B101" s="4" t="s">
        <v>106</v>
      </c>
      <c r="C101" s="4"/>
      <c r="D101" s="4"/>
      <c r="E101" s="4"/>
      <c r="F101" s="4" t="s">
        <v>88</v>
      </c>
      <c r="J101" s="82">
        <f t="shared" si="3"/>
        <v>679277.14750000008</v>
      </c>
      <c r="L101" s="83">
        <f t="shared" ref="L101:Q102" si="8">L36</f>
        <v>24620</v>
      </c>
      <c r="M101" s="83">
        <f t="shared" si="8"/>
        <v>0</v>
      </c>
      <c r="N101" s="83">
        <f t="shared" si="8"/>
        <v>629549.34750000003</v>
      </c>
      <c r="O101" s="83">
        <f t="shared" si="8"/>
        <v>25107.8</v>
      </c>
      <c r="P101" s="83">
        <f t="shared" si="8"/>
        <v>0</v>
      </c>
      <c r="Q101" s="83">
        <f t="shared" si="8"/>
        <v>0</v>
      </c>
    </row>
    <row r="102" spans="2:19">
      <c r="B102" s="4" t="s">
        <v>107</v>
      </c>
      <c r="C102" s="4"/>
      <c r="D102" s="4"/>
      <c r="E102" s="4"/>
      <c r="F102" s="4" t="s">
        <v>88</v>
      </c>
      <c r="J102" s="82">
        <f t="shared" si="3"/>
        <v>125837.06416666668</v>
      </c>
      <c r="L102" s="83">
        <f t="shared" si="8"/>
        <v>6478</v>
      </c>
      <c r="M102" s="83">
        <f t="shared" si="8"/>
        <v>0</v>
      </c>
      <c r="N102" s="83">
        <f t="shared" si="8"/>
        <v>116519.46416666667</v>
      </c>
      <c r="O102" s="83">
        <f t="shared" si="8"/>
        <v>2839.6</v>
      </c>
      <c r="P102" s="83">
        <f t="shared" si="8"/>
        <v>0</v>
      </c>
      <c r="Q102" s="83">
        <f t="shared" si="8"/>
        <v>0</v>
      </c>
    </row>
    <row r="103" spans="2:19">
      <c r="B103" s="4" t="s">
        <v>108</v>
      </c>
      <c r="C103" s="4"/>
      <c r="D103" s="4"/>
      <c r="E103" s="4"/>
      <c r="F103" s="4" t="s">
        <v>88</v>
      </c>
      <c r="J103" s="82">
        <f t="shared" si="3"/>
        <v>1712430.4855209796</v>
      </c>
      <c r="L103" s="83">
        <f t="shared" ref="L103:Q103" si="9">L39</f>
        <v>0</v>
      </c>
      <c r="M103" s="83">
        <f t="shared" si="9"/>
        <v>760245.97428986104</v>
      </c>
      <c r="N103" s="83">
        <f t="shared" si="9"/>
        <v>0</v>
      </c>
      <c r="O103" s="83">
        <f t="shared" si="9"/>
        <v>0</v>
      </c>
      <c r="P103" s="83">
        <f t="shared" si="9"/>
        <v>642028.08714280347</v>
      </c>
      <c r="Q103" s="83">
        <f t="shared" si="9"/>
        <v>310156.42408831517</v>
      </c>
    </row>
    <row r="104" spans="2:19">
      <c r="B104" s="4" t="s">
        <v>109</v>
      </c>
      <c r="C104" s="4"/>
      <c r="D104" s="4"/>
      <c r="E104" s="4"/>
      <c r="F104" s="4" t="s">
        <v>88</v>
      </c>
      <c r="J104" s="82">
        <f t="shared" si="3"/>
        <v>2517544.6971876463</v>
      </c>
      <c r="L104" s="82">
        <f>SUM(L101:L103)</f>
        <v>31098</v>
      </c>
      <c r="M104" s="82">
        <f t="shared" ref="M104:Q104" si="10">SUM(M101:M103)</f>
        <v>760245.97428986104</v>
      </c>
      <c r="N104" s="82">
        <f t="shared" si="10"/>
        <v>746068.81166666676</v>
      </c>
      <c r="O104" s="82">
        <f t="shared" si="10"/>
        <v>27947.399999999998</v>
      </c>
      <c r="P104" s="82">
        <f t="shared" si="10"/>
        <v>642028.08714280347</v>
      </c>
      <c r="Q104" s="82">
        <f t="shared" si="10"/>
        <v>310156.42408831517</v>
      </c>
    </row>
    <row r="106" spans="2:19" s="10" customFormat="1">
      <c r="B106" s="10" t="s">
        <v>244</v>
      </c>
    </row>
    <row r="108" spans="2:19">
      <c r="B108" s="4" t="s">
        <v>101</v>
      </c>
      <c r="F108" s="4" t="s">
        <v>88</v>
      </c>
      <c r="J108" s="82">
        <f>SUM(L108:Q108)</f>
        <v>25</v>
      </c>
      <c r="L108" s="28">
        <f t="shared" ref="L108:Q108" si="11">SUMPRODUCT($H$75:$H$80,L46:L51)</f>
        <v>0</v>
      </c>
      <c r="M108" s="28">
        <f t="shared" si="11"/>
        <v>0</v>
      </c>
      <c r="N108" s="28">
        <f t="shared" si="11"/>
        <v>0</v>
      </c>
      <c r="O108" s="28">
        <f t="shared" si="11"/>
        <v>0</v>
      </c>
      <c r="P108" s="28">
        <f t="shared" si="11"/>
        <v>25</v>
      </c>
      <c r="Q108" s="28">
        <f t="shared" si="11"/>
        <v>0</v>
      </c>
    </row>
    <row r="109" spans="2:19">
      <c r="B109" s="4" t="s">
        <v>104</v>
      </c>
      <c r="F109" s="4" t="s">
        <v>88</v>
      </c>
      <c r="J109" s="82">
        <f t="shared" ref="J109:J110" si="12">SUM(L109:Q109)</f>
        <v>0</v>
      </c>
      <c r="L109" s="28">
        <f t="shared" ref="L109:Q109" si="13">SUMPRODUCT($H$83:$H$87,L54:L58)</f>
        <v>0</v>
      </c>
      <c r="M109" s="28">
        <f t="shared" si="13"/>
        <v>0</v>
      </c>
      <c r="N109" s="28">
        <f t="shared" si="13"/>
        <v>0</v>
      </c>
      <c r="O109" s="28">
        <f t="shared" si="13"/>
        <v>0</v>
      </c>
      <c r="P109" s="28">
        <f t="shared" si="13"/>
        <v>0</v>
      </c>
      <c r="Q109" s="28">
        <f t="shared" si="13"/>
        <v>0</v>
      </c>
    </row>
    <row r="110" spans="2:19">
      <c r="B110" s="4" t="s">
        <v>238</v>
      </c>
      <c r="F110" s="4" t="s">
        <v>88</v>
      </c>
      <c r="J110" s="82">
        <f t="shared" si="12"/>
        <v>43254.373045208988</v>
      </c>
      <c r="L110" s="28">
        <f>SUM(L63,L64,L66)-L70</f>
        <v>2667</v>
      </c>
      <c r="M110" s="28">
        <f t="shared" ref="M110:Q110" si="14">SUM(M63,M64,M66)-M70</f>
        <v>16457</v>
      </c>
      <c r="N110" s="28">
        <f t="shared" si="14"/>
        <v>12671</v>
      </c>
      <c r="O110" s="28">
        <f t="shared" si="14"/>
        <v>4795</v>
      </c>
      <c r="P110" s="28">
        <f t="shared" si="14"/>
        <v>5818.9365936878021</v>
      </c>
      <c r="Q110" s="28">
        <f t="shared" si="14"/>
        <v>845.43645152118279</v>
      </c>
      <c r="S110" s="4" t="s">
        <v>245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CC"/>
    <pageSetUpPr fitToPage="1"/>
  </sheetPr>
  <dimension ref="A1:AA203"/>
  <sheetViews>
    <sheetView showGridLines="0" zoomScale="85" zoomScaleNormal="85" workbookViewId="0">
      <pane xSplit="4" ySplit="7" topLeftCell="E8" activePane="bottomRight" state="frozen"/>
      <selection activeCell="B1" sqref="B1"/>
      <selection pane="topRight" activeCell="B1" sqref="B1"/>
      <selection pane="bottomLeft" activeCell="B1" sqref="B1"/>
      <selection pane="bottomRight" activeCell="E8" sqref="E8"/>
    </sheetView>
  </sheetViews>
  <sheetFormatPr defaultColWidth="9.140625" defaultRowHeight="12.75"/>
  <cols>
    <col min="1" max="1" width="4.85546875" style="49" customWidth="1"/>
    <col min="2" max="2" width="76.140625" style="49" customWidth="1"/>
    <col min="3" max="3" width="3.140625" style="49" customWidth="1"/>
    <col min="4" max="4" width="14.42578125" style="49" customWidth="1"/>
    <col min="5" max="5" width="2.7109375" style="49" customWidth="1"/>
    <col min="6" max="6" width="7.5703125" style="49" customWidth="1"/>
    <col min="7" max="7" width="4.7109375" style="49" customWidth="1"/>
    <col min="8" max="8" width="15.7109375" style="49" customWidth="1"/>
    <col min="9" max="9" width="3.28515625" style="49" customWidth="1"/>
    <col min="10" max="14" width="15.28515625" style="49" customWidth="1"/>
    <col min="15" max="15" width="16.140625" style="49" customWidth="1"/>
    <col min="16" max="16" width="4.42578125" style="49" customWidth="1"/>
    <col min="17" max="17" width="25.42578125" style="49" customWidth="1"/>
    <col min="18" max="18" width="11.85546875" style="49" bestFit="1" customWidth="1"/>
    <col min="19" max="19" width="12.28515625" style="49" bestFit="1" customWidth="1"/>
    <col min="20" max="16384" width="9.140625" style="49"/>
  </cols>
  <sheetData>
    <row r="1" spans="1:18">
      <c r="B1"/>
      <c r="C1"/>
      <c r="D1"/>
    </row>
    <row r="2" spans="1:18" s="19" customFormat="1" ht="18">
      <c r="B2" s="19" t="s">
        <v>78</v>
      </c>
    </row>
    <row r="4" spans="1:18">
      <c r="B4" s="50" t="s">
        <v>28</v>
      </c>
    </row>
    <row r="5" spans="1:18">
      <c r="B5" t="s">
        <v>310</v>
      </c>
    </row>
    <row r="7" spans="1:18" s="10" customFormat="1">
      <c r="D7" s="10" t="s">
        <v>26</v>
      </c>
      <c r="F7" s="10" t="s">
        <v>27</v>
      </c>
      <c r="H7" s="10" t="s">
        <v>46</v>
      </c>
      <c r="J7" s="10" t="s">
        <v>77</v>
      </c>
      <c r="K7" s="10" t="s">
        <v>68</v>
      </c>
      <c r="L7" s="10" t="s">
        <v>69</v>
      </c>
      <c r="M7" s="10" t="s">
        <v>70</v>
      </c>
      <c r="N7" s="10" t="s">
        <v>71</v>
      </c>
      <c r="O7" s="10" t="s">
        <v>72</v>
      </c>
      <c r="Q7" s="10" t="s">
        <v>44</v>
      </c>
      <c r="R7" s="10" t="s">
        <v>45</v>
      </c>
    </row>
    <row r="8" spans="1:18" s="60" customFormat="1"/>
    <row r="10" spans="1:18" s="10" customFormat="1">
      <c r="B10" s="10" t="s">
        <v>154</v>
      </c>
    </row>
    <row r="12" spans="1:18">
      <c r="A12"/>
      <c r="B12" s="3" t="s">
        <v>101</v>
      </c>
      <c r="C12" s="4"/>
      <c r="D12" s="4"/>
      <c r="E12" s="4"/>
    </row>
    <row r="13" spans="1:18">
      <c r="A13"/>
      <c r="B13" s="4" t="s">
        <v>102</v>
      </c>
      <c r="C13" s="4"/>
      <c r="D13" s="4" t="s">
        <v>88</v>
      </c>
      <c r="E13" s="4"/>
      <c r="H13" s="75">
        <f>SUM(J13:O13)</f>
        <v>7191918.120835945</v>
      </c>
      <c r="J13" s="71">
        <f>'Aggregatie volumes 2022'!L92</f>
        <v>141739</v>
      </c>
      <c r="K13" s="71">
        <f>'Aggregatie volumes 2022'!M92</f>
        <v>2276908.2804648592</v>
      </c>
      <c r="L13" s="71">
        <f>'Aggregatie volumes 2022'!N92</f>
        <v>2522761.8986464841</v>
      </c>
      <c r="M13" s="71">
        <f>'Aggregatie volumes 2022'!O92</f>
        <v>104238.26000000001</v>
      </c>
      <c r="N13" s="71">
        <f>'Aggregatie volumes 2022'!P92</f>
        <v>2091510.3414336916</v>
      </c>
      <c r="O13" s="71">
        <f>'Aggregatie volumes 2022'!Q92</f>
        <v>54760.340290911001</v>
      </c>
    </row>
    <row r="14" spans="1:18">
      <c r="A14"/>
      <c r="B14" s="4" t="s">
        <v>103</v>
      </c>
      <c r="C14" s="4"/>
      <c r="D14" s="4" t="s">
        <v>88</v>
      </c>
      <c r="E14" s="4"/>
      <c r="H14" s="75">
        <f t="shared" ref="H14:H25" si="0">SUM(J14:O14)</f>
        <v>22191075.783041883</v>
      </c>
      <c r="J14" s="71">
        <f>'Aggregatie volumes 2022'!L93</f>
        <v>463963.5</v>
      </c>
      <c r="K14" s="71">
        <f>'Aggregatie volumes 2022'!M93</f>
        <v>7193541.2931011794</v>
      </c>
      <c r="L14" s="71">
        <f>'Aggregatie volumes 2022'!N93</f>
        <v>7761389.3085297681</v>
      </c>
      <c r="M14" s="71">
        <f>'Aggregatie volumes 2022'!O93</f>
        <v>334554.90999999997</v>
      </c>
      <c r="N14" s="71">
        <f>'Aggregatie volumes 2022'!P93</f>
        <v>6267727.1550582442</v>
      </c>
      <c r="O14" s="71">
        <f>'Aggregatie volumes 2022'!Q93</f>
        <v>169899.61635268945</v>
      </c>
    </row>
    <row r="15" spans="1:18">
      <c r="A15"/>
      <c r="B15" s="4"/>
      <c r="C15" s="4"/>
      <c r="D15" s="4"/>
      <c r="E15" s="4"/>
      <c r="H15" s="54"/>
      <c r="J15" s="54"/>
      <c r="K15" s="54"/>
      <c r="L15" s="54"/>
      <c r="M15" s="54"/>
      <c r="N15" s="54"/>
      <c r="O15" s="54"/>
      <c r="Q15" s="53"/>
    </row>
    <row r="16" spans="1:18">
      <c r="A16"/>
      <c r="B16" s="3" t="s">
        <v>104</v>
      </c>
      <c r="C16" s="4"/>
      <c r="D16" s="4"/>
      <c r="E16" s="4"/>
      <c r="H16" s="54"/>
      <c r="J16" s="54"/>
      <c r="K16" s="54"/>
      <c r="L16" s="54"/>
      <c r="M16" s="54"/>
      <c r="N16" s="54"/>
      <c r="O16" s="54"/>
    </row>
    <row r="17" spans="1:15">
      <c r="A17"/>
      <c r="B17" s="4" t="s">
        <v>102</v>
      </c>
      <c r="C17" s="4"/>
      <c r="D17" s="4" t="s">
        <v>88</v>
      </c>
      <c r="E17" s="4"/>
      <c r="H17" s="75">
        <f t="shared" si="0"/>
        <v>24422.029651079858</v>
      </c>
      <c r="J17" s="71">
        <f>'Aggregatie volumes 2022'!L96</f>
        <v>485</v>
      </c>
      <c r="K17" s="71">
        <f>'Aggregatie volumes 2022'!M96</f>
        <v>7760.1579844131866</v>
      </c>
      <c r="L17" s="71">
        <f>'Aggregatie volumes 2022'!N96</f>
        <v>8381.2216666666682</v>
      </c>
      <c r="M17" s="71">
        <f>'Aggregatie volumes 2022'!O96</f>
        <v>302.43</v>
      </c>
      <c r="N17" s="71">
        <f>'Aggregatie volumes 2022'!P96</f>
        <v>6924.3511111111102</v>
      </c>
      <c r="O17" s="71">
        <f>'Aggregatie volumes 2022'!Q96</f>
        <v>568.86888888888905</v>
      </c>
    </row>
    <row r="18" spans="1:15">
      <c r="A18"/>
      <c r="B18" s="4" t="s">
        <v>103</v>
      </c>
      <c r="C18" s="4"/>
      <c r="D18" s="4" t="s">
        <v>88</v>
      </c>
      <c r="E18" s="4"/>
      <c r="H18" s="75">
        <f t="shared" si="0"/>
        <v>1708251.5530829779</v>
      </c>
      <c r="J18" s="71">
        <f>'Aggregatie volumes 2022'!L97</f>
        <v>32120</v>
      </c>
      <c r="K18" s="71">
        <f>'Aggregatie volumes 2022'!M97</f>
        <v>546452.87128638593</v>
      </c>
      <c r="L18" s="71">
        <f>'Aggregatie volumes 2022'!N97</f>
        <v>558341.80416666681</v>
      </c>
      <c r="M18" s="71">
        <f>'Aggregatie volumes 2022'!O97</f>
        <v>20040.599999999999</v>
      </c>
      <c r="N18" s="71">
        <f>'Aggregatie volumes 2022'!P97</f>
        <v>499715.37777777773</v>
      </c>
      <c r="O18" s="71">
        <f>'Aggregatie volumes 2022'!Q97</f>
        <v>51580.899852147442</v>
      </c>
    </row>
    <row r="19" spans="1:15">
      <c r="A19"/>
      <c r="B19" s="4"/>
      <c r="C19" s="4"/>
      <c r="D19" s="4"/>
      <c r="E19" s="4"/>
      <c r="H19" s="54"/>
      <c r="J19" s="54"/>
      <c r="K19" s="54"/>
      <c r="L19" s="54"/>
      <c r="M19" s="54"/>
      <c r="N19" s="54"/>
      <c r="O19" s="54"/>
    </row>
    <row r="20" spans="1:15">
      <c r="A20"/>
      <c r="B20" s="3" t="s">
        <v>105</v>
      </c>
      <c r="C20" s="4"/>
      <c r="D20" s="4"/>
      <c r="E20" s="4"/>
      <c r="H20" s="54"/>
      <c r="J20" s="54"/>
      <c r="K20" s="54"/>
      <c r="L20" s="54"/>
      <c r="M20" s="54"/>
      <c r="N20" s="54"/>
      <c r="O20" s="54"/>
    </row>
    <row r="21" spans="1:15">
      <c r="A21"/>
      <c r="B21" s="4" t="s">
        <v>102</v>
      </c>
      <c r="C21" s="4"/>
      <c r="D21" s="4" t="s">
        <v>88</v>
      </c>
      <c r="E21" s="4"/>
      <c r="H21" s="75">
        <f t="shared" si="0"/>
        <v>8373.0709092591296</v>
      </c>
      <c r="J21" s="71">
        <f>'Aggregatie volumes 2022'!L100</f>
        <v>118</v>
      </c>
      <c r="K21" s="71">
        <f>'Aggregatie volumes 2022'!M100</f>
        <v>2599.21691411353</v>
      </c>
      <c r="L21" s="71">
        <f>'Aggregatie volumes 2022'!N100</f>
        <v>2799.1625000000004</v>
      </c>
      <c r="M21" s="71">
        <f>'Aggregatie volumes 2022'!O100</f>
        <v>86.57</v>
      </c>
      <c r="N21" s="71">
        <f>'Aggregatie volumes 2022'!P100</f>
        <v>2064.6518566652071</v>
      </c>
      <c r="O21" s="71">
        <f>'Aggregatie volumes 2022'!Q100</f>
        <v>705.46963848039218</v>
      </c>
    </row>
    <row r="22" spans="1:15">
      <c r="A22"/>
      <c r="B22" s="4" t="s">
        <v>106</v>
      </c>
      <c r="C22" s="4"/>
      <c r="D22" s="4" t="s">
        <v>88</v>
      </c>
      <c r="E22" s="4"/>
      <c r="H22" s="75">
        <f t="shared" si="0"/>
        <v>679277.14750000008</v>
      </c>
      <c r="J22" s="71">
        <f>'Aggregatie volumes 2022'!L101</f>
        <v>24620</v>
      </c>
      <c r="K22" s="71">
        <f>'Aggregatie volumes 2022'!M101</f>
        <v>0</v>
      </c>
      <c r="L22" s="71">
        <f>'Aggregatie volumes 2022'!N101</f>
        <v>629549.34750000003</v>
      </c>
      <c r="M22" s="71">
        <f>'Aggregatie volumes 2022'!O101</f>
        <v>25107.8</v>
      </c>
      <c r="N22" s="71">
        <f>'Aggregatie volumes 2022'!P101</f>
        <v>0</v>
      </c>
      <c r="O22" s="71">
        <f>'Aggregatie volumes 2022'!Q101</f>
        <v>0</v>
      </c>
    </row>
    <row r="23" spans="1:15">
      <c r="A23"/>
      <c r="B23" s="4" t="s">
        <v>107</v>
      </c>
      <c r="C23" s="4"/>
      <c r="D23" s="4" t="s">
        <v>88</v>
      </c>
      <c r="E23" s="4"/>
      <c r="H23" s="75">
        <f t="shared" si="0"/>
        <v>125837.06416666668</v>
      </c>
      <c r="J23" s="71">
        <f>'Aggregatie volumes 2022'!L102</f>
        <v>6478</v>
      </c>
      <c r="K23" s="71">
        <f>'Aggregatie volumes 2022'!M102</f>
        <v>0</v>
      </c>
      <c r="L23" s="71">
        <f>'Aggregatie volumes 2022'!N102</f>
        <v>116519.46416666667</v>
      </c>
      <c r="M23" s="71">
        <f>'Aggregatie volumes 2022'!O102</f>
        <v>2839.6</v>
      </c>
      <c r="N23" s="71">
        <f>'Aggregatie volumes 2022'!P102</f>
        <v>0</v>
      </c>
      <c r="O23" s="71">
        <f>'Aggregatie volumes 2022'!Q102</f>
        <v>0</v>
      </c>
    </row>
    <row r="24" spans="1:15">
      <c r="A24"/>
      <c r="B24" s="4" t="s">
        <v>108</v>
      </c>
      <c r="C24" s="4"/>
      <c r="D24" s="4" t="s">
        <v>88</v>
      </c>
      <c r="E24" s="4"/>
      <c r="H24" s="75">
        <f t="shared" si="0"/>
        <v>1712430.4855209796</v>
      </c>
      <c r="J24" s="71">
        <f>'Aggregatie volumes 2022'!L103</f>
        <v>0</v>
      </c>
      <c r="K24" s="71">
        <f>'Aggregatie volumes 2022'!M103</f>
        <v>760245.97428986104</v>
      </c>
      <c r="L24" s="71">
        <f>'Aggregatie volumes 2022'!N103</f>
        <v>0</v>
      </c>
      <c r="M24" s="71">
        <f>'Aggregatie volumes 2022'!O103</f>
        <v>0</v>
      </c>
      <c r="N24" s="71">
        <f>'Aggregatie volumes 2022'!P103</f>
        <v>642028.08714280347</v>
      </c>
      <c r="O24" s="71">
        <f>'Aggregatie volumes 2022'!Q103</f>
        <v>310156.42408831517</v>
      </c>
    </row>
    <row r="25" spans="1:15">
      <c r="A25"/>
      <c r="B25" s="4" t="s">
        <v>109</v>
      </c>
      <c r="C25" s="4"/>
      <c r="D25" s="4" t="s">
        <v>88</v>
      </c>
      <c r="E25" s="4"/>
      <c r="H25" s="75">
        <f t="shared" si="0"/>
        <v>2517544.6971876463</v>
      </c>
      <c r="J25" s="71">
        <f>'Aggregatie volumes 2022'!L104</f>
        <v>31098</v>
      </c>
      <c r="K25" s="71">
        <f>'Aggregatie volumes 2022'!M104</f>
        <v>760245.97428986104</v>
      </c>
      <c r="L25" s="71">
        <f>'Aggregatie volumes 2022'!N104</f>
        <v>746068.81166666676</v>
      </c>
      <c r="M25" s="71">
        <f>'Aggregatie volumes 2022'!O104</f>
        <v>27947.399999999998</v>
      </c>
      <c r="N25" s="71">
        <f>'Aggregatie volumes 2022'!P104</f>
        <v>642028.08714280347</v>
      </c>
      <c r="O25" s="71">
        <f>'Aggregatie volumes 2022'!Q104</f>
        <v>310156.42408831517</v>
      </c>
    </row>
    <row r="26" spans="1:15">
      <c r="O26" s="54"/>
    </row>
    <row r="27" spans="1:15" s="10" customFormat="1">
      <c r="B27" s="10" t="s">
        <v>84</v>
      </c>
    </row>
    <row r="29" spans="1:15">
      <c r="B29" s="26" t="s">
        <v>157</v>
      </c>
      <c r="C29" s="4"/>
      <c r="D29" s="4"/>
      <c r="E29" s="4"/>
      <c r="F29" s="4"/>
    </row>
    <row r="30" spans="1:15">
      <c r="B30" s="4"/>
      <c r="C30" s="4"/>
      <c r="D30" s="4"/>
      <c r="E30" s="4"/>
      <c r="F30" s="4"/>
    </row>
    <row r="31" spans="1:15">
      <c r="B31" s="26" t="s">
        <v>158</v>
      </c>
      <c r="C31" s="4"/>
      <c r="D31" s="4"/>
      <c r="E31" s="4"/>
      <c r="F31" s="4"/>
    </row>
    <row r="32" spans="1:15">
      <c r="B32" s="66" t="s">
        <v>159</v>
      </c>
      <c r="C32" s="4"/>
      <c r="D32" s="4" t="s">
        <v>88</v>
      </c>
      <c r="E32" s="4"/>
      <c r="H32" s="75">
        <f>SUM(J32:O32)</f>
        <v>7079881.7072124435</v>
      </c>
      <c r="J32" s="71">
        <f>'Realisatie 2022'!L63</f>
        <v>139156</v>
      </c>
      <c r="K32" s="71">
        <f>'Realisatie 2022'!M63</f>
        <v>2238029.1613675314</v>
      </c>
      <c r="L32" s="71">
        <f>'Realisatie 2022'!N63</f>
        <v>2483551.1068427763</v>
      </c>
      <c r="M32" s="71">
        <f>'Realisatie 2022'!O63</f>
        <v>102439.96</v>
      </c>
      <c r="N32" s="71">
        <f>'Realisatie 2022'!P63</f>
        <v>2062905.2618381975</v>
      </c>
      <c r="O32" s="71">
        <f>'Realisatie 2022'!Q63</f>
        <v>53800.217163938083</v>
      </c>
    </row>
    <row r="33" spans="2:15">
      <c r="B33" s="66" t="s">
        <v>160</v>
      </c>
      <c r="C33" s="4"/>
      <c r="D33" s="4" t="s">
        <v>88</v>
      </c>
      <c r="E33" s="4"/>
      <c r="H33" s="75">
        <f t="shared" ref="H33:H64" si="1">SUM(J33:O33)</f>
        <v>28819.981978328615</v>
      </c>
      <c r="J33" s="71">
        <f>'Realisatie 2022'!L64</f>
        <v>170</v>
      </c>
      <c r="K33" s="71">
        <f>'Realisatie 2022'!M64</f>
        <v>7835.7726981125334</v>
      </c>
      <c r="L33" s="71">
        <f>'Realisatie 2022'!N64</f>
        <v>11836.457547324026</v>
      </c>
      <c r="M33" s="71">
        <f>'Realisatie 2022'!O64</f>
        <v>627</v>
      </c>
      <c r="N33" s="71">
        <f>'Realisatie 2022'!P64</f>
        <v>7992.2661610343066</v>
      </c>
      <c r="O33" s="71">
        <f>'Realisatie 2022'!Q64</f>
        <v>358.48557185774746</v>
      </c>
    </row>
    <row r="34" spans="2:15">
      <c r="B34" s="66" t="s">
        <v>161</v>
      </c>
      <c r="C34" s="4"/>
      <c r="D34" s="4" t="s">
        <v>88</v>
      </c>
      <c r="E34" s="4"/>
      <c r="H34" s="75">
        <f t="shared" si="1"/>
        <v>60004.374084242474</v>
      </c>
      <c r="J34" s="71">
        <f>'Realisatie 2022'!L65</f>
        <v>1820</v>
      </c>
      <c r="K34" s="71">
        <f>'Realisatie 2022'!M65</f>
        <v>22992.943875139314</v>
      </c>
      <c r="L34" s="71">
        <f>'Realisatie 2022'!N65</f>
        <v>19441.627407068361</v>
      </c>
      <c r="M34" s="71">
        <f>'Realisatie 2022'!O65</f>
        <v>861.6</v>
      </c>
      <c r="N34" s="71">
        <f>'Realisatie 2022'!P65</f>
        <v>14538.52827060932</v>
      </c>
      <c r="O34" s="71">
        <f>'Realisatie 2022'!Q65</f>
        <v>349.67453142548248</v>
      </c>
    </row>
    <row r="35" spans="2:15">
      <c r="B35" s="4" t="s">
        <v>162</v>
      </c>
      <c r="C35" s="4"/>
      <c r="D35" s="4" t="s">
        <v>88</v>
      </c>
      <c r="E35" s="4"/>
      <c r="H35" s="75">
        <f t="shared" si="1"/>
        <v>23213.871314909291</v>
      </c>
      <c r="J35" s="71">
        <f>'Realisatie 2022'!L66</f>
        <v>593</v>
      </c>
      <c r="K35" s="71">
        <f>'Realisatie 2022'!M66</f>
        <v>8052.216278054043</v>
      </c>
      <c r="L35" s="71">
        <f>'Realisatie 2022'!N66</f>
        <v>7932.7068493150682</v>
      </c>
      <c r="M35" s="71">
        <f>'Realisatie 2022'!O66</f>
        <v>309.7</v>
      </c>
      <c r="N35" s="71">
        <f>'Realisatie 2022'!P66</f>
        <v>6074.2851638504872</v>
      </c>
      <c r="O35" s="71">
        <f>'Realisatie 2022'!Q66</f>
        <v>251.96302368969279</v>
      </c>
    </row>
    <row r="36" spans="2:15">
      <c r="B36" s="4"/>
      <c r="C36" s="4"/>
      <c r="D36" s="4"/>
      <c r="E36" s="4"/>
      <c r="H36" s="54"/>
      <c r="J36" s="54"/>
      <c r="K36" s="54"/>
      <c r="L36" s="54"/>
      <c r="M36" s="54"/>
      <c r="N36" s="54"/>
      <c r="O36" s="54"/>
    </row>
    <row r="37" spans="2:15">
      <c r="B37" s="26" t="s">
        <v>163</v>
      </c>
      <c r="C37" s="4"/>
      <c r="D37" s="4"/>
      <c r="E37" s="4"/>
      <c r="H37" s="54"/>
      <c r="J37" s="54"/>
      <c r="K37" s="54"/>
      <c r="L37" s="54"/>
      <c r="M37" s="54"/>
      <c r="N37" s="54"/>
      <c r="O37" s="54"/>
    </row>
    <row r="38" spans="2:15">
      <c r="B38" s="66" t="s">
        <v>159</v>
      </c>
      <c r="C38" s="4"/>
      <c r="D38" s="4" t="s">
        <v>88</v>
      </c>
      <c r="E38" s="4"/>
      <c r="H38" s="75">
        <f t="shared" si="1"/>
        <v>0</v>
      </c>
      <c r="J38" s="71">
        <f>'Realisatie 2022'!L69</f>
        <v>0</v>
      </c>
      <c r="K38" s="71">
        <f>'Realisatie 2022'!M69</f>
        <v>0</v>
      </c>
      <c r="L38" s="71">
        <f>'Realisatie 2022'!N69</f>
        <v>0</v>
      </c>
      <c r="M38" s="71">
        <f>'Realisatie 2022'!O69</f>
        <v>0</v>
      </c>
      <c r="N38" s="71">
        <f>'Realisatie 2022'!P69</f>
        <v>0</v>
      </c>
      <c r="O38" s="71">
        <f>'Realisatie 2022'!Q69</f>
        <v>0</v>
      </c>
    </row>
    <row r="39" spans="2:15">
      <c r="B39" s="66" t="s">
        <v>160</v>
      </c>
      <c r="C39" s="4"/>
      <c r="D39" s="4" t="s">
        <v>88</v>
      </c>
      <c r="E39" s="4"/>
      <c r="H39" s="75">
        <f t="shared" si="1"/>
        <v>0</v>
      </c>
      <c r="J39" s="71">
        <f>'Realisatie 2022'!L70</f>
        <v>0</v>
      </c>
      <c r="K39" s="71">
        <f>'Realisatie 2022'!M70</f>
        <v>0</v>
      </c>
      <c r="L39" s="71">
        <f>'Realisatie 2022'!N70</f>
        <v>0</v>
      </c>
      <c r="M39" s="71">
        <f>'Realisatie 2022'!O70</f>
        <v>0</v>
      </c>
      <c r="N39" s="71">
        <f>'Realisatie 2022'!P70</f>
        <v>0</v>
      </c>
      <c r="O39" s="71">
        <f>'Realisatie 2022'!Q70</f>
        <v>0</v>
      </c>
    </row>
    <row r="40" spans="2:15">
      <c r="B40" s="66" t="s">
        <v>161</v>
      </c>
      <c r="C40" s="4"/>
      <c r="D40" s="4" t="s">
        <v>88</v>
      </c>
      <c r="E40" s="4"/>
      <c r="H40" s="75">
        <f t="shared" si="1"/>
        <v>0</v>
      </c>
      <c r="J40" s="71">
        <f>'Realisatie 2022'!L71</f>
        <v>0</v>
      </c>
      <c r="K40" s="71">
        <f>'Realisatie 2022'!M71</f>
        <v>0</v>
      </c>
      <c r="L40" s="71">
        <f>'Realisatie 2022'!N71</f>
        <v>0</v>
      </c>
      <c r="M40" s="71">
        <f>'Realisatie 2022'!O71</f>
        <v>0</v>
      </c>
      <c r="N40" s="71">
        <f>'Realisatie 2022'!P71</f>
        <v>0</v>
      </c>
      <c r="O40" s="71">
        <f>'Realisatie 2022'!Q71</f>
        <v>0</v>
      </c>
    </row>
    <row r="41" spans="2:15">
      <c r="B41" s="4" t="s">
        <v>162</v>
      </c>
      <c r="C41" s="4"/>
      <c r="D41" s="4" t="s">
        <v>88</v>
      </c>
      <c r="E41" s="4"/>
      <c r="H41" s="75">
        <f t="shared" si="1"/>
        <v>0</v>
      </c>
      <c r="J41" s="71">
        <f>'Realisatie 2022'!L72</f>
        <v>0</v>
      </c>
      <c r="K41" s="71">
        <f>'Realisatie 2022'!M72</f>
        <v>0</v>
      </c>
      <c r="L41" s="71">
        <f>'Realisatie 2022'!N72</f>
        <v>0</v>
      </c>
      <c r="M41" s="71">
        <f>'Realisatie 2022'!O72</f>
        <v>0</v>
      </c>
      <c r="N41" s="71">
        <f>'Realisatie 2022'!P72</f>
        <v>0</v>
      </c>
      <c r="O41" s="71">
        <f>'Realisatie 2022'!Q72</f>
        <v>0</v>
      </c>
    </row>
    <row r="42" spans="2:15">
      <c r="B42" s="4"/>
      <c r="C42" s="4"/>
      <c r="D42" s="4"/>
      <c r="E42" s="4"/>
      <c r="H42" s="54"/>
      <c r="J42" s="54"/>
      <c r="K42" s="54"/>
      <c r="L42" s="54"/>
      <c r="M42" s="54"/>
      <c r="N42" s="54"/>
      <c r="O42" s="54"/>
    </row>
    <row r="43" spans="2:15">
      <c r="B43" s="4"/>
      <c r="C43" s="4"/>
      <c r="D43" s="4"/>
      <c r="E43" s="4"/>
      <c r="H43" s="54"/>
      <c r="J43" s="54"/>
      <c r="K43" s="54"/>
      <c r="L43" s="54"/>
      <c r="M43" s="54"/>
      <c r="N43" s="54"/>
      <c r="O43" s="54"/>
    </row>
    <row r="44" spans="2:15">
      <c r="B44" s="26" t="s">
        <v>164</v>
      </c>
      <c r="C44" s="4"/>
      <c r="D44" s="4"/>
      <c r="E44" s="4"/>
      <c r="H44" s="54"/>
      <c r="J44" s="54"/>
      <c r="K44" s="54"/>
      <c r="L44" s="54"/>
      <c r="M44" s="54"/>
      <c r="N44" s="54"/>
      <c r="O44" s="54"/>
    </row>
    <row r="45" spans="2:15">
      <c r="B45" s="4"/>
      <c r="C45" s="4"/>
      <c r="D45" s="4"/>
      <c r="E45" s="4"/>
      <c r="H45" s="54"/>
      <c r="J45" s="54"/>
      <c r="K45" s="54"/>
      <c r="L45" s="54"/>
      <c r="M45" s="54"/>
      <c r="N45" s="54"/>
      <c r="O45" s="54"/>
    </row>
    <row r="46" spans="2:15">
      <c r="B46" s="26" t="s">
        <v>165</v>
      </c>
      <c r="C46" s="4"/>
      <c r="D46" s="4"/>
      <c r="E46" s="4"/>
      <c r="H46" s="54"/>
      <c r="J46" s="54"/>
      <c r="K46" s="54"/>
      <c r="L46" s="54"/>
      <c r="M46" s="54"/>
      <c r="N46" s="54"/>
      <c r="O46" s="54"/>
    </row>
    <row r="47" spans="2:15">
      <c r="B47" s="4" t="s">
        <v>166</v>
      </c>
      <c r="C47" s="4"/>
      <c r="D47" s="4" t="s">
        <v>88</v>
      </c>
      <c r="E47" s="4"/>
      <c r="H47" s="75">
        <f t="shared" si="1"/>
        <v>17426.315174141731</v>
      </c>
      <c r="J47" s="71">
        <f>'Realisatie 2022'!L78</f>
        <v>391</v>
      </c>
      <c r="K47" s="71">
        <f>'Realisatie 2022'!M78</f>
        <v>5494.4872539528878</v>
      </c>
      <c r="L47" s="71">
        <f>'Realisatie 2022'!N78</f>
        <v>6231.2016666666668</v>
      </c>
      <c r="M47" s="71">
        <f>'Realisatie 2022'!O78</f>
        <v>231.8</v>
      </c>
      <c r="N47" s="71">
        <f>'Realisatie 2022'!P78</f>
        <v>5077.8262535221756</v>
      </c>
      <c r="O47" s="71">
        <f>'Realisatie 2022'!Q78</f>
        <v>0</v>
      </c>
    </row>
    <row r="48" spans="2:15">
      <c r="B48" s="4" t="s">
        <v>167</v>
      </c>
      <c r="C48" s="4"/>
      <c r="D48" s="4" t="s">
        <v>88</v>
      </c>
      <c r="E48" s="4"/>
      <c r="H48" s="75">
        <f t="shared" si="1"/>
        <v>6098.921891406394</v>
      </c>
      <c r="J48" s="71">
        <f>'Realisatie 2022'!L79</f>
        <v>100</v>
      </c>
      <c r="K48" s="71">
        <f>'Realisatie 2022'!M79</f>
        <v>1945.9545886557173</v>
      </c>
      <c r="L48" s="71">
        <f>'Realisatie 2022'!N79</f>
        <v>2085.6941666666667</v>
      </c>
      <c r="M48" s="71">
        <f>'Realisatie 2022'!O79</f>
        <v>38</v>
      </c>
      <c r="N48" s="71">
        <f>'Realisatie 2022'!P79</f>
        <v>1929.2731360840098</v>
      </c>
      <c r="O48" s="71">
        <f>'Realisatie 2022'!Q79</f>
        <v>0</v>
      </c>
    </row>
    <row r="49" spans="2:15">
      <c r="B49" s="4" t="s">
        <v>168</v>
      </c>
      <c r="C49" s="4"/>
      <c r="D49" s="4" t="s">
        <v>88</v>
      </c>
      <c r="E49" s="4"/>
      <c r="H49" s="75">
        <f t="shared" si="1"/>
        <v>124.81221374536227</v>
      </c>
      <c r="J49" s="71">
        <f>'Realisatie 2022'!L80</f>
        <v>0</v>
      </c>
      <c r="K49" s="71">
        <f>'Realisatie 2022'!M80</f>
        <v>29.799644124205045</v>
      </c>
      <c r="L49" s="71">
        <f>'Realisatie 2022'!N80</f>
        <v>42</v>
      </c>
      <c r="M49" s="71">
        <f>'Realisatie 2022'!O80</f>
        <v>0</v>
      </c>
      <c r="N49" s="71">
        <f>'Realisatie 2022'!P80</f>
        <v>53.012569621157233</v>
      </c>
      <c r="O49" s="71">
        <f>'Realisatie 2022'!Q80</f>
        <v>0</v>
      </c>
    </row>
    <row r="50" spans="2:15">
      <c r="B50" s="4"/>
      <c r="C50" s="4"/>
      <c r="D50" s="4"/>
      <c r="E50" s="4"/>
      <c r="H50" s="54"/>
      <c r="J50" s="54"/>
      <c r="K50" s="54"/>
      <c r="L50" s="54"/>
      <c r="M50" s="54"/>
      <c r="N50" s="54"/>
      <c r="O50" s="54"/>
    </row>
    <row r="51" spans="2:15">
      <c r="B51" s="26" t="s">
        <v>169</v>
      </c>
      <c r="C51" s="4"/>
      <c r="D51" s="4"/>
      <c r="E51" s="4"/>
      <c r="H51" s="54"/>
      <c r="J51" s="54"/>
      <c r="K51" s="54"/>
      <c r="L51" s="54"/>
      <c r="M51" s="54"/>
      <c r="N51" s="54"/>
      <c r="O51" s="54"/>
    </row>
    <row r="52" spans="2:15">
      <c r="B52" s="4" t="s">
        <v>166</v>
      </c>
      <c r="C52" s="4"/>
      <c r="D52" s="4" t="s">
        <v>88</v>
      </c>
      <c r="E52" s="4"/>
      <c r="H52" s="75">
        <f t="shared" si="1"/>
        <v>475.62363269069488</v>
      </c>
      <c r="J52" s="71">
        <f>'Realisatie 2022'!L83</f>
        <v>17</v>
      </c>
      <c r="K52" s="71">
        <f>'Realisatie 2022'!M83</f>
        <v>103.01444014198127</v>
      </c>
      <c r="L52" s="71">
        <f>'Realisatie 2022'!N83</f>
        <v>121.06416666666667</v>
      </c>
      <c r="M52" s="71">
        <f>'Realisatie 2022'!O83</f>
        <v>12.92</v>
      </c>
      <c r="N52" s="71">
        <f>'Realisatie 2022'!P83</f>
        <v>98.572790359058004</v>
      </c>
      <c r="O52" s="71">
        <f>'Realisatie 2022'!Q83</f>
        <v>123.05223552298895</v>
      </c>
    </row>
    <row r="53" spans="2:15">
      <c r="B53" s="4" t="s">
        <v>167</v>
      </c>
      <c r="C53" s="4"/>
      <c r="D53" s="4" t="s">
        <v>88</v>
      </c>
      <c r="E53" s="4"/>
      <c r="H53" s="75">
        <f t="shared" si="1"/>
        <v>397.4188108383442</v>
      </c>
      <c r="J53" s="71">
        <f>'Realisatie 2022'!L84</f>
        <v>11</v>
      </c>
      <c r="K53" s="71">
        <f>'Realisatie 2022'!M84</f>
        <v>161.27670696472015</v>
      </c>
      <c r="L53" s="71">
        <f>'Realisatie 2022'!N84</f>
        <v>23.232499999999998</v>
      </c>
      <c r="M53" s="71">
        <f>'Realisatie 2022'!O84</f>
        <v>16</v>
      </c>
      <c r="N53" s="71">
        <f>'Realisatie 2022'!P84</f>
        <v>159.88065435127072</v>
      </c>
      <c r="O53" s="71">
        <f>'Realisatie 2022'!Q84</f>
        <v>26.028949522353322</v>
      </c>
    </row>
    <row r="54" spans="2:15">
      <c r="B54" s="4" t="s">
        <v>168</v>
      </c>
      <c r="C54" s="4"/>
      <c r="D54" s="4" t="s">
        <v>88</v>
      </c>
      <c r="E54" s="4"/>
      <c r="H54" s="75">
        <f t="shared" si="1"/>
        <v>58.416281920695887</v>
      </c>
      <c r="J54" s="71">
        <f>'Realisatie 2022'!L85</f>
        <v>4</v>
      </c>
      <c r="K54" s="71">
        <f>'Realisatie 2022'!M85</f>
        <v>16.000175741133312</v>
      </c>
      <c r="L54" s="71">
        <f>'Realisatie 2022'!N85</f>
        <v>0</v>
      </c>
      <c r="M54" s="71">
        <f>'Realisatie 2022'!O85</f>
        <v>4</v>
      </c>
      <c r="N54" s="71">
        <f>'Realisatie 2022'!P85</f>
        <v>34.416106179562576</v>
      </c>
      <c r="O54" s="71">
        <f>'Realisatie 2022'!Q85</f>
        <v>0</v>
      </c>
    </row>
    <row r="55" spans="2:15">
      <c r="B55" s="4"/>
      <c r="C55" s="4"/>
      <c r="D55" s="4"/>
      <c r="E55" s="4"/>
      <c r="H55" s="54"/>
      <c r="J55" s="54"/>
      <c r="K55" s="54"/>
      <c r="L55" s="54"/>
      <c r="M55" s="54"/>
      <c r="N55" s="54"/>
      <c r="O55" s="54"/>
    </row>
    <row r="56" spans="2:15">
      <c r="B56" s="26" t="s">
        <v>170</v>
      </c>
      <c r="C56" s="4"/>
      <c r="D56" s="4"/>
      <c r="E56" s="4"/>
      <c r="H56" s="54"/>
      <c r="J56" s="54"/>
      <c r="K56" s="54"/>
      <c r="L56" s="54"/>
      <c r="M56" s="54"/>
      <c r="N56" s="54"/>
      <c r="O56" s="54"/>
    </row>
    <row r="57" spans="2:15">
      <c r="B57" s="4" t="s">
        <v>166</v>
      </c>
      <c r="C57" s="4"/>
      <c r="D57" s="4" t="s">
        <v>88</v>
      </c>
      <c r="E57" s="4"/>
      <c r="H57" s="75">
        <f t="shared" si="1"/>
        <v>1627.7045926803403</v>
      </c>
      <c r="J57" s="71">
        <f>'Realisatie 2022'!L88</f>
        <v>10</v>
      </c>
      <c r="K57" s="71">
        <f>'Realisatie 2022'!M88</f>
        <v>593.92328843733981</v>
      </c>
      <c r="L57" s="71">
        <f>'Realisatie 2022'!N88</f>
        <v>683.93666666666661</v>
      </c>
      <c r="M57" s="71">
        <f>'Realisatie 2022'!O88</f>
        <v>16.43</v>
      </c>
      <c r="N57" s="71">
        <f>'Realisatie 2022'!P88</f>
        <v>183.19247393299125</v>
      </c>
      <c r="O57" s="71">
        <f>'Realisatie 2022'!Q88</f>
        <v>140.22216364334236</v>
      </c>
    </row>
    <row r="58" spans="2:15">
      <c r="B58" s="4" t="s">
        <v>167</v>
      </c>
      <c r="C58" s="4"/>
      <c r="D58" s="4" t="s">
        <v>88</v>
      </c>
      <c r="E58" s="4"/>
      <c r="H58" s="75">
        <f t="shared" si="1"/>
        <v>3688.6574958491196</v>
      </c>
      <c r="J58" s="71">
        <f>'Realisatie 2022'!L89</f>
        <v>22</v>
      </c>
      <c r="K58" s="71">
        <f>'Realisatie 2022'!M89</f>
        <v>1256.1137258753622</v>
      </c>
      <c r="L58" s="71">
        <f>'Realisatie 2022'!N89</f>
        <v>1258.1600000000001</v>
      </c>
      <c r="M58" s="71">
        <f>'Realisatie 2022'!O89</f>
        <v>33.979999999999997</v>
      </c>
      <c r="N58" s="71">
        <f>'Realisatie 2022'!P89</f>
        <v>568.33188933924384</v>
      </c>
      <c r="O58" s="71">
        <f>'Realisatie 2022'!Q89</f>
        <v>550.07188063451349</v>
      </c>
    </row>
    <row r="59" spans="2:15">
      <c r="B59" s="4" t="s">
        <v>171</v>
      </c>
      <c r="C59" s="4"/>
      <c r="D59" s="4" t="s">
        <v>88</v>
      </c>
      <c r="E59" s="4"/>
      <c r="H59" s="75">
        <f t="shared" si="1"/>
        <v>1697.2626931020179</v>
      </c>
      <c r="J59" s="71">
        <f>'Realisatie 2022'!L90</f>
        <v>22</v>
      </c>
      <c r="K59" s="71">
        <f>'Realisatie 2022'!M90</f>
        <v>713.44993302367652</v>
      </c>
      <c r="L59" s="71">
        <f>'Realisatie 2022'!N90</f>
        <v>527.48083333333329</v>
      </c>
      <c r="M59" s="71">
        <f>'Realisatie 2022'!O90</f>
        <v>14</v>
      </c>
      <c r="N59" s="71">
        <f>'Realisatie 2022'!P90</f>
        <v>344.27550622126586</v>
      </c>
      <c r="O59" s="71">
        <f>'Realisatie 2022'!Q90</f>
        <v>76.056420523742219</v>
      </c>
    </row>
    <row r="60" spans="2:15">
      <c r="B60" s="4"/>
      <c r="C60" s="4"/>
      <c r="D60" s="4"/>
      <c r="E60" s="4"/>
      <c r="H60" s="54"/>
      <c r="J60" s="54"/>
      <c r="K60" s="54"/>
      <c r="L60" s="54"/>
      <c r="M60" s="54"/>
      <c r="N60" s="54"/>
      <c r="O60" s="54"/>
    </row>
    <row r="61" spans="2:15">
      <c r="B61" s="26" t="s">
        <v>172</v>
      </c>
      <c r="C61" s="4"/>
      <c r="D61" s="4"/>
      <c r="E61" s="4"/>
      <c r="H61" s="54"/>
      <c r="J61" s="54"/>
      <c r="K61" s="54"/>
      <c r="L61" s="54"/>
      <c r="M61" s="54"/>
      <c r="N61" s="54"/>
      <c r="O61" s="54"/>
    </row>
    <row r="62" spans="2:15">
      <c r="B62" s="4" t="s">
        <v>166</v>
      </c>
      <c r="C62" s="4"/>
      <c r="D62" s="4" t="s">
        <v>88</v>
      </c>
      <c r="E62" s="4"/>
      <c r="H62" s="75">
        <f t="shared" si="1"/>
        <v>51.46170431397902</v>
      </c>
      <c r="J62" s="71">
        <f>'Realisatie 2022'!L93</f>
        <v>3</v>
      </c>
      <c r="K62" s="71">
        <f>'Realisatie 2022'!M93</f>
        <v>3.9998276233570351</v>
      </c>
      <c r="L62" s="71">
        <f>'Realisatie 2022'!N93</f>
        <v>4</v>
      </c>
      <c r="M62" s="71">
        <f>'Realisatie 2022'!O93</f>
        <v>2.87</v>
      </c>
      <c r="N62" s="71">
        <f>'Realisatie 2022'!P93</f>
        <v>24.579953389997883</v>
      </c>
      <c r="O62" s="71">
        <f>'Realisatie 2022'!Q93</f>
        <v>13.011923300624096</v>
      </c>
    </row>
    <row r="63" spans="2:15">
      <c r="B63" s="4" t="s">
        <v>167</v>
      </c>
      <c r="C63" s="4"/>
      <c r="D63" s="4" t="s">
        <v>88</v>
      </c>
      <c r="E63" s="4"/>
      <c r="H63" s="75">
        <f t="shared" si="1"/>
        <v>396.83189784051075</v>
      </c>
      <c r="J63" s="71">
        <f>'Realisatie 2022'!L94</f>
        <v>9</v>
      </c>
      <c r="K63" s="71">
        <f>'Realisatie 2022'!M94</f>
        <v>44.734120026972363</v>
      </c>
      <c r="L63" s="71">
        <f>'Realisatie 2022'!N94</f>
        <v>59.910833333333336</v>
      </c>
      <c r="M63" s="71">
        <f>'Realisatie 2022'!O94</f>
        <v>5</v>
      </c>
      <c r="N63" s="71">
        <f>'Realisatie 2022'!P94</f>
        <v>141.10428432763047</v>
      </c>
      <c r="O63" s="71">
        <f>'Realisatie 2022'!Q94</f>
        <v>137.08266015257459</v>
      </c>
    </row>
    <row r="64" spans="2:15">
      <c r="B64" s="4" t="s">
        <v>171</v>
      </c>
      <c r="C64" s="4"/>
      <c r="D64" s="4" t="s">
        <v>88</v>
      </c>
      <c r="E64" s="4"/>
      <c r="H64" s="75">
        <f t="shared" si="1"/>
        <v>547.82815784941022</v>
      </c>
      <c r="J64" s="71">
        <f>'Realisatie 2022'!L95</f>
        <v>12</v>
      </c>
      <c r="K64" s="71">
        <f>'Realisatie 2022'!M95</f>
        <v>49.270353804402461</v>
      </c>
      <c r="L64" s="71">
        <f>'Realisatie 2022'!N95</f>
        <v>73.394166666666663</v>
      </c>
      <c r="M64" s="71">
        <f>'Realisatie 2022'!O95</f>
        <v>7</v>
      </c>
      <c r="N64" s="71">
        <f>'Realisatie 2022'!P95</f>
        <v>279.63703490586914</v>
      </c>
      <c r="O64" s="71">
        <f>'Realisatie 2022'!Q95</f>
        <v>126.52660247247191</v>
      </c>
    </row>
    <row r="66" spans="2:15" s="10" customFormat="1">
      <c r="B66" s="10" t="s">
        <v>85</v>
      </c>
    </row>
    <row r="68" spans="2:15">
      <c r="B68" s="26" t="s">
        <v>101</v>
      </c>
      <c r="C68" s="4"/>
      <c r="E68" s="4"/>
      <c r="F68" s="4"/>
    </row>
    <row r="69" spans="2:15">
      <c r="B69" s="4" t="s">
        <v>102</v>
      </c>
      <c r="C69" s="4"/>
      <c r="D69" s="1" t="s">
        <v>140</v>
      </c>
      <c r="E69" s="4"/>
      <c r="J69" s="84">
        <f>'Realisatie 2022'!L100</f>
        <v>18</v>
      </c>
      <c r="K69" s="84">
        <f>'Realisatie 2022'!M100</f>
        <v>18</v>
      </c>
      <c r="L69" s="84">
        <f>'Realisatie 2022'!N100</f>
        <v>17.994499999999999</v>
      </c>
      <c r="M69" s="84">
        <f>'Realisatie 2022'!O100</f>
        <v>18</v>
      </c>
      <c r="N69" s="84">
        <f>'Realisatie 2022'!P100</f>
        <v>18</v>
      </c>
      <c r="O69" s="84">
        <f>'Realisatie 2022'!Q100</f>
        <v>18</v>
      </c>
    </row>
    <row r="70" spans="2:15">
      <c r="B70" s="4" t="s">
        <v>103</v>
      </c>
      <c r="C70" s="4"/>
      <c r="D70" s="1" t="s">
        <v>141</v>
      </c>
      <c r="E70" s="4"/>
      <c r="J70" s="84">
        <f>'Realisatie 2022'!L101</f>
        <v>26.523799999999998</v>
      </c>
      <c r="K70" s="84">
        <f>'Realisatie 2022'!M101</f>
        <v>26.6553</v>
      </c>
      <c r="L70" s="84">
        <f>'Realisatie 2022'!N101</f>
        <v>30.587</v>
      </c>
      <c r="M70" s="84">
        <f>'Realisatie 2022'!O101</f>
        <v>26.38</v>
      </c>
      <c r="N70" s="84">
        <f>'Realisatie 2022'!P101</f>
        <v>27.654699999999998</v>
      </c>
      <c r="O70" s="84">
        <f>'Realisatie 2022'!Q101</f>
        <v>22.454800000000002</v>
      </c>
    </row>
    <row r="71" spans="2:15">
      <c r="B71" s="4"/>
      <c r="C71" s="4"/>
      <c r="D71" s="4"/>
      <c r="E71" s="4"/>
      <c r="J71" s="52"/>
      <c r="K71" s="52"/>
      <c r="L71" s="52"/>
      <c r="M71" s="52"/>
      <c r="N71" s="52"/>
      <c r="O71" s="52"/>
    </row>
    <row r="72" spans="2:15">
      <c r="B72" s="26" t="s">
        <v>104</v>
      </c>
      <c r="C72" s="4"/>
      <c r="D72" s="4"/>
      <c r="E72" s="4"/>
      <c r="J72" s="52"/>
      <c r="K72" s="52"/>
      <c r="L72" s="52"/>
      <c r="M72" s="52"/>
      <c r="N72" s="52"/>
      <c r="O72" s="52"/>
    </row>
    <row r="73" spans="2:15">
      <c r="B73" s="4" t="s">
        <v>102</v>
      </c>
      <c r="C73" s="4"/>
      <c r="D73" s="1" t="s">
        <v>140</v>
      </c>
      <c r="E73" s="4"/>
      <c r="J73" s="84">
        <f>'Realisatie 2022'!L104</f>
        <v>18</v>
      </c>
      <c r="K73" s="84">
        <f>'Realisatie 2022'!M104</f>
        <v>18</v>
      </c>
      <c r="L73" s="84">
        <f>'Realisatie 2022'!N104</f>
        <v>18</v>
      </c>
      <c r="M73" s="84">
        <f>'Realisatie 2022'!O104</f>
        <v>18</v>
      </c>
      <c r="N73" s="84">
        <f>'Realisatie 2022'!P104</f>
        <v>18.000000000000004</v>
      </c>
      <c r="O73" s="84">
        <f>'Realisatie 2022'!Q104</f>
        <v>18</v>
      </c>
    </row>
    <row r="74" spans="2:15">
      <c r="B74" s="4" t="s">
        <v>103</v>
      </c>
      <c r="C74" s="4"/>
      <c r="D74" s="1" t="s">
        <v>141</v>
      </c>
      <c r="E74" s="4"/>
      <c r="J74" s="84">
        <f>'Realisatie 2022'!L105</f>
        <v>26.496700000000001</v>
      </c>
      <c r="K74" s="84">
        <f>'Realisatie 2022'!M105</f>
        <v>26.6553</v>
      </c>
      <c r="L74" s="84">
        <f>'Realisatie 2022'!N105</f>
        <v>30.599999999999998</v>
      </c>
      <c r="M74" s="84">
        <f>'Realisatie 2022'!O105</f>
        <v>26.38</v>
      </c>
      <c r="N74" s="84">
        <f>'Realisatie 2022'!P105</f>
        <v>27.730799999999999</v>
      </c>
      <c r="O74" s="84">
        <f>'Realisatie 2022'!Q105</f>
        <v>22.454800000000002</v>
      </c>
    </row>
    <row r="75" spans="2:15">
      <c r="B75" s="4"/>
      <c r="C75" s="4"/>
      <c r="D75" s="4"/>
      <c r="E75" s="4"/>
      <c r="J75" s="52"/>
      <c r="K75" s="52"/>
      <c r="L75" s="52"/>
      <c r="M75" s="52"/>
      <c r="N75" s="52"/>
      <c r="O75" s="52"/>
    </row>
    <row r="76" spans="2:15">
      <c r="B76" s="26" t="s">
        <v>105</v>
      </c>
      <c r="C76" s="4"/>
      <c r="D76" s="4"/>
      <c r="E76" s="4"/>
      <c r="J76" s="52"/>
      <c r="K76" s="52"/>
      <c r="L76" s="52"/>
      <c r="M76" s="52"/>
      <c r="N76" s="52"/>
      <c r="O76" s="52"/>
    </row>
    <row r="77" spans="2:15">
      <c r="B77" s="4" t="s">
        <v>102</v>
      </c>
      <c r="C77" s="4"/>
      <c r="D77" s="1" t="s">
        <v>140</v>
      </c>
      <c r="E77" s="4"/>
      <c r="J77" s="84">
        <f>'Realisatie 2022'!L108</f>
        <v>540.52739999999994</v>
      </c>
      <c r="K77" s="84">
        <f>'Realisatie 2022'!M108</f>
        <v>1048.71</v>
      </c>
      <c r="L77" s="84">
        <f>'Realisatie 2022'!N108</f>
        <v>816</v>
      </c>
      <c r="M77" s="84">
        <f>'Realisatie 2022'!O108</f>
        <v>532.9</v>
      </c>
      <c r="N77" s="84">
        <f>'Realisatie 2022'!P108</f>
        <v>728.83630000000005</v>
      </c>
      <c r="O77" s="84">
        <f>'Realisatie 2022'!Q108</f>
        <v>326.39999999999998</v>
      </c>
    </row>
    <row r="78" spans="2:15">
      <c r="B78" s="4" t="s">
        <v>137</v>
      </c>
      <c r="C78" s="4"/>
      <c r="D78" s="1" t="s">
        <v>141</v>
      </c>
      <c r="E78" s="4"/>
      <c r="J78" s="84">
        <f>'Realisatie 2022'!L109</f>
        <v>30.559899999999999</v>
      </c>
      <c r="K78" s="84">
        <f>'Realisatie 2022'!M109</f>
        <v>0</v>
      </c>
      <c r="L78" s="84">
        <f>'Realisatie 2022'!N109</f>
        <v>21.48</v>
      </c>
      <c r="M78" s="84">
        <f>'Realisatie 2022'!O109</f>
        <v>27.7</v>
      </c>
      <c r="N78" s="84">
        <f>'Realisatie 2022'!P109</f>
        <v>0</v>
      </c>
      <c r="O78" s="84">
        <f>'Realisatie 2022'!Q109</f>
        <v>0</v>
      </c>
    </row>
    <row r="79" spans="2:15">
      <c r="B79" s="4" t="s">
        <v>138</v>
      </c>
      <c r="C79" s="4"/>
      <c r="D79" s="1" t="s">
        <v>141</v>
      </c>
      <c r="E79" s="4"/>
      <c r="J79" s="84">
        <f>'Realisatie 2022'!L110</f>
        <v>20.5168</v>
      </c>
      <c r="K79" s="84">
        <f>'Realisatie 2022'!M110</f>
        <v>0</v>
      </c>
      <c r="L79" s="84">
        <f>'Realisatie 2022'!N110</f>
        <v>21.48</v>
      </c>
      <c r="M79" s="84">
        <f>'Realisatie 2022'!O110</f>
        <v>18.8</v>
      </c>
      <c r="N79" s="84">
        <f>'Realisatie 2022'!P110</f>
        <v>0</v>
      </c>
      <c r="O79" s="84">
        <f>'Realisatie 2022'!Q110</f>
        <v>0</v>
      </c>
    </row>
    <row r="80" spans="2:15">
      <c r="B80" s="4" t="s">
        <v>139</v>
      </c>
      <c r="C80" s="4"/>
      <c r="D80" s="1" t="s">
        <v>141</v>
      </c>
      <c r="E80" s="4"/>
      <c r="J80" s="84">
        <f>'Realisatie 2022'!L111</f>
        <v>0</v>
      </c>
      <c r="K80" s="84">
        <f>'Realisatie 2022'!M111</f>
        <v>24.114999999999998</v>
      </c>
      <c r="L80" s="84">
        <f>'Realisatie 2022'!N111</f>
        <v>0</v>
      </c>
      <c r="M80" s="84">
        <f>'Realisatie 2022'!O111</f>
        <v>0</v>
      </c>
      <c r="N80" s="84">
        <f>'Realisatie 2022'!P111</f>
        <v>23.946899999999999</v>
      </c>
      <c r="O80" s="84">
        <f>'Realisatie 2022'!Q111</f>
        <v>29.141100000000002</v>
      </c>
    </row>
    <row r="82" spans="2:15" s="10" customFormat="1">
      <c r="B82" s="10" t="s">
        <v>86</v>
      </c>
    </row>
    <row r="84" spans="2:15">
      <c r="B84" s="26" t="s">
        <v>175</v>
      </c>
      <c r="C84" s="4"/>
      <c r="D84" s="4"/>
      <c r="E84" s="4"/>
      <c r="F84" s="4"/>
    </row>
    <row r="85" spans="2:15">
      <c r="B85" s="4"/>
      <c r="C85" s="4"/>
      <c r="D85" s="4"/>
      <c r="E85" s="4"/>
      <c r="F85" s="4"/>
    </row>
    <row r="86" spans="2:15">
      <c r="B86" s="26" t="s">
        <v>158</v>
      </c>
      <c r="C86" s="4"/>
      <c r="D86" s="4"/>
      <c r="E86" s="4"/>
      <c r="F86" s="4"/>
    </row>
    <row r="87" spans="2:15">
      <c r="B87" s="4" t="s">
        <v>176</v>
      </c>
      <c r="C87" s="4"/>
      <c r="D87" s="1" t="s">
        <v>140</v>
      </c>
      <c r="E87" s="4"/>
      <c r="J87" s="84">
        <f>'Realisatie 2022'!L118</f>
        <v>32.827399999999997</v>
      </c>
      <c r="K87" s="84">
        <f>'Realisatie 2022'!M118</f>
        <v>33.549999999999997</v>
      </c>
      <c r="L87" s="84">
        <f>'Realisatie 2022'!N118</f>
        <v>33.032499999999992</v>
      </c>
      <c r="M87" s="84">
        <f>'Realisatie 2022'!O118</f>
        <v>33.5</v>
      </c>
      <c r="N87" s="84">
        <f>'Realisatie 2022'!P118</f>
        <v>32.326700000000002</v>
      </c>
      <c r="O87" s="84">
        <f>'Realisatie 2022'!Q118</f>
        <v>31.79</v>
      </c>
    </row>
    <row r="88" spans="2:15">
      <c r="B88" s="4" t="s">
        <v>177</v>
      </c>
      <c r="C88" s="4"/>
      <c r="D88" s="1" t="s">
        <v>140</v>
      </c>
      <c r="E88" s="4"/>
      <c r="J88" s="84">
        <f>'Realisatie 2022'!L119</f>
        <v>50.169899999999998</v>
      </c>
      <c r="K88" s="84">
        <f>'Realisatie 2022'!M119</f>
        <v>57.79</v>
      </c>
      <c r="L88" s="84">
        <f>'Realisatie 2022'!N119</f>
        <v>62.378500000000003</v>
      </c>
      <c r="M88" s="84">
        <f>'Realisatie 2022'!O119</f>
        <v>74.75</v>
      </c>
      <c r="N88" s="84">
        <f>'Realisatie 2022'!P119</f>
        <v>69.601299999999995</v>
      </c>
      <c r="O88" s="84">
        <f>'Realisatie 2022'!Q119</f>
        <v>31.79</v>
      </c>
    </row>
    <row r="89" spans="2:15">
      <c r="B89" s="4" t="s">
        <v>178</v>
      </c>
      <c r="C89" s="4"/>
      <c r="D89" s="1" t="s">
        <v>140</v>
      </c>
      <c r="E89" s="4"/>
      <c r="J89" s="84">
        <f>'Realisatie 2022'!L120</f>
        <v>50.169899999999998</v>
      </c>
      <c r="K89" s="84">
        <f>'Realisatie 2022'!M120</f>
        <v>57.79</v>
      </c>
      <c r="L89" s="84">
        <f>'Realisatie 2022'!N120</f>
        <v>62.378500000000003</v>
      </c>
      <c r="M89" s="84">
        <f>'Realisatie 2022'!O120</f>
        <v>74.75</v>
      </c>
      <c r="N89" s="84">
        <f>'Realisatie 2022'!P120</f>
        <v>69.820899999999995</v>
      </c>
      <c r="O89" s="84">
        <f>'Realisatie 2022'!Q120</f>
        <v>31.79</v>
      </c>
    </row>
    <row r="90" spans="2:15">
      <c r="B90" s="4" t="s">
        <v>179</v>
      </c>
      <c r="C90" s="4"/>
      <c r="D90" s="1" t="s">
        <v>140</v>
      </c>
      <c r="E90" s="4"/>
      <c r="J90" s="84">
        <f>'Realisatie 2022'!L121</f>
        <v>64.464100000000002</v>
      </c>
      <c r="K90" s="84">
        <f>'Realisatie 2022'!M121</f>
        <v>72.27</v>
      </c>
      <c r="L90" s="84">
        <f>'Realisatie 2022'!N121</f>
        <v>102.565</v>
      </c>
      <c r="M90" s="84">
        <f>'Realisatie 2022'!O121</f>
        <v>101.5</v>
      </c>
      <c r="N90" s="84">
        <f>'Realisatie 2022'!P121</f>
        <v>111.4722</v>
      </c>
      <c r="O90" s="84">
        <f>'Realisatie 2022'!Q121</f>
        <v>31.79</v>
      </c>
    </row>
    <row r="91" spans="2:15">
      <c r="B91" s="4"/>
      <c r="C91" s="4"/>
      <c r="D91" s="4"/>
      <c r="E91" s="4"/>
      <c r="J91" s="52"/>
      <c r="K91" s="52"/>
      <c r="L91" s="52"/>
      <c r="M91" s="52"/>
      <c r="N91" s="52"/>
      <c r="O91" s="52"/>
    </row>
    <row r="92" spans="2:15">
      <c r="B92" s="26" t="s">
        <v>163</v>
      </c>
      <c r="C92" s="4"/>
      <c r="D92" s="4"/>
      <c r="E92" s="4"/>
      <c r="J92" s="52"/>
      <c r="K92" s="52"/>
      <c r="L92" s="52"/>
      <c r="M92" s="52"/>
      <c r="N92" s="52"/>
      <c r="O92" s="52"/>
    </row>
    <row r="93" spans="2:15">
      <c r="B93" s="4" t="s">
        <v>176</v>
      </c>
      <c r="C93" s="4"/>
      <c r="D93" s="1" t="s">
        <v>140</v>
      </c>
      <c r="E93" s="4"/>
      <c r="J93" s="84">
        <f>'Realisatie 2022'!L124</f>
        <v>0</v>
      </c>
      <c r="K93" s="84">
        <f>'Realisatie 2022'!M124</f>
        <v>0</v>
      </c>
      <c r="L93" s="84">
        <f>'Realisatie 2022'!N124</f>
        <v>0</v>
      </c>
      <c r="M93" s="84">
        <f>'Realisatie 2022'!O124</f>
        <v>0</v>
      </c>
      <c r="N93" s="84">
        <f>'Realisatie 2022'!P124</f>
        <v>0</v>
      </c>
      <c r="O93" s="84">
        <f>'Realisatie 2022'!Q124</f>
        <v>31.79</v>
      </c>
    </row>
    <row r="94" spans="2:15">
      <c r="B94" s="4" t="s">
        <v>177</v>
      </c>
      <c r="C94" s="4"/>
      <c r="D94" s="1" t="s">
        <v>140</v>
      </c>
      <c r="E94" s="4"/>
      <c r="J94" s="84">
        <f>'Realisatie 2022'!L125</f>
        <v>0</v>
      </c>
      <c r="K94" s="84">
        <f>'Realisatie 2022'!M125</f>
        <v>0</v>
      </c>
      <c r="L94" s="84">
        <f>'Realisatie 2022'!N125</f>
        <v>0</v>
      </c>
      <c r="M94" s="84">
        <f>'Realisatie 2022'!O125</f>
        <v>0</v>
      </c>
      <c r="N94" s="84">
        <f>'Realisatie 2022'!P125</f>
        <v>0</v>
      </c>
      <c r="O94" s="84">
        <f>'Realisatie 2022'!Q125</f>
        <v>31.79</v>
      </c>
    </row>
    <row r="95" spans="2:15">
      <c r="B95" s="4" t="s">
        <v>178</v>
      </c>
      <c r="C95" s="4"/>
      <c r="D95" s="1" t="s">
        <v>140</v>
      </c>
      <c r="E95" s="4"/>
      <c r="J95" s="84">
        <f>'Realisatie 2022'!L126</f>
        <v>0</v>
      </c>
      <c r="K95" s="84">
        <f>'Realisatie 2022'!M126</f>
        <v>0</v>
      </c>
      <c r="L95" s="84">
        <f>'Realisatie 2022'!N126</f>
        <v>0</v>
      </c>
      <c r="M95" s="84">
        <f>'Realisatie 2022'!O126</f>
        <v>0</v>
      </c>
      <c r="N95" s="84">
        <f>'Realisatie 2022'!P126</f>
        <v>0</v>
      </c>
      <c r="O95" s="84">
        <f>'Realisatie 2022'!Q126</f>
        <v>31.79</v>
      </c>
    </row>
    <row r="96" spans="2:15">
      <c r="B96" s="4" t="s">
        <v>179</v>
      </c>
      <c r="C96" s="4"/>
      <c r="D96" s="1" t="s">
        <v>140</v>
      </c>
      <c r="E96" s="4"/>
      <c r="J96" s="84">
        <f>'Realisatie 2022'!L127</f>
        <v>99.670100000000005</v>
      </c>
      <c r="K96" s="84">
        <f>'Realisatie 2022'!M127</f>
        <v>0</v>
      </c>
      <c r="L96" s="84">
        <f>'Realisatie 2022'!N127</f>
        <v>0</v>
      </c>
      <c r="M96" s="84">
        <f>'Realisatie 2022'!O127</f>
        <v>0</v>
      </c>
      <c r="N96" s="84">
        <f>'Realisatie 2022'!P127</f>
        <v>0</v>
      </c>
      <c r="O96" s="84">
        <f>'Realisatie 2022'!Q127</f>
        <v>31.79</v>
      </c>
    </row>
    <row r="97" spans="2:15">
      <c r="B97" s="4"/>
      <c r="C97" s="4"/>
      <c r="D97" s="4"/>
      <c r="E97" s="4"/>
      <c r="J97" s="52"/>
      <c r="K97" s="52"/>
      <c r="L97" s="52"/>
      <c r="M97" s="52"/>
      <c r="N97" s="52"/>
      <c r="O97" s="52"/>
    </row>
    <row r="98" spans="2:15">
      <c r="B98" s="4"/>
      <c r="C98" s="4"/>
      <c r="D98" s="4"/>
      <c r="E98" s="4"/>
      <c r="J98" s="52"/>
      <c r="K98" s="52"/>
      <c r="L98" s="52"/>
      <c r="M98" s="52"/>
      <c r="N98" s="52"/>
      <c r="O98" s="52"/>
    </row>
    <row r="99" spans="2:15">
      <c r="B99" s="26" t="s">
        <v>180</v>
      </c>
      <c r="C99" s="4"/>
      <c r="D99" s="4"/>
      <c r="E99" s="4"/>
      <c r="J99" s="52"/>
      <c r="K99" s="52"/>
      <c r="L99" s="52"/>
      <c r="M99" s="52"/>
      <c r="N99" s="52"/>
      <c r="O99" s="52"/>
    </row>
    <row r="100" spans="2:15">
      <c r="B100" s="4"/>
      <c r="C100" s="4"/>
      <c r="D100" s="4"/>
      <c r="E100" s="4"/>
      <c r="J100" s="52"/>
      <c r="K100" s="52"/>
      <c r="L100" s="52"/>
      <c r="M100" s="52"/>
      <c r="N100" s="52"/>
      <c r="O100" s="52"/>
    </row>
    <row r="101" spans="2:15">
      <c r="B101" s="26" t="s">
        <v>165</v>
      </c>
      <c r="C101" s="4"/>
      <c r="D101" s="4"/>
      <c r="E101" s="4"/>
      <c r="J101" s="52"/>
      <c r="K101" s="52"/>
      <c r="L101" s="52"/>
      <c r="M101" s="52"/>
      <c r="N101" s="52"/>
      <c r="O101" s="52"/>
    </row>
    <row r="102" spans="2:15">
      <c r="B102" s="4" t="s">
        <v>166</v>
      </c>
      <c r="C102" s="4"/>
      <c r="D102" s="1" t="s">
        <v>140</v>
      </c>
      <c r="E102" s="4"/>
      <c r="J102" s="84">
        <f>'Realisatie 2022'!L133</f>
        <v>496.69439999999997</v>
      </c>
      <c r="K102" s="84">
        <f>'Realisatie 2022'!M133</f>
        <v>371.88</v>
      </c>
      <c r="L102" s="84">
        <f>'Realisatie 2022'!N133</f>
        <v>536.16</v>
      </c>
      <c r="M102" s="84">
        <f>'Realisatie 2022'!O133</f>
        <v>269</v>
      </c>
      <c r="N102" s="84">
        <f>'Realisatie 2022'!P133</f>
        <v>299.9203</v>
      </c>
      <c r="O102" s="84">
        <f>'Realisatie 2022'!Q133</f>
        <v>517.68000000000006</v>
      </c>
    </row>
    <row r="103" spans="2:15">
      <c r="B103" s="4" t="s">
        <v>167</v>
      </c>
      <c r="C103" s="4"/>
      <c r="D103" s="1" t="s">
        <v>140</v>
      </c>
      <c r="E103" s="4"/>
      <c r="J103" s="84">
        <f>'Realisatie 2022'!L134</f>
        <v>525.24689999999998</v>
      </c>
      <c r="K103" s="84">
        <f>'Realisatie 2022'!M134</f>
        <v>526.08000000000004</v>
      </c>
      <c r="L103" s="84">
        <f>'Realisatie 2022'!N134</f>
        <v>560.64</v>
      </c>
      <c r="M103" s="84">
        <f>'Realisatie 2022'!O134</f>
        <v>323</v>
      </c>
      <c r="N103" s="84">
        <f>'Realisatie 2022'!P134</f>
        <v>585.91160000000002</v>
      </c>
      <c r="O103" s="84">
        <f>'Realisatie 2022'!Q134</f>
        <v>956.64</v>
      </c>
    </row>
    <row r="104" spans="2:15">
      <c r="B104" s="4" t="s">
        <v>168</v>
      </c>
      <c r="C104" s="4"/>
      <c r="D104" s="1" t="s">
        <v>140</v>
      </c>
      <c r="E104" s="4"/>
      <c r="J104" s="84">
        <f>'Realisatie 2022'!L135</f>
        <v>525.24689999999998</v>
      </c>
      <c r="K104" s="84">
        <f>'Realisatie 2022'!M135</f>
        <v>910.43</v>
      </c>
      <c r="L104" s="84">
        <f>'Realisatie 2022'!N135</f>
        <v>560.76</v>
      </c>
      <c r="M104" s="84">
        <f>'Realisatie 2022'!O135</f>
        <v>353</v>
      </c>
      <c r="N104" s="84">
        <f>'Realisatie 2022'!P135</f>
        <v>939.49530000000004</v>
      </c>
      <c r="O104" s="84">
        <f>'Realisatie 2022'!Q135</f>
        <v>956.64</v>
      </c>
    </row>
    <row r="105" spans="2:15">
      <c r="B105" s="4"/>
      <c r="C105" s="4"/>
      <c r="D105" s="4"/>
      <c r="E105" s="4"/>
      <c r="J105" s="52"/>
      <c r="K105" s="52"/>
      <c r="L105" s="52"/>
      <c r="M105" s="52"/>
      <c r="N105" s="52"/>
      <c r="O105" s="52"/>
    </row>
    <row r="106" spans="2:15">
      <c r="B106" s="26" t="s">
        <v>169</v>
      </c>
      <c r="C106" s="4"/>
      <c r="D106" s="4"/>
      <c r="E106" s="4"/>
      <c r="J106" s="52"/>
      <c r="K106" s="52"/>
      <c r="L106" s="52"/>
      <c r="M106" s="52"/>
      <c r="N106" s="52"/>
      <c r="O106" s="52"/>
    </row>
    <row r="107" spans="2:15">
      <c r="B107" s="4" t="s">
        <v>166</v>
      </c>
      <c r="C107" s="4"/>
      <c r="D107" s="1" t="s">
        <v>140</v>
      </c>
      <c r="E107" s="4"/>
      <c r="J107" s="84">
        <f>'Realisatie 2022'!L138</f>
        <v>496.69439999999997</v>
      </c>
      <c r="K107" s="84">
        <f>'Realisatie 2022'!M138</f>
        <v>371.88</v>
      </c>
      <c r="L107" s="84">
        <f>'Realisatie 2022'!N138</f>
        <v>501.72</v>
      </c>
      <c r="M107" s="84">
        <f>'Realisatie 2022'!O138</f>
        <v>269</v>
      </c>
      <c r="N107" s="84">
        <f>'Realisatie 2022'!P138</f>
        <v>299.9203</v>
      </c>
      <c r="O107" s="84">
        <f>'Realisatie 2022'!Q138</f>
        <v>517.68000000000006</v>
      </c>
    </row>
    <row r="108" spans="2:15">
      <c r="B108" s="4" t="s">
        <v>167</v>
      </c>
      <c r="C108" s="4"/>
      <c r="D108" s="1" t="s">
        <v>140</v>
      </c>
      <c r="E108" s="4"/>
      <c r="J108" s="84">
        <f>'Realisatie 2022'!L139</f>
        <v>525.24689999999998</v>
      </c>
      <c r="K108" s="84">
        <f>'Realisatie 2022'!M139</f>
        <v>526.08000000000004</v>
      </c>
      <c r="L108" s="84">
        <f>'Realisatie 2022'!N139</f>
        <v>510.36000000000007</v>
      </c>
      <c r="M108" s="84">
        <f>'Realisatie 2022'!O139</f>
        <v>323</v>
      </c>
      <c r="N108" s="84">
        <f>'Realisatie 2022'!P139</f>
        <v>585.91160000000002</v>
      </c>
      <c r="O108" s="84">
        <f>'Realisatie 2022'!Q139</f>
        <v>956.64</v>
      </c>
    </row>
    <row r="109" spans="2:15">
      <c r="B109" s="4" t="s">
        <v>168</v>
      </c>
      <c r="C109" s="4"/>
      <c r="D109" s="1" t="s">
        <v>140</v>
      </c>
      <c r="E109" s="4"/>
      <c r="J109" s="84">
        <f>'Realisatie 2022'!L140</f>
        <v>525.24689999999998</v>
      </c>
      <c r="K109" s="84">
        <f>'Realisatie 2022'!M140</f>
        <v>910.43</v>
      </c>
      <c r="L109" s="84">
        <f>'Realisatie 2022'!N140</f>
        <v>510.36000000000007</v>
      </c>
      <c r="M109" s="84">
        <f>'Realisatie 2022'!O140</f>
        <v>353</v>
      </c>
      <c r="N109" s="84">
        <f>'Realisatie 2022'!P140</f>
        <v>939.49530000000004</v>
      </c>
      <c r="O109" s="84">
        <f>'Realisatie 2022'!Q140</f>
        <v>956.64</v>
      </c>
    </row>
    <row r="110" spans="2:15">
      <c r="B110" s="4"/>
      <c r="C110" s="4"/>
      <c r="D110" s="4"/>
      <c r="E110" s="4"/>
      <c r="J110" s="52"/>
      <c r="K110" s="52"/>
      <c r="L110" s="52"/>
      <c r="M110" s="52"/>
      <c r="N110" s="52"/>
      <c r="O110" s="52"/>
    </row>
    <row r="111" spans="2:15">
      <c r="B111" s="26" t="s">
        <v>170</v>
      </c>
      <c r="C111" s="4"/>
      <c r="D111" s="4"/>
      <c r="E111" s="4"/>
      <c r="J111" s="52"/>
      <c r="K111" s="52"/>
      <c r="L111" s="52"/>
      <c r="M111" s="52"/>
      <c r="N111" s="52"/>
      <c r="O111" s="52"/>
    </row>
    <row r="112" spans="2:15">
      <c r="B112" s="4" t="s">
        <v>166</v>
      </c>
      <c r="C112" s="4"/>
      <c r="D112" s="1" t="s">
        <v>140</v>
      </c>
      <c r="E112" s="4"/>
      <c r="J112" s="84">
        <f>'Realisatie 2022'!L143</f>
        <v>1766.1107999999999</v>
      </c>
      <c r="K112" s="84">
        <f>'Realisatie 2022'!M143</f>
        <v>858.28</v>
      </c>
      <c r="L112" s="84">
        <f>'Realisatie 2022'!N143</f>
        <v>1033.44</v>
      </c>
      <c r="M112" s="84">
        <f>'Realisatie 2022'!O143</f>
        <v>1300</v>
      </c>
      <c r="N112" s="84">
        <f>'Realisatie 2022'!P143</f>
        <v>835.44299999999998</v>
      </c>
      <c r="O112" s="84">
        <f>'Realisatie 2022'!Q143</f>
        <v>956.64</v>
      </c>
    </row>
    <row r="113" spans="2:15">
      <c r="B113" s="4" t="s">
        <v>167</v>
      </c>
      <c r="C113" s="4"/>
      <c r="D113" s="1" t="s">
        <v>140</v>
      </c>
      <c r="E113" s="4"/>
      <c r="J113" s="84">
        <f>'Realisatie 2022'!L144</f>
        <v>1766.1107999999999</v>
      </c>
      <c r="K113" s="84">
        <f>'Realisatie 2022'!M144</f>
        <v>1018.15</v>
      </c>
      <c r="L113" s="84">
        <f>'Realisatie 2022'!N144</f>
        <v>1041.1200000000001</v>
      </c>
      <c r="M113" s="84">
        <f>'Realisatie 2022'!O144</f>
        <v>1300</v>
      </c>
      <c r="N113" s="84">
        <f>'Realisatie 2022'!P144</f>
        <v>882.39049999999997</v>
      </c>
      <c r="O113" s="84">
        <f>'Realisatie 2022'!Q144</f>
        <v>956.64</v>
      </c>
    </row>
    <row r="114" spans="2:15">
      <c r="B114" s="4" t="s">
        <v>171</v>
      </c>
      <c r="C114" s="4"/>
      <c r="D114" s="1" t="s">
        <v>140</v>
      </c>
      <c r="E114" s="4"/>
      <c r="J114" s="84">
        <f>'Realisatie 2022'!L145</f>
        <v>1766.1107999999999</v>
      </c>
      <c r="K114" s="84">
        <f>'Realisatie 2022'!M145</f>
        <v>1149.6600000000001</v>
      </c>
      <c r="L114" s="84">
        <f>'Realisatie 2022'!N145</f>
        <v>1046.4000000000001</v>
      </c>
      <c r="M114" s="84">
        <f>'Realisatie 2022'!O145</f>
        <v>1300</v>
      </c>
      <c r="N114" s="84">
        <f>'Realisatie 2022'!P145</f>
        <v>939.49530000000004</v>
      </c>
      <c r="O114" s="84">
        <f>'Realisatie 2022'!Q145</f>
        <v>956.64</v>
      </c>
    </row>
    <row r="115" spans="2:15">
      <c r="B115" s="4"/>
      <c r="C115" s="4"/>
      <c r="D115" s="4"/>
      <c r="E115" s="4"/>
      <c r="J115" s="52"/>
      <c r="K115" s="52"/>
      <c r="L115" s="52"/>
      <c r="M115" s="52"/>
      <c r="N115" s="52"/>
      <c r="O115" s="52"/>
    </row>
    <row r="116" spans="2:15">
      <c r="B116" s="26" t="s">
        <v>172</v>
      </c>
      <c r="C116" s="4"/>
      <c r="D116" s="4"/>
      <c r="E116" s="4"/>
      <c r="J116" s="52"/>
      <c r="K116" s="52"/>
      <c r="L116" s="52"/>
      <c r="M116" s="52"/>
      <c r="N116" s="52"/>
      <c r="O116" s="52"/>
    </row>
    <row r="117" spans="2:15">
      <c r="B117" s="4" t="s">
        <v>166</v>
      </c>
      <c r="C117" s="4"/>
      <c r="D117" s="1" t="s">
        <v>140</v>
      </c>
      <c r="E117" s="4"/>
      <c r="J117" s="84">
        <f>'Realisatie 2022'!L148</f>
        <v>1766.1107999999999</v>
      </c>
      <c r="K117" s="84">
        <f>'Realisatie 2022'!M148</f>
        <v>696.15</v>
      </c>
      <c r="L117" s="84">
        <f>'Realisatie 2022'!N148</f>
        <v>878.4</v>
      </c>
      <c r="M117" s="84">
        <f>'Realisatie 2022'!O148</f>
        <v>1300</v>
      </c>
      <c r="N117" s="84">
        <f>'Realisatie 2022'!P148</f>
        <v>835.44299999999998</v>
      </c>
      <c r="O117" s="84">
        <f>'Realisatie 2022'!Q148</f>
        <v>956.64</v>
      </c>
    </row>
    <row r="118" spans="2:15">
      <c r="B118" s="4" t="s">
        <v>167</v>
      </c>
      <c r="C118" s="4"/>
      <c r="D118" s="1" t="s">
        <v>140</v>
      </c>
      <c r="E118" s="4"/>
      <c r="J118" s="84">
        <f>'Realisatie 2022'!L149</f>
        <v>1766.1107999999999</v>
      </c>
      <c r="K118" s="84">
        <f>'Realisatie 2022'!M149</f>
        <v>741.5</v>
      </c>
      <c r="L118" s="84">
        <f>'Realisatie 2022'!N149</f>
        <v>908.51999999999987</v>
      </c>
      <c r="M118" s="84">
        <f>'Realisatie 2022'!O149</f>
        <v>1300</v>
      </c>
      <c r="N118" s="84">
        <f>'Realisatie 2022'!P149</f>
        <v>882.39049999999997</v>
      </c>
      <c r="O118" s="84">
        <f>'Realisatie 2022'!Q149</f>
        <v>956.64</v>
      </c>
    </row>
    <row r="119" spans="2:15">
      <c r="B119" s="4" t="s">
        <v>171</v>
      </c>
      <c r="C119" s="4"/>
      <c r="D119" s="1" t="s">
        <v>140</v>
      </c>
      <c r="E119" s="4"/>
      <c r="J119" s="84">
        <f>'Realisatie 2022'!L150</f>
        <v>1766.1107999999999</v>
      </c>
      <c r="K119" s="84">
        <f>'Realisatie 2022'!M150</f>
        <v>795.92</v>
      </c>
      <c r="L119" s="84">
        <f>'Realisatie 2022'!N150</f>
        <v>925.92</v>
      </c>
      <c r="M119" s="84">
        <f>'Realisatie 2022'!O150</f>
        <v>1300</v>
      </c>
      <c r="N119" s="84">
        <f>'Realisatie 2022'!P150</f>
        <v>939.49530000000004</v>
      </c>
      <c r="O119" s="84">
        <f>'Realisatie 2022'!Q150</f>
        <v>956.64</v>
      </c>
    </row>
    <row r="121" spans="2:15" s="10" customFormat="1">
      <c r="B121" s="10" t="s">
        <v>210</v>
      </c>
    </row>
    <row r="123" spans="2:15">
      <c r="B123" s="3" t="s">
        <v>211</v>
      </c>
      <c r="C123" s="4"/>
      <c r="D123" s="4"/>
      <c r="E123" s="4"/>
      <c r="F123" s="4"/>
    </row>
    <row r="124" spans="2:15">
      <c r="B124" s="4" t="s">
        <v>137</v>
      </c>
      <c r="C124" s="4"/>
      <c r="D124" s="1" t="s">
        <v>141</v>
      </c>
      <c r="E124" s="4"/>
      <c r="J124" s="84">
        <f>J78</f>
        <v>30.559899999999999</v>
      </c>
      <c r="K124" s="84">
        <f t="shared" ref="K124:O124" si="2">K78</f>
        <v>0</v>
      </c>
      <c r="L124" s="84">
        <f t="shared" si="2"/>
        <v>21.48</v>
      </c>
      <c r="M124" s="84">
        <f t="shared" si="2"/>
        <v>27.7</v>
      </c>
      <c r="N124" s="84">
        <f t="shared" si="2"/>
        <v>0</v>
      </c>
      <c r="O124" s="84">
        <f t="shared" si="2"/>
        <v>0</v>
      </c>
    </row>
    <row r="125" spans="2:15">
      <c r="B125" s="4" t="s">
        <v>138</v>
      </c>
      <c r="C125" s="4"/>
      <c r="D125" s="1" t="s">
        <v>141</v>
      </c>
      <c r="E125" s="4"/>
      <c r="J125" s="84">
        <f t="shared" ref="J125:O126" si="3">J79</f>
        <v>20.5168</v>
      </c>
      <c r="K125" s="84">
        <f t="shared" si="3"/>
        <v>0</v>
      </c>
      <c r="L125" s="84">
        <f t="shared" si="3"/>
        <v>21.48</v>
      </c>
      <c r="M125" s="84">
        <f t="shared" si="3"/>
        <v>18.8</v>
      </c>
      <c r="N125" s="84">
        <f t="shared" si="3"/>
        <v>0</v>
      </c>
      <c r="O125" s="84">
        <f t="shared" si="3"/>
        <v>0</v>
      </c>
    </row>
    <row r="126" spans="2:15">
      <c r="B126" s="4" t="s">
        <v>139</v>
      </c>
      <c r="C126" s="4"/>
      <c r="D126" s="1" t="s">
        <v>141</v>
      </c>
      <c r="E126" s="4"/>
      <c r="J126" s="84">
        <f t="shared" si="3"/>
        <v>0</v>
      </c>
      <c r="K126" s="84">
        <f t="shared" si="3"/>
        <v>24.114999999999998</v>
      </c>
      <c r="L126" s="84">
        <f t="shared" si="3"/>
        <v>0</v>
      </c>
      <c r="M126" s="84">
        <f t="shared" si="3"/>
        <v>0</v>
      </c>
      <c r="N126" s="84">
        <f t="shared" si="3"/>
        <v>23.946899999999999</v>
      </c>
      <c r="O126" s="84">
        <f t="shared" si="3"/>
        <v>29.141100000000002</v>
      </c>
    </row>
    <row r="127" spans="2:15">
      <c r="B127" s="4"/>
      <c r="C127" s="4"/>
      <c r="D127" s="4"/>
      <c r="E127" s="4"/>
    </row>
    <row r="128" spans="2:15">
      <c r="B128" s="3" t="s">
        <v>212</v>
      </c>
      <c r="C128" s="4"/>
      <c r="D128" s="4"/>
      <c r="E128" s="4"/>
    </row>
    <row r="129" spans="2:15">
      <c r="B129" s="4" t="s">
        <v>137</v>
      </c>
      <c r="C129" s="4"/>
      <c r="D129" s="4" t="s">
        <v>88</v>
      </c>
      <c r="E129" s="4"/>
      <c r="J129" s="71">
        <f>J23</f>
        <v>6478</v>
      </c>
      <c r="K129" s="71">
        <f t="shared" ref="K129:O129" si="4">K23</f>
        <v>0</v>
      </c>
      <c r="L129" s="71">
        <f t="shared" si="4"/>
        <v>116519.46416666667</v>
      </c>
      <c r="M129" s="71">
        <f t="shared" si="4"/>
        <v>2839.6</v>
      </c>
      <c r="N129" s="71">
        <f t="shared" si="4"/>
        <v>0</v>
      </c>
      <c r="O129" s="71">
        <f t="shared" si="4"/>
        <v>0</v>
      </c>
    </row>
    <row r="130" spans="2:15">
      <c r="B130" s="4" t="s">
        <v>138</v>
      </c>
      <c r="C130" s="4"/>
      <c r="D130" s="4" t="s">
        <v>88</v>
      </c>
      <c r="E130" s="4"/>
      <c r="J130" s="71">
        <f>J22</f>
        <v>24620</v>
      </c>
      <c r="K130" s="71">
        <f t="shared" ref="K130:O130" si="5">K22</f>
        <v>0</v>
      </c>
      <c r="L130" s="71">
        <f t="shared" si="5"/>
        <v>629549.34750000003</v>
      </c>
      <c r="M130" s="71">
        <f t="shared" si="5"/>
        <v>25107.8</v>
      </c>
      <c r="N130" s="71">
        <f t="shared" si="5"/>
        <v>0</v>
      </c>
      <c r="O130" s="71">
        <f t="shared" si="5"/>
        <v>0</v>
      </c>
    </row>
    <row r="131" spans="2:15">
      <c r="B131" s="4" t="s">
        <v>139</v>
      </c>
      <c r="C131" s="4"/>
      <c r="D131" s="4" t="s">
        <v>88</v>
      </c>
      <c r="E131" s="4"/>
      <c r="J131" s="71">
        <f>J24</f>
        <v>0</v>
      </c>
      <c r="K131" s="71">
        <f t="shared" ref="K131:O131" si="6">K24</f>
        <v>760245.97428986104</v>
      </c>
      <c r="L131" s="71">
        <f t="shared" si="6"/>
        <v>0</v>
      </c>
      <c r="M131" s="71">
        <f t="shared" si="6"/>
        <v>0</v>
      </c>
      <c r="N131" s="71">
        <f t="shared" si="6"/>
        <v>642028.08714280347</v>
      </c>
      <c r="O131" s="71">
        <f t="shared" si="6"/>
        <v>310156.42408831517</v>
      </c>
    </row>
    <row r="132" spans="2:15">
      <c r="B132" s="4" t="s">
        <v>213</v>
      </c>
      <c r="C132" s="4"/>
      <c r="D132" s="4" t="s">
        <v>88</v>
      </c>
      <c r="E132" s="4"/>
      <c r="J132" s="71">
        <f>J25</f>
        <v>31098</v>
      </c>
      <c r="K132" s="71">
        <f t="shared" ref="K132:O132" si="7">K25</f>
        <v>760245.97428986104</v>
      </c>
      <c r="L132" s="71">
        <f t="shared" si="7"/>
        <v>746068.81166666676</v>
      </c>
      <c r="M132" s="71">
        <f t="shared" si="7"/>
        <v>27947.399999999998</v>
      </c>
      <c r="N132" s="71">
        <f t="shared" si="7"/>
        <v>642028.08714280347</v>
      </c>
      <c r="O132" s="71">
        <f t="shared" si="7"/>
        <v>310156.42408831517</v>
      </c>
    </row>
    <row r="133" spans="2:15">
      <c r="B133" s="4"/>
      <c r="C133" s="4"/>
      <c r="D133" s="4"/>
      <c r="E133" s="4"/>
    </row>
    <row r="134" spans="2:15">
      <c r="B134" s="3" t="s">
        <v>214</v>
      </c>
      <c r="C134" s="4"/>
      <c r="D134" s="4"/>
      <c r="E134" s="4"/>
    </row>
    <row r="135" spans="2:15">
      <c r="B135" s="4" t="s">
        <v>213</v>
      </c>
      <c r="C135" s="4"/>
      <c r="D135" s="1" t="s">
        <v>141</v>
      </c>
      <c r="E135" s="4"/>
      <c r="J135" s="57">
        <f>IF(J126 = 0, (J124 * J129 + J125 * J130) / J132, J126)</f>
        <v>22.608870287478293</v>
      </c>
      <c r="K135" s="57">
        <f t="shared" ref="K135:O135" si="8">IF(K126 = 0, (K124 * K129 + K125 * K130) / K132, K126)</f>
        <v>24.114999999999998</v>
      </c>
      <c r="L135" s="57">
        <f t="shared" si="8"/>
        <v>21.479999999999997</v>
      </c>
      <c r="M135" s="57">
        <f t="shared" si="8"/>
        <v>19.704285908528167</v>
      </c>
      <c r="N135" s="57">
        <f t="shared" si="8"/>
        <v>23.946899999999999</v>
      </c>
      <c r="O135" s="57">
        <f t="shared" si="8"/>
        <v>29.141100000000002</v>
      </c>
    </row>
    <row r="137" spans="2:15" s="10" customFormat="1">
      <c r="B137" s="10" t="s">
        <v>252</v>
      </c>
    </row>
    <row r="139" spans="2:15">
      <c r="B139" s="50" t="s">
        <v>251</v>
      </c>
    </row>
    <row r="140" spans="2:15">
      <c r="B140" s="4" t="s">
        <v>87</v>
      </c>
      <c r="D140" s="49" t="s">
        <v>215</v>
      </c>
      <c r="H140" s="75">
        <f>SUM(J140:O140)</f>
        <v>34613662.985778451</v>
      </c>
      <c r="J140" s="36">
        <f>'Realisatie 2022'!L155</f>
        <v>-734.22227913739982</v>
      </c>
      <c r="K140" s="36">
        <f>'Realisatie 2022'!M155</f>
        <v>-42441.57922256949</v>
      </c>
      <c r="L140" s="36">
        <f>'Realisatie 2022'!N155</f>
        <v>30577515.694479015</v>
      </c>
      <c r="M140" s="36">
        <f>'Realisatie 2022'!O155</f>
        <v>-2231327.2990524406</v>
      </c>
      <c r="N140" s="36">
        <f>'Realisatie 2022'!P155</f>
        <v>6288737.5692573711</v>
      </c>
      <c r="O140" s="36">
        <f>'Realisatie 2022'!Q155</f>
        <v>21912.822596204915</v>
      </c>
    </row>
    <row r="141" spans="2:15">
      <c r="B141" s="4" t="s">
        <v>202</v>
      </c>
      <c r="D141" s="49" t="s">
        <v>215</v>
      </c>
      <c r="H141" s="75">
        <f t="shared" ref="H141:H145" si="9">SUM(J141:O141)</f>
        <v>2025312.9885951495</v>
      </c>
      <c r="J141" s="85"/>
      <c r="K141" s="85"/>
      <c r="L141" s="85"/>
      <c r="M141" s="36">
        <f>'Realisatie 2022'!O156</f>
        <v>2025312.9885951495</v>
      </c>
      <c r="N141" s="85"/>
      <c r="O141" s="85"/>
    </row>
    <row r="142" spans="2:15">
      <c r="B142" s="4" t="s">
        <v>203</v>
      </c>
      <c r="D142" s="49" t="s">
        <v>215</v>
      </c>
      <c r="H142" s="75">
        <f t="shared" si="9"/>
        <v>371312.47897245048</v>
      </c>
      <c r="J142" s="36">
        <f>'Realisatie 2022'!L157</f>
        <v>540.271254</v>
      </c>
      <c r="K142" s="36">
        <f>'Realisatie 2022'!M157</f>
        <v>271983.57465480635</v>
      </c>
      <c r="L142" s="36">
        <f>'Realisatie 2022'!N157</f>
        <v>66100.233000000007</v>
      </c>
      <c r="M142" s="36">
        <f>'Realisatie 2022'!O157</f>
        <v>16726.26498</v>
      </c>
      <c r="N142" s="36">
        <f>'Realisatie 2022'!P157</f>
        <v>15962.135083644107</v>
      </c>
      <c r="O142" s="36">
        <f>'Realisatie 2022'!Q157</f>
        <v>0</v>
      </c>
    </row>
    <row r="143" spans="2:15">
      <c r="H143" s="54"/>
    </row>
    <row r="144" spans="2:15">
      <c r="B144" s="4" t="s">
        <v>216</v>
      </c>
      <c r="D144" s="49" t="s">
        <v>215</v>
      </c>
      <c r="H144" s="75">
        <f t="shared" si="9"/>
        <v>34984975.464750893</v>
      </c>
      <c r="J144" s="75">
        <f>SUM(J140,J142)</f>
        <v>-193.95102513739982</v>
      </c>
      <c r="K144" s="75">
        <f t="shared" ref="K144:O144" si="10">SUM(K140,K142)</f>
        <v>229541.99543223687</v>
      </c>
      <c r="L144" s="75">
        <f t="shared" si="10"/>
        <v>30643615.927479014</v>
      </c>
      <c r="M144" s="75">
        <f t="shared" si="10"/>
        <v>-2214601.0340724406</v>
      </c>
      <c r="N144" s="75">
        <f t="shared" si="10"/>
        <v>6304699.7043410148</v>
      </c>
      <c r="O144" s="75">
        <f t="shared" si="10"/>
        <v>21912.822596204915</v>
      </c>
    </row>
    <row r="145" spans="2:15">
      <c r="B145" s="4" t="s">
        <v>217</v>
      </c>
      <c r="D145" s="49" t="s">
        <v>215</v>
      </c>
      <c r="H145" s="75">
        <f t="shared" si="9"/>
        <v>2025312.9885951495</v>
      </c>
      <c r="J145" s="75">
        <f>J141</f>
        <v>0</v>
      </c>
      <c r="K145" s="75">
        <f t="shared" ref="K145:O145" si="11">K141</f>
        <v>0</v>
      </c>
      <c r="L145" s="75">
        <f t="shared" si="11"/>
        <v>0</v>
      </c>
      <c r="M145" s="75">
        <f t="shared" si="11"/>
        <v>2025312.9885951495</v>
      </c>
      <c r="N145" s="75">
        <f t="shared" si="11"/>
        <v>0</v>
      </c>
      <c r="O145" s="75">
        <f t="shared" si="11"/>
        <v>0</v>
      </c>
    </row>
    <row r="147" spans="2:15" s="10" customFormat="1">
      <c r="B147" s="10" t="s">
        <v>218</v>
      </c>
    </row>
    <row r="149" spans="2:15">
      <c r="B149" s="3" t="s">
        <v>219</v>
      </c>
      <c r="C149" s="4"/>
      <c r="D149" s="49" t="s">
        <v>215</v>
      </c>
      <c r="E149" s="4"/>
      <c r="F149" s="4"/>
      <c r="J149" s="75">
        <f>SUMPRODUCT(J13:J24,J69:J80)</f>
        <v>16666255.8869</v>
      </c>
      <c r="K149" s="75">
        <f t="shared" ref="K149:O149" si="12">SUMPRODUCT(K13:K24,K69:K80)</f>
        <v>268495054.78208679</v>
      </c>
      <c r="L149" s="75">
        <f t="shared" si="12"/>
        <v>318339249.63729423</v>
      </c>
      <c r="M149" s="75">
        <f t="shared" si="12"/>
        <v>12030965.666800002</v>
      </c>
      <c r="N149" s="75">
        <f t="shared" si="12"/>
        <v>241840821.43887568</v>
      </c>
      <c r="O149" s="75">
        <f t="shared" si="12"/>
        <v>15237791.120512772</v>
      </c>
    </row>
    <row r="150" spans="2:15">
      <c r="B150" s="4" t="s">
        <v>220</v>
      </c>
      <c r="C150" s="4"/>
      <c r="D150" s="49" t="s">
        <v>215</v>
      </c>
      <c r="E150" s="4"/>
      <c r="F150" s="4"/>
      <c r="J150" s="75">
        <f>J13*J69+J17*J73</f>
        <v>2560032</v>
      </c>
      <c r="K150" s="75">
        <f t="shared" ref="K150:O150" si="13">K13*K69+K17*K73</f>
        <v>41124031.892086901</v>
      </c>
      <c r="L150" s="75">
        <f t="shared" si="13"/>
        <v>45546700.975194156</v>
      </c>
      <c r="M150" s="75">
        <f t="shared" si="13"/>
        <v>1881732.4200000002</v>
      </c>
      <c r="N150" s="75">
        <f t="shared" si="13"/>
        <v>37771824.465806447</v>
      </c>
      <c r="O150" s="75">
        <f t="shared" si="13"/>
        <v>995925.76523639809</v>
      </c>
    </row>
    <row r="151" spans="2:15">
      <c r="B151" s="4" t="s">
        <v>221</v>
      </c>
      <c r="C151" s="4"/>
      <c r="D151" s="49" t="s">
        <v>215</v>
      </c>
      <c r="E151" s="4"/>
      <c r="F151" s="4"/>
      <c r="J151" s="75">
        <f>J149-J150</f>
        <v>14106223.8869</v>
      </c>
      <c r="K151" s="75">
        <f t="shared" ref="K151:O151" si="14">K149-K150</f>
        <v>227371022.8899999</v>
      </c>
      <c r="L151" s="75">
        <f t="shared" si="14"/>
        <v>272792548.66210008</v>
      </c>
      <c r="M151" s="75">
        <f t="shared" si="14"/>
        <v>10149233.246800002</v>
      </c>
      <c r="N151" s="75">
        <f t="shared" si="14"/>
        <v>204068996.97306922</v>
      </c>
      <c r="O151" s="75">
        <f t="shared" si="14"/>
        <v>14241865.355276374</v>
      </c>
    </row>
    <row r="153" spans="2:15">
      <c r="B153" s="3" t="s">
        <v>222</v>
      </c>
      <c r="C153" s="4"/>
      <c r="E153" s="4"/>
      <c r="F153" s="4"/>
    </row>
    <row r="154" spans="2:15">
      <c r="B154" s="4" t="s">
        <v>223</v>
      </c>
      <c r="C154" s="4"/>
      <c r="D154" s="49" t="s">
        <v>215</v>
      </c>
      <c r="E154" s="4"/>
      <c r="F154" s="4"/>
      <c r="J154" s="75">
        <f>SUMPRODUCT(J32:J64,J87:J119)</f>
        <v>5107006.3377999999</v>
      </c>
      <c r="K154" s="75">
        <f t="shared" ref="K154:O154" si="15">SUMPRODUCT(K32:K64,K87:K119)</f>
        <v>83365331.875063896</v>
      </c>
      <c r="L154" s="75">
        <f t="shared" si="15"/>
        <v>92103553.78181155</v>
      </c>
      <c r="M154" s="75">
        <f t="shared" si="15"/>
        <v>3762193.74</v>
      </c>
      <c r="N154" s="75">
        <f t="shared" si="15"/>
        <v>73179848.785950616</v>
      </c>
      <c r="O154" s="75">
        <f t="shared" si="15"/>
        <v>2827181.6333564003</v>
      </c>
    </row>
    <row r="156" spans="2:15">
      <c r="B156" s="3" t="s">
        <v>224</v>
      </c>
    </row>
    <row r="157" spans="2:15">
      <c r="B157" s="4" t="s">
        <v>225</v>
      </c>
      <c r="D157" s="49" t="s">
        <v>74</v>
      </c>
      <c r="J157" s="87"/>
      <c r="K157" s="87"/>
      <c r="L157" s="87"/>
      <c r="M157" s="86">
        <f>M149/(M149+M154)</f>
        <v>0.76178333650073038</v>
      </c>
      <c r="N157" s="87"/>
      <c r="O157" s="87"/>
    </row>
    <row r="158" spans="2:15">
      <c r="B158" s="4" t="s">
        <v>226</v>
      </c>
      <c r="D158" s="49" t="s">
        <v>74</v>
      </c>
      <c r="J158" s="87"/>
      <c r="K158" s="87"/>
      <c r="L158" s="87"/>
      <c r="M158" s="86">
        <f>1-M157</f>
        <v>0.23821666349926962</v>
      </c>
      <c r="N158" s="87"/>
      <c r="O158" s="87"/>
    </row>
    <row r="160" spans="2:15">
      <c r="B160" s="3" t="s">
        <v>227</v>
      </c>
    </row>
    <row r="161" spans="2:27">
      <c r="B161" s="4" t="s">
        <v>228</v>
      </c>
      <c r="D161" s="49" t="s">
        <v>215</v>
      </c>
      <c r="J161" s="75">
        <f>J144+J145*J157</f>
        <v>-193.95102513739982</v>
      </c>
      <c r="K161" s="75">
        <f t="shared" ref="K161:O161" si="16">K144+K145*K157</f>
        <v>229541.99543223687</v>
      </c>
      <c r="L161" s="75">
        <f t="shared" si="16"/>
        <v>30643615.927479014</v>
      </c>
      <c r="M161" s="75">
        <f t="shared" si="16"/>
        <v>-671751.34816216188</v>
      </c>
      <c r="N161" s="75">
        <f t="shared" si="16"/>
        <v>6304699.7043410148</v>
      </c>
      <c r="O161" s="75">
        <f t="shared" si="16"/>
        <v>21912.822596204915</v>
      </c>
    </row>
    <row r="162" spans="2:27">
      <c r="B162" s="4" t="s">
        <v>229</v>
      </c>
      <c r="D162" s="49" t="s">
        <v>215</v>
      </c>
      <c r="J162" s="75">
        <f>J145*J158</f>
        <v>0</v>
      </c>
      <c r="K162" s="75">
        <f t="shared" ref="K162:O162" si="17">K145*K158</f>
        <v>0</v>
      </c>
      <c r="L162" s="75">
        <f t="shared" si="17"/>
        <v>0</v>
      </c>
      <c r="M162" s="75">
        <f t="shared" si="17"/>
        <v>482463.30268487084</v>
      </c>
      <c r="N162" s="75">
        <f t="shared" si="17"/>
        <v>0</v>
      </c>
      <c r="O162" s="75">
        <f t="shared" si="17"/>
        <v>0</v>
      </c>
    </row>
    <row r="164" spans="2:27">
      <c r="B164" s="3" t="s">
        <v>230</v>
      </c>
    </row>
    <row r="165" spans="2:27">
      <c r="B165" s="4" t="s">
        <v>231</v>
      </c>
      <c r="D165" s="49" t="s">
        <v>74</v>
      </c>
      <c r="J165" s="86">
        <f>J161/J151</f>
        <v>-1.3749322759403808E-5</v>
      </c>
      <c r="K165" s="86">
        <f t="shared" ref="K165:O165" si="18">K161/K151</f>
        <v>1.0095481496043023E-3</v>
      </c>
      <c r="L165" s="86">
        <f t="shared" si="18"/>
        <v>0.11233303870567352</v>
      </c>
      <c r="M165" s="86">
        <f t="shared" si="18"/>
        <v>-6.6187398774578507E-2</v>
      </c>
      <c r="N165" s="86">
        <f t="shared" si="18"/>
        <v>3.0894941406376587E-2</v>
      </c>
      <c r="O165" s="86">
        <f t="shared" si="18"/>
        <v>1.5386202614313144E-3</v>
      </c>
    </row>
    <row r="167" spans="2:27" s="10" customFormat="1">
      <c r="B167" s="10" t="s">
        <v>80</v>
      </c>
    </row>
    <row r="169" spans="2:27">
      <c r="B169" s="26" t="s">
        <v>101</v>
      </c>
    </row>
    <row r="170" spans="2:27">
      <c r="B170" s="4" t="s">
        <v>102</v>
      </c>
      <c r="D170" s="1" t="s">
        <v>140</v>
      </c>
      <c r="J170" s="84">
        <f>J69</f>
        <v>18</v>
      </c>
      <c r="K170" s="84">
        <f t="shared" ref="K170:O170" si="19">K69</f>
        <v>18</v>
      </c>
      <c r="L170" s="84">
        <f t="shared" si="19"/>
        <v>17.994499999999999</v>
      </c>
      <c r="M170" s="84">
        <f t="shared" si="19"/>
        <v>18</v>
      </c>
      <c r="N170" s="84">
        <f t="shared" si="19"/>
        <v>18</v>
      </c>
      <c r="O170" s="84">
        <f t="shared" si="19"/>
        <v>18</v>
      </c>
    </row>
    <row r="171" spans="2:27">
      <c r="B171" s="4" t="s">
        <v>103</v>
      </c>
      <c r="D171" s="1" t="s">
        <v>141</v>
      </c>
      <c r="J171" s="57">
        <f>J70*(1-J165)</f>
        <v>26.524164684287005</v>
      </c>
      <c r="K171" s="57">
        <f t="shared" ref="K171:O171" si="20">K70*(1-K165)</f>
        <v>26.628390191207853</v>
      </c>
      <c r="L171" s="57">
        <f t="shared" si="20"/>
        <v>27.151069345109562</v>
      </c>
      <c r="M171" s="57">
        <f t="shared" si="20"/>
        <v>28.12602357967338</v>
      </c>
      <c r="N171" s="57">
        <f t="shared" si="20"/>
        <v>26.800309663889074</v>
      </c>
      <c r="O171" s="57">
        <f t="shared" si="20"/>
        <v>22.420250589753614</v>
      </c>
    </row>
    <row r="172" spans="2:27">
      <c r="B172" s="4"/>
      <c r="S172" s="55"/>
      <c r="T172" s="55"/>
      <c r="U172" s="55"/>
      <c r="V172" s="55"/>
      <c r="W172" s="55"/>
      <c r="X172" s="55"/>
      <c r="Y172" s="55"/>
      <c r="Z172" s="55"/>
      <c r="AA172" s="55"/>
    </row>
    <row r="173" spans="2:27">
      <c r="B173" s="26" t="s">
        <v>152</v>
      </c>
      <c r="S173" s="55"/>
      <c r="T173" s="55"/>
      <c r="U173" s="55"/>
      <c r="V173" s="55"/>
      <c r="W173" s="55"/>
      <c r="X173" s="55"/>
      <c r="Y173" s="55"/>
      <c r="Z173" s="55"/>
      <c r="AA173" s="55"/>
    </row>
    <row r="174" spans="2:27">
      <c r="B174" s="4" t="s">
        <v>102</v>
      </c>
      <c r="D174" s="1" t="s">
        <v>140</v>
      </c>
      <c r="J174" s="84">
        <f>J73</f>
        <v>18</v>
      </c>
      <c r="K174" s="84">
        <f t="shared" ref="K174:O174" si="21">K73</f>
        <v>18</v>
      </c>
      <c r="L174" s="84">
        <f t="shared" si="21"/>
        <v>18</v>
      </c>
      <c r="M174" s="84">
        <f t="shared" si="21"/>
        <v>18</v>
      </c>
      <c r="N174" s="84">
        <f t="shared" si="21"/>
        <v>18.000000000000004</v>
      </c>
      <c r="O174" s="84">
        <f t="shared" si="21"/>
        <v>18</v>
      </c>
      <c r="S174" s="55"/>
      <c r="T174" s="55"/>
      <c r="U174" s="55"/>
      <c r="V174" s="55"/>
      <c r="W174" s="55"/>
      <c r="X174" s="55"/>
      <c r="Y174" s="55"/>
      <c r="Z174" s="55"/>
      <c r="AA174" s="55"/>
    </row>
    <row r="175" spans="2:27">
      <c r="B175" s="4" t="s">
        <v>103</v>
      </c>
      <c r="D175" s="1" t="s">
        <v>141</v>
      </c>
      <c r="J175" s="57">
        <f>J74*(1-J165)</f>
        <v>26.497064311680361</v>
      </c>
      <c r="K175" s="57">
        <f t="shared" ref="K175:O175" si="22">K74*(1-K165)</f>
        <v>26.628390191207853</v>
      </c>
      <c r="L175" s="57">
        <f t="shared" si="22"/>
        <v>27.162609015606385</v>
      </c>
      <c r="M175" s="57">
        <f t="shared" si="22"/>
        <v>28.12602357967338</v>
      </c>
      <c r="N175" s="57">
        <f t="shared" si="22"/>
        <v>26.874058558848049</v>
      </c>
      <c r="O175" s="57">
        <f t="shared" si="22"/>
        <v>22.420250589753614</v>
      </c>
      <c r="S175" s="55"/>
      <c r="T175" s="55"/>
      <c r="U175" s="55"/>
      <c r="V175" s="55"/>
      <c r="W175" s="55"/>
      <c r="X175" s="55"/>
      <c r="Y175" s="55"/>
      <c r="Z175" s="55"/>
      <c r="AA175" s="55"/>
    </row>
    <row r="176" spans="2:27">
      <c r="B176" s="4"/>
      <c r="S176" s="55"/>
      <c r="T176" s="55"/>
      <c r="U176" s="55"/>
      <c r="V176" s="55"/>
      <c r="W176" s="55"/>
      <c r="X176" s="55"/>
      <c r="Y176" s="55"/>
      <c r="Z176" s="55"/>
      <c r="AA176" s="55"/>
    </row>
    <row r="177" spans="2:27">
      <c r="B177" s="26" t="s">
        <v>105</v>
      </c>
      <c r="S177" s="55"/>
      <c r="T177" s="55"/>
      <c r="U177" s="55"/>
      <c r="V177" s="55"/>
      <c r="W177" s="55"/>
      <c r="X177" s="55"/>
      <c r="Y177" s="55"/>
      <c r="Z177" s="55"/>
      <c r="AA177" s="55"/>
    </row>
    <row r="178" spans="2:27">
      <c r="B178" s="4" t="s">
        <v>102</v>
      </c>
      <c r="D178" s="1" t="s">
        <v>140</v>
      </c>
      <c r="J178" s="57">
        <f>J77*(1-J165)</f>
        <v>540.53483188568282</v>
      </c>
      <c r="K178" s="57">
        <f>K77*(1-K165)</f>
        <v>1047.6512767600286</v>
      </c>
      <c r="L178" s="57">
        <f t="shared" ref="L178:N178" si="23">L77*(1-L165)</f>
        <v>724.33624041617031</v>
      </c>
      <c r="M178" s="57">
        <f t="shared" si="23"/>
        <v>568.17126480697289</v>
      </c>
      <c r="N178" s="57">
        <f t="shared" si="23"/>
        <v>706.3189452166597</v>
      </c>
      <c r="O178" s="57">
        <f>O77*(1-O165)</f>
        <v>325.89779434666877</v>
      </c>
      <c r="R178"/>
      <c r="S178" s="55"/>
      <c r="T178" s="55"/>
      <c r="U178" s="55"/>
      <c r="V178" s="55"/>
      <c r="W178" s="55"/>
      <c r="X178" s="55"/>
      <c r="Y178" s="55"/>
      <c r="Z178" s="55"/>
      <c r="AA178" s="55"/>
    </row>
    <row r="179" spans="2:27">
      <c r="B179" s="4" t="s">
        <v>139</v>
      </c>
      <c r="D179" s="1" t="s">
        <v>141</v>
      </c>
      <c r="J179" s="57">
        <f>J135*(1-J165)</f>
        <v>22.609181144133103</v>
      </c>
      <c r="K179" s="57">
        <f t="shared" ref="K179:O179" si="24">K135*(1-K165)</f>
        <v>24.090654746372291</v>
      </c>
      <c r="L179" s="57">
        <f t="shared" si="24"/>
        <v>19.06708632860213</v>
      </c>
      <c r="M179" s="57">
        <f t="shared" si="24"/>
        <v>21.008461337524228</v>
      </c>
      <c r="N179" s="57">
        <f t="shared" si="24"/>
        <v>23.207061927635639</v>
      </c>
      <c r="O179" s="57">
        <f t="shared" si="24"/>
        <v>29.096262913099604</v>
      </c>
      <c r="S179" s="55"/>
      <c r="T179" s="55"/>
      <c r="U179" s="55"/>
      <c r="V179" s="55"/>
      <c r="W179" s="55"/>
      <c r="X179" s="55"/>
      <c r="Y179" s="55"/>
      <c r="Z179" s="55"/>
      <c r="AA179" s="55"/>
    </row>
    <row r="180" spans="2:27">
      <c r="S180" s="55"/>
      <c r="T180" s="55"/>
      <c r="U180" s="55"/>
      <c r="V180" s="55"/>
      <c r="W180" s="55"/>
      <c r="X180" s="55"/>
      <c r="Y180" s="55"/>
      <c r="Z180" s="55"/>
      <c r="AA180" s="55"/>
    </row>
    <row r="181" spans="2:27" s="10" customFormat="1">
      <c r="B181" s="10" t="s">
        <v>232</v>
      </c>
    </row>
    <row r="182" spans="2:27">
      <c r="S182" s="55"/>
      <c r="T182" s="55"/>
      <c r="U182" s="55"/>
      <c r="V182" s="55"/>
      <c r="W182" s="55"/>
      <c r="X182" s="55"/>
      <c r="Y182" s="55"/>
      <c r="Z182" s="55"/>
      <c r="AA182" s="55"/>
    </row>
    <row r="183" spans="2:27">
      <c r="B183" s="3" t="s">
        <v>233</v>
      </c>
      <c r="C183" s="4"/>
      <c r="D183" s="4"/>
      <c r="E183" s="4"/>
      <c r="F183" s="4"/>
      <c r="S183" s="55"/>
      <c r="T183" s="55"/>
      <c r="U183" s="55"/>
      <c r="V183" s="55"/>
      <c r="W183" s="55"/>
      <c r="X183" s="55"/>
      <c r="Y183" s="55"/>
      <c r="Z183" s="55"/>
      <c r="AA183" s="55"/>
    </row>
    <row r="184" spans="2:27">
      <c r="B184" s="4"/>
      <c r="C184" s="4"/>
      <c r="D184" s="4"/>
      <c r="E184" s="4"/>
      <c r="F184" s="4"/>
      <c r="S184" s="55"/>
      <c r="T184" s="55"/>
      <c r="U184" s="55"/>
      <c r="V184" s="55"/>
      <c r="W184" s="55"/>
      <c r="X184" s="55"/>
      <c r="Y184" s="55"/>
      <c r="Z184" s="55"/>
      <c r="AA184" s="55"/>
    </row>
    <row r="185" spans="2:27">
      <c r="B185" s="26" t="s">
        <v>101</v>
      </c>
      <c r="C185" s="4"/>
      <c r="D185" s="4"/>
      <c r="E185" s="4"/>
      <c r="F185" s="4"/>
      <c r="S185" s="55"/>
      <c r="T185" s="55"/>
      <c r="U185" s="55"/>
      <c r="V185" s="55"/>
      <c r="W185" s="55"/>
      <c r="X185" s="55"/>
      <c r="Y185" s="55"/>
      <c r="Z185" s="55"/>
      <c r="AA185" s="55"/>
    </row>
    <row r="186" spans="2:27">
      <c r="B186" s="4" t="s">
        <v>102</v>
      </c>
      <c r="C186" s="4"/>
      <c r="D186" s="1" t="s">
        <v>140</v>
      </c>
      <c r="E186" s="4"/>
      <c r="F186" s="4"/>
      <c r="H186" s="57">
        <f>SUMPRODUCT(J170:O170,J13:O13)/H13</f>
        <v>17.998070724637095</v>
      </c>
      <c r="S186" s="55"/>
      <c r="T186" s="55"/>
      <c r="U186" s="55"/>
      <c r="V186" s="55"/>
      <c r="W186" s="55"/>
      <c r="X186" s="55"/>
      <c r="Y186" s="55"/>
      <c r="Z186" s="55"/>
      <c r="AA186" s="55"/>
    </row>
    <row r="187" spans="2:27">
      <c r="B187" s="4" t="s">
        <v>103</v>
      </c>
      <c r="C187" s="4"/>
      <c r="D187" s="1" t="s">
        <v>141</v>
      </c>
      <c r="E187" s="4"/>
      <c r="F187" s="4"/>
      <c r="H187" s="57">
        <f>SUMPRODUCT(J171:O171,J14:O14)/H14</f>
        <v>26.847937150561652</v>
      </c>
      <c r="S187" s="55"/>
      <c r="T187" s="55"/>
      <c r="U187" s="55"/>
      <c r="V187" s="55"/>
      <c r="W187" s="55"/>
      <c r="X187" s="55"/>
      <c r="Y187" s="55"/>
      <c r="Z187" s="55"/>
      <c r="AA187" s="55"/>
    </row>
    <row r="188" spans="2:27">
      <c r="B188" s="4"/>
      <c r="C188" s="4"/>
      <c r="D188" s="4"/>
      <c r="E188" s="4"/>
      <c r="F188" s="4"/>
      <c r="S188" s="55"/>
      <c r="T188" s="55"/>
      <c r="U188" s="55"/>
      <c r="V188" s="55"/>
      <c r="W188" s="55"/>
      <c r="X188" s="55"/>
      <c r="Y188" s="55"/>
      <c r="Z188" s="55"/>
      <c r="AA188" s="55"/>
    </row>
    <row r="189" spans="2:27">
      <c r="B189" s="26" t="s">
        <v>152</v>
      </c>
      <c r="C189" s="4"/>
      <c r="D189" s="4"/>
      <c r="E189" s="4"/>
      <c r="F189" s="4"/>
      <c r="S189" s="55"/>
      <c r="T189" s="55"/>
      <c r="U189" s="55"/>
      <c r="V189" s="55"/>
      <c r="W189" s="55"/>
      <c r="X189" s="55"/>
      <c r="Y189" s="55"/>
      <c r="Z189" s="55"/>
      <c r="AA189" s="55"/>
    </row>
    <row r="190" spans="2:27">
      <c r="B190" s="4" t="s">
        <v>102</v>
      </c>
      <c r="C190" s="4"/>
      <c r="D190" s="1" t="s">
        <v>140</v>
      </c>
      <c r="E190" s="4"/>
      <c r="F190" s="4"/>
      <c r="H190" s="57">
        <f>SUMPRODUCT(J174:O174,J17:O17)/H17</f>
        <v>17.999999999999996</v>
      </c>
      <c r="S190" s="55"/>
      <c r="T190" s="55"/>
      <c r="U190" s="55"/>
      <c r="V190" s="55"/>
      <c r="W190" s="55"/>
      <c r="X190" s="55"/>
      <c r="Y190" s="55"/>
      <c r="Z190" s="55"/>
      <c r="AA190" s="55"/>
    </row>
    <row r="191" spans="2:27">
      <c r="B191" s="4" t="s">
        <v>103</v>
      </c>
      <c r="C191" s="4"/>
      <c r="D191" s="1" t="s">
        <v>141</v>
      </c>
      <c r="E191" s="4"/>
      <c r="F191" s="4"/>
      <c r="H191" s="57">
        <f>SUMPRODUCT(J175:O175,J18:O18)/H18</f>
        <v>26.762900017966768</v>
      </c>
      <c r="S191" s="55"/>
      <c r="T191" s="55"/>
      <c r="U191" s="55"/>
      <c r="V191" s="55"/>
      <c r="W191" s="55"/>
      <c r="X191" s="55"/>
      <c r="Y191" s="55"/>
      <c r="Z191" s="55"/>
      <c r="AA191" s="55"/>
    </row>
    <row r="192" spans="2:27">
      <c r="B192" s="4"/>
      <c r="C192" s="4"/>
      <c r="D192" s="4"/>
      <c r="E192" s="4"/>
      <c r="F192" s="4"/>
      <c r="S192" s="55"/>
      <c r="T192" s="55"/>
      <c r="U192" s="55"/>
      <c r="V192" s="55"/>
      <c r="W192" s="55"/>
      <c r="X192" s="55"/>
      <c r="Y192" s="55"/>
      <c r="Z192" s="55"/>
      <c r="AA192" s="55"/>
    </row>
    <row r="193" spans="2:27">
      <c r="B193" s="26" t="s">
        <v>105</v>
      </c>
      <c r="C193" s="4"/>
      <c r="E193" s="4"/>
      <c r="F193" s="4"/>
      <c r="S193" s="55"/>
      <c r="T193" s="55"/>
      <c r="U193" s="55"/>
      <c r="V193" s="55"/>
      <c r="W193" s="55"/>
      <c r="X193" s="55"/>
      <c r="Y193" s="55"/>
      <c r="Z193" s="55"/>
      <c r="AA193" s="55"/>
    </row>
    <row r="194" spans="2:27">
      <c r="B194" s="4" t="s">
        <v>102</v>
      </c>
      <c r="C194" s="4"/>
      <c r="D194" s="1" t="s">
        <v>140</v>
      </c>
      <c r="E194" s="4"/>
      <c r="F194" s="4"/>
      <c r="H194" s="57">
        <f>SUMPRODUCT(J178:O178,J21:O21)/H21</f>
        <v>782.48366084200381</v>
      </c>
      <c r="S194" s="55"/>
      <c r="T194" s="55"/>
      <c r="U194" s="55"/>
      <c r="V194" s="55"/>
      <c r="W194" s="55"/>
      <c r="X194" s="55"/>
      <c r="Y194" s="55"/>
      <c r="Z194" s="55"/>
      <c r="AA194" s="55"/>
    </row>
    <row r="195" spans="2:27">
      <c r="B195" s="4" t="s">
        <v>109</v>
      </c>
      <c r="C195" s="4"/>
      <c r="D195" s="1" t="s">
        <v>141</v>
      </c>
      <c r="E195" s="4"/>
      <c r="F195" s="4"/>
      <c r="H195" s="57">
        <f>SUMPRODUCT(J179:O179,J25:O25)/H25</f>
        <v>22.940761455893689</v>
      </c>
      <c r="S195" s="55"/>
      <c r="T195" s="55"/>
      <c r="U195" s="55"/>
      <c r="V195" s="55"/>
      <c r="W195" s="55"/>
      <c r="X195" s="55"/>
      <c r="Y195" s="55"/>
      <c r="Z195" s="55"/>
      <c r="AA195" s="55"/>
    </row>
    <row r="196" spans="2:27">
      <c r="B196" s="4"/>
      <c r="C196" s="4"/>
      <c r="E196" s="4"/>
      <c r="F196" s="4"/>
      <c r="S196" s="55"/>
      <c r="T196" s="55"/>
      <c r="U196" s="55"/>
      <c r="V196" s="55"/>
      <c r="W196" s="55"/>
      <c r="X196" s="55"/>
      <c r="Y196" s="55"/>
      <c r="Z196" s="55"/>
      <c r="AA196" s="55"/>
    </row>
    <row r="197" spans="2:27">
      <c r="B197" s="3" t="s">
        <v>151</v>
      </c>
      <c r="C197" s="4"/>
      <c r="D197" s="4"/>
      <c r="E197" s="4"/>
      <c r="F197" s="4"/>
      <c r="S197" s="55"/>
      <c r="T197" s="55"/>
      <c r="U197" s="55"/>
      <c r="V197" s="55"/>
      <c r="W197" s="55"/>
      <c r="X197" s="55"/>
      <c r="Y197" s="55"/>
      <c r="Z197" s="55"/>
      <c r="AA197" s="55"/>
    </row>
    <row r="198" spans="2:27">
      <c r="B198" s="4"/>
      <c r="C198" s="4"/>
      <c r="D198" s="4"/>
      <c r="E198" s="4"/>
      <c r="F198" s="4"/>
      <c r="S198" s="55"/>
      <c r="T198" s="55"/>
      <c r="U198" s="55"/>
      <c r="V198" s="55"/>
      <c r="W198" s="55"/>
      <c r="X198" s="55"/>
      <c r="Y198" s="55"/>
      <c r="Z198" s="55"/>
      <c r="AA198" s="55"/>
    </row>
    <row r="199" spans="2:27">
      <c r="B199" s="3" t="s">
        <v>234</v>
      </c>
      <c r="C199" s="4"/>
      <c r="D199" s="4"/>
      <c r="E199" s="4"/>
      <c r="F199" s="4"/>
      <c r="S199" s="55"/>
      <c r="T199" s="55"/>
      <c r="U199" s="55"/>
      <c r="V199" s="55"/>
      <c r="W199" s="55"/>
      <c r="X199" s="55"/>
      <c r="Y199" s="55"/>
      <c r="Z199" s="55"/>
      <c r="AA199" s="55"/>
    </row>
    <row r="200" spans="2:27">
      <c r="B200" s="4" t="s">
        <v>101</v>
      </c>
      <c r="C200" s="4"/>
      <c r="D200" s="1" t="s">
        <v>141</v>
      </c>
      <c r="E200" s="4"/>
      <c r="F200" s="4"/>
      <c r="H200" s="99">
        <f>H187</f>
        <v>26.847937150561652</v>
      </c>
      <c r="S200" s="55"/>
      <c r="T200" s="55"/>
      <c r="U200" s="55"/>
      <c r="V200" s="55"/>
      <c r="W200" s="55"/>
      <c r="X200" s="55"/>
      <c r="Y200" s="55"/>
      <c r="Z200" s="55"/>
      <c r="AA200" s="55"/>
    </row>
    <row r="201" spans="2:27">
      <c r="B201" s="4" t="s">
        <v>152</v>
      </c>
      <c r="C201" s="4"/>
      <c r="D201" s="1" t="s">
        <v>141</v>
      </c>
      <c r="E201" s="4"/>
      <c r="F201" s="4"/>
      <c r="H201" s="99">
        <f>H191</f>
        <v>26.762900017966768</v>
      </c>
      <c r="S201" s="55"/>
      <c r="T201" s="55"/>
      <c r="U201" s="55"/>
      <c r="V201" s="55"/>
      <c r="W201" s="55"/>
      <c r="X201" s="55"/>
      <c r="Y201" s="55"/>
      <c r="Z201" s="55"/>
      <c r="AA201" s="55"/>
    </row>
    <row r="202" spans="2:27">
      <c r="B202" s="4" t="s">
        <v>105</v>
      </c>
      <c r="C202" s="4"/>
      <c r="D202" s="1" t="s">
        <v>141</v>
      </c>
      <c r="E202" s="4"/>
      <c r="F202" s="4"/>
      <c r="H202" s="99">
        <f>H195</f>
        <v>22.940761455893689</v>
      </c>
      <c r="S202" s="55"/>
      <c r="T202" s="55"/>
      <c r="U202" s="55"/>
      <c r="V202" s="55"/>
      <c r="W202" s="55"/>
      <c r="X202" s="55"/>
      <c r="Y202" s="55"/>
      <c r="Z202" s="55"/>
      <c r="AA202" s="55"/>
    </row>
    <row r="203" spans="2:27">
      <c r="S203" s="55"/>
      <c r="T203" s="55"/>
      <c r="U203" s="55"/>
      <c r="V203" s="55"/>
      <c r="W203" s="55"/>
      <c r="X203" s="55"/>
      <c r="Y203" s="55"/>
      <c r="Z203" s="55"/>
      <c r="AA203" s="55"/>
    </row>
  </sheetData>
  <pageMargins left="0.7" right="0.7" top="0.75" bottom="0.75" header="0.3" footer="0.3"/>
  <pageSetup paperSize="9" scale="1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CC"/>
  </sheetPr>
  <dimension ref="B2:W40"/>
  <sheetViews>
    <sheetView showGridLines="0" zoomScale="85" zoomScaleNormal="85" workbookViewId="0">
      <pane xSplit="6" ySplit="9" topLeftCell="G10" activePane="bottomRight" state="frozen"/>
      <selection activeCell="R6" sqref="R6"/>
      <selection pane="topRight" activeCell="R6" sqref="R6"/>
      <selection pane="bottomLeft" activeCell="R6" sqref="R6"/>
      <selection pane="bottomRight" activeCell="G10" sqref="G10"/>
    </sheetView>
  </sheetViews>
  <sheetFormatPr defaultColWidth="9.140625" defaultRowHeight="12.75"/>
  <cols>
    <col min="1" max="1" width="4.7109375" style="4" customWidth="1"/>
    <col min="2" max="2" width="58.7109375" style="4" customWidth="1"/>
    <col min="3" max="3" width="4.7109375" style="4" customWidth="1"/>
    <col min="4" max="5" width="4.5703125" style="4" customWidth="1"/>
    <col min="6" max="6" width="14.28515625" style="4" customWidth="1"/>
    <col min="7" max="7" width="2.7109375" style="4" customWidth="1"/>
    <col min="8" max="8" width="13.7109375" style="4" customWidth="1"/>
    <col min="9" max="9" width="2.7109375" style="4" customWidth="1"/>
    <col min="10" max="10" width="16.5703125" style="4" bestFit="1" customWidth="1"/>
    <col min="11" max="11" width="2.7109375" style="4" customWidth="1"/>
    <col min="12" max="12" width="15.7109375" style="4" bestFit="1" customWidth="1"/>
    <col min="13" max="13" width="14" style="4" bestFit="1" customWidth="1"/>
    <col min="14" max="15" width="14.140625" style="4" bestFit="1" customWidth="1"/>
    <col min="16" max="16" width="14" style="4" bestFit="1" customWidth="1"/>
    <col min="17" max="17" width="14.140625" style="4" bestFit="1" customWidth="1"/>
    <col min="18" max="18" width="12.28515625" style="4" bestFit="1" customWidth="1"/>
    <col min="19" max="21" width="2.7109375" style="4" customWidth="1"/>
    <col min="22" max="36" width="13.7109375" style="4" customWidth="1"/>
    <col min="37" max="16384" width="9.140625" style="4"/>
  </cols>
  <sheetData>
    <row r="2" spans="2:23" s="19" customFormat="1" ht="18">
      <c r="B2" s="19" t="s">
        <v>94</v>
      </c>
    </row>
    <row r="4" spans="2:23">
      <c r="B4" s="26" t="s">
        <v>54</v>
      </c>
      <c r="C4" s="3"/>
      <c r="D4" s="3"/>
    </row>
    <row r="5" spans="2:23" ht="38.1" customHeight="1">
      <c r="B5" s="97" t="s">
        <v>311</v>
      </c>
      <c r="C5" s="97"/>
      <c r="D5" s="97"/>
      <c r="E5" s="97"/>
      <c r="F5" s="97"/>
      <c r="G5" s="97"/>
      <c r="H5" s="97"/>
      <c r="I5" s="97"/>
      <c r="J5" s="97"/>
      <c r="K5" s="97"/>
      <c r="L5" s="97"/>
      <c r="M5" s="97"/>
    </row>
    <row r="6" spans="2:23" ht="12.95" customHeight="1">
      <c r="B6" s="96" t="s">
        <v>98</v>
      </c>
      <c r="C6" s="96"/>
      <c r="D6" s="96"/>
      <c r="E6" s="96"/>
      <c r="F6" s="96"/>
      <c r="H6" s="20"/>
    </row>
    <row r="8" spans="2:23" s="10" customFormat="1">
      <c r="B8" s="10" t="s">
        <v>43</v>
      </c>
      <c r="F8" s="10" t="s">
        <v>26</v>
      </c>
      <c r="H8" s="10" t="s">
        <v>27</v>
      </c>
      <c r="J8" s="10" t="s">
        <v>46</v>
      </c>
      <c r="L8" s="10" t="s">
        <v>77</v>
      </c>
      <c r="M8" s="10" t="s">
        <v>68</v>
      </c>
      <c r="N8" s="10" t="s">
        <v>69</v>
      </c>
      <c r="O8" s="10" t="s">
        <v>70</v>
      </c>
      <c r="P8" s="10" t="s">
        <v>71</v>
      </c>
      <c r="Q8" s="10" t="s">
        <v>72</v>
      </c>
      <c r="V8" s="10" t="s">
        <v>45</v>
      </c>
    </row>
    <row r="11" spans="2:23" s="10" customFormat="1">
      <c r="B11" s="10" t="s">
        <v>155</v>
      </c>
    </row>
    <row r="12" spans="2:23">
      <c r="W12"/>
    </row>
    <row r="13" spans="2:23">
      <c r="B13" s="4" t="s">
        <v>246</v>
      </c>
      <c r="F13" s="4" t="s">
        <v>88</v>
      </c>
      <c r="J13" s="74">
        <f t="shared" ref="J13:J15" si="0">SUM(L13:Q13)</f>
        <v>22572280.033821385</v>
      </c>
      <c r="L13" s="73">
        <f>'Rekenvolumes TD'!L15</f>
        <v>467889.15918032784</v>
      </c>
      <c r="M13" s="73">
        <f>'Rekenvolumes TD'!M15</f>
        <v>7328171.9287251653</v>
      </c>
      <c r="N13" s="73">
        <f>'Rekenvolumes TD'!N15</f>
        <v>7874376.5576156462</v>
      </c>
      <c r="O13" s="73">
        <f>'Rekenvolumes TD'!O15</f>
        <v>340514.64999999997</v>
      </c>
      <c r="P13" s="73">
        <f>'Rekenvolumes TD'!P15</f>
        <v>6392096.3850025656</v>
      </c>
      <c r="Q13" s="73">
        <f>'Rekenvolumes TD'!Q15</f>
        <v>169231.35329768088</v>
      </c>
      <c r="W13"/>
    </row>
    <row r="14" spans="2:23">
      <c r="B14" s="4" t="s">
        <v>247</v>
      </c>
      <c r="F14" s="4" t="s">
        <v>88</v>
      </c>
      <c r="J14" s="74">
        <f t="shared" si="0"/>
        <v>1833014.5441086765</v>
      </c>
      <c r="L14" s="73">
        <f>'Rekenvolumes TD'!L19</f>
        <v>32998.333333333336</v>
      </c>
      <c r="M14" s="73">
        <f>'Rekenvolumes TD'!M19</f>
        <v>580645.73452814098</v>
      </c>
      <c r="N14" s="73">
        <f>'Rekenvolumes TD'!N19</f>
        <v>600697.86502657167</v>
      </c>
      <c r="O14" s="73">
        <f>'Rekenvolumes TD'!O19</f>
        <v>20660.583333333332</v>
      </c>
      <c r="P14" s="73">
        <f>'Rekenvolumes TD'!P19</f>
        <v>543247.74890911288</v>
      </c>
      <c r="Q14" s="73">
        <f>'Rekenvolumes TD'!Q19</f>
        <v>54764.278978184528</v>
      </c>
      <c r="W14"/>
    </row>
    <row r="15" spans="2:23">
      <c r="B15" s="4" t="s">
        <v>248</v>
      </c>
      <c r="F15" s="4" t="s">
        <v>88</v>
      </c>
      <c r="J15" s="74">
        <f t="shared" si="0"/>
        <v>2593760.9394599902</v>
      </c>
      <c r="L15" s="73">
        <f>'Rekenvolumes TD'!L26</f>
        <v>31224.111111111109</v>
      </c>
      <c r="M15" s="73">
        <f>'Rekenvolumes TD'!M26</f>
        <v>783519.48312986642</v>
      </c>
      <c r="N15" s="73">
        <f>'Rekenvolumes TD'!N26</f>
        <v>767972.55111111107</v>
      </c>
      <c r="O15" s="73">
        <f>'Rekenvolumes TD'!O26</f>
        <v>27504.899999999998</v>
      </c>
      <c r="P15" s="73">
        <f>'Rekenvolumes TD'!P26</f>
        <v>674648.42630164605</v>
      </c>
      <c r="Q15" s="73">
        <f>'Rekenvolumes TD'!Q26</f>
        <v>308891.46780625609</v>
      </c>
      <c r="W15"/>
    </row>
    <row r="17" spans="2:17" s="10" customFormat="1">
      <c r="B17" s="10" t="s">
        <v>154</v>
      </c>
    </row>
    <row r="18" spans="2:17" s="49" customFormat="1"/>
    <row r="19" spans="2:17" s="49" customFormat="1">
      <c r="B19" s="4" t="s">
        <v>246</v>
      </c>
      <c r="C19" s="4"/>
      <c r="D19" s="4"/>
      <c r="E19" s="4"/>
      <c r="F19" s="4" t="s">
        <v>88</v>
      </c>
      <c r="J19" s="75">
        <f t="shared" ref="J19:J21" si="1">SUM(L19:Q19)</f>
        <v>22191075.783041883</v>
      </c>
      <c r="L19" s="71">
        <f>'Aggregatie volumes 2022'!L93</f>
        <v>463963.5</v>
      </c>
      <c r="M19" s="71">
        <f>'Aggregatie volumes 2022'!M93</f>
        <v>7193541.2931011794</v>
      </c>
      <c r="N19" s="71">
        <f>'Aggregatie volumes 2022'!N93</f>
        <v>7761389.3085297681</v>
      </c>
      <c r="O19" s="71">
        <f>'Aggregatie volumes 2022'!O93</f>
        <v>334554.90999999997</v>
      </c>
      <c r="P19" s="71">
        <f>'Aggregatie volumes 2022'!P93</f>
        <v>6267727.1550582442</v>
      </c>
      <c r="Q19" s="71">
        <f>'Aggregatie volumes 2022'!Q93</f>
        <v>169899.61635268945</v>
      </c>
    </row>
    <row r="20" spans="2:17" s="49" customFormat="1">
      <c r="B20" s="4" t="s">
        <v>247</v>
      </c>
      <c r="C20" s="4"/>
      <c r="D20" s="4"/>
      <c r="E20" s="4"/>
      <c r="F20" s="4" t="s">
        <v>88</v>
      </c>
      <c r="J20" s="75">
        <f t="shared" si="1"/>
        <v>1708251.5530829779</v>
      </c>
      <c r="L20" s="71">
        <f>'Aggregatie volumes 2022'!L97</f>
        <v>32120</v>
      </c>
      <c r="M20" s="71">
        <f>'Aggregatie volumes 2022'!M97</f>
        <v>546452.87128638593</v>
      </c>
      <c r="N20" s="71">
        <f>'Aggregatie volumes 2022'!N97</f>
        <v>558341.80416666681</v>
      </c>
      <c r="O20" s="71">
        <f>'Aggregatie volumes 2022'!O97</f>
        <v>20040.599999999999</v>
      </c>
      <c r="P20" s="71">
        <f>'Aggregatie volumes 2022'!P97</f>
        <v>499715.37777777773</v>
      </c>
      <c r="Q20" s="71">
        <f>'Aggregatie volumes 2022'!Q97</f>
        <v>51580.899852147442</v>
      </c>
    </row>
    <row r="21" spans="2:17" s="49" customFormat="1">
      <c r="B21" s="4" t="s">
        <v>248</v>
      </c>
      <c r="C21" s="4"/>
      <c r="D21" s="4"/>
      <c r="E21" s="4"/>
      <c r="F21" s="4" t="s">
        <v>88</v>
      </c>
      <c r="J21" s="75">
        <f t="shared" si="1"/>
        <v>2517544.6971876463</v>
      </c>
      <c r="L21" s="71">
        <f>'Aggregatie volumes 2022'!L104</f>
        <v>31098</v>
      </c>
      <c r="M21" s="71">
        <f>'Aggregatie volumes 2022'!M104</f>
        <v>760245.97428986104</v>
      </c>
      <c r="N21" s="71">
        <f>'Aggregatie volumes 2022'!N104</f>
        <v>746068.81166666676</v>
      </c>
      <c r="O21" s="71">
        <f>'Aggregatie volumes 2022'!O104</f>
        <v>27947.399999999998</v>
      </c>
      <c r="P21" s="71">
        <f>'Aggregatie volumes 2022'!P104</f>
        <v>642028.08714280347</v>
      </c>
      <c r="Q21" s="71">
        <f>'Aggregatie volumes 2022'!Q104</f>
        <v>310156.42408831517</v>
      </c>
    </row>
    <row r="22" spans="2:17" s="49" customFormat="1">
      <c r="B22" s="51"/>
    </row>
    <row r="23" spans="2:17" s="10" customFormat="1">
      <c r="B23" s="10" t="s">
        <v>249</v>
      </c>
    </row>
    <row r="24" spans="2:17" s="49" customFormat="1">
      <c r="B24" s="51"/>
    </row>
    <row r="25" spans="2:17" s="49" customFormat="1">
      <c r="B25" s="4" t="s">
        <v>246</v>
      </c>
      <c r="C25" s="4"/>
      <c r="F25" s="1" t="s">
        <v>141</v>
      </c>
      <c r="J25" s="88">
        <f>Wegingsfactoren!H187</f>
        <v>26.847937150561652</v>
      </c>
    </row>
    <row r="26" spans="2:17" s="49" customFormat="1">
      <c r="B26" s="4" t="s">
        <v>247</v>
      </c>
      <c r="C26" s="4"/>
      <c r="F26" s="1" t="s">
        <v>141</v>
      </c>
      <c r="J26" s="88">
        <f>Wegingsfactoren!H191</f>
        <v>26.762900017966768</v>
      </c>
    </row>
    <row r="27" spans="2:17" s="49" customFormat="1">
      <c r="B27" s="4" t="s">
        <v>248</v>
      </c>
      <c r="C27" s="4"/>
      <c r="F27" s="1" t="s">
        <v>141</v>
      </c>
      <c r="J27" s="88">
        <f>Wegingsfactoren!H195</f>
        <v>22.940761455893689</v>
      </c>
    </row>
    <row r="28" spans="2:17" s="49" customFormat="1">
      <c r="B28" s="51"/>
    </row>
    <row r="29" spans="2:17" s="10" customFormat="1">
      <c r="B29" s="10" t="s">
        <v>89</v>
      </c>
    </row>
    <row r="30" spans="2:17" s="49" customFormat="1">
      <c r="B30" s="51"/>
    </row>
    <row r="31" spans="2:17" s="49" customFormat="1">
      <c r="B31" s="4" t="s">
        <v>246</v>
      </c>
      <c r="C31" s="4"/>
      <c r="D31" s="4"/>
      <c r="E31" s="4"/>
      <c r="F31" s="4" t="s">
        <v>88</v>
      </c>
      <c r="J31" s="75">
        <f t="shared" ref="J31:J33" si="2">SUM(L31:Q31)</f>
        <v>-381204.25077950454</v>
      </c>
      <c r="L31" s="75">
        <f t="shared" ref="L31:Q33" si="3">L19-L13</f>
        <v>-3925.6591803278425</v>
      </c>
      <c r="M31" s="75">
        <f t="shared" si="3"/>
        <v>-134630.6356239859</v>
      </c>
      <c r="N31" s="75">
        <f t="shared" si="3"/>
        <v>-112987.24908587802</v>
      </c>
      <c r="O31" s="75">
        <f t="shared" si="3"/>
        <v>-5959.7399999999907</v>
      </c>
      <c r="P31" s="75">
        <f t="shared" si="3"/>
        <v>-124369.22994432133</v>
      </c>
      <c r="Q31" s="75">
        <f t="shared" si="3"/>
        <v>668.26305500857416</v>
      </c>
    </row>
    <row r="32" spans="2:17" s="49" customFormat="1">
      <c r="B32" s="4" t="s">
        <v>247</v>
      </c>
      <c r="C32" s="4"/>
      <c r="D32" s="4"/>
      <c r="E32" s="4"/>
      <c r="F32" s="4" t="s">
        <v>88</v>
      </c>
      <c r="J32" s="75">
        <f t="shared" si="2"/>
        <v>-124762.99102569884</v>
      </c>
      <c r="L32" s="75">
        <f t="shared" si="3"/>
        <v>-878.33333333333576</v>
      </c>
      <c r="M32" s="75">
        <f t="shared" si="3"/>
        <v>-34192.863241755054</v>
      </c>
      <c r="N32" s="75">
        <f t="shared" si="3"/>
        <v>-42356.060859904857</v>
      </c>
      <c r="O32" s="75">
        <f t="shared" si="3"/>
        <v>-619.98333333333358</v>
      </c>
      <c r="P32" s="75">
        <f t="shared" si="3"/>
        <v>-43532.371131335152</v>
      </c>
      <c r="Q32" s="75">
        <f t="shared" si="3"/>
        <v>-3183.3791260370854</v>
      </c>
    </row>
    <row r="33" spans="2:17" s="49" customFormat="1">
      <c r="B33" s="4" t="s">
        <v>248</v>
      </c>
      <c r="C33" s="4"/>
      <c r="D33" s="4"/>
      <c r="E33" s="4"/>
      <c r="F33" s="4" t="s">
        <v>88</v>
      </c>
      <c r="J33" s="75">
        <f t="shared" si="2"/>
        <v>-76216.242272344287</v>
      </c>
      <c r="L33" s="75">
        <f t="shared" si="3"/>
        <v>-126.11111111110949</v>
      </c>
      <c r="M33" s="75">
        <f t="shared" si="3"/>
        <v>-23273.508840005379</v>
      </c>
      <c r="N33" s="75">
        <f t="shared" si="3"/>
        <v>-21903.739444444305</v>
      </c>
      <c r="O33" s="75">
        <f t="shared" si="3"/>
        <v>442.5</v>
      </c>
      <c r="P33" s="75">
        <f t="shared" si="3"/>
        <v>-32620.339158842573</v>
      </c>
      <c r="Q33" s="75">
        <f t="shared" si="3"/>
        <v>1264.95628205908</v>
      </c>
    </row>
    <row r="34" spans="2:17" s="49" customFormat="1">
      <c r="B34" s="51"/>
    </row>
    <row r="35" spans="2:17" s="10" customFormat="1">
      <c r="B35" s="10" t="s">
        <v>90</v>
      </c>
    </row>
    <row r="36" spans="2:17" s="39" customFormat="1">
      <c r="B36" s="40"/>
    </row>
    <row r="37" spans="2:17">
      <c r="B37" s="39" t="s">
        <v>235</v>
      </c>
      <c r="F37" s="49" t="s">
        <v>215</v>
      </c>
      <c r="L37" s="37">
        <f>$J$25*L31+$J$26*L32+$J$27*L33</f>
        <v>-131795.68304735248</v>
      </c>
      <c r="M37" s="37">
        <f t="shared" ref="M37:Q37" si="4">$J$25*M31+$J$26*M32+$J$27*M33</f>
        <v>-5063567.0385802379</v>
      </c>
      <c r="N37" s="37">
        <f t="shared" si="4"/>
        <v>-4669534.0458081029</v>
      </c>
      <c r="O37" s="37">
        <f t="shared" si="4"/>
        <v>-166447.98997226084</v>
      </c>
      <c r="P37" s="37">
        <f t="shared" si="4"/>
        <v>-5252445.1843951903</v>
      </c>
      <c r="Q37" s="37">
        <f t="shared" si="4"/>
        <v>-38235.912449648895</v>
      </c>
    </row>
    <row r="38" spans="2:17">
      <c r="B38" s="39"/>
    </row>
    <row r="39" spans="2:17">
      <c r="B39" s="39"/>
    </row>
    <row r="40" spans="2:17">
      <c r="B40" s="39"/>
    </row>
  </sheetData>
  <mergeCells count="2">
    <mergeCell ref="B6:F6"/>
    <mergeCell ref="B5:M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CC"/>
  </sheetPr>
  <dimension ref="B2:U47"/>
  <sheetViews>
    <sheetView showGridLines="0" zoomScale="85" zoomScaleNormal="85" workbookViewId="0">
      <pane xSplit="6" ySplit="10" topLeftCell="G11" activePane="bottomRight" state="frozen"/>
      <selection activeCell="R6" sqref="R6"/>
      <selection pane="topRight" activeCell="R6" sqref="R6"/>
      <selection pane="bottomLeft" activeCell="R6" sqref="R6"/>
      <selection pane="bottomRight" activeCell="G11" sqref="G11"/>
    </sheetView>
  </sheetViews>
  <sheetFormatPr defaultColWidth="9.140625" defaultRowHeight="12.75"/>
  <cols>
    <col min="1" max="1" width="4.7109375" style="4" customWidth="1"/>
    <col min="2" max="2" width="59.5703125" style="4" customWidth="1"/>
    <col min="3" max="3" width="4.7109375" style="4" customWidth="1"/>
    <col min="4" max="5" width="4.5703125" style="4" customWidth="1"/>
    <col min="6" max="6" width="13.7109375" style="4" customWidth="1"/>
    <col min="7" max="7" width="2.7109375" style="4" customWidth="1"/>
    <col min="8" max="8" width="13.7109375" style="4" customWidth="1"/>
    <col min="9" max="9" width="2.7109375" style="4" customWidth="1"/>
    <col min="10" max="10" width="13.7109375" style="4" customWidth="1"/>
    <col min="11" max="11" width="2.7109375" style="4" customWidth="1"/>
    <col min="12" max="12" width="15.5703125" style="4" bestFit="1" customWidth="1"/>
    <col min="13" max="13" width="12.28515625" style="4" bestFit="1" customWidth="1"/>
    <col min="14" max="15" width="14" style="4" bestFit="1" customWidth="1"/>
    <col min="16" max="16" width="12.28515625" style="4" bestFit="1" customWidth="1"/>
    <col min="17" max="17" width="14" style="4" bestFit="1" customWidth="1"/>
    <col min="18" max="18" width="12.28515625" style="4" bestFit="1" customWidth="1"/>
    <col min="19" max="33" width="13.7109375" style="4" customWidth="1"/>
    <col min="34" max="16384" width="9.140625" style="4"/>
  </cols>
  <sheetData>
    <row r="2" spans="2:19" s="19" customFormat="1" ht="18">
      <c r="B2" s="19" t="s">
        <v>76</v>
      </c>
    </row>
    <row r="4" spans="2:19">
      <c r="B4" s="26" t="s">
        <v>54</v>
      </c>
      <c r="C4" s="3"/>
      <c r="D4" s="3"/>
    </row>
    <row r="5" spans="2:19">
      <c r="B5" s="4" t="s">
        <v>236</v>
      </c>
      <c r="C5" s="5"/>
      <c r="D5" s="5"/>
      <c r="H5" s="20"/>
    </row>
    <row r="6" spans="2:19">
      <c r="B6" s="6" t="s">
        <v>237</v>
      </c>
      <c r="C6" s="5"/>
      <c r="D6" s="5"/>
    </row>
    <row r="7" spans="2:19">
      <c r="B7" s="6" t="s">
        <v>262</v>
      </c>
    </row>
    <row r="9" spans="2:19" s="10" customFormat="1">
      <c r="B9" s="10" t="s">
        <v>43</v>
      </c>
      <c r="F9" s="10" t="s">
        <v>26</v>
      </c>
      <c r="H9" s="10" t="s">
        <v>27</v>
      </c>
      <c r="J9" s="10" t="s">
        <v>46</v>
      </c>
      <c r="L9" s="10" t="s">
        <v>77</v>
      </c>
      <c r="M9" s="10" t="s">
        <v>68</v>
      </c>
      <c r="N9" s="10" t="s">
        <v>69</v>
      </c>
      <c r="O9" s="10" t="s">
        <v>70</v>
      </c>
      <c r="P9" s="10" t="s">
        <v>71</v>
      </c>
      <c r="Q9" s="10" t="s">
        <v>72</v>
      </c>
      <c r="S9" s="10" t="s">
        <v>45</v>
      </c>
    </row>
    <row r="12" spans="2:19" s="10" customFormat="1">
      <c r="B12" s="10" t="s">
        <v>97</v>
      </c>
    </row>
    <row r="14" spans="2:19">
      <c r="B14" s="3" t="s">
        <v>101</v>
      </c>
    </row>
    <row r="15" spans="2:19">
      <c r="B15" s="4" t="s">
        <v>102</v>
      </c>
      <c r="F15" s="4" t="s">
        <v>88</v>
      </c>
      <c r="J15" s="74">
        <f>SUM(L15:Q15)</f>
        <v>129849382.97241102</v>
      </c>
      <c r="L15" s="73">
        <f>'SO REG2022'!J13</f>
        <v>2554734.604290484</v>
      </c>
      <c r="M15" s="73">
        <f>'SO REG2022'!K13</f>
        <v>41079512.423977166</v>
      </c>
      <c r="N15" s="73">
        <f>'SO REG2022'!L13</f>
        <v>45433817.773542456</v>
      </c>
      <c r="O15" s="73">
        <f>'SO REG2022'!M13</f>
        <v>1881797.550325311</v>
      </c>
      <c r="P15" s="73">
        <f>'SO REG2022'!N13</f>
        <v>37928133.117229462</v>
      </c>
      <c r="Q15" s="73">
        <f>'SO REG2022'!O13</f>
        <v>971387.50304613705</v>
      </c>
    </row>
    <row r="16" spans="2:19">
      <c r="B16" s="4" t="s">
        <v>103</v>
      </c>
      <c r="F16" s="4" t="s">
        <v>88</v>
      </c>
      <c r="J16" s="74">
        <f t="shared" ref="J16:J31" si="0">SUM(L16:Q16)</f>
        <v>587851817.70302582</v>
      </c>
      <c r="L16" s="73">
        <f>'SO REG2022'!J14</f>
        <v>12185277.353265738</v>
      </c>
      <c r="M16" s="73">
        <f>'SO REG2022'!K14</f>
        <v>190848207.72587556</v>
      </c>
      <c r="N16" s="73">
        <f>'SO REG2022'!L14</f>
        <v>205073061.54879338</v>
      </c>
      <c r="O16" s="73">
        <f>'SO REG2022'!M14</f>
        <v>8868052.1266385056</v>
      </c>
      <c r="P16" s="73">
        <f>'SO REG2022'!N14</f>
        <v>166469912.3538453</v>
      </c>
      <c r="Q16" s="73">
        <f>'SO REG2022'!O14</f>
        <v>4407306.594607343</v>
      </c>
    </row>
    <row r="17" spans="2:21">
      <c r="J17" s="72"/>
      <c r="L17" s="72"/>
      <c r="M17" s="72"/>
      <c r="N17" s="72"/>
      <c r="O17" s="72"/>
      <c r="P17" s="72"/>
      <c r="Q17" s="72"/>
    </row>
    <row r="18" spans="2:21">
      <c r="B18" s="3" t="s">
        <v>104</v>
      </c>
      <c r="J18" s="72"/>
      <c r="L18" s="72"/>
      <c r="M18" s="72"/>
      <c r="N18" s="72"/>
      <c r="O18" s="72"/>
      <c r="P18" s="72"/>
      <c r="Q18" s="72"/>
    </row>
    <row r="19" spans="2:21">
      <c r="B19" s="4" t="s">
        <v>102</v>
      </c>
      <c r="F19" s="4" t="s">
        <v>88</v>
      </c>
      <c r="J19" s="74">
        <f t="shared" si="0"/>
        <v>464624.66513092176</v>
      </c>
      <c r="L19" s="73">
        <f>'SO REG2022'!J17</f>
        <v>8676</v>
      </c>
      <c r="M19" s="73">
        <f>'SO REG2022'!K17</f>
        <v>147112.09593638417</v>
      </c>
      <c r="N19" s="73">
        <f>'SO REG2022'!L17</f>
        <v>159593.95999999996</v>
      </c>
      <c r="O19" s="73">
        <f>'SO REG2022'!M17</f>
        <v>5647.0199999999995</v>
      </c>
      <c r="P19" s="73">
        <f>'SO REG2022'!N17</f>
        <v>132652.91919453762</v>
      </c>
      <c r="Q19" s="73">
        <f>'SO REG2022'!O17</f>
        <v>10942.669999999998</v>
      </c>
    </row>
    <row r="20" spans="2:21">
      <c r="B20" s="4" t="s">
        <v>103</v>
      </c>
      <c r="F20" s="4" t="s">
        <v>88</v>
      </c>
      <c r="J20" s="74">
        <f t="shared" si="0"/>
        <v>47492368.85233108</v>
      </c>
      <c r="L20" s="73">
        <f>'SO REG2022'!J18</f>
        <v>854968.13062162115</v>
      </c>
      <c r="M20" s="73">
        <f>'SO REG2022'!K18</f>
        <v>15044202.177976951</v>
      </c>
      <c r="N20" s="73">
        <f>'SO REG2022'!L18</f>
        <v>15563741.524223451</v>
      </c>
      <c r="O20" s="73">
        <f>'SO REG2022'!M18</f>
        <v>535304.01464878686</v>
      </c>
      <c r="P20" s="73">
        <f>'SO REG2022'!N18</f>
        <v>14075241.548034588</v>
      </c>
      <c r="Q20" s="73">
        <f>'SO REG2022'!O18</f>
        <v>1418911.4568256789</v>
      </c>
    </row>
    <row r="21" spans="2:21">
      <c r="J21" s="72"/>
      <c r="L21" s="72"/>
      <c r="M21" s="72"/>
      <c r="N21" s="72"/>
      <c r="O21" s="72"/>
      <c r="P21" s="72"/>
      <c r="Q21" s="72"/>
    </row>
    <row r="22" spans="2:21">
      <c r="B22" s="3" t="s">
        <v>105</v>
      </c>
      <c r="J22" s="72"/>
      <c r="L22" s="72"/>
      <c r="M22" s="72"/>
      <c r="N22" s="72"/>
      <c r="O22" s="72"/>
      <c r="P22" s="72"/>
      <c r="Q22" s="72"/>
    </row>
    <row r="23" spans="2:21">
      <c r="B23" s="4" t="s">
        <v>102</v>
      </c>
      <c r="F23" s="4" t="s">
        <v>88</v>
      </c>
      <c r="J23" s="74">
        <f t="shared" si="0"/>
        <v>6540558.2664067056</v>
      </c>
      <c r="L23" s="73">
        <f>'SO REG2022'!J21</f>
        <v>88678.780003563865</v>
      </c>
      <c r="M23" s="73">
        <f>'SO REG2022'!K21</f>
        <v>1979597.8922038693</v>
      </c>
      <c r="N23" s="73">
        <f>'SO REG2022'!L21</f>
        <v>2153967.7106551034</v>
      </c>
      <c r="O23" s="73">
        <f>'SO REG2022'!M21</f>
        <v>65745.849660170323</v>
      </c>
      <c r="P23" s="73">
        <f>'SO REG2022'!N21</f>
        <v>1629756.7629277324</v>
      </c>
      <c r="Q23" s="73">
        <f>'SO REG2022'!O21</f>
        <v>622811.27095626714</v>
      </c>
    </row>
    <row r="24" spans="2:21" s="39" customFormat="1">
      <c r="B24" s="4" t="s">
        <v>109</v>
      </c>
      <c r="C24" s="4"/>
      <c r="E24" s="4"/>
      <c r="F24" s="4" t="s">
        <v>88</v>
      </c>
      <c r="G24" s="4"/>
      <c r="H24" s="4"/>
      <c r="I24" s="4"/>
      <c r="J24" s="74">
        <f t="shared" si="0"/>
        <v>56973574.961649559</v>
      </c>
      <c r="K24" s="4"/>
      <c r="L24" s="73">
        <f>'SO REG2022'!J22</f>
        <v>685857.05333743396</v>
      </c>
      <c r="M24" s="73">
        <f>'SO REG2022'!K22</f>
        <v>17210493.58361692</v>
      </c>
      <c r="N24" s="73">
        <f>'SO REG2022'!L22</f>
        <v>16868995.536006317</v>
      </c>
      <c r="O24" s="73">
        <f>'SO REG2022'!M22</f>
        <v>604162.26419421984</v>
      </c>
      <c r="P24" s="73">
        <f>'SO REG2022'!N22</f>
        <v>14819072.993156483</v>
      </c>
      <c r="Q24" s="73">
        <f>'SO REG2022'!O22</f>
        <v>6784993.5313381851</v>
      </c>
      <c r="R24" s="4"/>
      <c r="S24" s="4"/>
      <c r="T24" s="4"/>
      <c r="U24" s="4"/>
    </row>
    <row r="25" spans="2:21" s="39" customFormat="1">
      <c r="B25" s="4"/>
      <c r="C25" s="4"/>
      <c r="E25" s="4"/>
      <c r="F25" s="4"/>
      <c r="G25" s="4"/>
      <c r="H25" s="4"/>
      <c r="I25" s="4"/>
      <c r="J25" s="72"/>
      <c r="K25" s="4"/>
      <c r="L25" s="72"/>
      <c r="M25" s="72"/>
      <c r="N25" s="72"/>
      <c r="O25" s="72"/>
      <c r="P25" s="72"/>
      <c r="Q25" s="72"/>
      <c r="R25" s="4"/>
      <c r="S25" s="4"/>
      <c r="T25" s="4"/>
      <c r="U25" s="4"/>
    </row>
    <row r="26" spans="2:21" s="39" customFormat="1">
      <c r="B26" s="3" t="s">
        <v>151</v>
      </c>
      <c r="C26" s="4"/>
      <c r="E26" s="4"/>
      <c r="F26" s="4"/>
      <c r="G26" s="4"/>
      <c r="H26" s="4"/>
      <c r="I26" s="4"/>
      <c r="J26" s="72"/>
      <c r="K26" s="4"/>
      <c r="L26" s="72"/>
      <c r="M26" s="72"/>
      <c r="N26" s="72"/>
      <c r="O26" s="72"/>
      <c r="P26" s="72"/>
      <c r="Q26" s="72"/>
      <c r="R26" s="4"/>
      <c r="S26" s="4"/>
      <c r="T26" s="4"/>
      <c r="U26" s="4"/>
    </row>
    <row r="27" spans="2:21" s="39" customFormat="1">
      <c r="B27" s="4" t="s">
        <v>101</v>
      </c>
      <c r="C27" s="4"/>
      <c r="E27" s="4"/>
      <c r="F27" s="4" t="s">
        <v>88</v>
      </c>
      <c r="G27" s="4"/>
      <c r="H27" s="4"/>
      <c r="I27" s="4"/>
      <c r="J27" s="74">
        <f t="shared" si="0"/>
        <v>651.07713622883091</v>
      </c>
      <c r="K27" s="4"/>
      <c r="L27" s="73">
        <f>'SO REG2022'!J25</f>
        <v>0</v>
      </c>
      <c r="M27" s="73">
        <f>'SO REG2022'!K25</f>
        <v>0</v>
      </c>
      <c r="N27" s="73">
        <f>'SO REG2022'!L25</f>
        <v>0</v>
      </c>
      <c r="O27" s="73">
        <f>'SO REG2022'!M25</f>
        <v>0</v>
      </c>
      <c r="P27" s="73">
        <f>'SO REG2022'!N25</f>
        <v>651.07713622883091</v>
      </c>
      <c r="Q27" s="73">
        <f>'SO REG2022'!O25</f>
        <v>0</v>
      </c>
      <c r="R27" s="4"/>
      <c r="S27" s="4"/>
      <c r="T27" s="4"/>
      <c r="U27" s="4"/>
    </row>
    <row r="28" spans="2:21" s="39" customFormat="1">
      <c r="B28" s="69" t="s">
        <v>152</v>
      </c>
      <c r="C28" s="4"/>
      <c r="E28" s="4"/>
      <c r="F28" s="4" t="s">
        <v>88</v>
      </c>
      <c r="G28" s="4"/>
      <c r="H28" s="4"/>
      <c r="I28" s="4"/>
      <c r="J28" s="74">
        <f t="shared" si="0"/>
        <v>604.55345364425955</v>
      </c>
      <c r="K28" s="4"/>
      <c r="L28" s="73">
        <f>'SO REG2022'!J26</f>
        <v>0</v>
      </c>
      <c r="M28" s="73">
        <f>'SO REG2022'!K26</f>
        <v>0</v>
      </c>
      <c r="N28" s="73">
        <f>'SO REG2022'!L26</f>
        <v>604.55345364425955</v>
      </c>
      <c r="O28" s="73">
        <f>'SO REG2022'!M26</f>
        <v>0</v>
      </c>
      <c r="P28" s="73">
        <f>'SO REG2022'!N26</f>
        <v>0</v>
      </c>
      <c r="Q28" s="73">
        <f>'SO REG2022'!O26</f>
        <v>0</v>
      </c>
      <c r="R28" s="4"/>
      <c r="S28" s="4"/>
      <c r="T28" s="4"/>
      <c r="U28" s="4"/>
    </row>
    <row r="29" spans="2:21" s="39" customFormat="1">
      <c r="B29" s="4" t="s">
        <v>105</v>
      </c>
      <c r="C29" s="4"/>
      <c r="E29" s="4"/>
      <c r="F29" s="4" t="s">
        <v>88</v>
      </c>
      <c r="G29" s="4"/>
      <c r="H29" s="4"/>
      <c r="I29" s="4"/>
      <c r="J29" s="74">
        <f t="shared" si="0"/>
        <v>621764.19938183075</v>
      </c>
      <c r="K29" s="4"/>
      <c r="L29" s="73">
        <f>'SO REG2022'!J27</f>
        <v>23488.572866835329</v>
      </c>
      <c r="M29" s="73">
        <f>'SO REG2022'!K27</f>
        <v>221797.57321635698</v>
      </c>
      <c r="N29" s="73">
        <f>'SO REG2022'!L27</f>
        <v>201805.50042260459</v>
      </c>
      <c r="O29" s="73">
        <f>'SO REG2022'!M27</f>
        <v>79530.199027295937</v>
      </c>
      <c r="P29" s="73">
        <f>'SO REG2022'!N27</f>
        <v>82723.867894163632</v>
      </c>
      <c r="Q29" s="73">
        <f>'SO REG2022'!O27</f>
        <v>12418.48595457436</v>
      </c>
      <c r="R29" s="4"/>
      <c r="S29" s="4"/>
      <c r="T29" s="4"/>
      <c r="U29" s="4"/>
    </row>
    <row r="30" spans="2:21" s="39" customFormat="1">
      <c r="B30" s="4"/>
      <c r="C30" s="4"/>
      <c r="E30" s="4"/>
      <c r="F30" s="4"/>
      <c r="G30" s="4"/>
      <c r="H30" s="4"/>
      <c r="I30" s="4"/>
      <c r="J30" s="72"/>
      <c r="K30" s="4"/>
      <c r="L30" s="72"/>
      <c r="M30" s="72"/>
      <c r="N30" s="72"/>
      <c r="O30" s="72"/>
      <c r="P30" s="72"/>
      <c r="Q30" s="72"/>
      <c r="R30" s="4"/>
      <c r="S30" s="4"/>
      <c r="T30" s="4"/>
      <c r="U30" s="4"/>
    </row>
    <row r="31" spans="2:21">
      <c r="B31" s="3" t="s">
        <v>153</v>
      </c>
      <c r="F31" s="4" t="s">
        <v>88</v>
      </c>
      <c r="J31" s="74">
        <f t="shared" si="0"/>
        <v>829795347.25092673</v>
      </c>
      <c r="L31" s="73">
        <f>'SO REG2022'!J29</f>
        <v>16401680.494385676</v>
      </c>
      <c r="M31" s="73">
        <f>'SO REG2022'!K29</f>
        <v>266530923.47280321</v>
      </c>
      <c r="N31" s="73">
        <f>'SO REG2022'!L29</f>
        <v>285455588.10709691</v>
      </c>
      <c r="O31" s="73">
        <f>'SO REG2022'!M29</f>
        <v>12040239.024494292</v>
      </c>
      <c r="P31" s="73">
        <f>'SO REG2022'!N29</f>
        <v>235138144.63941851</v>
      </c>
      <c r="Q31" s="73">
        <f>'SO REG2022'!O29</f>
        <v>14228771.512728186</v>
      </c>
    </row>
    <row r="33" spans="2:18" s="10" customFormat="1">
      <c r="B33" s="10" t="s">
        <v>90</v>
      </c>
    </row>
    <row r="35" spans="2:18">
      <c r="B35" s="39" t="s">
        <v>235</v>
      </c>
      <c r="F35" s="49" t="s">
        <v>215</v>
      </c>
      <c r="L35" s="73">
        <f>'Ontwikkeling inkomsten TD'!L37</f>
        <v>-131795.68304735248</v>
      </c>
      <c r="M35" s="73">
        <f>'Ontwikkeling inkomsten TD'!M37</f>
        <v>-5063567.0385802379</v>
      </c>
      <c r="N35" s="73">
        <f>'Ontwikkeling inkomsten TD'!N37</f>
        <v>-4669534.0458081029</v>
      </c>
      <c r="O35" s="73">
        <f>'Ontwikkeling inkomsten TD'!O37</f>
        <v>-166447.98997226084</v>
      </c>
      <c r="P35" s="73">
        <f>'Ontwikkeling inkomsten TD'!P37</f>
        <v>-5252445.1843951903</v>
      </c>
      <c r="Q35" s="73">
        <f>'Ontwikkeling inkomsten TD'!Q37</f>
        <v>-38235.912449648895</v>
      </c>
    </row>
    <row r="36" spans="2:18" s="39" customFormat="1">
      <c r="J36" s="41"/>
      <c r="K36" s="41"/>
      <c r="L36" s="41"/>
      <c r="M36" s="41"/>
      <c r="N36" s="41"/>
      <c r="O36" s="41"/>
      <c r="P36" s="41"/>
      <c r="Q36" s="41"/>
      <c r="R36" s="41"/>
    </row>
    <row r="37" spans="2:18" s="10" customFormat="1">
      <c r="B37" s="10" t="s">
        <v>75</v>
      </c>
    </row>
    <row r="39" spans="2:18">
      <c r="B39" s="4" t="s">
        <v>79</v>
      </c>
      <c r="F39" s="4" t="s">
        <v>74</v>
      </c>
      <c r="L39" s="43">
        <f>SUM(L27:L29)/SUM(L16,L20,L24)</f>
        <v>1.7112339648589247E-3</v>
      </c>
      <c r="M39" s="43">
        <f t="shared" ref="M39:Q39" si="1">SUM(M27:M29)/SUM(M16,M20,M24)</f>
        <v>9.9414920088126166E-4</v>
      </c>
      <c r="N39" s="43">
        <f t="shared" si="1"/>
        <v>8.5223205101384438E-4</v>
      </c>
      <c r="O39" s="43">
        <f t="shared" si="1"/>
        <v>7.9470449920665751E-3</v>
      </c>
      <c r="P39" s="43">
        <f t="shared" si="1"/>
        <v>4.2676669293804464E-4</v>
      </c>
      <c r="Q39" s="43">
        <f t="shared" si="1"/>
        <v>9.8471791334782291E-4</v>
      </c>
      <c r="R39" s="48"/>
    </row>
    <row r="40" spans="2:18" s="101" customFormat="1">
      <c r="L40" s="48"/>
      <c r="M40" s="48"/>
      <c r="N40" s="48"/>
      <c r="O40" s="48"/>
      <c r="P40" s="48"/>
      <c r="Q40" s="48"/>
      <c r="R40" s="48"/>
    </row>
    <row r="41" spans="2:18">
      <c r="B41" s="100" t="s">
        <v>91</v>
      </c>
      <c r="F41" s="4" t="s">
        <v>215</v>
      </c>
      <c r="L41" s="28">
        <f>L35*L39</f>
        <v>-225.53324925241114</v>
      </c>
      <c r="M41" s="28">
        <f t="shared" ref="M41:Q41" si="2">M35*M39</f>
        <v>-5033.9411250132398</v>
      </c>
      <c r="N41" s="28">
        <f t="shared" si="2"/>
        <v>-3979.5265771380141</v>
      </c>
      <c r="O41" s="28">
        <f t="shared" si="2"/>
        <v>-1322.7696651486031</v>
      </c>
      <c r="P41" s="28">
        <f t="shared" si="2"/>
        <v>-2241.5686611826936</v>
      </c>
      <c r="Q41" s="28">
        <f t="shared" si="2"/>
        <v>-37.6515879223683</v>
      </c>
      <c r="R41" s="34"/>
    </row>
    <row r="42" spans="2:18">
      <c r="L42" s="34"/>
    </row>
    <row r="43" spans="2:18">
      <c r="L43" s="2"/>
      <c r="M43" s="2"/>
      <c r="N43" s="2"/>
      <c r="O43" s="2"/>
      <c r="P43" s="2"/>
      <c r="Q43" s="2"/>
      <c r="R43" s="2"/>
    </row>
    <row r="44" spans="2:18">
      <c r="L44" s="34"/>
      <c r="M44" s="34"/>
      <c r="N44" s="34"/>
      <c r="O44" s="34"/>
      <c r="P44" s="34"/>
      <c r="Q44" s="34"/>
      <c r="R44" s="34"/>
    </row>
    <row r="47" spans="2:18">
      <c r="L47" s="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8D9"/>
  </sheetPr>
  <dimension ref="B2:G38"/>
  <sheetViews>
    <sheetView showGridLines="0" zoomScale="85" zoomScaleNormal="85" workbookViewId="0">
      <pane ySplit="3" topLeftCell="A4" activePane="bottomLeft" state="frozen"/>
      <selection activeCell="O39" sqref="O39"/>
      <selection pane="bottomLeft" activeCell="A4" sqref="A4"/>
    </sheetView>
  </sheetViews>
  <sheetFormatPr defaultColWidth="9.140625" defaultRowHeight="12.75"/>
  <cols>
    <col min="1" max="1" width="4.7109375" style="4" customWidth="1"/>
    <col min="2" max="2" width="19.140625" style="4" customWidth="1"/>
    <col min="3" max="3" width="20.7109375" style="4" customWidth="1"/>
    <col min="4" max="4" width="56.85546875" style="4" customWidth="1"/>
    <col min="5" max="5" width="29.85546875" style="4" customWidth="1"/>
    <col min="6" max="6" width="24.7109375" style="4" customWidth="1"/>
    <col min="7" max="7" width="37.28515625" style="4" customWidth="1"/>
    <col min="8" max="16384" width="9.140625" style="4"/>
  </cols>
  <sheetData>
    <row r="2" spans="2:6" s="9" customFormat="1" ht="18">
      <c r="B2" s="9" t="s">
        <v>50</v>
      </c>
    </row>
    <row r="4" spans="2:6" s="10" customFormat="1">
      <c r="B4" s="10" t="s">
        <v>14</v>
      </c>
    </row>
    <row r="6" spans="2:6">
      <c r="B6" s="4" t="s">
        <v>312</v>
      </c>
    </row>
    <row r="8" spans="2:6" s="10" customFormat="1">
      <c r="B8" s="10" t="s">
        <v>15</v>
      </c>
    </row>
    <row r="10" spans="2:6">
      <c r="B10" s="26" t="s">
        <v>37</v>
      </c>
      <c r="D10" s="26" t="s">
        <v>16</v>
      </c>
      <c r="F10" s="7"/>
    </row>
    <row r="12" spans="2:6">
      <c r="B12" s="31">
        <v>123</v>
      </c>
      <c r="D12" s="4" t="s">
        <v>62</v>
      </c>
    </row>
    <row r="13" spans="2:6">
      <c r="B13" s="36">
        <f>B12</f>
        <v>123</v>
      </c>
      <c r="D13" s="4" t="s">
        <v>17</v>
      </c>
    </row>
    <row r="14" spans="2:6">
      <c r="B14" s="37">
        <f>B13+B12</f>
        <v>246</v>
      </c>
      <c r="D14" s="4" t="s">
        <v>18</v>
      </c>
    </row>
    <row r="15" spans="2:6">
      <c r="B15" s="28">
        <f>B13+B14</f>
        <v>369</v>
      </c>
      <c r="D15" s="4" t="s">
        <v>63</v>
      </c>
      <c r="E15" s="7"/>
      <c r="F15" s="7"/>
    </row>
    <row r="16" spans="2:6">
      <c r="B16" s="13"/>
      <c r="D16" s="4" t="s">
        <v>19</v>
      </c>
      <c r="E16" s="7"/>
    </row>
    <row r="18" spans="2:7">
      <c r="B18" s="27" t="s">
        <v>20</v>
      </c>
    </row>
    <row r="19" spans="2:7">
      <c r="B19" s="30">
        <f>B15+16</f>
        <v>385</v>
      </c>
      <c r="D19" s="4" t="s">
        <v>64</v>
      </c>
    </row>
    <row r="20" spans="2:7">
      <c r="B20" s="61">
        <f>B13*PI()</f>
        <v>386.41589639154455</v>
      </c>
      <c r="C20" s="15"/>
      <c r="D20" s="4" t="s">
        <v>21</v>
      </c>
    </row>
    <row r="21" spans="2:7">
      <c r="B21" s="15"/>
      <c r="C21" s="15"/>
    </row>
    <row r="22" spans="2:7">
      <c r="B22" s="27" t="s">
        <v>22</v>
      </c>
      <c r="C22" s="16"/>
    </row>
    <row r="23" spans="2:7">
      <c r="B23" s="35">
        <v>123</v>
      </c>
      <c r="C23" s="16"/>
      <c r="D23" s="4" t="s">
        <v>65</v>
      </c>
      <c r="G23" s="7"/>
    </row>
    <row r="24" spans="2:7">
      <c r="B24" s="32">
        <v>124</v>
      </c>
      <c r="C24" s="16"/>
      <c r="D24" s="4" t="s">
        <v>67</v>
      </c>
    </row>
    <row r="25" spans="2:7">
      <c r="B25" s="33">
        <f>B23-B24</f>
        <v>-1</v>
      </c>
      <c r="C25" s="17"/>
      <c r="D25" s="4" t="s">
        <v>55</v>
      </c>
    </row>
    <row r="28" spans="2:7">
      <c r="B28" s="26" t="s">
        <v>32</v>
      </c>
    </row>
    <row r="29" spans="2:7">
      <c r="B29" s="3"/>
    </row>
    <row r="30" spans="2:7">
      <c r="B30" s="27" t="s">
        <v>38</v>
      </c>
    </row>
    <row r="31" spans="2:7">
      <c r="B31" s="21" t="s">
        <v>31</v>
      </c>
      <c r="D31" s="5" t="s">
        <v>41</v>
      </c>
    </row>
    <row r="32" spans="2:7">
      <c r="B32" s="31" t="s">
        <v>29</v>
      </c>
      <c r="D32" s="5" t="s">
        <v>33</v>
      </c>
    </row>
    <row r="33" spans="2:4">
      <c r="B33" s="29" t="s">
        <v>30</v>
      </c>
      <c r="D33" s="5" t="s">
        <v>34</v>
      </c>
    </row>
    <row r="34" spans="2:4">
      <c r="B34" s="14" t="s">
        <v>30</v>
      </c>
      <c r="D34" s="5" t="s">
        <v>36</v>
      </c>
    </row>
    <row r="35" spans="2:4">
      <c r="D35" s="5"/>
    </row>
    <row r="36" spans="2:4">
      <c r="B36" s="27" t="s">
        <v>40</v>
      </c>
      <c r="D36" s="5"/>
    </row>
    <row r="37" spans="2:4">
      <c r="B37" s="22" t="s">
        <v>35</v>
      </c>
      <c r="D37" s="5" t="s">
        <v>42</v>
      </c>
    </row>
    <row r="38" spans="2:4">
      <c r="B38" s="23" t="s">
        <v>39</v>
      </c>
      <c r="D38" s="4" t="s">
        <v>66</v>
      </c>
    </row>
  </sheetData>
  <pageMargins left="0.75" right="0.75" top="1" bottom="1" header="0.5" footer="0.5"/>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sheetPr>
  <dimension ref="B2:E21"/>
  <sheetViews>
    <sheetView showGridLines="0" zoomScale="85" zoomScaleNormal="85" workbookViewId="0">
      <pane ySplit="3" topLeftCell="A4" activePane="bottomLeft" state="frozen"/>
      <selection activeCell="O39" sqref="O39"/>
      <selection pane="bottomLeft" activeCell="A4" sqref="A4"/>
    </sheetView>
  </sheetViews>
  <sheetFormatPr defaultColWidth="9.140625" defaultRowHeight="12.75"/>
  <cols>
    <col min="1" max="1" width="4.7109375" style="4" customWidth="1"/>
    <col min="2" max="2" width="7.5703125" style="4" customWidth="1"/>
    <col min="3" max="3" width="32.85546875" style="4" customWidth="1"/>
    <col min="4" max="4" width="55.42578125" style="4" customWidth="1"/>
    <col min="5" max="5" width="87.42578125" style="4" bestFit="1" customWidth="1"/>
    <col min="6" max="6" width="4.5703125" style="4" customWidth="1"/>
    <col min="7" max="7" width="43.42578125" style="4" customWidth="1"/>
    <col min="8" max="8" width="28.7109375" style="4" customWidth="1"/>
    <col min="9" max="9" width="18.42578125" style="4" customWidth="1"/>
    <col min="10" max="11" width="58.42578125" style="4" customWidth="1"/>
    <col min="12" max="16384" width="9.140625" style="4"/>
  </cols>
  <sheetData>
    <row r="2" spans="2:5" s="9" customFormat="1" ht="18">
      <c r="B2" s="9" t="s">
        <v>23</v>
      </c>
    </row>
    <row r="4" spans="2:5" s="10" customFormat="1">
      <c r="B4" s="10" t="s">
        <v>24</v>
      </c>
    </row>
    <row r="6" spans="2:5">
      <c r="B6" s="27" t="s">
        <v>59</v>
      </c>
    </row>
    <row r="7" spans="2:5">
      <c r="B7" s="27" t="s">
        <v>60</v>
      </c>
    </row>
    <row r="9" spans="2:5">
      <c r="B9" s="45" t="s">
        <v>51</v>
      </c>
      <c r="C9" s="45" t="s">
        <v>52</v>
      </c>
      <c r="D9" s="45" t="s">
        <v>53</v>
      </c>
      <c r="E9" s="45" t="s">
        <v>56</v>
      </c>
    </row>
    <row r="10" spans="2:5">
      <c r="B10" s="18"/>
      <c r="C10" s="24" t="s">
        <v>58</v>
      </c>
      <c r="D10" s="24" t="s">
        <v>25</v>
      </c>
      <c r="E10" s="24" t="s">
        <v>57</v>
      </c>
    </row>
    <row r="11" spans="2:5">
      <c r="B11" s="8">
        <v>1</v>
      </c>
      <c r="C11" s="8" t="s">
        <v>259</v>
      </c>
      <c r="D11" s="44" t="s">
        <v>304</v>
      </c>
      <c r="E11" s="8"/>
    </row>
    <row r="12" spans="2:5">
      <c r="B12" s="8">
        <v>2</v>
      </c>
      <c r="C12" s="8" t="s">
        <v>263</v>
      </c>
      <c r="D12" s="8" t="s">
        <v>263</v>
      </c>
      <c r="E12" s="8"/>
    </row>
    <row r="13" spans="2:5" ht="12.75" customHeight="1">
      <c r="B13" s="8">
        <v>3</v>
      </c>
      <c r="C13" s="8" t="s">
        <v>265</v>
      </c>
      <c r="D13" s="8" t="s">
        <v>265</v>
      </c>
      <c r="E13" s="46" t="s">
        <v>269</v>
      </c>
    </row>
    <row r="14" spans="2:5" ht="12.75" customHeight="1">
      <c r="B14" s="8">
        <v>4</v>
      </c>
      <c r="C14" s="8" t="s">
        <v>266</v>
      </c>
      <c r="D14" s="44" t="s">
        <v>267</v>
      </c>
      <c r="E14" s="46" t="s">
        <v>270</v>
      </c>
    </row>
    <row r="15" spans="2:5" ht="12.75" customHeight="1">
      <c r="B15" s="8">
        <v>5</v>
      </c>
      <c r="C15" s="8" t="s">
        <v>264</v>
      </c>
      <c r="D15" s="44"/>
      <c r="E15" s="8" t="s">
        <v>268</v>
      </c>
    </row>
    <row r="18" spans="2:2" s="10" customFormat="1">
      <c r="B18" s="10" t="s">
        <v>49</v>
      </c>
    </row>
    <row r="20" spans="2:2">
      <c r="B20" s="27" t="s">
        <v>47</v>
      </c>
    </row>
    <row r="21" spans="2:2">
      <c r="B21" s="27" t="s">
        <v>48</v>
      </c>
    </row>
  </sheetData>
  <sortState xmlns:xlrd2="http://schemas.microsoft.com/office/spreadsheetml/2017/richdata2" ref="C11:E15">
    <sortCondition ref="C11:C15"/>
  </sortState>
  <hyperlinks>
    <hyperlink ref="E15" r:id="rId1" display="https://www.acm.nl/nl/zoeken-publicaties?text=tarievenbesluit+gas+2022&amp;combined_date%5Bradiobuttons%5D=custom&amp;combined_date%5Bmin%5D=2021-11-28&amp;combined_date%5Bmax%5D=2021-12-12&amp;combined_keyword=All&amp;sort_by=search_api_relevance" xr:uid="{593D8DE5-D759-415D-9F1D-BE10ECE04ED4}"/>
    <hyperlink ref="E13" r:id="rId2" display="https://www.acm.nl/nl/publicaties/berekening-totale-inkomsten-2022-regionaal-netbeheer-gas" xr:uid="{38684E64-9C49-4D16-AF23-3A6DA0F6FB12}"/>
    <hyperlink ref="E14" r:id="rId3" display="https://www.acm.nl/nl/publicaties/x-factorberekening-regionale-netbeheerders-elektriciteit-2021-2026" xr:uid="{F84C5E3D-0A33-4176-8EB7-F67FBCDAA4F1}"/>
  </hyperlinks>
  <pageMargins left="0.75" right="0.75" top="1" bottom="1" header="0.5" footer="0.5"/>
  <pageSetup paperSize="9" orientation="portrait" r:id="rId4"/>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
  <sheetViews>
    <sheetView showGridLines="0" zoomScale="85" zoomScaleNormal="85" workbookViewId="0"/>
  </sheetViews>
  <sheetFormatPr defaultColWidth="9.140625" defaultRowHeight="12.75"/>
  <cols>
    <col min="1" max="16384" width="9.140625" style="22"/>
  </cols>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1FFE1"/>
  </sheetPr>
  <dimension ref="A2:Y157"/>
  <sheetViews>
    <sheetView showGridLines="0" zoomScale="85" zoomScaleNormal="85" workbookViewId="0">
      <pane xSplit="6" ySplit="8" topLeftCell="G9" activePane="bottomRight" state="frozen"/>
      <selection activeCell="R6" sqref="R6"/>
      <selection pane="topRight" activeCell="R6" sqref="R6"/>
      <selection pane="bottomLeft" activeCell="R6" sqref="R6"/>
      <selection pane="bottomRight" activeCell="J15" sqref="J15"/>
    </sheetView>
  </sheetViews>
  <sheetFormatPr defaultColWidth="9.140625" defaultRowHeight="12.75"/>
  <cols>
    <col min="1" max="1" width="4.7109375" style="4" customWidth="1"/>
    <col min="2" max="2" width="41.42578125" style="4" customWidth="1"/>
    <col min="3" max="3" width="4.7109375" style="4" customWidth="1"/>
    <col min="4" max="4" width="4.5703125" style="4" customWidth="1"/>
    <col min="5" max="5" width="6.140625" style="4" customWidth="1"/>
    <col min="6" max="6" width="13.7109375" style="4" customWidth="1"/>
    <col min="7" max="7" width="2.7109375" style="4" customWidth="1"/>
    <col min="8" max="8" width="13.7109375" style="4" customWidth="1"/>
    <col min="9" max="9" width="2.7109375" style="4" customWidth="1"/>
    <col min="10" max="10" width="16.5703125" style="4" bestFit="1" customWidth="1"/>
    <col min="11" max="11" width="2.7109375" style="4" customWidth="1"/>
    <col min="12" max="12" width="12.5703125" style="4" customWidth="1"/>
    <col min="13" max="13" width="14.140625" style="4" bestFit="1" customWidth="1"/>
    <col min="14" max="14" width="15" style="4" bestFit="1" customWidth="1"/>
    <col min="15" max="15" width="14.5703125" style="4" bestFit="1" customWidth="1"/>
    <col min="16" max="17" width="14.140625" style="4" bestFit="1" customWidth="1"/>
    <col min="18" max="18" width="4.42578125" style="4" customWidth="1"/>
    <col min="19" max="19" width="72" style="4" bestFit="1" customWidth="1"/>
    <col min="20" max="20" width="2.7109375" style="4" customWidth="1"/>
    <col min="21" max="21" width="13.7109375" style="4" customWidth="1"/>
    <col min="22" max="22" width="2.7109375" style="4" customWidth="1"/>
    <col min="23" max="37" width="13.7109375" style="4" customWidth="1"/>
    <col min="38" max="16384" width="9.140625" style="4"/>
  </cols>
  <sheetData>
    <row r="2" spans="2:25" s="58" customFormat="1" ht="18">
      <c r="B2" s="58" t="s">
        <v>308</v>
      </c>
    </row>
    <row r="4" spans="2:25">
      <c r="B4" s="26" t="s">
        <v>28</v>
      </c>
      <c r="C4" s="3"/>
      <c r="D4" s="3"/>
      <c r="L4"/>
    </row>
    <row r="5" spans="2:25">
      <c r="B5" s="4" t="s">
        <v>309</v>
      </c>
      <c r="H5" s="20"/>
    </row>
    <row r="7" spans="2:25" s="59" customFormat="1">
      <c r="F7" s="59" t="s">
        <v>26</v>
      </c>
      <c r="H7" s="59" t="s">
        <v>27</v>
      </c>
      <c r="J7" s="59" t="s">
        <v>46</v>
      </c>
      <c r="L7" s="59" t="s">
        <v>77</v>
      </c>
      <c r="M7" s="59" t="s">
        <v>68</v>
      </c>
      <c r="N7" s="59" t="s">
        <v>69</v>
      </c>
      <c r="O7" s="59" t="s">
        <v>70</v>
      </c>
      <c r="P7" s="59" t="s">
        <v>71</v>
      </c>
      <c r="Q7" s="59" t="s">
        <v>72</v>
      </c>
      <c r="S7" s="59" t="s">
        <v>44</v>
      </c>
      <c r="U7" s="59" t="s">
        <v>45</v>
      </c>
    </row>
    <row r="10" spans="2:25" s="10" customFormat="1">
      <c r="B10" s="10" t="s">
        <v>99</v>
      </c>
    </row>
    <row r="12" spans="2:25">
      <c r="B12" s="26" t="s">
        <v>110</v>
      </c>
    </row>
    <row r="13" spans="2:25">
      <c r="Y13" s="65"/>
    </row>
    <row r="14" spans="2:25">
      <c r="B14" s="26" t="s">
        <v>111</v>
      </c>
    </row>
    <row r="15" spans="2:25">
      <c r="B15" s="66" t="s">
        <v>112</v>
      </c>
      <c r="F15" s="4" t="s">
        <v>88</v>
      </c>
      <c r="J15" s="37">
        <f>SUM(L15:Q15)</f>
        <v>897799.04354732973</v>
      </c>
      <c r="L15" s="91">
        <v>9393</v>
      </c>
      <c r="M15" s="31">
        <v>225366.50447253222</v>
      </c>
      <c r="N15" s="31">
        <v>321912.23286581447</v>
      </c>
      <c r="O15" s="31">
        <v>7315.8</v>
      </c>
      <c r="P15" s="31">
        <v>327172.05124807986</v>
      </c>
      <c r="Q15" s="31">
        <v>6639.4549609031374</v>
      </c>
      <c r="S15" s="4" t="s">
        <v>257</v>
      </c>
    </row>
    <row r="16" spans="2:25">
      <c r="B16" s="66" t="s">
        <v>113</v>
      </c>
      <c r="F16" s="4" t="s">
        <v>88</v>
      </c>
      <c r="J16" s="37">
        <f t="shared" ref="J16:J20" si="0">SUM(L16:Q16)</f>
        <v>6025563.336141414</v>
      </c>
      <c r="L16" s="91">
        <v>124783</v>
      </c>
      <c r="M16" s="31">
        <v>1955996.4323542889</v>
      </c>
      <c r="N16" s="31">
        <v>2106353.5232833121</v>
      </c>
      <c r="O16" s="31">
        <v>91653.95</v>
      </c>
      <c r="P16" s="31">
        <v>1700608.8094636456</v>
      </c>
      <c r="Q16" s="31">
        <v>46167.621040167483</v>
      </c>
      <c r="S16" s="4" t="s">
        <v>257</v>
      </c>
    </row>
    <row r="17" spans="2:19">
      <c r="B17" s="66" t="s">
        <v>114</v>
      </c>
      <c r="F17" s="4" t="s">
        <v>88</v>
      </c>
      <c r="J17" s="37">
        <f t="shared" si="0"/>
        <v>156519.32752369982</v>
      </c>
      <c r="L17" s="91">
        <v>4980</v>
      </c>
      <c r="M17" s="31">
        <v>56666.224540710456</v>
      </c>
      <c r="N17" s="31">
        <v>55285.350693649809</v>
      </c>
      <c r="O17" s="31">
        <v>3470.21</v>
      </c>
      <c r="P17" s="31">
        <v>35124.401126472098</v>
      </c>
      <c r="Q17" s="31">
        <v>993.14116286746184</v>
      </c>
      <c r="S17" s="4" t="s">
        <v>257</v>
      </c>
    </row>
    <row r="18" spans="2:19">
      <c r="B18" s="4" t="s">
        <v>115</v>
      </c>
      <c r="F18" s="4" t="s">
        <v>88</v>
      </c>
      <c r="J18" s="37">
        <f t="shared" si="0"/>
        <v>28819.981978328615</v>
      </c>
      <c r="L18" s="91">
        <v>170</v>
      </c>
      <c r="M18" s="31">
        <v>7835.7726981125334</v>
      </c>
      <c r="N18" s="31">
        <v>11836.457547324026</v>
      </c>
      <c r="O18" s="31">
        <v>627</v>
      </c>
      <c r="P18" s="31">
        <v>7992.2661610343066</v>
      </c>
      <c r="Q18" s="31">
        <v>358.48557185774752</v>
      </c>
      <c r="S18" s="4" t="s">
        <v>257</v>
      </c>
    </row>
    <row r="19" spans="2:19">
      <c r="B19" s="4" t="s">
        <v>116</v>
      </c>
      <c r="F19" s="4" t="s">
        <v>88</v>
      </c>
      <c r="J19" s="37">
        <f t="shared" si="0"/>
        <v>60004.374084242474</v>
      </c>
      <c r="L19" s="91">
        <v>1820</v>
      </c>
      <c r="M19" s="31">
        <v>22992.943875139314</v>
      </c>
      <c r="N19" s="31">
        <v>19441.627407068361</v>
      </c>
      <c r="O19" s="31">
        <v>861.6</v>
      </c>
      <c r="P19" s="31">
        <v>14538.52827060932</v>
      </c>
      <c r="Q19" s="31">
        <v>349.67453142548254</v>
      </c>
      <c r="S19" s="4" t="s">
        <v>257</v>
      </c>
    </row>
    <row r="20" spans="2:19">
      <c r="B20" s="4" t="s">
        <v>117</v>
      </c>
      <c r="F20" s="4" t="s">
        <v>88</v>
      </c>
      <c r="J20" s="37">
        <f t="shared" si="0"/>
        <v>23212.057560931153</v>
      </c>
      <c r="L20" s="91">
        <v>593</v>
      </c>
      <c r="M20" s="31">
        <v>8050.4025240759056</v>
      </c>
      <c r="N20" s="31">
        <v>7932.7068493150682</v>
      </c>
      <c r="O20" s="31">
        <v>309.7</v>
      </c>
      <c r="P20" s="31">
        <v>6074.2851638504872</v>
      </c>
      <c r="Q20" s="31">
        <v>251.96302368969279</v>
      </c>
      <c r="S20" s="4" t="s">
        <v>257</v>
      </c>
    </row>
    <row r="22" spans="2:19">
      <c r="B22" s="3" t="s">
        <v>118</v>
      </c>
    </row>
    <row r="23" spans="2:19">
      <c r="B23" s="4" t="s">
        <v>119</v>
      </c>
      <c r="F23" s="4" t="s">
        <v>88</v>
      </c>
      <c r="J23" s="37">
        <f t="shared" ref="J23:J27" si="1">SUM(L23:Q23)</f>
        <v>9011.9009676671485</v>
      </c>
      <c r="L23" s="91">
        <v>229</v>
      </c>
      <c r="M23" s="31">
        <v>2940.0047706351979</v>
      </c>
      <c r="N23" s="31">
        <v>3212.8916666666664</v>
      </c>
      <c r="O23" s="31">
        <v>125.49</v>
      </c>
      <c r="P23" s="31">
        <v>2388.7711111111112</v>
      </c>
      <c r="Q23" s="31">
        <v>115.74341925417309</v>
      </c>
      <c r="S23" s="4" t="s">
        <v>257</v>
      </c>
    </row>
    <row r="24" spans="2:19">
      <c r="B24" s="4" t="s">
        <v>120</v>
      </c>
      <c r="F24" s="4" t="s">
        <v>88</v>
      </c>
      <c r="J24" s="37">
        <f t="shared" si="1"/>
        <v>9707.0675395662529</v>
      </c>
      <c r="L24" s="91">
        <v>168</v>
      </c>
      <c r="M24" s="31">
        <v>2951.8550616847497</v>
      </c>
      <c r="N24" s="31">
        <v>3463.6175000000003</v>
      </c>
      <c r="O24" s="31">
        <v>122.52</v>
      </c>
      <c r="P24" s="31">
        <v>2808.2366666666662</v>
      </c>
      <c r="Q24" s="31">
        <v>192.83831121483715</v>
      </c>
      <c r="S24" s="4" t="s">
        <v>257</v>
      </c>
    </row>
    <row r="25" spans="2:19">
      <c r="B25" s="4" t="s">
        <v>121</v>
      </c>
      <c r="F25" s="4" t="s">
        <v>88</v>
      </c>
      <c r="J25" s="37">
        <f t="shared" si="1"/>
        <v>4019.9850072300719</v>
      </c>
      <c r="L25" s="91">
        <v>49</v>
      </c>
      <c r="M25" s="31">
        <v>1297.2780575612373</v>
      </c>
      <c r="N25" s="31">
        <v>1250.5858333333335</v>
      </c>
      <c r="O25" s="31">
        <v>32</v>
      </c>
      <c r="P25" s="31">
        <v>1236.8222222222221</v>
      </c>
      <c r="Q25" s="31">
        <v>154.29889411327883</v>
      </c>
      <c r="S25" s="4" t="s">
        <v>257</v>
      </c>
    </row>
    <row r="26" spans="2:19">
      <c r="B26" s="4" t="s">
        <v>122</v>
      </c>
      <c r="F26" s="4" t="s">
        <v>88</v>
      </c>
      <c r="J26" s="37">
        <f t="shared" si="1"/>
        <v>1177.2378952512956</v>
      </c>
      <c r="L26" s="91">
        <v>29</v>
      </c>
      <c r="M26" s="31">
        <v>394.45253264060949</v>
      </c>
      <c r="N26" s="31">
        <v>376.6583333333333</v>
      </c>
      <c r="O26" s="31">
        <v>19.420000000000002</v>
      </c>
      <c r="P26" s="31">
        <v>274.25944444444445</v>
      </c>
      <c r="Q26" s="31">
        <v>83.447584832908404</v>
      </c>
      <c r="S26" s="4" t="s">
        <v>257</v>
      </c>
    </row>
    <row r="27" spans="2:19">
      <c r="B27" s="4" t="s">
        <v>123</v>
      </c>
      <c r="F27" s="4" t="s">
        <v>88</v>
      </c>
      <c r="J27" s="37">
        <f t="shared" si="1"/>
        <v>505.83824136508338</v>
      </c>
      <c r="L27" s="91">
        <v>10</v>
      </c>
      <c r="M27" s="31">
        <v>176.56756189139188</v>
      </c>
      <c r="N27" s="31">
        <v>77.468333333333334</v>
      </c>
      <c r="O27" s="31">
        <v>3</v>
      </c>
      <c r="P27" s="31">
        <v>216.26166666666668</v>
      </c>
      <c r="Q27" s="31">
        <v>22.540679473691494</v>
      </c>
      <c r="S27" s="4" t="s">
        <v>257</v>
      </c>
    </row>
    <row r="29" spans="2:19">
      <c r="B29" s="26" t="s">
        <v>124</v>
      </c>
    </row>
    <row r="31" spans="2:19">
      <c r="B31" s="4" t="s">
        <v>125</v>
      </c>
      <c r="F31" s="4" t="s">
        <v>88</v>
      </c>
      <c r="J31" s="37">
        <f>SUM(L31:Q31)</f>
        <v>8373.0709092591296</v>
      </c>
      <c r="L31" s="91">
        <v>118</v>
      </c>
      <c r="M31" s="31">
        <v>2599.21691411353</v>
      </c>
      <c r="N31" s="31">
        <v>2799.1625000000004</v>
      </c>
      <c r="O31" s="31">
        <v>86.57</v>
      </c>
      <c r="P31" s="31">
        <v>2064.6518566652071</v>
      </c>
      <c r="Q31" s="31">
        <v>705.46963848039218</v>
      </c>
      <c r="S31" s="4" t="s">
        <v>257</v>
      </c>
    </row>
    <row r="33" spans="2:24">
      <c r="B33" s="26" t="s">
        <v>126</v>
      </c>
    </row>
    <row r="35" spans="2:24">
      <c r="B35" s="26" t="s">
        <v>125</v>
      </c>
    </row>
    <row r="36" spans="2:24">
      <c r="B36" s="4" t="s">
        <v>106</v>
      </c>
      <c r="F36" s="4" t="s">
        <v>88</v>
      </c>
      <c r="J36" s="37">
        <f t="shared" ref="J36:J37" si="2">SUM(L36:Q36)</f>
        <v>679277.14750000008</v>
      </c>
      <c r="L36" s="91">
        <v>24620</v>
      </c>
      <c r="M36" s="31">
        <v>0</v>
      </c>
      <c r="N36" s="31">
        <v>629549.34750000003</v>
      </c>
      <c r="O36" s="31">
        <v>25107.8</v>
      </c>
      <c r="P36" s="31">
        <v>0</v>
      </c>
      <c r="Q36" s="31">
        <v>0</v>
      </c>
      <c r="S36" s="4" t="s">
        <v>257</v>
      </c>
    </row>
    <row r="37" spans="2:24">
      <c r="B37" s="4" t="s">
        <v>107</v>
      </c>
      <c r="F37" s="4" t="s">
        <v>88</v>
      </c>
      <c r="J37" s="37">
        <f t="shared" si="2"/>
        <v>125837.06416666668</v>
      </c>
      <c r="L37" s="91">
        <v>6478</v>
      </c>
      <c r="M37" s="31">
        <v>0</v>
      </c>
      <c r="N37" s="31">
        <v>116519.46416666667</v>
      </c>
      <c r="O37" s="31">
        <v>2839.6</v>
      </c>
      <c r="P37" s="31">
        <v>0</v>
      </c>
      <c r="Q37" s="31">
        <v>0</v>
      </c>
      <c r="S37" s="4" t="s">
        <v>257</v>
      </c>
    </row>
    <row r="39" spans="2:24">
      <c r="B39" s="4" t="s">
        <v>108</v>
      </c>
      <c r="F39" s="4" t="s">
        <v>88</v>
      </c>
      <c r="J39" s="37">
        <f>SUM(L39:Q39)</f>
        <v>1712430.4855209796</v>
      </c>
      <c r="L39" s="91">
        <v>0</v>
      </c>
      <c r="M39" s="31">
        <v>760245.97428986104</v>
      </c>
      <c r="N39" s="31">
        <v>0</v>
      </c>
      <c r="O39" s="31">
        <v>0</v>
      </c>
      <c r="P39" s="31">
        <v>642028.08714280347</v>
      </c>
      <c r="Q39" s="31">
        <v>310156.42408831517</v>
      </c>
      <c r="S39" s="4" t="s">
        <v>257</v>
      </c>
    </row>
    <row r="41" spans="2:24" s="10" customFormat="1">
      <c r="B41" s="10" t="s">
        <v>127</v>
      </c>
    </row>
    <row r="43" spans="2:24">
      <c r="B43" s="26" t="s">
        <v>111</v>
      </c>
    </row>
    <row r="44" spans="2:24">
      <c r="B44" s="4" t="s">
        <v>112</v>
      </c>
      <c r="F44" s="4" t="s">
        <v>88</v>
      </c>
      <c r="H44" s="67">
        <v>1.5</v>
      </c>
      <c r="S44" s="4" t="s">
        <v>271</v>
      </c>
      <c r="X44" s="68"/>
    </row>
    <row r="45" spans="2:24">
      <c r="B45" s="4" t="s">
        <v>113</v>
      </c>
      <c r="F45" s="4" t="s">
        <v>88</v>
      </c>
      <c r="H45" s="31">
        <v>3</v>
      </c>
      <c r="S45" s="4" t="s">
        <v>272</v>
      </c>
    </row>
    <row r="46" spans="2:24">
      <c r="B46" s="4" t="s">
        <v>114</v>
      </c>
      <c r="F46" s="4" t="s">
        <v>88</v>
      </c>
      <c r="H46" s="31">
        <v>6</v>
      </c>
      <c r="S46" s="4" t="s">
        <v>273</v>
      </c>
    </row>
    <row r="47" spans="2:24">
      <c r="B47" s="4" t="s">
        <v>128</v>
      </c>
      <c r="F47" s="4" t="s">
        <v>88</v>
      </c>
      <c r="H47" s="31">
        <v>10</v>
      </c>
      <c r="S47" s="4" t="s">
        <v>274</v>
      </c>
    </row>
    <row r="48" spans="2:24">
      <c r="B48" s="4" t="s">
        <v>129</v>
      </c>
      <c r="F48" s="4" t="s">
        <v>88</v>
      </c>
      <c r="H48" s="31">
        <v>16</v>
      </c>
      <c r="S48" s="4" t="s">
        <v>275</v>
      </c>
    </row>
    <row r="49" spans="2:19">
      <c r="B49" s="4" t="s">
        <v>130</v>
      </c>
      <c r="F49" s="4" t="s">
        <v>88</v>
      </c>
      <c r="H49" s="31">
        <v>25</v>
      </c>
      <c r="S49" s="4" t="s">
        <v>276</v>
      </c>
    </row>
    <row r="51" spans="2:19">
      <c r="B51" s="3" t="s">
        <v>118</v>
      </c>
    </row>
    <row r="52" spans="2:19">
      <c r="B52" s="4" t="s">
        <v>131</v>
      </c>
      <c r="F52" s="4" t="s">
        <v>88</v>
      </c>
      <c r="H52" s="31">
        <v>40</v>
      </c>
      <c r="S52" s="4" t="s">
        <v>277</v>
      </c>
    </row>
    <row r="53" spans="2:19">
      <c r="B53" s="4" t="s">
        <v>132</v>
      </c>
      <c r="F53" s="4" t="s">
        <v>88</v>
      </c>
      <c r="H53" s="31">
        <v>65</v>
      </c>
      <c r="S53" s="4" t="s">
        <v>278</v>
      </c>
    </row>
    <row r="54" spans="2:19">
      <c r="B54" s="4" t="s">
        <v>133</v>
      </c>
      <c r="F54" s="4" t="s">
        <v>88</v>
      </c>
      <c r="H54" s="31">
        <v>100</v>
      </c>
      <c r="S54" s="4" t="s">
        <v>279</v>
      </c>
    </row>
    <row r="55" spans="2:19">
      <c r="B55" s="4" t="s">
        <v>134</v>
      </c>
      <c r="F55" s="4" t="s">
        <v>88</v>
      </c>
      <c r="H55" s="31">
        <v>160</v>
      </c>
      <c r="S55" s="4" t="s">
        <v>280</v>
      </c>
    </row>
    <row r="56" spans="2:19">
      <c r="B56" s="4" t="s">
        <v>135</v>
      </c>
      <c r="F56" s="4" t="s">
        <v>88</v>
      </c>
      <c r="H56" s="31">
        <v>250</v>
      </c>
      <c r="S56" s="4" t="s">
        <v>281</v>
      </c>
    </row>
    <row r="58" spans="2:19" s="59" customFormat="1">
      <c r="B58" s="59" t="s">
        <v>156</v>
      </c>
    </row>
    <row r="60" spans="2:19">
      <c r="B60" s="26" t="s">
        <v>157</v>
      </c>
    </row>
    <row r="62" spans="2:19">
      <c r="B62" s="26" t="s">
        <v>158</v>
      </c>
    </row>
    <row r="63" spans="2:19">
      <c r="B63" s="66" t="s">
        <v>159</v>
      </c>
      <c r="F63" s="4" t="s">
        <v>88</v>
      </c>
      <c r="J63" s="37">
        <f>SUM(L63:Q63)</f>
        <v>7079881.7072124435</v>
      </c>
      <c r="L63" s="31">
        <v>139156</v>
      </c>
      <c r="M63" s="31">
        <v>2238029.1613675314</v>
      </c>
      <c r="N63" s="31">
        <v>2483551.1068427763</v>
      </c>
      <c r="O63" s="31">
        <v>102439.96</v>
      </c>
      <c r="P63" s="31">
        <v>2062905.2618381975</v>
      </c>
      <c r="Q63" s="31">
        <v>53800.217163938083</v>
      </c>
      <c r="S63" s="4" t="s">
        <v>258</v>
      </c>
    </row>
    <row r="64" spans="2:19">
      <c r="B64" s="66" t="s">
        <v>160</v>
      </c>
      <c r="F64" s="4" t="s">
        <v>88</v>
      </c>
      <c r="J64" s="37">
        <f t="shared" ref="J64:J66" si="3">SUM(L64:Q64)</f>
        <v>28819.981978328615</v>
      </c>
      <c r="L64" s="31">
        <v>170</v>
      </c>
      <c r="M64" s="31">
        <v>7835.7726981125334</v>
      </c>
      <c r="N64" s="31">
        <v>11836.457547324026</v>
      </c>
      <c r="O64" s="31">
        <v>627</v>
      </c>
      <c r="P64" s="31">
        <v>7992.2661610343066</v>
      </c>
      <c r="Q64" s="31">
        <v>358.48557185774746</v>
      </c>
      <c r="S64" s="4" t="s">
        <v>258</v>
      </c>
    </row>
    <row r="65" spans="2:19">
      <c r="B65" s="66" t="s">
        <v>161</v>
      </c>
      <c r="F65" s="4" t="s">
        <v>88</v>
      </c>
      <c r="J65" s="37">
        <f t="shared" si="3"/>
        <v>60004.374084242474</v>
      </c>
      <c r="L65" s="31">
        <v>1820</v>
      </c>
      <c r="M65" s="31">
        <v>22992.943875139314</v>
      </c>
      <c r="N65" s="31">
        <v>19441.627407068361</v>
      </c>
      <c r="O65" s="31">
        <v>861.6</v>
      </c>
      <c r="P65" s="31">
        <v>14538.52827060932</v>
      </c>
      <c r="Q65" s="31">
        <v>349.67453142548248</v>
      </c>
      <c r="S65" s="4" t="s">
        <v>258</v>
      </c>
    </row>
    <row r="66" spans="2:19">
      <c r="B66" s="4" t="s">
        <v>162</v>
      </c>
      <c r="F66" s="4" t="s">
        <v>88</v>
      </c>
      <c r="J66" s="37">
        <f t="shared" si="3"/>
        <v>23213.871314909291</v>
      </c>
      <c r="L66" s="31">
        <v>593</v>
      </c>
      <c r="M66" s="31">
        <v>8052.216278054043</v>
      </c>
      <c r="N66" s="31">
        <v>7932.7068493150682</v>
      </c>
      <c r="O66" s="31">
        <v>309.7</v>
      </c>
      <c r="P66" s="31">
        <v>6074.2851638504872</v>
      </c>
      <c r="Q66" s="31">
        <v>251.96302368969279</v>
      </c>
      <c r="S66" s="4" t="s">
        <v>258</v>
      </c>
    </row>
    <row r="67" spans="2:19">
      <c r="O67" s="92"/>
    </row>
    <row r="68" spans="2:19">
      <c r="B68" s="26" t="s">
        <v>163</v>
      </c>
      <c r="O68" s="93"/>
    </row>
    <row r="69" spans="2:19">
      <c r="B69" s="66" t="s">
        <v>159</v>
      </c>
      <c r="F69" s="4" t="s">
        <v>88</v>
      </c>
      <c r="J69" s="37">
        <f>SUM(L69:Q69)</f>
        <v>0</v>
      </c>
      <c r="L69" s="31">
        <v>0</v>
      </c>
      <c r="M69" s="31">
        <v>0</v>
      </c>
      <c r="N69" s="31">
        <v>0</v>
      </c>
      <c r="O69" s="31">
        <v>0</v>
      </c>
      <c r="P69" s="31">
        <v>0</v>
      </c>
      <c r="Q69" s="31">
        <v>0</v>
      </c>
      <c r="S69" s="4" t="s">
        <v>258</v>
      </c>
    </row>
    <row r="70" spans="2:19">
      <c r="B70" s="66" t="s">
        <v>160</v>
      </c>
      <c r="F70" s="4" t="s">
        <v>88</v>
      </c>
      <c r="J70" s="37">
        <f t="shared" ref="J70:J72" si="4">SUM(L70:Q70)</f>
        <v>0</v>
      </c>
      <c r="L70" s="31">
        <v>0</v>
      </c>
      <c r="M70" s="31">
        <v>0</v>
      </c>
      <c r="N70" s="31">
        <v>0</v>
      </c>
      <c r="O70" s="31">
        <v>0</v>
      </c>
      <c r="P70" s="31">
        <v>0</v>
      </c>
      <c r="Q70" s="31">
        <v>0</v>
      </c>
      <c r="S70" s="4" t="s">
        <v>258</v>
      </c>
    </row>
    <row r="71" spans="2:19">
      <c r="B71" s="66" t="s">
        <v>161</v>
      </c>
      <c r="F71" s="4" t="s">
        <v>88</v>
      </c>
      <c r="J71" s="37">
        <f t="shared" si="4"/>
        <v>0</v>
      </c>
      <c r="L71" s="31">
        <v>0</v>
      </c>
      <c r="M71" s="31">
        <v>0</v>
      </c>
      <c r="N71" s="31">
        <v>0</v>
      </c>
      <c r="O71" s="31">
        <v>0</v>
      </c>
      <c r="P71" s="31">
        <v>0</v>
      </c>
      <c r="Q71" s="31">
        <v>0</v>
      </c>
      <c r="S71" s="4" t="s">
        <v>258</v>
      </c>
    </row>
    <row r="72" spans="2:19">
      <c r="B72" s="4" t="s">
        <v>162</v>
      </c>
      <c r="F72" s="4" t="s">
        <v>88</v>
      </c>
      <c r="J72" s="37">
        <f t="shared" si="4"/>
        <v>0</v>
      </c>
      <c r="L72" s="31">
        <v>0</v>
      </c>
      <c r="M72" s="31">
        <v>0</v>
      </c>
      <c r="N72" s="31">
        <v>0</v>
      </c>
      <c r="O72" s="31">
        <v>0</v>
      </c>
      <c r="P72" s="31">
        <v>0</v>
      </c>
      <c r="Q72" s="31">
        <v>0</v>
      </c>
      <c r="S72" s="4" t="s">
        <v>258</v>
      </c>
    </row>
    <row r="75" spans="2:19">
      <c r="B75" s="26" t="s">
        <v>164</v>
      </c>
    </row>
    <row r="77" spans="2:19">
      <c r="B77" s="26" t="s">
        <v>165</v>
      </c>
    </row>
    <row r="78" spans="2:19">
      <c r="B78" s="4" t="s">
        <v>166</v>
      </c>
      <c r="F78" s="4" t="s">
        <v>88</v>
      </c>
      <c r="J78" s="37">
        <f>SUM(L78:Q78)</f>
        <v>17426.315174141731</v>
      </c>
      <c r="L78" s="31">
        <v>391</v>
      </c>
      <c r="M78" s="31">
        <v>5494.4872539528878</v>
      </c>
      <c r="N78" s="31">
        <v>6231.2016666666668</v>
      </c>
      <c r="O78" s="31">
        <v>231.8</v>
      </c>
      <c r="P78" s="31">
        <v>5077.8262535221756</v>
      </c>
      <c r="Q78" s="31">
        <v>0</v>
      </c>
      <c r="S78" s="4" t="s">
        <v>258</v>
      </c>
    </row>
    <row r="79" spans="2:19">
      <c r="B79" s="4" t="s">
        <v>167</v>
      </c>
      <c r="F79" s="4" t="s">
        <v>88</v>
      </c>
      <c r="J79" s="37">
        <f t="shared" ref="J79:J80" si="5">SUM(L79:Q79)</f>
        <v>6098.921891406394</v>
      </c>
      <c r="L79" s="31">
        <v>100</v>
      </c>
      <c r="M79" s="31">
        <v>1945.9545886557173</v>
      </c>
      <c r="N79" s="31">
        <v>2085.6941666666667</v>
      </c>
      <c r="O79" s="31">
        <v>38</v>
      </c>
      <c r="P79" s="31">
        <v>1929.2731360840098</v>
      </c>
      <c r="Q79" s="31">
        <v>0</v>
      </c>
      <c r="S79" s="4" t="s">
        <v>258</v>
      </c>
    </row>
    <row r="80" spans="2:19">
      <c r="B80" s="4" t="s">
        <v>168</v>
      </c>
      <c r="F80" s="4" t="s">
        <v>88</v>
      </c>
      <c r="J80" s="37">
        <f t="shared" si="5"/>
        <v>124.81221374536227</v>
      </c>
      <c r="L80" s="31">
        <v>0</v>
      </c>
      <c r="M80" s="31">
        <v>29.799644124205045</v>
      </c>
      <c r="N80" s="31">
        <v>42</v>
      </c>
      <c r="O80" s="31">
        <v>0</v>
      </c>
      <c r="P80" s="31">
        <v>53.012569621157233</v>
      </c>
      <c r="Q80" s="31">
        <v>0</v>
      </c>
      <c r="S80" s="4" t="s">
        <v>258</v>
      </c>
    </row>
    <row r="81" spans="1:19">
      <c r="O81" s="92"/>
      <c r="P81" s="94"/>
    </row>
    <row r="82" spans="1:19">
      <c r="B82" s="26" t="s">
        <v>169</v>
      </c>
      <c r="O82" s="92"/>
      <c r="P82" s="92"/>
    </row>
    <row r="83" spans="1:19">
      <c r="B83" s="4" t="s">
        <v>166</v>
      </c>
      <c r="F83" s="4" t="s">
        <v>88</v>
      </c>
      <c r="J83" s="37">
        <f>SUM(L83:Q83)</f>
        <v>475.62363269069488</v>
      </c>
      <c r="L83" s="31">
        <v>17</v>
      </c>
      <c r="M83" s="31">
        <v>103.01444014198127</v>
      </c>
      <c r="N83" s="31">
        <v>121.06416666666667</v>
      </c>
      <c r="O83" s="31">
        <v>12.92</v>
      </c>
      <c r="P83" s="31">
        <v>98.572790359058004</v>
      </c>
      <c r="Q83" s="31">
        <v>123.05223552298895</v>
      </c>
      <c r="S83" s="4" t="s">
        <v>258</v>
      </c>
    </row>
    <row r="84" spans="1:19">
      <c r="B84" s="4" t="s">
        <v>167</v>
      </c>
      <c r="F84" s="4" t="s">
        <v>88</v>
      </c>
      <c r="J84" s="37">
        <f t="shared" ref="J84:J85" si="6">SUM(L84:Q84)</f>
        <v>397.4188108383442</v>
      </c>
      <c r="L84" s="31">
        <v>11</v>
      </c>
      <c r="M84" s="31">
        <v>161.27670696472015</v>
      </c>
      <c r="N84" s="31">
        <v>23.232499999999998</v>
      </c>
      <c r="O84" s="31">
        <v>16</v>
      </c>
      <c r="P84" s="31">
        <v>159.88065435127072</v>
      </c>
      <c r="Q84" s="31">
        <v>26.028949522353322</v>
      </c>
      <c r="S84" s="4" t="s">
        <v>258</v>
      </c>
    </row>
    <row r="85" spans="1:19">
      <c r="B85" s="4" t="s">
        <v>168</v>
      </c>
      <c r="F85" s="4" t="s">
        <v>88</v>
      </c>
      <c r="J85" s="37">
        <f t="shared" si="6"/>
        <v>58.416281920695887</v>
      </c>
      <c r="L85" s="31">
        <v>4</v>
      </c>
      <c r="M85" s="31">
        <v>16.000175741133312</v>
      </c>
      <c r="N85" s="31">
        <v>0</v>
      </c>
      <c r="O85" s="31">
        <v>4</v>
      </c>
      <c r="P85" s="31">
        <v>34.416106179562576</v>
      </c>
      <c r="Q85" s="31"/>
      <c r="S85" s="4" t="s">
        <v>258</v>
      </c>
    </row>
    <row r="86" spans="1:19">
      <c r="O86" s="92"/>
      <c r="P86" s="92"/>
    </row>
    <row r="87" spans="1:19">
      <c r="B87" s="26" t="s">
        <v>170</v>
      </c>
      <c r="O87" s="92"/>
      <c r="P87" s="92"/>
    </row>
    <row r="88" spans="1:19">
      <c r="B88" s="4" t="s">
        <v>166</v>
      </c>
      <c r="F88" s="4" t="s">
        <v>88</v>
      </c>
      <c r="J88" s="37">
        <f>SUM(L88:Q88)</f>
        <v>1627.7045926803403</v>
      </c>
      <c r="L88" s="31">
        <v>10</v>
      </c>
      <c r="M88" s="31">
        <v>593.92328843733981</v>
      </c>
      <c r="N88" s="31">
        <v>683.93666666666661</v>
      </c>
      <c r="O88" s="31">
        <v>16.43</v>
      </c>
      <c r="P88" s="31">
        <v>183.19247393299125</v>
      </c>
      <c r="Q88" s="31">
        <v>140.22216364334236</v>
      </c>
      <c r="S88" s="4" t="s">
        <v>258</v>
      </c>
    </row>
    <row r="89" spans="1:19">
      <c r="B89" s="4" t="s">
        <v>167</v>
      </c>
      <c r="F89" s="4" t="s">
        <v>88</v>
      </c>
      <c r="J89" s="37">
        <f t="shared" ref="J89:J90" si="7">SUM(L89:Q89)</f>
        <v>3688.6574958491196</v>
      </c>
      <c r="L89" s="31">
        <v>22</v>
      </c>
      <c r="M89" s="31">
        <v>1256.1137258753622</v>
      </c>
      <c r="N89" s="31">
        <v>1258.1600000000001</v>
      </c>
      <c r="O89" s="31">
        <v>33.979999999999997</v>
      </c>
      <c r="P89" s="31">
        <v>568.33188933924384</v>
      </c>
      <c r="Q89" s="31">
        <v>550.07188063451349</v>
      </c>
      <c r="S89" s="4" t="s">
        <v>258</v>
      </c>
    </row>
    <row r="90" spans="1:19">
      <c r="B90" s="4" t="s">
        <v>171</v>
      </c>
      <c r="F90" s="4" t="s">
        <v>88</v>
      </c>
      <c r="J90" s="37">
        <f t="shared" si="7"/>
        <v>1697.2626931020179</v>
      </c>
      <c r="L90" s="31">
        <v>22</v>
      </c>
      <c r="M90" s="31">
        <v>713.44993302367652</v>
      </c>
      <c r="N90" s="31">
        <v>527.48083333333329</v>
      </c>
      <c r="O90" s="31">
        <v>14</v>
      </c>
      <c r="P90" s="31">
        <v>344.27550622126586</v>
      </c>
      <c r="Q90" s="31">
        <v>76.056420523742219</v>
      </c>
      <c r="S90" s="4" t="s">
        <v>258</v>
      </c>
    </row>
    <row r="91" spans="1:19">
      <c r="O91" s="92"/>
      <c r="P91" s="92"/>
    </row>
    <row r="92" spans="1:19">
      <c r="B92" s="26" t="s">
        <v>172</v>
      </c>
      <c r="O92" s="92"/>
      <c r="P92" s="92"/>
    </row>
    <row r="93" spans="1:19">
      <c r="A93" s="4" t="s">
        <v>173</v>
      </c>
      <c r="B93" s="4" t="s">
        <v>166</v>
      </c>
      <c r="F93" s="4" t="s">
        <v>88</v>
      </c>
      <c r="J93" s="37">
        <f>SUM(L93:Q93)</f>
        <v>51.46170431397902</v>
      </c>
      <c r="L93" s="31">
        <v>3</v>
      </c>
      <c r="M93" s="31">
        <v>3.9998276233570351</v>
      </c>
      <c r="N93" s="31">
        <v>4</v>
      </c>
      <c r="O93" s="31">
        <v>2.87</v>
      </c>
      <c r="P93" s="31">
        <v>24.579953389997883</v>
      </c>
      <c r="Q93" s="31">
        <v>13.011923300624096</v>
      </c>
      <c r="S93" s="4" t="s">
        <v>258</v>
      </c>
    </row>
    <row r="94" spans="1:19">
      <c r="B94" s="4" t="s">
        <v>167</v>
      </c>
      <c r="F94" s="4" t="s">
        <v>88</v>
      </c>
      <c r="J94" s="37">
        <f t="shared" ref="J94:J95" si="8">SUM(L94:Q94)</f>
        <v>396.83189784051075</v>
      </c>
      <c r="L94" s="31">
        <v>9</v>
      </c>
      <c r="M94" s="31">
        <v>44.734120026972363</v>
      </c>
      <c r="N94" s="31">
        <v>59.910833333333336</v>
      </c>
      <c r="O94" s="31">
        <v>5</v>
      </c>
      <c r="P94" s="31">
        <v>141.10428432763047</v>
      </c>
      <c r="Q94" s="31">
        <v>137.08266015257459</v>
      </c>
      <c r="S94" s="4" t="s">
        <v>258</v>
      </c>
    </row>
    <row r="95" spans="1:19">
      <c r="B95" s="4" t="s">
        <v>171</v>
      </c>
      <c r="F95" s="4" t="s">
        <v>88</v>
      </c>
      <c r="J95" s="37">
        <f t="shared" si="8"/>
        <v>547.82815784941022</v>
      </c>
      <c r="L95" s="31">
        <v>12</v>
      </c>
      <c r="M95" s="31">
        <v>49.270353804402461</v>
      </c>
      <c r="N95" s="31">
        <v>73.394166666666663</v>
      </c>
      <c r="O95" s="31">
        <v>7</v>
      </c>
      <c r="P95" s="31">
        <v>279.63703490586914</v>
      </c>
      <c r="Q95" s="31">
        <v>126.52660247247191</v>
      </c>
      <c r="S95" s="4" t="s">
        <v>258</v>
      </c>
    </row>
    <row r="97" spans="2:19" s="59" customFormat="1">
      <c r="B97" s="59" t="s">
        <v>136</v>
      </c>
    </row>
    <row r="99" spans="2:19">
      <c r="B99" s="26" t="s">
        <v>101</v>
      </c>
    </row>
    <row r="100" spans="2:19">
      <c r="B100" s="4" t="s">
        <v>102</v>
      </c>
      <c r="F100" s="1" t="s">
        <v>140</v>
      </c>
      <c r="L100" s="76">
        <v>18</v>
      </c>
      <c r="M100" s="76">
        <v>18</v>
      </c>
      <c r="N100" s="76">
        <v>17.994499999999999</v>
      </c>
      <c r="O100" s="76">
        <v>18</v>
      </c>
      <c r="P100" s="76">
        <v>18</v>
      </c>
      <c r="Q100" s="76">
        <v>18</v>
      </c>
      <c r="S100" s="49" t="s">
        <v>142</v>
      </c>
    </row>
    <row r="101" spans="2:19">
      <c r="B101" s="4" t="s">
        <v>103</v>
      </c>
      <c r="F101" s="1" t="s">
        <v>141</v>
      </c>
      <c r="L101" s="76">
        <v>26.523799999999998</v>
      </c>
      <c r="M101" s="76">
        <v>26.6553</v>
      </c>
      <c r="N101" s="76">
        <v>30.587</v>
      </c>
      <c r="O101" s="76">
        <v>26.38</v>
      </c>
      <c r="P101" s="76">
        <v>27.654699999999998</v>
      </c>
      <c r="Q101" s="76">
        <v>22.454800000000002</v>
      </c>
      <c r="S101" s="49" t="s">
        <v>143</v>
      </c>
    </row>
    <row r="102" spans="2:19">
      <c r="L102" s="1"/>
      <c r="M102" s="1"/>
      <c r="N102" s="1"/>
      <c r="O102" s="1"/>
      <c r="P102" s="1"/>
      <c r="Q102" s="1"/>
      <c r="S102" s="49"/>
    </row>
    <row r="103" spans="2:19">
      <c r="B103" s="26" t="s">
        <v>104</v>
      </c>
      <c r="L103" s="1"/>
      <c r="M103" s="1"/>
      <c r="N103" s="1"/>
      <c r="O103" s="1"/>
      <c r="P103" s="1"/>
      <c r="Q103" s="1"/>
      <c r="S103" s="49"/>
    </row>
    <row r="104" spans="2:19">
      <c r="B104" s="4" t="s">
        <v>102</v>
      </c>
      <c r="F104" s="1" t="s">
        <v>140</v>
      </c>
      <c r="L104" s="76">
        <v>18</v>
      </c>
      <c r="M104" s="76">
        <v>18</v>
      </c>
      <c r="N104" s="76">
        <v>18</v>
      </c>
      <c r="O104" s="76">
        <v>18</v>
      </c>
      <c r="P104" s="76">
        <v>18.000000000000004</v>
      </c>
      <c r="Q104" s="76">
        <v>18</v>
      </c>
      <c r="S104" s="49" t="s">
        <v>144</v>
      </c>
    </row>
    <row r="105" spans="2:19">
      <c r="B105" s="4" t="s">
        <v>103</v>
      </c>
      <c r="F105" s="1" t="s">
        <v>141</v>
      </c>
      <c r="L105" s="76">
        <v>26.496700000000001</v>
      </c>
      <c r="M105" s="76">
        <v>26.6553</v>
      </c>
      <c r="N105" s="76">
        <v>30.599999999999998</v>
      </c>
      <c r="O105" s="76">
        <v>26.38</v>
      </c>
      <c r="P105" s="76">
        <v>27.730799999999999</v>
      </c>
      <c r="Q105" s="76">
        <v>22.454800000000002</v>
      </c>
      <c r="S105" s="49" t="s">
        <v>145</v>
      </c>
    </row>
    <row r="106" spans="2:19">
      <c r="L106" s="1"/>
      <c r="M106" s="1"/>
      <c r="N106" s="1"/>
      <c r="O106" s="1"/>
      <c r="P106" s="1"/>
      <c r="Q106" s="1"/>
      <c r="S106" s="49"/>
    </row>
    <row r="107" spans="2:19">
      <c r="B107" s="26" t="s">
        <v>105</v>
      </c>
      <c r="L107" s="1"/>
      <c r="M107" s="1"/>
      <c r="N107" s="1"/>
      <c r="O107" s="1"/>
      <c r="P107" s="1"/>
      <c r="Q107" s="1"/>
      <c r="S107" s="49"/>
    </row>
    <row r="108" spans="2:19">
      <c r="B108" s="4" t="s">
        <v>102</v>
      </c>
      <c r="F108" s="1" t="s">
        <v>140</v>
      </c>
      <c r="L108" s="76">
        <v>540.52739999999994</v>
      </c>
      <c r="M108" s="76">
        <v>1048.71</v>
      </c>
      <c r="N108" s="76">
        <v>816</v>
      </c>
      <c r="O108" s="76">
        <v>532.9</v>
      </c>
      <c r="P108" s="76">
        <v>728.83630000000005</v>
      </c>
      <c r="Q108" s="76">
        <v>326.39999999999998</v>
      </c>
      <c r="S108" s="49" t="s">
        <v>146</v>
      </c>
    </row>
    <row r="109" spans="2:19">
      <c r="B109" s="4" t="s">
        <v>137</v>
      </c>
      <c r="F109" s="1" t="s">
        <v>141</v>
      </c>
      <c r="L109" s="76">
        <v>30.559899999999999</v>
      </c>
      <c r="M109" s="76">
        <v>0</v>
      </c>
      <c r="N109" s="76">
        <v>21.48</v>
      </c>
      <c r="O109" s="76">
        <v>27.7</v>
      </c>
      <c r="P109" s="76">
        <v>0</v>
      </c>
      <c r="Q109" s="76"/>
      <c r="S109" s="49" t="s">
        <v>147</v>
      </c>
    </row>
    <row r="110" spans="2:19">
      <c r="B110" s="4" t="s">
        <v>138</v>
      </c>
      <c r="F110" s="1" t="s">
        <v>141</v>
      </c>
      <c r="L110" s="76">
        <v>20.5168</v>
      </c>
      <c r="M110" s="76">
        <v>0</v>
      </c>
      <c r="N110" s="76">
        <v>21.48</v>
      </c>
      <c r="O110" s="76">
        <v>18.8</v>
      </c>
      <c r="P110" s="76">
        <v>0</v>
      </c>
      <c r="Q110" s="76"/>
      <c r="S110" s="49" t="s">
        <v>148</v>
      </c>
    </row>
    <row r="111" spans="2:19">
      <c r="B111" s="4" t="s">
        <v>139</v>
      </c>
      <c r="F111" s="1" t="s">
        <v>141</v>
      </c>
      <c r="L111" s="76">
        <v>0</v>
      </c>
      <c r="M111" s="76">
        <v>24.114999999999998</v>
      </c>
      <c r="N111" s="76">
        <v>0</v>
      </c>
      <c r="O111" s="76">
        <v>0</v>
      </c>
      <c r="P111" s="76">
        <v>23.946899999999999</v>
      </c>
      <c r="Q111" s="76">
        <v>29.141100000000002</v>
      </c>
      <c r="S111" s="49" t="s">
        <v>149</v>
      </c>
    </row>
    <row r="113" spans="2:19" s="59" customFormat="1">
      <c r="B113" s="59" t="s">
        <v>174</v>
      </c>
    </row>
    <row r="115" spans="2:19">
      <c r="B115" s="26" t="s">
        <v>175</v>
      </c>
    </row>
    <row r="117" spans="2:19">
      <c r="B117" s="26" t="s">
        <v>158</v>
      </c>
    </row>
    <row r="118" spans="2:19">
      <c r="B118" s="4" t="s">
        <v>176</v>
      </c>
      <c r="F118" s="1" t="s">
        <v>140</v>
      </c>
      <c r="L118" s="76">
        <v>32.827399999999997</v>
      </c>
      <c r="M118" s="76">
        <v>33.549999999999997</v>
      </c>
      <c r="N118" s="76">
        <v>33.032499999999992</v>
      </c>
      <c r="O118" s="76">
        <v>33.5</v>
      </c>
      <c r="P118" s="76">
        <v>32.326700000000002</v>
      </c>
      <c r="Q118" s="76">
        <v>31.79</v>
      </c>
      <c r="S118" s="49" t="s">
        <v>181</v>
      </c>
    </row>
    <row r="119" spans="2:19">
      <c r="B119" s="4" t="s">
        <v>177</v>
      </c>
      <c r="F119" s="1" t="s">
        <v>140</v>
      </c>
      <c r="L119" s="76">
        <v>50.169899999999998</v>
      </c>
      <c r="M119" s="76">
        <v>57.79</v>
      </c>
      <c r="N119" s="76">
        <v>62.378500000000003</v>
      </c>
      <c r="O119" s="76">
        <v>74.75</v>
      </c>
      <c r="P119" s="76">
        <v>69.601299999999995</v>
      </c>
      <c r="Q119" s="76">
        <v>31.79</v>
      </c>
      <c r="S119" s="49" t="s">
        <v>182</v>
      </c>
    </row>
    <row r="120" spans="2:19">
      <c r="B120" s="4" t="s">
        <v>178</v>
      </c>
      <c r="F120" s="1" t="s">
        <v>140</v>
      </c>
      <c r="L120" s="76">
        <v>50.169899999999998</v>
      </c>
      <c r="M120" s="76">
        <v>57.79</v>
      </c>
      <c r="N120" s="76">
        <v>62.378500000000003</v>
      </c>
      <c r="O120" s="76">
        <v>74.75</v>
      </c>
      <c r="P120" s="76">
        <v>69.820899999999995</v>
      </c>
      <c r="Q120" s="76">
        <v>31.79</v>
      </c>
      <c r="S120" s="49" t="s">
        <v>183</v>
      </c>
    </row>
    <row r="121" spans="2:19">
      <c r="B121" s="4" t="s">
        <v>179</v>
      </c>
      <c r="F121" s="1" t="s">
        <v>140</v>
      </c>
      <c r="L121" s="76">
        <v>64.464100000000002</v>
      </c>
      <c r="M121" s="76">
        <v>72.27</v>
      </c>
      <c r="N121" s="76">
        <v>102.565</v>
      </c>
      <c r="O121" s="76">
        <v>101.5</v>
      </c>
      <c r="P121" s="76">
        <v>111.4722</v>
      </c>
      <c r="Q121" s="76">
        <v>31.79</v>
      </c>
      <c r="S121" s="49" t="s">
        <v>184</v>
      </c>
    </row>
    <row r="122" spans="2:19">
      <c r="L122" s="77"/>
      <c r="M122" s="77"/>
      <c r="N122" s="77"/>
      <c r="O122" s="77"/>
      <c r="P122" s="77"/>
      <c r="Q122" s="77"/>
      <c r="S122" s="49"/>
    </row>
    <row r="123" spans="2:19">
      <c r="B123" s="26" t="s">
        <v>163</v>
      </c>
      <c r="L123" s="77"/>
      <c r="M123" s="77"/>
      <c r="N123" s="77"/>
      <c r="O123" s="77"/>
      <c r="P123" s="77"/>
      <c r="Q123" s="77"/>
      <c r="S123" s="49"/>
    </row>
    <row r="124" spans="2:19">
      <c r="B124" s="4" t="s">
        <v>176</v>
      </c>
      <c r="F124" s="1" t="s">
        <v>140</v>
      </c>
      <c r="L124" s="76">
        <v>0</v>
      </c>
      <c r="M124" s="76">
        <v>0</v>
      </c>
      <c r="N124" s="76"/>
      <c r="O124" s="76"/>
      <c r="P124" s="76"/>
      <c r="Q124" s="76">
        <v>31.79</v>
      </c>
      <c r="S124" s="49" t="s">
        <v>185</v>
      </c>
    </row>
    <row r="125" spans="2:19">
      <c r="B125" s="4" t="s">
        <v>177</v>
      </c>
      <c r="F125" s="1" t="s">
        <v>140</v>
      </c>
      <c r="L125" s="76">
        <v>0</v>
      </c>
      <c r="M125" s="76">
        <v>0</v>
      </c>
      <c r="N125" s="76"/>
      <c r="O125" s="76"/>
      <c r="P125" s="76"/>
      <c r="Q125" s="76">
        <v>31.79</v>
      </c>
      <c r="S125" s="49" t="s">
        <v>186</v>
      </c>
    </row>
    <row r="126" spans="2:19">
      <c r="B126" s="4" t="s">
        <v>178</v>
      </c>
      <c r="F126" s="1" t="s">
        <v>140</v>
      </c>
      <c r="L126" s="76">
        <v>0</v>
      </c>
      <c r="M126" s="76">
        <v>0</v>
      </c>
      <c r="N126" s="76"/>
      <c r="O126" s="76"/>
      <c r="P126" s="76"/>
      <c r="Q126" s="76">
        <v>31.79</v>
      </c>
      <c r="S126" s="49" t="s">
        <v>187</v>
      </c>
    </row>
    <row r="127" spans="2:19">
      <c r="B127" s="4" t="s">
        <v>179</v>
      </c>
      <c r="F127" s="1" t="s">
        <v>140</v>
      </c>
      <c r="L127" s="76">
        <v>99.670100000000005</v>
      </c>
      <c r="M127" s="76">
        <v>0</v>
      </c>
      <c r="N127" s="76"/>
      <c r="O127" s="76"/>
      <c r="P127" s="76"/>
      <c r="Q127" s="76">
        <v>31.79</v>
      </c>
      <c r="S127" s="49" t="s">
        <v>188</v>
      </c>
    </row>
    <row r="128" spans="2:19">
      <c r="L128" s="77"/>
      <c r="M128" s="77"/>
      <c r="N128" s="77"/>
      <c r="O128" s="77"/>
      <c r="P128" s="77"/>
      <c r="Q128" s="77"/>
      <c r="S128" s="49"/>
    </row>
    <row r="129" spans="2:19">
      <c r="L129" s="77"/>
      <c r="M129" s="77"/>
      <c r="N129" s="77"/>
      <c r="O129" s="77"/>
      <c r="P129" s="77"/>
      <c r="Q129" s="77"/>
      <c r="S129" s="49"/>
    </row>
    <row r="130" spans="2:19">
      <c r="B130" s="26" t="s">
        <v>180</v>
      </c>
      <c r="L130" s="77"/>
      <c r="M130" s="77"/>
      <c r="N130" s="77"/>
      <c r="O130" s="77"/>
      <c r="P130" s="77"/>
      <c r="Q130" s="77"/>
      <c r="S130" s="49"/>
    </row>
    <row r="131" spans="2:19">
      <c r="L131" s="77"/>
      <c r="M131" s="77"/>
      <c r="N131" s="77"/>
      <c r="O131" s="77"/>
      <c r="P131" s="77"/>
      <c r="Q131" s="77"/>
      <c r="S131" s="49"/>
    </row>
    <row r="132" spans="2:19">
      <c r="B132" s="26" t="s">
        <v>165</v>
      </c>
      <c r="L132" s="77"/>
      <c r="M132" s="77"/>
      <c r="N132" s="77"/>
      <c r="O132" s="77"/>
      <c r="P132" s="77"/>
      <c r="Q132" s="77"/>
      <c r="S132" s="49"/>
    </row>
    <row r="133" spans="2:19">
      <c r="B133" s="4" t="s">
        <v>166</v>
      </c>
      <c r="F133" s="1" t="s">
        <v>140</v>
      </c>
      <c r="L133" s="76">
        <v>496.69439999999997</v>
      </c>
      <c r="M133" s="76">
        <v>371.88</v>
      </c>
      <c r="N133" s="76">
        <v>536.16</v>
      </c>
      <c r="O133" s="76">
        <v>269</v>
      </c>
      <c r="P133" s="76">
        <v>299.9203</v>
      </c>
      <c r="Q133" s="76">
        <v>517.68000000000006</v>
      </c>
      <c r="S133" s="49" t="s">
        <v>189</v>
      </c>
    </row>
    <row r="134" spans="2:19">
      <c r="B134" s="4" t="s">
        <v>167</v>
      </c>
      <c r="F134" s="1" t="s">
        <v>140</v>
      </c>
      <c r="L134" s="76">
        <v>525.24689999999998</v>
      </c>
      <c r="M134" s="76">
        <v>526.08000000000004</v>
      </c>
      <c r="N134" s="76">
        <v>560.64</v>
      </c>
      <c r="O134" s="76">
        <v>323</v>
      </c>
      <c r="P134" s="76">
        <v>585.91160000000002</v>
      </c>
      <c r="Q134" s="76">
        <v>956.64</v>
      </c>
      <c r="S134" s="49" t="s">
        <v>190</v>
      </c>
    </row>
    <row r="135" spans="2:19">
      <c r="B135" s="4" t="s">
        <v>168</v>
      </c>
      <c r="F135" s="1" t="s">
        <v>140</v>
      </c>
      <c r="L135" s="76">
        <v>525.24689999999998</v>
      </c>
      <c r="M135" s="76">
        <v>910.43</v>
      </c>
      <c r="N135" s="76">
        <v>560.76</v>
      </c>
      <c r="O135" s="76">
        <v>353</v>
      </c>
      <c r="P135" s="76">
        <v>939.49530000000004</v>
      </c>
      <c r="Q135" s="76">
        <v>956.64</v>
      </c>
      <c r="S135" s="49" t="s">
        <v>191</v>
      </c>
    </row>
    <row r="136" spans="2:19">
      <c r="L136" s="1"/>
      <c r="M136" s="1"/>
      <c r="N136" s="1"/>
      <c r="O136" s="1"/>
      <c r="P136" s="1"/>
      <c r="Q136" s="1"/>
      <c r="S136" s="49"/>
    </row>
    <row r="137" spans="2:19">
      <c r="B137" s="26" t="s">
        <v>169</v>
      </c>
      <c r="L137" s="77"/>
      <c r="M137" s="77"/>
      <c r="N137" s="77"/>
      <c r="O137" s="77"/>
      <c r="P137" s="77"/>
      <c r="Q137" s="77"/>
      <c r="S137" s="49"/>
    </row>
    <row r="138" spans="2:19">
      <c r="B138" s="4" t="s">
        <v>166</v>
      </c>
      <c r="F138" s="1" t="s">
        <v>140</v>
      </c>
      <c r="L138" s="76">
        <v>496.69439999999997</v>
      </c>
      <c r="M138" s="76">
        <v>371.88</v>
      </c>
      <c r="N138" s="76">
        <v>501.72</v>
      </c>
      <c r="O138" s="76">
        <v>269</v>
      </c>
      <c r="P138" s="76">
        <v>299.9203</v>
      </c>
      <c r="Q138" s="76">
        <v>517.68000000000006</v>
      </c>
      <c r="S138" s="49" t="s">
        <v>192</v>
      </c>
    </row>
    <row r="139" spans="2:19">
      <c r="B139" s="4" t="s">
        <v>167</v>
      </c>
      <c r="F139" s="1" t="s">
        <v>140</v>
      </c>
      <c r="L139" s="76">
        <v>525.24689999999998</v>
      </c>
      <c r="M139" s="76">
        <v>526.08000000000004</v>
      </c>
      <c r="N139" s="76">
        <v>510.36000000000007</v>
      </c>
      <c r="O139" s="76">
        <v>323</v>
      </c>
      <c r="P139" s="76">
        <v>585.91160000000002</v>
      </c>
      <c r="Q139" s="76">
        <v>956.64</v>
      </c>
      <c r="S139" s="49" t="s">
        <v>193</v>
      </c>
    </row>
    <row r="140" spans="2:19">
      <c r="B140" s="4" t="s">
        <v>168</v>
      </c>
      <c r="F140" s="1" t="s">
        <v>140</v>
      </c>
      <c r="L140" s="76">
        <v>525.24689999999998</v>
      </c>
      <c r="M140" s="76">
        <v>910.43</v>
      </c>
      <c r="N140" s="76">
        <v>510.36000000000007</v>
      </c>
      <c r="O140" s="76">
        <v>353</v>
      </c>
      <c r="P140" s="76">
        <v>939.49530000000004</v>
      </c>
      <c r="Q140" s="76">
        <v>956.64</v>
      </c>
      <c r="S140" s="49" t="s">
        <v>194</v>
      </c>
    </row>
    <row r="141" spans="2:19">
      <c r="L141" s="1"/>
      <c r="M141" s="1"/>
      <c r="N141" s="1"/>
      <c r="O141" s="1"/>
      <c r="P141" s="1"/>
      <c r="Q141" s="1"/>
      <c r="S141" s="49"/>
    </row>
    <row r="142" spans="2:19">
      <c r="B142" s="26" t="s">
        <v>170</v>
      </c>
      <c r="L142" s="77"/>
      <c r="M142" s="77"/>
      <c r="N142" s="77"/>
      <c r="O142" s="77"/>
      <c r="P142" s="77"/>
      <c r="Q142" s="77"/>
      <c r="S142" s="49"/>
    </row>
    <row r="143" spans="2:19">
      <c r="B143" s="4" t="s">
        <v>166</v>
      </c>
      <c r="F143" s="1" t="s">
        <v>140</v>
      </c>
      <c r="L143" s="76">
        <v>1766.1107999999999</v>
      </c>
      <c r="M143" s="76">
        <v>858.28</v>
      </c>
      <c r="N143" s="76">
        <v>1033.44</v>
      </c>
      <c r="O143" s="76">
        <v>1300</v>
      </c>
      <c r="P143" s="76">
        <v>835.44299999999998</v>
      </c>
      <c r="Q143" s="76">
        <v>956.64</v>
      </c>
      <c r="S143" s="49" t="s">
        <v>195</v>
      </c>
    </row>
    <row r="144" spans="2:19">
      <c r="B144" s="4" t="s">
        <v>167</v>
      </c>
      <c r="F144" s="1" t="s">
        <v>140</v>
      </c>
      <c r="L144" s="76">
        <v>1766.1107999999999</v>
      </c>
      <c r="M144" s="76">
        <v>1018.15</v>
      </c>
      <c r="N144" s="76">
        <v>1041.1200000000001</v>
      </c>
      <c r="O144" s="76">
        <v>1300</v>
      </c>
      <c r="P144" s="76">
        <v>882.39049999999997</v>
      </c>
      <c r="Q144" s="76">
        <v>956.64</v>
      </c>
      <c r="S144" s="49" t="s">
        <v>196</v>
      </c>
    </row>
    <row r="145" spans="2:19">
      <c r="B145" s="4" t="s">
        <v>171</v>
      </c>
      <c r="F145" s="1" t="s">
        <v>140</v>
      </c>
      <c r="L145" s="76">
        <v>1766.1107999999999</v>
      </c>
      <c r="M145" s="76">
        <v>1149.6600000000001</v>
      </c>
      <c r="N145" s="76">
        <v>1046.4000000000001</v>
      </c>
      <c r="O145" s="76">
        <v>1300</v>
      </c>
      <c r="P145" s="76">
        <v>939.49530000000004</v>
      </c>
      <c r="Q145" s="76">
        <v>956.64</v>
      </c>
      <c r="S145" s="49" t="s">
        <v>197</v>
      </c>
    </row>
    <row r="146" spans="2:19">
      <c r="L146" s="1"/>
      <c r="M146" s="1"/>
      <c r="N146" s="1"/>
      <c r="O146" s="1"/>
      <c r="P146" s="1"/>
      <c r="Q146" s="1"/>
      <c r="S146" s="49"/>
    </row>
    <row r="147" spans="2:19">
      <c r="B147" s="26" t="s">
        <v>172</v>
      </c>
      <c r="L147" s="77"/>
      <c r="M147" s="77"/>
      <c r="N147" s="77"/>
      <c r="O147" s="77"/>
      <c r="P147" s="77"/>
      <c r="Q147" s="77"/>
      <c r="S147" s="49"/>
    </row>
    <row r="148" spans="2:19">
      <c r="B148" s="4" t="s">
        <v>166</v>
      </c>
      <c r="F148" s="1" t="s">
        <v>140</v>
      </c>
      <c r="L148" s="76">
        <v>1766.1107999999999</v>
      </c>
      <c r="M148" s="76">
        <v>696.15</v>
      </c>
      <c r="N148" s="76">
        <v>878.4</v>
      </c>
      <c r="O148" s="76">
        <v>1300</v>
      </c>
      <c r="P148" s="76">
        <v>835.44299999999998</v>
      </c>
      <c r="Q148" s="76">
        <v>956.64</v>
      </c>
      <c r="S148" s="49" t="s">
        <v>198</v>
      </c>
    </row>
    <row r="149" spans="2:19">
      <c r="B149" s="4" t="s">
        <v>167</v>
      </c>
      <c r="F149" s="1" t="s">
        <v>140</v>
      </c>
      <c r="L149" s="76">
        <v>1766.1107999999999</v>
      </c>
      <c r="M149" s="76">
        <v>741.5</v>
      </c>
      <c r="N149" s="76">
        <v>908.51999999999987</v>
      </c>
      <c r="O149" s="76">
        <v>1300</v>
      </c>
      <c r="P149" s="76">
        <v>882.39049999999997</v>
      </c>
      <c r="Q149" s="76">
        <v>956.64</v>
      </c>
      <c r="S149" s="49" t="s">
        <v>199</v>
      </c>
    </row>
    <row r="150" spans="2:19">
      <c r="B150" s="4" t="s">
        <v>171</v>
      </c>
      <c r="F150" s="1" t="s">
        <v>140</v>
      </c>
      <c r="L150" s="76">
        <v>1766.1107999999999</v>
      </c>
      <c r="M150" s="76">
        <v>795.92</v>
      </c>
      <c r="N150" s="76">
        <v>925.92</v>
      </c>
      <c r="O150" s="76">
        <v>1300</v>
      </c>
      <c r="P150" s="76">
        <v>939.49530000000004</v>
      </c>
      <c r="Q150" s="76">
        <v>956.64</v>
      </c>
      <c r="S150" s="49" t="s">
        <v>200</v>
      </c>
    </row>
    <row r="151" spans="2:19">
      <c r="L151" s="1"/>
      <c r="M151" s="1"/>
      <c r="N151" s="1"/>
      <c r="O151" s="1"/>
      <c r="P151" s="1"/>
      <c r="Q151" s="1"/>
    </row>
    <row r="152" spans="2:19" s="59" customFormat="1">
      <c r="B152" s="59" t="s">
        <v>150</v>
      </c>
    </row>
    <row r="154" spans="2:19">
      <c r="B154" s="50" t="s">
        <v>201</v>
      </c>
    </row>
    <row r="155" spans="2:19">
      <c r="B155" s="4" t="s">
        <v>87</v>
      </c>
      <c r="F155" s="49" t="s">
        <v>215</v>
      </c>
      <c r="L155" s="79">
        <v>-734.22227913739982</v>
      </c>
      <c r="M155" s="79">
        <v>-42441.57922256949</v>
      </c>
      <c r="N155" s="79">
        <v>30577515.694479015</v>
      </c>
      <c r="O155" s="79">
        <v>-2231327.2990524406</v>
      </c>
      <c r="P155" s="79">
        <v>6288737.5692573711</v>
      </c>
      <c r="Q155" s="79">
        <v>21912.822596204915</v>
      </c>
      <c r="S155" s="49" t="s">
        <v>204</v>
      </c>
    </row>
    <row r="156" spans="2:19">
      <c r="B156" s="4" t="s">
        <v>202</v>
      </c>
      <c r="F156" s="49" t="s">
        <v>215</v>
      </c>
      <c r="L156" s="78"/>
      <c r="M156" s="78"/>
      <c r="N156" s="78"/>
      <c r="O156" s="79">
        <v>2025312.9885951495</v>
      </c>
      <c r="P156" s="78"/>
      <c r="Q156" s="78"/>
      <c r="S156" s="49" t="s">
        <v>205</v>
      </c>
    </row>
    <row r="157" spans="2:19">
      <c r="B157" s="4" t="s">
        <v>203</v>
      </c>
      <c r="F157" s="49" t="s">
        <v>215</v>
      </c>
      <c r="L157" s="79">
        <v>540.271254</v>
      </c>
      <c r="M157" s="79">
        <v>271983.57465480635</v>
      </c>
      <c r="N157" s="79">
        <v>66100.233000000007</v>
      </c>
      <c r="O157" s="79">
        <v>16726.26498</v>
      </c>
      <c r="P157" s="79">
        <v>15962.135083644107</v>
      </c>
      <c r="Q157" s="79">
        <v>0</v>
      </c>
      <c r="S157" s="49" t="s">
        <v>206</v>
      </c>
    </row>
  </sheetData>
  <phoneticPr fontId="75"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1FFE1"/>
  </sheetPr>
  <dimension ref="B2:S29"/>
  <sheetViews>
    <sheetView showGridLines="0" zoomScale="85" zoomScaleNormal="85" workbookViewId="0">
      <pane xSplit="4" ySplit="8" topLeftCell="E9" activePane="bottomRight" state="frozen"/>
      <selection activeCell="R6" sqref="R6"/>
      <selection pane="topRight" activeCell="R6" sqref="R6"/>
      <selection pane="bottomLeft" activeCell="R6" sqref="R6"/>
      <selection pane="bottomRight" activeCell="E9" sqref="E9"/>
    </sheetView>
  </sheetViews>
  <sheetFormatPr defaultColWidth="9.140625" defaultRowHeight="12.75"/>
  <cols>
    <col min="1" max="1" width="4.7109375" style="4" customWidth="1"/>
    <col min="2" max="2" width="41.42578125" style="4" customWidth="1"/>
    <col min="3" max="3" width="4.5703125" style="4" customWidth="1"/>
    <col min="4" max="4" width="13.7109375" style="4" customWidth="1"/>
    <col min="5" max="5" width="2.7109375" style="4" customWidth="1"/>
    <col min="6" max="6" width="10.28515625" style="4" customWidth="1"/>
    <col min="7" max="7" width="2.7109375" style="4" customWidth="1"/>
    <col min="8" max="8" width="13.7109375" style="4" customWidth="1"/>
    <col min="9" max="9" width="2.7109375" style="4" customWidth="1"/>
    <col min="10" max="11" width="12.5703125" style="4" customWidth="1"/>
    <col min="12" max="13" width="14" style="4" bestFit="1" customWidth="1"/>
    <col min="14" max="14" width="12.5703125" style="4" customWidth="1"/>
    <col min="15" max="15" width="14" style="4" bestFit="1" customWidth="1"/>
    <col min="16" max="16" width="4.42578125" style="4" customWidth="1"/>
    <col min="17" max="17" width="81.42578125" style="4" bestFit="1" customWidth="1"/>
    <col min="18" max="18" width="2.7109375" style="4" customWidth="1"/>
    <col min="19" max="19" width="13.7109375" style="4" customWidth="1"/>
    <col min="20" max="20" width="2.7109375" style="4" customWidth="1"/>
    <col min="21" max="35" width="13.7109375" style="4" customWidth="1"/>
    <col min="36" max="16384" width="9.140625" style="4"/>
  </cols>
  <sheetData>
    <row r="2" spans="2:19" s="19" customFormat="1" ht="18">
      <c r="B2" s="19" t="s">
        <v>93</v>
      </c>
    </row>
    <row r="4" spans="2:19">
      <c r="B4" s="26" t="s">
        <v>28</v>
      </c>
      <c r="J4"/>
    </row>
    <row r="5" spans="2:19">
      <c r="B5" s="4" t="s">
        <v>95</v>
      </c>
      <c r="F5" s="20"/>
    </row>
    <row r="7" spans="2:19" s="10" customFormat="1">
      <c r="B7" s="10" t="s">
        <v>81</v>
      </c>
      <c r="D7" s="10" t="s">
        <v>26</v>
      </c>
      <c r="F7" s="10" t="s">
        <v>27</v>
      </c>
      <c r="H7" s="10" t="s">
        <v>46</v>
      </c>
      <c r="J7" s="10" t="s">
        <v>77</v>
      </c>
      <c r="K7" s="10" t="s">
        <v>68</v>
      </c>
      <c r="L7" s="10" t="s">
        <v>69</v>
      </c>
      <c r="M7" s="10" t="s">
        <v>70</v>
      </c>
      <c r="N7" s="10" t="s">
        <v>71</v>
      </c>
      <c r="O7" s="10" t="s">
        <v>72</v>
      </c>
      <c r="Q7" s="10" t="s">
        <v>44</v>
      </c>
      <c r="S7" s="10" t="s">
        <v>45</v>
      </c>
    </row>
    <row r="10" spans="2:19" s="10" customFormat="1">
      <c r="B10" s="10" t="s">
        <v>82</v>
      </c>
    </row>
    <row r="12" spans="2:19">
      <c r="B12" s="3" t="s">
        <v>101</v>
      </c>
    </row>
    <row r="13" spans="2:19">
      <c r="B13" s="4" t="s">
        <v>102</v>
      </c>
      <c r="D13" s="4" t="s">
        <v>88</v>
      </c>
      <c r="H13" s="37">
        <f>SUM(J13:O13)</f>
        <v>129849382.97241102</v>
      </c>
      <c r="J13" s="62">
        <v>2554734.604290484</v>
      </c>
      <c r="K13" s="62">
        <v>41079512.423977166</v>
      </c>
      <c r="L13" s="62">
        <v>45433817.773542456</v>
      </c>
      <c r="M13" s="62">
        <v>1881797.550325311</v>
      </c>
      <c r="N13" s="62">
        <v>37928133.117229462</v>
      </c>
      <c r="O13" s="62">
        <v>971387.50304613705</v>
      </c>
      <c r="Q13" s="4" t="s">
        <v>282</v>
      </c>
    </row>
    <row r="14" spans="2:19">
      <c r="B14" s="4" t="s">
        <v>103</v>
      </c>
      <c r="D14" s="4" t="s">
        <v>88</v>
      </c>
      <c r="H14" s="37">
        <f>SUM(J14:O14)</f>
        <v>587851817.70302582</v>
      </c>
      <c r="J14" s="62">
        <v>12185277.353265738</v>
      </c>
      <c r="K14" s="62">
        <v>190848207.72587556</v>
      </c>
      <c r="L14" s="62">
        <v>205073061.54879338</v>
      </c>
      <c r="M14" s="62">
        <v>8868052.1266385056</v>
      </c>
      <c r="N14" s="62">
        <v>166469912.3538453</v>
      </c>
      <c r="O14" s="62">
        <v>4407306.594607343</v>
      </c>
      <c r="Q14" s="4" t="s">
        <v>283</v>
      </c>
    </row>
    <row r="16" spans="2:19">
      <c r="B16" s="3" t="s">
        <v>104</v>
      </c>
    </row>
    <row r="17" spans="2:17">
      <c r="B17" s="4" t="s">
        <v>102</v>
      </c>
      <c r="D17" s="4" t="s">
        <v>88</v>
      </c>
      <c r="H17" s="37">
        <f>SUM(J17:O17)</f>
        <v>464624.66513092176</v>
      </c>
      <c r="J17" s="62">
        <v>8676</v>
      </c>
      <c r="K17" s="62">
        <v>147112.09593638417</v>
      </c>
      <c r="L17" s="62">
        <v>159593.95999999996</v>
      </c>
      <c r="M17" s="62">
        <v>5647.0199999999995</v>
      </c>
      <c r="N17" s="62">
        <v>132652.91919453762</v>
      </c>
      <c r="O17" s="62">
        <v>10942.669999999998</v>
      </c>
      <c r="Q17" s="4" t="s">
        <v>284</v>
      </c>
    </row>
    <row r="18" spans="2:17">
      <c r="B18" s="4" t="s">
        <v>103</v>
      </c>
      <c r="D18" s="4" t="s">
        <v>88</v>
      </c>
      <c r="H18" s="37">
        <f>SUM(J18:O18)</f>
        <v>47492368.85233108</v>
      </c>
      <c r="J18" s="62">
        <v>854968.13062162115</v>
      </c>
      <c r="K18" s="62">
        <v>15044202.177976951</v>
      </c>
      <c r="L18" s="62">
        <v>15563741.524223451</v>
      </c>
      <c r="M18" s="62">
        <v>535304.01464878686</v>
      </c>
      <c r="N18" s="62">
        <v>14075241.548034588</v>
      </c>
      <c r="O18" s="62">
        <v>1418911.4568256789</v>
      </c>
      <c r="Q18" s="4" t="s">
        <v>285</v>
      </c>
    </row>
    <row r="20" spans="2:17">
      <c r="B20" s="3" t="s">
        <v>105</v>
      </c>
    </row>
    <row r="21" spans="2:17">
      <c r="B21" s="4" t="s">
        <v>102</v>
      </c>
      <c r="D21" s="4" t="s">
        <v>88</v>
      </c>
      <c r="H21" s="37">
        <f>SUM(J21:O21)</f>
        <v>6540558.2664067056</v>
      </c>
      <c r="J21" s="62">
        <v>88678.780003563865</v>
      </c>
      <c r="K21" s="62">
        <v>1979597.8922038693</v>
      </c>
      <c r="L21" s="62">
        <v>2153967.7106551034</v>
      </c>
      <c r="M21" s="62">
        <v>65745.849660170323</v>
      </c>
      <c r="N21" s="62">
        <v>1629756.7629277324</v>
      </c>
      <c r="O21" s="62">
        <v>622811.27095626714</v>
      </c>
      <c r="Q21" s="4" t="s">
        <v>286</v>
      </c>
    </row>
    <row r="22" spans="2:17">
      <c r="B22" s="4" t="s">
        <v>109</v>
      </c>
      <c r="D22" s="4" t="s">
        <v>88</v>
      </c>
      <c r="H22" s="37">
        <f>SUM(J22:O22)</f>
        <v>56973574.961649559</v>
      </c>
      <c r="J22" s="62">
        <v>685857.05333743396</v>
      </c>
      <c r="K22" s="62">
        <v>17210493.58361692</v>
      </c>
      <c r="L22" s="62">
        <v>16868995.536006317</v>
      </c>
      <c r="M22" s="62">
        <v>604162.26419421984</v>
      </c>
      <c r="N22" s="62">
        <v>14819072.993156483</v>
      </c>
      <c r="O22" s="62">
        <v>6784993.5313381851</v>
      </c>
      <c r="Q22" s="4" t="s">
        <v>287</v>
      </c>
    </row>
    <row r="24" spans="2:17">
      <c r="B24" s="3" t="s">
        <v>151</v>
      </c>
    </row>
    <row r="25" spans="2:17">
      <c r="B25" s="4" t="s">
        <v>101</v>
      </c>
      <c r="D25" s="4" t="s">
        <v>88</v>
      </c>
      <c r="H25" s="37">
        <f>SUM(J25:O25)</f>
        <v>651.07713622883091</v>
      </c>
      <c r="J25" s="62">
        <v>0</v>
      </c>
      <c r="K25" s="62">
        <v>0</v>
      </c>
      <c r="L25" s="62">
        <v>0</v>
      </c>
      <c r="M25" s="62">
        <v>0</v>
      </c>
      <c r="N25" s="62">
        <v>651.07713622883091</v>
      </c>
      <c r="O25" s="62">
        <v>0</v>
      </c>
      <c r="Q25" s="4" t="s">
        <v>288</v>
      </c>
    </row>
    <row r="26" spans="2:17">
      <c r="B26" s="69" t="s">
        <v>152</v>
      </c>
      <c r="D26" s="4" t="s">
        <v>88</v>
      </c>
      <c r="H26" s="37">
        <f>SUM(J26:O26)</f>
        <v>604.55345364425955</v>
      </c>
      <c r="J26" s="62">
        <v>0</v>
      </c>
      <c r="K26" s="62">
        <v>0</v>
      </c>
      <c r="L26" s="62">
        <v>604.55345364425955</v>
      </c>
      <c r="M26" s="62">
        <v>0</v>
      </c>
      <c r="N26" s="62">
        <v>0</v>
      </c>
      <c r="O26" s="62">
        <v>0</v>
      </c>
      <c r="Q26" s="4" t="s">
        <v>289</v>
      </c>
    </row>
    <row r="27" spans="2:17">
      <c r="B27" s="4" t="s">
        <v>105</v>
      </c>
      <c r="D27" s="4" t="s">
        <v>88</v>
      </c>
      <c r="H27" s="37">
        <f>SUM(J27:O27)</f>
        <v>621764.19938183075</v>
      </c>
      <c r="J27" s="62">
        <v>23488.572866835329</v>
      </c>
      <c r="K27" s="62">
        <v>221797.57321635698</v>
      </c>
      <c r="L27" s="62">
        <v>201805.50042260459</v>
      </c>
      <c r="M27" s="62">
        <v>79530.199027295937</v>
      </c>
      <c r="N27" s="62">
        <v>82723.867894163632</v>
      </c>
      <c r="O27" s="62">
        <v>12418.48595457436</v>
      </c>
      <c r="Q27" s="4" t="s">
        <v>290</v>
      </c>
    </row>
    <row r="29" spans="2:17">
      <c r="B29" s="3" t="s">
        <v>153</v>
      </c>
      <c r="D29" s="4" t="s">
        <v>88</v>
      </c>
      <c r="H29" s="37">
        <f>SUM(J29:O29)</f>
        <v>829795347.25092673</v>
      </c>
      <c r="J29" s="70">
        <f>SUM(J13:J14,J17:J18,J21:J22,J25:J27)</f>
        <v>16401680.494385676</v>
      </c>
      <c r="K29" s="70">
        <f t="shared" ref="K29:O29" si="0">SUM(K13:K14,K17:K18,K21:K22,K25:K27)</f>
        <v>266530923.47280321</v>
      </c>
      <c r="L29" s="70">
        <f t="shared" si="0"/>
        <v>285455588.10709691</v>
      </c>
      <c r="M29" s="70">
        <f t="shared" si="0"/>
        <v>12040239.024494292</v>
      </c>
      <c r="N29" s="70">
        <f t="shared" si="0"/>
        <v>235138144.63941851</v>
      </c>
      <c r="O29" s="70">
        <f t="shared" si="0"/>
        <v>14228771.512728186</v>
      </c>
      <c r="Q29" s="4" t="s">
        <v>291</v>
      </c>
    </row>
  </sheetData>
  <phoneticPr fontId="75" type="noConversion"/>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1FFE1"/>
  </sheetPr>
  <dimension ref="B2:X26"/>
  <sheetViews>
    <sheetView showGridLines="0" zoomScale="85" zoomScaleNormal="85" workbookViewId="0">
      <pane xSplit="6" ySplit="9" topLeftCell="G10" activePane="bottomRight" state="frozen"/>
      <selection activeCell="R6" sqref="R6"/>
      <selection pane="topRight" activeCell="R6" sqref="R6"/>
      <selection pane="bottomLeft" activeCell="R6" sqref="R6"/>
      <selection pane="bottomRight" activeCell="G10" sqref="G10"/>
    </sheetView>
  </sheetViews>
  <sheetFormatPr defaultColWidth="9.140625" defaultRowHeight="12.75"/>
  <cols>
    <col min="1" max="1" width="4.7109375" style="4" customWidth="1"/>
    <col min="2" max="2" width="41.42578125" style="4" customWidth="1"/>
    <col min="3" max="3" width="4.7109375" style="4" customWidth="1"/>
    <col min="4" max="5" width="4.5703125" style="4" customWidth="1"/>
    <col min="6" max="6" width="13.7109375" style="4" customWidth="1"/>
    <col min="7" max="7" width="2.7109375" style="4" customWidth="1"/>
    <col min="8" max="8" width="13.7109375" style="4" customWidth="1"/>
    <col min="9" max="9" width="2.7109375" style="4" customWidth="1"/>
    <col min="10" max="10" width="15" style="4" bestFit="1" customWidth="1"/>
    <col min="11" max="11" width="2.7109375" style="4" customWidth="1"/>
    <col min="12" max="12" width="12.5703125" style="4" customWidth="1"/>
    <col min="13" max="17" width="14" style="4" bestFit="1" customWidth="1"/>
    <col min="18" max="18" width="4.42578125" style="4" customWidth="1"/>
    <col min="19" max="19" width="81.7109375" style="4" bestFit="1" customWidth="1"/>
    <col min="20" max="20" width="2.85546875" style="4" customWidth="1"/>
    <col min="21" max="21" width="13.7109375" style="4" customWidth="1"/>
    <col min="22" max="22" width="2.7109375" style="4" customWidth="1"/>
    <col min="23" max="37" width="13.7109375" style="4" customWidth="1"/>
    <col min="38" max="16384" width="9.140625" style="4"/>
  </cols>
  <sheetData>
    <row r="2" spans="2:24" s="19" customFormat="1" ht="18">
      <c r="B2" s="19" t="s">
        <v>81</v>
      </c>
    </row>
    <row r="4" spans="2:24">
      <c r="B4" s="26" t="s">
        <v>28</v>
      </c>
      <c r="C4" s="3"/>
      <c r="D4" s="3"/>
      <c r="L4"/>
    </row>
    <row r="5" spans="2:24">
      <c r="B5" s="4" t="s">
        <v>73</v>
      </c>
      <c r="C5" s="5"/>
      <c r="D5" s="5"/>
      <c r="H5" s="20"/>
    </row>
    <row r="6" spans="2:24">
      <c r="B6" s="4" t="s">
        <v>250</v>
      </c>
      <c r="C6" s="5"/>
      <c r="D6" s="5"/>
      <c r="H6" s="20"/>
    </row>
    <row r="8" spans="2:24" s="10" customFormat="1">
      <c r="F8" s="10" t="s">
        <v>26</v>
      </c>
      <c r="H8" s="10" t="s">
        <v>27</v>
      </c>
      <c r="J8" s="10" t="s">
        <v>46</v>
      </c>
      <c r="L8" s="10" t="s">
        <v>77</v>
      </c>
      <c r="M8" s="10" t="s">
        <v>68</v>
      </c>
      <c r="N8" s="10" t="s">
        <v>69</v>
      </c>
      <c r="O8" s="10" t="s">
        <v>70</v>
      </c>
      <c r="P8" s="10" t="s">
        <v>71</v>
      </c>
      <c r="Q8" s="10" t="s">
        <v>72</v>
      </c>
      <c r="S8" s="10" t="s">
        <v>44</v>
      </c>
      <c r="U8" s="10" t="s">
        <v>45</v>
      </c>
    </row>
    <row r="11" spans="2:24" s="56" customFormat="1">
      <c r="B11" s="10" t="s">
        <v>100</v>
      </c>
    </row>
    <row r="12" spans="2:24">
      <c r="S12" s="42"/>
    </row>
    <row r="13" spans="2:24">
      <c r="B13" s="3" t="s">
        <v>101</v>
      </c>
    </row>
    <row r="14" spans="2:24">
      <c r="B14" s="4" t="s">
        <v>102</v>
      </c>
      <c r="F14" s="4" t="s">
        <v>88</v>
      </c>
      <c r="J14" s="37">
        <f>SUM(L14:Q14)</f>
        <v>7214625.9451234872</v>
      </c>
      <c r="L14" s="31">
        <v>141944.87595628412</v>
      </c>
      <c r="M14" s="63">
        <v>2282439.1565265926</v>
      </c>
      <c r="N14" s="63">
        <v>2524370.8748670518</v>
      </c>
      <c r="O14" s="63">
        <v>104555.48666666665</v>
      </c>
      <c r="P14" s="64">
        <v>2107343.808447673</v>
      </c>
      <c r="Q14" s="63">
        <v>53971.742659219308</v>
      </c>
      <c r="S14" s="4" t="s">
        <v>292</v>
      </c>
      <c r="X14" s="6"/>
    </row>
    <row r="15" spans="2:24">
      <c r="B15" s="4" t="s">
        <v>103</v>
      </c>
      <c r="F15" s="4" t="s">
        <v>88</v>
      </c>
      <c r="J15" s="37">
        <f>SUM(L15:Q15)</f>
        <v>22572280.033821385</v>
      </c>
      <c r="L15" s="63">
        <v>467889.15918032784</v>
      </c>
      <c r="M15" s="63">
        <v>7328171.9287251653</v>
      </c>
      <c r="N15" s="63">
        <v>7874376.5576156462</v>
      </c>
      <c r="O15" s="63">
        <v>340514.64999999997</v>
      </c>
      <c r="P15" s="64">
        <v>6392096.3850025656</v>
      </c>
      <c r="Q15" s="63">
        <v>169231.35329768088</v>
      </c>
      <c r="S15" s="4" t="s">
        <v>293</v>
      </c>
    </row>
    <row r="17" spans="2:24">
      <c r="B17" s="3" t="s">
        <v>104</v>
      </c>
    </row>
    <row r="18" spans="2:24">
      <c r="B18" s="4" t="s">
        <v>102</v>
      </c>
      <c r="F18" s="4" t="s">
        <v>88</v>
      </c>
      <c r="J18" s="37">
        <f>SUM(L18:Q18)</f>
        <v>25812.481396162319</v>
      </c>
      <c r="L18" s="63">
        <v>482</v>
      </c>
      <c r="M18" s="63">
        <v>8172.8942186880095</v>
      </c>
      <c r="N18" s="63">
        <v>8866.3311111111088</v>
      </c>
      <c r="O18" s="63">
        <v>313.7233333333333</v>
      </c>
      <c r="P18" s="64">
        <v>7369.606621918756</v>
      </c>
      <c r="Q18" s="63">
        <v>607.92611111111103</v>
      </c>
      <c r="S18" s="4" t="s">
        <v>294</v>
      </c>
      <c r="X18" s="6"/>
    </row>
    <row r="19" spans="2:24">
      <c r="B19" s="4" t="s">
        <v>103</v>
      </c>
      <c r="F19" s="4" t="s">
        <v>88</v>
      </c>
      <c r="J19" s="37">
        <f>SUM(L19:Q19)</f>
        <v>1833014.5441086765</v>
      </c>
      <c r="L19" s="63">
        <v>32998.333333333336</v>
      </c>
      <c r="M19" s="63">
        <v>580645.73452814098</v>
      </c>
      <c r="N19" s="63">
        <v>600697.86502657167</v>
      </c>
      <c r="O19" s="63">
        <v>20660.583333333332</v>
      </c>
      <c r="P19" s="64">
        <v>543247.74890911288</v>
      </c>
      <c r="Q19" s="63">
        <v>54764.278978184528</v>
      </c>
      <c r="S19" s="4" t="s">
        <v>295</v>
      </c>
    </row>
    <row r="21" spans="2:24">
      <c r="B21" s="3" t="s">
        <v>105</v>
      </c>
    </row>
    <row r="22" spans="2:24">
      <c r="B22" s="4" t="s">
        <v>102</v>
      </c>
      <c r="F22" s="4" t="s">
        <v>88</v>
      </c>
      <c r="J22" s="37">
        <f>SUM(L22:Q22)</f>
        <v>8752.3333945550876</v>
      </c>
      <c r="L22" s="63">
        <v>118.66666666666667</v>
      </c>
      <c r="M22" s="63">
        <v>2649.0247520179205</v>
      </c>
      <c r="N22" s="63">
        <v>2882.3599999999992</v>
      </c>
      <c r="O22" s="63">
        <v>87.978666666666683</v>
      </c>
      <c r="P22" s="64">
        <v>2180.8802796601235</v>
      </c>
      <c r="Q22" s="63">
        <v>833.42302954371007</v>
      </c>
      <c r="S22" s="4" t="s">
        <v>296</v>
      </c>
      <c r="X22" s="6"/>
    </row>
    <row r="23" spans="2:24">
      <c r="B23" s="4" t="s">
        <v>106</v>
      </c>
      <c r="F23" s="4" t="s">
        <v>88</v>
      </c>
      <c r="J23" s="37">
        <f>SUM(L23:Q23)</f>
        <v>613827.3168529222</v>
      </c>
      <c r="L23" s="63">
        <v>24297.111111111109</v>
      </c>
      <c r="M23" s="63">
        <v>0</v>
      </c>
      <c r="N23" s="63">
        <v>498818.40444444446</v>
      </c>
      <c r="O23" s="63">
        <v>24627.766666666663</v>
      </c>
      <c r="P23" s="64">
        <v>66084.034630699898</v>
      </c>
      <c r="Q23" s="63">
        <v>0</v>
      </c>
      <c r="S23" s="4" t="s">
        <v>297</v>
      </c>
    </row>
    <row r="24" spans="2:24">
      <c r="B24" s="4" t="s">
        <v>107</v>
      </c>
      <c r="F24" s="4" t="s">
        <v>88</v>
      </c>
      <c r="J24" s="37">
        <f>SUM(L24:Q24)</f>
        <v>289588.52238278743</v>
      </c>
      <c r="L24" s="63">
        <v>6927</v>
      </c>
      <c r="M24" s="63">
        <v>0</v>
      </c>
      <c r="N24" s="63">
        <v>269154.14666666667</v>
      </c>
      <c r="O24" s="63">
        <v>2877.1333333333337</v>
      </c>
      <c r="P24" s="64">
        <v>10630.242382787381</v>
      </c>
      <c r="Q24" s="63">
        <v>0</v>
      </c>
      <c r="S24" s="4" t="s">
        <v>298</v>
      </c>
    </row>
    <row r="25" spans="2:24">
      <c r="B25" s="4" t="s">
        <v>108</v>
      </c>
      <c r="F25" s="4" t="s">
        <v>88</v>
      </c>
      <c r="J25" s="37">
        <f>SUM(L25:Q25)</f>
        <v>1690345.1002242814</v>
      </c>
      <c r="L25" s="63">
        <v>0</v>
      </c>
      <c r="M25" s="63">
        <v>783519.48312986642</v>
      </c>
      <c r="N25" s="63">
        <v>0</v>
      </c>
      <c r="O25" s="63">
        <v>0</v>
      </c>
      <c r="P25" s="64">
        <v>597934.14928815875</v>
      </c>
      <c r="Q25" s="63">
        <v>308891.46780625609</v>
      </c>
      <c r="S25" s="4" t="s">
        <v>299</v>
      </c>
    </row>
    <row r="26" spans="2:24">
      <c r="B26" s="4" t="s">
        <v>109</v>
      </c>
      <c r="F26" s="4" t="s">
        <v>88</v>
      </c>
      <c r="J26" s="37">
        <f>SUM(L26:Q26)</f>
        <v>2593760.9394599902</v>
      </c>
      <c r="L26" s="63">
        <v>31224.111111111109</v>
      </c>
      <c r="M26" s="63">
        <v>783519.48312986642</v>
      </c>
      <c r="N26" s="63">
        <v>767972.55111111107</v>
      </c>
      <c r="O26" s="63">
        <v>27504.899999999998</v>
      </c>
      <c r="P26" s="64">
        <v>674648.42630164605</v>
      </c>
      <c r="Q26" s="63">
        <v>308891.46780625609</v>
      </c>
      <c r="S26" s="4" t="s">
        <v>300</v>
      </c>
    </row>
  </sheetData>
  <phoneticPr fontId="75" type="noConversion"/>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1FFE1"/>
  </sheetPr>
  <dimension ref="B2:U46"/>
  <sheetViews>
    <sheetView showGridLines="0" zoomScale="85" zoomScaleNormal="85" workbookViewId="0">
      <pane xSplit="6" ySplit="9" topLeftCell="G10" activePane="bottomRight" state="frozen"/>
      <selection activeCell="R6" sqref="R6"/>
      <selection pane="topRight" activeCell="R6" sqref="R6"/>
      <selection pane="bottomLeft" activeCell="R6" sqref="R6"/>
      <selection pane="bottomRight" activeCell="G10" sqref="G10"/>
    </sheetView>
  </sheetViews>
  <sheetFormatPr defaultColWidth="9.140625" defaultRowHeight="12.75"/>
  <cols>
    <col min="1" max="1" width="4.7109375" style="4" customWidth="1"/>
    <col min="2" max="2" width="41.42578125" style="4" customWidth="1"/>
    <col min="3" max="3" width="4.7109375" style="4" customWidth="1"/>
    <col min="4" max="4" width="4.5703125" style="4" customWidth="1"/>
    <col min="5" max="5" width="4.5703125" style="4" hidden="1" customWidth="1"/>
    <col min="6" max="6" width="9.28515625" style="4" customWidth="1"/>
    <col min="7" max="7" width="2.7109375" style="4" customWidth="1"/>
    <col min="8" max="8" width="10" style="4" customWidth="1"/>
    <col min="9" max="9" width="2.7109375" style="4" customWidth="1"/>
    <col min="10" max="10" width="12.5703125" style="4" customWidth="1"/>
    <col min="11" max="11" width="2.7109375" style="4" customWidth="1"/>
    <col min="12" max="12" width="12.5703125" style="4" customWidth="1"/>
    <col min="13" max="14" width="15" style="4" bestFit="1" customWidth="1"/>
    <col min="15" max="15" width="12.5703125" style="4" customWidth="1"/>
    <col min="16" max="16" width="15" style="4" bestFit="1" customWidth="1"/>
    <col min="17" max="17" width="12.5703125" style="4" customWidth="1"/>
    <col min="18" max="18" width="2.7109375" style="4" customWidth="1"/>
    <col min="19" max="19" width="81.140625" style="4" bestFit="1" customWidth="1"/>
    <col min="20" max="20" width="2.7109375" style="4" customWidth="1"/>
    <col min="21" max="21" width="13.7109375" style="4" customWidth="1"/>
    <col min="22" max="22" width="2.7109375" style="4" customWidth="1"/>
    <col min="23" max="37" width="13.7109375" style="4" customWidth="1"/>
    <col min="38" max="16384" width="9.140625" style="4"/>
  </cols>
  <sheetData>
    <row r="2" spans="2:21" s="19" customFormat="1" ht="18">
      <c r="B2" s="19" t="s">
        <v>92</v>
      </c>
    </row>
    <row r="4" spans="2:21">
      <c r="B4" s="26" t="s">
        <v>28</v>
      </c>
      <c r="C4" s="3"/>
      <c r="D4" s="3"/>
      <c r="L4"/>
    </row>
    <row r="5" spans="2:21">
      <c r="B5" s="4" t="s">
        <v>260</v>
      </c>
      <c r="C5" s="5"/>
      <c r="D5" s="5"/>
      <c r="H5" s="20"/>
    </row>
    <row r="6" spans="2:21">
      <c r="B6" s="4" t="s">
        <v>261</v>
      </c>
      <c r="C6" s="5"/>
      <c r="D6" s="5"/>
      <c r="H6" s="20"/>
    </row>
    <row r="8" spans="2:21" s="10" customFormat="1">
      <c r="F8" s="10" t="s">
        <v>26</v>
      </c>
      <c r="H8" s="10" t="s">
        <v>27</v>
      </c>
      <c r="J8" s="10" t="s">
        <v>46</v>
      </c>
      <c r="L8" s="10" t="s">
        <v>77</v>
      </c>
      <c r="M8" s="10" t="s">
        <v>68</v>
      </c>
      <c r="N8" s="10" t="s">
        <v>69</v>
      </c>
      <c r="O8" s="10" t="s">
        <v>70</v>
      </c>
      <c r="P8" s="10" t="s">
        <v>71</v>
      </c>
      <c r="Q8" s="10" t="s">
        <v>72</v>
      </c>
      <c r="S8" s="10" t="s">
        <v>44</v>
      </c>
      <c r="U8" s="10" t="s">
        <v>45</v>
      </c>
    </row>
    <row r="11" spans="2:21" s="10" customFormat="1">
      <c r="B11" s="10" t="s">
        <v>96</v>
      </c>
    </row>
    <row r="13" spans="2:21">
      <c r="B13" s="4" t="s">
        <v>101</v>
      </c>
      <c r="F13" s="4" t="s">
        <v>88</v>
      </c>
      <c r="J13" s="74">
        <f>SUM(L13:Q13)</f>
        <v>25</v>
      </c>
      <c r="L13" s="89">
        <v>0</v>
      </c>
      <c r="M13" s="89">
        <v>0</v>
      </c>
      <c r="N13" s="89">
        <v>0</v>
      </c>
      <c r="O13" s="89">
        <v>0</v>
      </c>
      <c r="P13" s="64">
        <v>25</v>
      </c>
      <c r="Q13" s="89">
        <v>0</v>
      </c>
      <c r="S13" s="4" t="s">
        <v>301</v>
      </c>
    </row>
    <row r="14" spans="2:21">
      <c r="B14" s="4" t="s">
        <v>104</v>
      </c>
      <c r="F14" s="4" t="s">
        <v>88</v>
      </c>
      <c r="J14" s="74">
        <f t="shared" ref="J14:J15" si="0">SUM(L14:Q14)</f>
        <v>23.333333333333332</v>
      </c>
      <c r="L14" s="89">
        <v>0</v>
      </c>
      <c r="M14" s="89">
        <v>0</v>
      </c>
      <c r="N14" s="89">
        <v>23.333333333333332</v>
      </c>
      <c r="O14" s="89">
        <v>0</v>
      </c>
      <c r="P14" s="64">
        <v>0</v>
      </c>
      <c r="Q14" s="89">
        <v>0</v>
      </c>
      <c r="S14" s="4" t="s">
        <v>302</v>
      </c>
    </row>
    <row r="15" spans="2:21">
      <c r="B15" s="4" t="s">
        <v>238</v>
      </c>
      <c r="F15" s="4" t="s">
        <v>88</v>
      </c>
      <c r="J15" s="74">
        <f t="shared" si="0"/>
        <v>28306.240129687554</v>
      </c>
      <c r="L15" s="89">
        <v>1069.3333333333333</v>
      </c>
      <c r="M15" s="89">
        <v>10097.486111111111</v>
      </c>
      <c r="N15" s="89">
        <v>9187.3333333333339</v>
      </c>
      <c r="O15" s="89">
        <v>3620.6666666666665</v>
      </c>
      <c r="P15" s="64">
        <v>3766.0606245853473</v>
      </c>
      <c r="Q15" s="89">
        <v>565.36006065775757</v>
      </c>
      <c r="S15" s="4" t="s">
        <v>303</v>
      </c>
    </row>
    <row r="16" spans="2:21">
      <c r="H16" s="47"/>
      <c r="L16" s="38"/>
      <c r="M16" s="38"/>
      <c r="N16" s="38"/>
      <c r="O16" s="38"/>
      <c r="P16" s="38"/>
      <c r="Q16" s="38"/>
    </row>
    <row r="17" spans="2:19" s="10" customFormat="1">
      <c r="B17" s="10" t="s">
        <v>83</v>
      </c>
    </row>
    <row r="19" spans="2:19">
      <c r="B19" s="26" t="s">
        <v>110</v>
      </c>
    </row>
    <row r="20" spans="2:19">
      <c r="H20" s="47"/>
    </row>
    <row r="21" spans="2:19">
      <c r="B21" s="26" t="s">
        <v>111</v>
      </c>
      <c r="H21" s="47"/>
    </row>
    <row r="22" spans="2:19">
      <c r="B22" s="66" t="s">
        <v>112</v>
      </c>
      <c r="F22" s="4" t="s">
        <v>88</v>
      </c>
      <c r="H22" s="47"/>
      <c r="J22" s="74">
        <f t="shared" ref="J22:J27" si="1">SUM(L22:Q22)</f>
        <v>0</v>
      </c>
      <c r="L22" s="89">
        <v>0</v>
      </c>
      <c r="M22" s="89">
        <v>0</v>
      </c>
      <c r="N22" s="89">
        <v>0</v>
      </c>
      <c r="O22" s="89">
        <v>0</v>
      </c>
      <c r="P22" s="95">
        <v>0</v>
      </c>
      <c r="Q22" s="95">
        <v>0</v>
      </c>
      <c r="R22" s="20"/>
      <c r="S22" s="4" t="s">
        <v>256</v>
      </c>
    </row>
    <row r="23" spans="2:19">
      <c r="B23" s="66" t="s">
        <v>113</v>
      </c>
      <c r="F23" s="4" t="s">
        <v>88</v>
      </c>
      <c r="H23" s="47"/>
      <c r="J23" s="74">
        <f t="shared" si="1"/>
        <v>0</v>
      </c>
      <c r="L23" s="89">
        <v>0</v>
      </c>
      <c r="M23" s="89">
        <v>0</v>
      </c>
      <c r="N23" s="89">
        <v>0</v>
      </c>
      <c r="O23" s="89">
        <v>0</v>
      </c>
      <c r="P23" s="95">
        <v>0</v>
      </c>
      <c r="Q23" s="95">
        <v>0</v>
      </c>
      <c r="R23" s="20"/>
      <c r="S23" s="4" t="s">
        <v>256</v>
      </c>
    </row>
    <row r="24" spans="2:19">
      <c r="B24" s="66" t="s">
        <v>114</v>
      </c>
      <c r="F24" s="4" t="s">
        <v>88</v>
      </c>
      <c r="H24" s="47"/>
      <c r="J24" s="74">
        <f t="shared" si="1"/>
        <v>0</v>
      </c>
      <c r="L24" s="89">
        <v>0</v>
      </c>
      <c r="M24" s="89">
        <v>0</v>
      </c>
      <c r="N24" s="89">
        <v>0</v>
      </c>
      <c r="O24" s="89">
        <v>0</v>
      </c>
      <c r="P24" s="95">
        <v>0</v>
      </c>
      <c r="Q24" s="95">
        <v>0</v>
      </c>
      <c r="R24" s="20"/>
      <c r="S24" s="4" t="s">
        <v>256</v>
      </c>
    </row>
    <row r="25" spans="2:19">
      <c r="B25" s="4" t="s">
        <v>115</v>
      </c>
      <c r="F25" s="4" t="s">
        <v>88</v>
      </c>
      <c r="J25" s="74">
        <f t="shared" si="1"/>
        <v>0</v>
      </c>
      <c r="L25" s="89">
        <v>0</v>
      </c>
      <c r="M25" s="89">
        <v>0</v>
      </c>
      <c r="N25" s="89">
        <v>0</v>
      </c>
      <c r="O25" s="89">
        <v>0</v>
      </c>
      <c r="P25" s="95">
        <v>0</v>
      </c>
      <c r="Q25" s="95">
        <v>0</v>
      </c>
      <c r="R25" s="20"/>
      <c r="S25" s="4" t="s">
        <v>256</v>
      </c>
    </row>
    <row r="26" spans="2:19">
      <c r="B26" s="4" t="s">
        <v>116</v>
      </c>
      <c r="F26" s="4" t="s">
        <v>88</v>
      </c>
      <c r="J26" s="74">
        <f t="shared" si="1"/>
        <v>0</v>
      </c>
      <c r="L26" s="89">
        <v>0</v>
      </c>
      <c r="M26" s="89">
        <v>0</v>
      </c>
      <c r="N26" s="89">
        <v>0</v>
      </c>
      <c r="O26" s="89">
        <v>0</v>
      </c>
      <c r="P26" s="95">
        <v>0</v>
      </c>
      <c r="Q26" s="95">
        <v>0</v>
      </c>
      <c r="R26" s="20"/>
      <c r="S26" s="4" t="s">
        <v>256</v>
      </c>
    </row>
    <row r="27" spans="2:19">
      <c r="B27" s="4" t="s">
        <v>117</v>
      </c>
      <c r="F27" s="4" t="s">
        <v>88</v>
      </c>
      <c r="J27" s="74">
        <f t="shared" si="1"/>
        <v>1</v>
      </c>
      <c r="L27" s="89">
        <v>0</v>
      </c>
      <c r="M27" s="89">
        <v>0</v>
      </c>
      <c r="N27" s="89">
        <v>0</v>
      </c>
      <c r="O27" s="89">
        <v>0</v>
      </c>
      <c r="P27" s="95">
        <v>1</v>
      </c>
      <c r="Q27" s="95">
        <v>0</v>
      </c>
      <c r="R27" s="20"/>
      <c r="S27" s="4" t="s">
        <v>256</v>
      </c>
    </row>
    <row r="28" spans="2:19">
      <c r="B28" s="68"/>
      <c r="L28" s="20"/>
      <c r="O28" s="20"/>
      <c r="P28" s="20"/>
      <c r="Q28" s="20"/>
      <c r="R28" s="20"/>
    </row>
    <row r="29" spans="2:19">
      <c r="B29" s="3" t="s">
        <v>118</v>
      </c>
      <c r="L29" s="20"/>
      <c r="N29" s="20"/>
      <c r="O29" s="20"/>
      <c r="P29" s="20"/>
      <c r="Q29" s="20"/>
      <c r="R29" s="20"/>
    </row>
    <row r="30" spans="2:19">
      <c r="B30" s="4" t="s">
        <v>119</v>
      </c>
      <c r="F30" s="4" t="s">
        <v>88</v>
      </c>
      <c r="J30" s="74">
        <f t="shared" ref="J30:J34" si="2">SUM(L30:Q30)</f>
        <v>0</v>
      </c>
      <c r="L30" s="89">
        <v>0</v>
      </c>
      <c r="M30" s="89">
        <v>0</v>
      </c>
      <c r="N30" s="89">
        <v>0</v>
      </c>
      <c r="O30" s="89">
        <v>0</v>
      </c>
      <c r="P30" s="95">
        <v>0</v>
      </c>
      <c r="Q30" s="95">
        <v>0</v>
      </c>
      <c r="R30" s="20"/>
      <c r="S30" s="4" t="s">
        <v>256</v>
      </c>
    </row>
    <row r="31" spans="2:19">
      <c r="B31" s="4" t="s">
        <v>120</v>
      </c>
      <c r="F31" s="4" t="s">
        <v>88</v>
      </c>
      <c r="J31" s="74">
        <f t="shared" si="2"/>
        <v>0</v>
      </c>
      <c r="L31" s="89">
        <v>0</v>
      </c>
      <c r="M31" s="89">
        <v>0</v>
      </c>
      <c r="N31" s="89">
        <v>0</v>
      </c>
      <c r="O31" s="95">
        <v>0</v>
      </c>
      <c r="P31" s="95">
        <v>0</v>
      </c>
      <c r="Q31" s="95">
        <v>0</v>
      </c>
      <c r="R31" s="20"/>
      <c r="S31" s="4" t="s">
        <v>256</v>
      </c>
    </row>
    <row r="32" spans="2:19">
      <c r="B32" s="4" t="s">
        <v>121</v>
      </c>
      <c r="F32" s="4" t="s">
        <v>88</v>
      </c>
      <c r="J32" s="74">
        <f t="shared" si="2"/>
        <v>0</v>
      </c>
      <c r="L32" s="89">
        <v>0</v>
      </c>
      <c r="M32" s="89">
        <v>0</v>
      </c>
      <c r="N32" s="89">
        <v>0</v>
      </c>
      <c r="O32" s="89">
        <v>0</v>
      </c>
      <c r="P32" s="95">
        <v>0</v>
      </c>
      <c r="Q32" s="95">
        <v>0</v>
      </c>
      <c r="R32" s="20"/>
      <c r="S32" s="4" t="s">
        <v>256</v>
      </c>
    </row>
    <row r="33" spans="2:21">
      <c r="B33" s="4" t="s">
        <v>122</v>
      </c>
      <c r="F33" s="4" t="s">
        <v>88</v>
      </c>
      <c r="J33" s="74">
        <f t="shared" si="2"/>
        <v>0</v>
      </c>
      <c r="L33" s="89">
        <v>0</v>
      </c>
      <c r="M33" s="89">
        <v>0</v>
      </c>
      <c r="N33" s="89">
        <v>0</v>
      </c>
      <c r="O33" s="89">
        <v>0</v>
      </c>
      <c r="P33" s="95">
        <v>0</v>
      </c>
      <c r="Q33" s="95">
        <v>0</v>
      </c>
      <c r="R33" s="20"/>
      <c r="S33" s="4" t="s">
        <v>256</v>
      </c>
    </row>
    <row r="34" spans="2:21">
      <c r="B34" s="4" t="s">
        <v>123</v>
      </c>
      <c r="F34" s="4" t="s">
        <v>88</v>
      </c>
      <c r="J34" s="74">
        <f t="shared" si="2"/>
        <v>0</v>
      </c>
      <c r="L34" s="89">
        <v>0</v>
      </c>
      <c r="M34" s="89">
        <v>0</v>
      </c>
      <c r="N34" s="89">
        <v>0</v>
      </c>
      <c r="O34" s="89">
        <v>0</v>
      </c>
      <c r="P34" s="95">
        <v>0</v>
      </c>
      <c r="Q34" s="95">
        <v>0</v>
      </c>
      <c r="R34" s="20"/>
      <c r="S34" s="4" t="s">
        <v>256</v>
      </c>
    </row>
    <row r="35" spans="2:21">
      <c r="L35" s="20"/>
      <c r="N35" s="20"/>
      <c r="O35" s="20"/>
      <c r="P35" s="20"/>
      <c r="Q35" s="20"/>
      <c r="R35" s="20"/>
    </row>
    <row r="36" spans="2:21">
      <c r="B36" s="26" t="s">
        <v>239</v>
      </c>
      <c r="L36" s="20"/>
      <c r="N36" s="20"/>
      <c r="O36" s="20"/>
      <c r="P36" s="20"/>
      <c r="Q36" s="20"/>
      <c r="R36" s="20"/>
    </row>
    <row r="37" spans="2:21">
      <c r="L37" s="20"/>
      <c r="N37" s="20"/>
      <c r="O37" s="20"/>
      <c r="P37" s="20"/>
      <c r="Q37" s="20"/>
      <c r="R37" s="20"/>
    </row>
    <row r="38" spans="2:21">
      <c r="B38" s="26" t="s">
        <v>125</v>
      </c>
      <c r="L38" s="20"/>
      <c r="N38" s="20"/>
      <c r="O38" s="20"/>
      <c r="P38" s="20"/>
      <c r="Q38" s="20"/>
      <c r="R38" s="20"/>
    </row>
    <row r="39" spans="2:21">
      <c r="B39" s="4" t="s">
        <v>106</v>
      </c>
      <c r="F39" s="4" t="s">
        <v>88</v>
      </c>
      <c r="J39" s="74">
        <f t="shared" ref="J39:J40" si="3">SUM(L39:Q39)</f>
        <v>13102.936593687802</v>
      </c>
      <c r="L39" s="89">
        <v>2489</v>
      </c>
      <c r="M39" s="89">
        <v>0</v>
      </c>
      <c r="N39" s="89">
        <v>0</v>
      </c>
      <c r="O39" s="89">
        <v>4795</v>
      </c>
      <c r="P39" s="95">
        <v>5818.9365936878021</v>
      </c>
      <c r="Q39" s="95">
        <v>0</v>
      </c>
      <c r="R39" s="20"/>
      <c r="S39" s="4" t="s">
        <v>256</v>
      </c>
    </row>
    <row r="40" spans="2:21">
      <c r="B40" s="4" t="s">
        <v>107</v>
      </c>
      <c r="F40" s="4" t="s">
        <v>88</v>
      </c>
      <c r="J40" s="74">
        <f t="shared" si="3"/>
        <v>178</v>
      </c>
      <c r="L40" s="89">
        <v>178</v>
      </c>
      <c r="M40" s="89">
        <v>0</v>
      </c>
      <c r="N40" s="89">
        <v>0</v>
      </c>
      <c r="O40" s="89">
        <v>0</v>
      </c>
      <c r="P40" s="95">
        <v>0</v>
      </c>
      <c r="Q40" s="95">
        <v>0</v>
      </c>
      <c r="R40" s="20"/>
      <c r="S40" s="4" t="s">
        <v>256</v>
      </c>
    </row>
    <row r="41" spans="2:21">
      <c r="L41" s="20"/>
      <c r="N41" s="20"/>
      <c r="P41" s="20"/>
      <c r="Q41" s="20"/>
      <c r="R41" s="20"/>
    </row>
    <row r="42" spans="2:21">
      <c r="B42" s="4" t="s">
        <v>108</v>
      </c>
      <c r="F42" s="4" t="s">
        <v>88</v>
      </c>
      <c r="J42" s="74">
        <f>SUM(L42:Q42)</f>
        <v>31296.436451521182</v>
      </c>
      <c r="L42" s="89">
        <v>0</v>
      </c>
      <c r="M42" s="89">
        <v>17780</v>
      </c>
      <c r="N42" s="89">
        <v>12671</v>
      </c>
      <c r="O42" s="89">
        <v>0</v>
      </c>
      <c r="P42" s="95">
        <v>0</v>
      </c>
      <c r="Q42" s="95">
        <v>845.43645152118279</v>
      </c>
      <c r="R42" s="20"/>
      <c r="S42" s="4" t="s">
        <v>256</v>
      </c>
    </row>
    <row r="44" spans="2:21" s="10" customFormat="1">
      <c r="B44" s="10" t="s">
        <v>240</v>
      </c>
    </row>
    <row r="46" spans="2:21">
      <c r="B46" s="66" t="s">
        <v>241</v>
      </c>
      <c r="F46" s="4" t="s">
        <v>255</v>
      </c>
      <c r="J46" s="74">
        <f>SUM(L46:Q46)</f>
        <v>1323</v>
      </c>
      <c r="L46" s="89">
        <v>0</v>
      </c>
      <c r="M46" s="89">
        <v>1323</v>
      </c>
      <c r="N46" s="89">
        <v>0</v>
      </c>
      <c r="O46" s="89">
        <v>0</v>
      </c>
      <c r="P46" s="95">
        <v>0</v>
      </c>
      <c r="Q46" s="95">
        <v>0</v>
      </c>
      <c r="S46" s="4" t="s">
        <v>259</v>
      </c>
      <c r="U46" s="4" t="s">
        <v>254</v>
      </c>
    </row>
  </sheetData>
  <phoneticPr fontId="75" type="noConversion"/>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
  <sheetViews>
    <sheetView showGridLines="0" zoomScale="85" zoomScaleNormal="85" workbookViewId="0"/>
  </sheetViews>
  <sheetFormatPr defaultColWidth="9.140625" defaultRowHeight="12.75"/>
  <cols>
    <col min="1" max="16384" width="9.140625" style="22"/>
  </cols>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20B76403CB6F24694D915B3C168C0E6" ma:contentTypeVersion="0" ma:contentTypeDescription="Een nieuw document maken." ma:contentTypeScope="" ma:versionID="bf02a18621bcb6325d2ad5de47f96fac">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DAB9D1-B815-4B0E-93E7-4496A7FE99F6}">
  <ds:schemaRefs>
    <ds:schemaRef ds:uri="http://purl.org/dc/dcmitype/"/>
    <ds:schemaRef ds:uri="http://schemas.microsoft.com/office/infopath/2007/PartnerControls"/>
    <ds:schemaRef ds:uri="http://purl.org/dc/elements/1.1/"/>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AD5E579-EDEB-42CD-B662-5E3E21C16D27}">
  <ds:schemaRefs>
    <ds:schemaRef ds:uri="http://schemas.microsoft.com/sharepoint/v3/contenttype/forms"/>
  </ds:schemaRefs>
</ds:datastoreItem>
</file>

<file path=customXml/itemProps3.xml><?xml version="1.0" encoding="utf-8"?>
<ds:datastoreItem xmlns:ds="http://schemas.openxmlformats.org/officeDocument/2006/customXml" ds:itemID="{61BDC70D-3516-47CA-A74A-26D77D0F6E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Titelblad</vt:lpstr>
      <vt:lpstr>Toelichting</vt:lpstr>
      <vt:lpstr>Bronnen en toepassingen</vt:lpstr>
      <vt:lpstr>Input --&gt;</vt:lpstr>
      <vt:lpstr>Realisatie 2022</vt:lpstr>
      <vt:lpstr>SO REG2022</vt:lpstr>
      <vt:lpstr>Rekenvolumes TD</vt:lpstr>
      <vt:lpstr>Invoeding</vt:lpstr>
      <vt:lpstr>Berekeningen --&gt;</vt:lpstr>
      <vt:lpstr>Aggregatie volumes 2022</vt:lpstr>
      <vt:lpstr>Wegingsfactoren</vt:lpstr>
      <vt:lpstr>Ontwikkeling inkomsten TD</vt:lpstr>
      <vt:lpstr>Vergoeding inv. ontw. TD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2018-05-15T11:27:11Z</dcterms:created>
  <dcterms:modified xsi:type="dcterms:W3CDTF">2023-11-23T11:24:37Z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0x010100E20B76403CB6F24694D915B3C168C0E6</vt:lpwstr>
  </property>
</Properties>
</file>