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8_{029B36A3-0614-4719-89AA-174008033E87}" xr6:coauthVersionLast="47" xr6:coauthVersionMax="47" xr10:uidLastSave="{00000000-0000-0000-0000-000000000000}"/>
  <bookViews>
    <workbookView xWindow="-120" yWindow="-120" windowWidth="29040" windowHeight="15840" tabRatio="915" xr2:uid="{00000000-000D-0000-FFFF-FFFF00000000}"/>
  </bookViews>
  <sheets>
    <sheet name="Titelblad" sheetId="9" r:id="rId1"/>
    <sheet name="Toelichting" sheetId="10" r:id="rId2"/>
    <sheet name="Bronnen en toepassingen" sheetId="11" r:id="rId3"/>
    <sheet name="TI-berekening 2024" sheetId="21" r:id="rId4"/>
    <sheet name="Input --&gt;" sheetId="13" r:id="rId5"/>
    <sheet name="Input parameters" sheetId="26" r:id="rId6"/>
    <sheet name="Input x-factor, begininkomsten" sheetId="28" r:id="rId7"/>
    <sheet name="Input rente" sheetId="55" r:id="rId8"/>
    <sheet name="Berekeningen --&gt;" sheetId="15" r:id="rId9"/>
    <sheet name="Parameters" sheetId="27" r:id="rId10"/>
    <sheet name="Nacalculatie rente" sheetId="57"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_CPI2001">'[1]CPI en WACC'!$C$7</definedName>
    <definedName name="___CPI2002">'[1]CPI en WACC'!$C$8</definedName>
    <definedName name="___CPI2003">'[1]CPI en WACC'!$C$9</definedName>
    <definedName name="___CPI2004">'[1]CPI en WACC'!$C$10</definedName>
    <definedName name="___CPI2005">'[1]CPI en WACC'!$C$11</definedName>
    <definedName name="___CPI2006">'[1]CPI en WACC'!$C$12</definedName>
    <definedName name="___CPI2007">'[1]CPI en WACC'!$C$13</definedName>
    <definedName name="___CPI2008">'[1]CPI en WACC'!$C$14</definedName>
    <definedName name="___CPI2009">'[1]CPI en WACC'!$C$15</definedName>
    <definedName name="___CPI2010">'[1]CPI en WACC'!$C$16</definedName>
    <definedName name="___CPI2011">'[1]CPI en WACC'!$C$17</definedName>
    <definedName name="___CPI2012">'[1]CPI en WACC'!$C$18</definedName>
    <definedName name="___CPI2013">'[1]CPI en WACC'!$C$19</definedName>
    <definedName name="___CPI2014">'[1]CPI en WACC'!$C$20</definedName>
    <definedName name="__CPI2001">#REF!</definedName>
    <definedName name="__CPI2002">#REF!</definedName>
    <definedName name="__CPI2003">#REF!</definedName>
    <definedName name="__CPI2004">#REF!</definedName>
    <definedName name="__CPI2005">#REF!</definedName>
    <definedName name="__CPI2006">#REF!</definedName>
    <definedName name="__CPI2007">#REF!</definedName>
    <definedName name="__CPI2008">#REF!</definedName>
    <definedName name="__CPI2009">#REF!</definedName>
    <definedName name="__CPI2010">#REF!</definedName>
    <definedName name="__CPI2011">#REF!</definedName>
    <definedName name="__CPI2012">#REF!</definedName>
    <definedName name="__CPI2013">#REF!</definedName>
    <definedName name="__CPI2014">#REF!</definedName>
    <definedName name="_3B.A.141">'[2]Tabel 3B - Specificaties inkoop'!$R$33</definedName>
    <definedName name="_3B.A.162">'[2]Tabel 3B - Specificaties inkoop'!$R$57</definedName>
    <definedName name="_CPI2001">#REF!</definedName>
    <definedName name="_CPI2002">#REF!</definedName>
    <definedName name="_CPI2003">#REF!</definedName>
    <definedName name="_CPI2004">#REF!</definedName>
    <definedName name="_CPI2005">#REF!</definedName>
    <definedName name="_CPI2006">#REF!</definedName>
    <definedName name="_CPI2007">#REF!</definedName>
    <definedName name="_CPI2008">#REF!</definedName>
    <definedName name="_CPI2009">#REF!</definedName>
    <definedName name="_CPI2010">#REF!</definedName>
    <definedName name="_CPI2011">#REF!</definedName>
    <definedName name="_CPI2012">#REF!</definedName>
    <definedName name="_CPI2013">#REF!</definedName>
    <definedName name="_CPI2014">#REF!</definedName>
    <definedName name="AS2DocOpenMode" hidden="1">"AS2DocumentEdit"</definedName>
    <definedName name="BijzWrdVerm">'[3]Tabel 2A - Bijz mutaties activa'!$F$46,'[3]Tabel 2A - Bijz mutaties activa'!$J$46,'[3]Tabel 2A - Bijz mutaties activa'!$N$46,'[3]Tabel 2A - Bijz mutaties activa'!$R$46,'[3]Tabel 2A - Bijz mutaties activa'!$V$46,'[3]Tabel 2A - Bijz mutaties activa'!$Z$46,'[3]Tabel 2A - Bijz mutaties activa'!$AD$46,'[3]Tabel 2A - Bijz mutaties activa'!$AH$46,'[3]Tabel 2A - Bijz mutaties activa'!$AL$46</definedName>
    <definedName name="BijzWrdVermTAHdLd">'[4]Tabel 2A - Bijz mutaties activa'!$H$39,'[4]Tabel 2A - Bijz mutaties activa'!$L$39,'[4]Tabel 2A - Bijz mutaties activa'!$P$39,'[4]Tabel 2A - Bijz mutaties activa'!$T$39,'[4]Tabel 2A - Bijz mutaties activa'!$X$39,'[4]Tabel 2A - Bijz mutaties activa'!$AB$39</definedName>
    <definedName name="CPIv2000n2001">#REF!</definedName>
    <definedName name="CPIv2000n2002">#REF!</definedName>
    <definedName name="CPIv2000n2003">#REF!</definedName>
    <definedName name="CPIv2000n2004">#REF!</definedName>
    <definedName name="CPIv2000n2005">#REF!</definedName>
    <definedName name="CPIv2000n2006">#REF!</definedName>
    <definedName name="CPIv2000n2007">#REF!</definedName>
    <definedName name="CPIv2000n2008">#REF!</definedName>
    <definedName name="CPIv2000n2009">#REF!</definedName>
    <definedName name="CPIv2000n2010">#REF!</definedName>
    <definedName name="CPIv2000n2011">#REF!</definedName>
    <definedName name="CPIv2000n2012">#REF!</definedName>
    <definedName name="CPIv2000n2013">#REF!</definedName>
    <definedName name="CPIv2000n2014">#REF!</definedName>
    <definedName name="CPIv2001n2002">#REF!</definedName>
    <definedName name="CPIv2001n2003">#REF!</definedName>
    <definedName name="CPIv2001n2004">#REF!</definedName>
    <definedName name="CPIv2001n2005">#REF!</definedName>
    <definedName name="CPIv2001n2006">#REF!</definedName>
    <definedName name="CPIv2001n2007">#REF!</definedName>
    <definedName name="CPIv2001n2008">#REF!</definedName>
    <definedName name="CPIv2001n2009">#REF!</definedName>
    <definedName name="CPIv2001n2010">#REF!</definedName>
    <definedName name="CPIv2001n2011">#REF!</definedName>
    <definedName name="CPIv2001n2012">#REF!</definedName>
    <definedName name="CPIv2001n2013">#REF!</definedName>
    <definedName name="CPIv2001n2014">#REF!</definedName>
    <definedName name="CPIv2002n2003">#REF!</definedName>
    <definedName name="CPIv2002n2004">#REF!</definedName>
    <definedName name="CPIv2002n2005">#REF!</definedName>
    <definedName name="CPIv2002n2006">#REF!</definedName>
    <definedName name="CPIv2002n2007">#REF!</definedName>
    <definedName name="CPIv2002n2008">#REF!</definedName>
    <definedName name="CPIv2002n2009">#REF!</definedName>
    <definedName name="CPIv2002n2010">#REF!</definedName>
    <definedName name="CPIv2002n2011">#REF!</definedName>
    <definedName name="CPIv2002n2012">#REF!</definedName>
    <definedName name="CPIv2002n2013">#REF!</definedName>
    <definedName name="CPIv2002n2014">#REF!</definedName>
    <definedName name="CPIv2003n2004">#REF!</definedName>
    <definedName name="CPIv2003n2005">#REF!</definedName>
    <definedName name="CPIv2003n2006">#REF!</definedName>
    <definedName name="CPIv2003n2007">#REF!</definedName>
    <definedName name="CPIv2003n2008">#REF!</definedName>
    <definedName name="CPIv2003n2009">#REF!</definedName>
    <definedName name="CPIv2003n2010">#REF!</definedName>
    <definedName name="CPIv2003n2011">#REF!</definedName>
    <definedName name="CPIv2003n2012">#REF!</definedName>
    <definedName name="CPIv2003n2013">#REF!</definedName>
    <definedName name="CPIv2003n2014">#REF!</definedName>
    <definedName name="CPIv2004n2005">#REF!</definedName>
    <definedName name="CPIv2004n2006">#REF!</definedName>
    <definedName name="CPIv2004n2007">#REF!</definedName>
    <definedName name="CPIv2004n2008">#REF!</definedName>
    <definedName name="CPIv2004n2009">#REF!</definedName>
    <definedName name="CPIv2004n2010">#REF!</definedName>
    <definedName name="CPIv2004n2011">#REF!</definedName>
    <definedName name="CPIv2004n2012">#REF!</definedName>
    <definedName name="CPIv2004n2013">#REF!</definedName>
    <definedName name="CPIv2004n2014">#REF!</definedName>
    <definedName name="CPIv2005n2006">#REF!</definedName>
    <definedName name="CPIv2005n2007">#REF!</definedName>
    <definedName name="CPIv2005n2008">#REF!</definedName>
    <definedName name="CPIv2005n2009">#REF!</definedName>
    <definedName name="CPIv2005n2010">#REF!</definedName>
    <definedName name="CPIv2005n2011">#REF!</definedName>
    <definedName name="CPIv2005n2012">#REF!</definedName>
    <definedName name="CPIv2005n2013">#REF!</definedName>
    <definedName name="CPIv2005n2014">#REF!</definedName>
    <definedName name="CPIv2006n2007">#REF!</definedName>
    <definedName name="CPIv2006n2008">#REF!</definedName>
    <definedName name="CPIv2006n2009">#REF!</definedName>
    <definedName name="CPIv2006n2010">#REF!</definedName>
    <definedName name="CPIv2006n2011">#REF!</definedName>
    <definedName name="CPIv2006n2012">#REF!</definedName>
    <definedName name="CPIv2006n2013">#REF!</definedName>
    <definedName name="CPIv2006n2014">#REF!</definedName>
    <definedName name="CPIv2007n2008">#REF!</definedName>
    <definedName name="CPIv2007n2009">#REF!</definedName>
    <definedName name="CPIv2007n2010">#REF!</definedName>
    <definedName name="CPIv2007n2011">#REF!</definedName>
    <definedName name="CPIv2007n2012">#REF!</definedName>
    <definedName name="CPIv2007n2013">#REF!</definedName>
    <definedName name="CPIv2007n2014">#REF!</definedName>
    <definedName name="CPIv2008n2009">#REF!</definedName>
    <definedName name="CPIv2008n2010">#REF!</definedName>
    <definedName name="CPIv2008n2011">#REF!</definedName>
    <definedName name="CPIv2008n2012">#REF!</definedName>
    <definedName name="CPIv2008n2013">#REF!</definedName>
    <definedName name="CPIv2008n2014">#REF!</definedName>
    <definedName name="CPIv2009n2010">#REF!</definedName>
    <definedName name="CPIv2009n2011">#REF!</definedName>
    <definedName name="CPIv2009n2012">#REF!</definedName>
    <definedName name="CPIv2009n2013">#REF!</definedName>
    <definedName name="CPIv2009n2014">#REF!</definedName>
    <definedName name="CPIv2010n2011">#REF!</definedName>
    <definedName name="CPIv2010n2012">#REF!</definedName>
    <definedName name="CPIv2010n2013">#REF!</definedName>
    <definedName name="CPIv2010n2014">#REF!</definedName>
    <definedName name="CPIv2011n2012">#REF!</definedName>
    <definedName name="CPIv2011n2013">#REF!</definedName>
    <definedName name="CPIv2011n2014">#REF!</definedName>
    <definedName name="CPIv2012n2013">#REF!</definedName>
    <definedName name="CPIv2012n2014">#REF!</definedName>
    <definedName name="CPIv2013n2014">#REF!</definedName>
    <definedName name="DTE_old">#REF!</definedName>
    <definedName name="EofG">'[5]Lokale heffingen (LH)'!#REF!</definedName>
    <definedName name="extraveld_kolom">#REF!</definedName>
    <definedName name="extraveld_rij">#REF!</definedName>
    <definedName name="Naam">#REF!</definedName>
    <definedName name="Naam_GA">'[1]Kapitaalkosten Gasaansluiting'!$C$1</definedName>
    <definedName name="Netbeheerders">[1]Netbeheerders!$B$2:$B$25</definedName>
    <definedName name="Overzicht_EofG">#REF!</definedName>
    <definedName name="Overzicht_Gasaansluiting">#REF!</definedName>
    <definedName name="Overzicht_Netbeheerder">#REF!</definedName>
    <definedName name="Overzicht_totJaar">#REF!</definedName>
    <definedName name="Overzicht_vanafJaar">#REF!</definedName>
    <definedName name="wacc">[6]Data!#REF!</definedName>
    <definedName name="wacc_exc_tax">[7]constants!$E$3</definedName>
    <definedName name="wacc_inc_tax">[6]constants!$E$4</definedName>
    <definedName name="WACC2001">#REF!</definedName>
    <definedName name="WACC2002">#REF!</definedName>
    <definedName name="WACC2003">#REF!</definedName>
    <definedName name="WACC2004">#REF!</definedName>
    <definedName name="WACC2005">#REF!</definedName>
    <definedName name="WACC2006">#REF!</definedName>
    <definedName name="WACC2007">#REF!</definedName>
    <definedName name="WACC2008">#REF!</definedName>
    <definedName name="WACC2009">#REF!</definedName>
    <definedName name="WACC2010">#REF!</definedName>
    <definedName name="WACC2011_2013">'[8]CPI&amp;WACC'!$D$14</definedName>
    <definedName name="WACCtabel">'[9]CPI en WACC'!$B$6:$D$26</definedName>
    <definedName name="winstcorrecti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1" i="21" l="1"/>
  <c r="H59" i="27" l="1"/>
  <c r="N64" i="27" s="1"/>
  <c r="N65" i="27" l="1"/>
  <c r="J18" i="27" l="1"/>
  <c r="J23" i="27" s="1"/>
  <c r="J26" i="27" s="1"/>
  <c r="K18" i="27"/>
  <c r="L18" i="27"/>
  <c r="L23" i="27" s="1"/>
  <c r="L28" i="27" s="1"/>
  <c r="M18" i="27"/>
  <c r="M23" i="27" s="1"/>
  <c r="M29" i="27" s="1"/>
  <c r="N18" i="27"/>
  <c r="N23" i="27" s="1"/>
  <c r="N30" i="27" s="1"/>
  <c r="O18" i="27"/>
  <c r="O23" i="27" s="1"/>
  <c r="O31" i="27" s="1"/>
  <c r="P18" i="27"/>
  <c r="P23" i="27" s="1"/>
  <c r="P32" i="27" s="1"/>
  <c r="Q18" i="27"/>
  <c r="Q23" i="27" s="1"/>
  <c r="Q33" i="27" s="1"/>
  <c r="R18" i="27"/>
  <c r="R23" i="27" s="1"/>
  <c r="R34" i="27" s="1"/>
  <c r="S18" i="27"/>
  <c r="S23" i="27" s="1"/>
  <c r="S35" i="27" s="1"/>
  <c r="T18" i="27"/>
  <c r="T23" i="27" s="1"/>
  <c r="T36" i="27" s="1"/>
  <c r="U18" i="27"/>
  <c r="U23" i="27" s="1"/>
  <c r="U37" i="27" s="1"/>
  <c r="V18" i="27"/>
  <c r="V23" i="27" s="1"/>
  <c r="V38" i="27" s="1"/>
  <c r="W18" i="27"/>
  <c r="X18" i="27"/>
  <c r="X23" i="27" s="1"/>
  <c r="X40" i="27" s="1"/>
  <c r="Y18" i="27"/>
  <c r="Y23" i="27" s="1"/>
  <c r="Y41" i="27" s="1"/>
  <c r="Z18" i="27"/>
  <c r="Z23" i="27" s="1"/>
  <c r="Z42" i="27" s="1"/>
  <c r="AA18" i="27"/>
  <c r="AA23" i="27" s="1"/>
  <c r="AA43" i="27" s="1"/>
  <c r="AB18" i="27"/>
  <c r="AB23" i="27" s="1"/>
  <c r="AB44" i="27" s="1"/>
  <c r="AC18" i="27"/>
  <c r="AC23" i="27" s="1"/>
  <c r="AC45" i="27" s="1"/>
  <c r="I18" i="27"/>
  <c r="I23" i="27" s="1"/>
  <c r="W23" i="27"/>
  <c r="W39" i="27" s="1"/>
  <c r="K23" i="27"/>
  <c r="K27" i="27" s="1"/>
  <c r="Z41" i="27" l="1"/>
  <c r="R33" i="27"/>
  <c r="S33" i="27" s="1"/>
  <c r="T33" i="27" s="1"/>
  <c r="U33" i="27" s="1"/>
  <c r="V33" i="27" s="1"/>
  <c r="W33" i="27" s="1"/>
  <c r="X33" i="27" s="1"/>
  <c r="Y33" i="27" s="1"/>
  <c r="Z33" i="27" s="1"/>
  <c r="AA33" i="27" s="1"/>
  <c r="AB33" i="27" s="1"/>
  <c r="AC33" i="27" s="1"/>
  <c r="N29" i="27"/>
  <c r="V37" i="27"/>
  <c r="W37" i="27" s="1"/>
  <c r="X37" i="27" s="1"/>
  <c r="Y37" i="27" s="1"/>
  <c r="Z37" i="27" s="1"/>
  <c r="AA37" i="27" s="1"/>
  <c r="AB37" i="27" s="1"/>
  <c r="AC37" i="27" s="1"/>
  <c r="T35" i="27"/>
  <c r="U35" i="27" s="1"/>
  <c r="V35" i="27" s="1"/>
  <c r="W35" i="27" s="1"/>
  <c r="X35" i="27" s="1"/>
  <c r="Y35" i="27" s="1"/>
  <c r="Z35" i="27" s="1"/>
  <c r="AA35" i="27" s="1"/>
  <c r="AB35" i="27" s="1"/>
  <c r="AC35" i="27" s="1"/>
  <c r="P31" i="27"/>
  <c r="Q31" i="27" s="1"/>
  <c r="R31" i="27" s="1"/>
  <c r="S31" i="27" s="1"/>
  <c r="T31" i="27" s="1"/>
  <c r="U31" i="27" s="1"/>
  <c r="V31" i="27" s="1"/>
  <c r="W31" i="27" s="1"/>
  <c r="X31" i="27" s="1"/>
  <c r="Y31" i="27" s="1"/>
  <c r="Z31" i="27" s="1"/>
  <c r="AA31" i="27" s="1"/>
  <c r="AB31" i="27" s="1"/>
  <c r="AC31" i="27" s="1"/>
  <c r="AB43" i="27"/>
  <c r="AC43" i="27" s="1"/>
  <c r="O29" i="27"/>
  <c r="L27" i="27"/>
  <c r="M27" i="27" s="1"/>
  <c r="N27" i="27" s="1"/>
  <c r="O27" i="27" s="1"/>
  <c r="O30" i="27"/>
  <c r="S34" i="27"/>
  <c r="T34" i="27" s="1"/>
  <c r="U34" i="27" s="1"/>
  <c r="V34" i="27" s="1"/>
  <c r="W34" i="27" s="1"/>
  <c r="X34" i="27" s="1"/>
  <c r="Y34" i="27" s="1"/>
  <c r="Z34" i="27" s="1"/>
  <c r="AA34" i="27" s="1"/>
  <c r="AB34" i="27" s="1"/>
  <c r="AC34" i="27" s="1"/>
  <c r="W38" i="27"/>
  <c r="X38" i="27" s="1"/>
  <c r="Y38" i="27" s="1"/>
  <c r="Z38" i="27" s="1"/>
  <c r="AA38" i="27" s="1"/>
  <c r="AB38" i="27" s="1"/>
  <c r="AC38" i="27" s="1"/>
  <c r="AA41" i="27"/>
  <c r="AB41" i="27" s="1"/>
  <c r="AC41" i="27" s="1"/>
  <c r="AA42" i="27"/>
  <c r="AB42" i="27" s="1"/>
  <c r="AC42" i="27" s="1"/>
  <c r="K26" i="27"/>
  <c r="L26" i="27" s="1"/>
  <c r="M26" i="27" s="1"/>
  <c r="N26" i="27" s="1"/>
  <c r="O26" i="27" s="1"/>
  <c r="X39" i="27"/>
  <c r="Y39" i="27" s="1"/>
  <c r="Z39" i="27" s="1"/>
  <c r="AA39" i="27" s="1"/>
  <c r="AB39" i="27" s="1"/>
  <c r="AC39" i="27" s="1"/>
  <c r="M28" i="27"/>
  <c r="N28" i="27" s="1"/>
  <c r="O28" i="27" s="1"/>
  <c r="Y40" i="27"/>
  <c r="Z40" i="27" s="1"/>
  <c r="AA40" i="27" s="1"/>
  <c r="AB40" i="27" s="1"/>
  <c r="AC40" i="27" s="1"/>
  <c r="Q32" i="27"/>
  <c r="R32" i="27" s="1"/>
  <c r="S32" i="27" s="1"/>
  <c r="T32" i="27" s="1"/>
  <c r="U32" i="27" s="1"/>
  <c r="V32" i="27" s="1"/>
  <c r="W32" i="27" s="1"/>
  <c r="X32" i="27" s="1"/>
  <c r="Y32" i="27" s="1"/>
  <c r="Z32" i="27" s="1"/>
  <c r="AA32" i="27" s="1"/>
  <c r="AB32" i="27" s="1"/>
  <c r="AC32" i="27" s="1"/>
  <c r="U36" i="27"/>
  <c r="V36" i="27" s="1"/>
  <c r="W36" i="27" s="1"/>
  <c r="X36" i="27" s="1"/>
  <c r="Y36" i="27" s="1"/>
  <c r="Z36" i="27" s="1"/>
  <c r="AA36" i="27" s="1"/>
  <c r="AB36" i="27" s="1"/>
  <c r="AC36" i="27" s="1"/>
  <c r="AC44" i="27"/>
  <c r="P29" i="27" l="1"/>
  <c r="Q29" i="27" s="1"/>
  <c r="R29" i="27" s="1"/>
  <c r="S29" i="27" s="1"/>
  <c r="T29" i="27" s="1"/>
  <c r="U29" i="27" s="1"/>
  <c r="V29" i="27" s="1"/>
  <c r="W29" i="27" s="1"/>
  <c r="X29" i="27" s="1"/>
  <c r="Y29" i="27" s="1"/>
  <c r="Z29" i="27" s="1"/>
  <c r="AA29" i="27" s="1"/>
  <c r="AB29" i="27" s="1"/>
  <c r="AC29" i="27" s="1"/>
  <c r="P26" i="27"/>
  <c r="Q26" i="27" s="1"/>
  <c r="R26" i="27" s="1"/>
  <c r="S26" i="27" s="1"/>
  <c r="T26" i="27" s="1"/>
  <c r="U26" i="27" s="1"/>
  <c r="V26" i="27" s="1"/>
  <c r="W26" i="27" s="1"/>
  <c r="X26" i="27" s="1"/>
  <c r="Y26" i="27" s="1"/>
  <c r="Z26" i="27" s="1"/>
  <c r="AA26" i="27" s="1"/>
  <c r="AB26" i="27" s="1"/>
  <c r="AC26" i="27" s="1"/>
  <c r="P30" i="27"/>
  <c r="Q30" i="27" s="1"/>
  <c r="R30" i="27" s="1"/>
  <c r="S30" i="27" s="1"/>
  <c r="T30" i="27" s="1"/>
  <c r="U30" i="27" s="1"/>
  <c r="V30" i="27" s="1"/>
  <c r="W30" i="27" s="1"/>
  <c r="X30" i="27" s="1"/>
  <c r="Y30" i="27" s="1"/>
  <c r="Z30" i="27" s="1"/>
  <c r="AA30" i="27" s="1"/>
  <c r="AB30" i="27" s="1"/>
  <c r="AC30" i="27" s="1"/>
  <c r="P28" i="27"/>
  <c r="Q28" i="27" s="1"/>
  <c r="R28" i="27" s="1"/>
  <c r="S28" i="27" s="1"/>
  <c r="T28" i="27" s="1"/>
  <c r="U28" i="27" s="1"/>
  <c r="V28" i="27" s="1"/>
  <c r="W28" i="27" s="1"/>
  <c r="X28" i="27" s="1"/>
  <c r="Y28" i="27" s="1"/>
  <c r="Z28" i="27" s="1"/>
  <c r="AA28" i="27" s="1"/>
  <c r="AB28" i="27" s="1"/>
  <c r="AC28" i="27" s="1"/>
  <c r="P27" i="27"/>
  <c r="Q27" i="27" s="1"/>
  <c r="R27" i="27" s="1"/>
  <c r="S27" i="27" s="1"/>
  <c r="T27" i="27" s="1"/>
  <c r="U27" i="27" s="1"/>
  <c r="V27" i="27" s="1"/>
  <c r="W27" i="27" s="1"/>
  <c r="X27" i="27" s="1"/>
  <c r="Y27" i="27" s="1"/>
  <c r="Z27" i="27" s="1"/>
  <c r="AA27" i="27" s="1"/>
  <c r="AB27" i="27" s="1"/>
  <c r="AC27" i="27" s="1"/>
  <c r="H56" i="57" l="1"/>
  <c r="H49" i="57"/>
  <c r="H48" i="57"/>
  <c r="H45" i="57"/>
  <c r="H44" i="57"/>
  <c r="H41" i="57"/>
  <c r="H38" i="57"/>
  <c r="H37" i="57"/>
  <c r="H110" i="57" l="1"/>
  <c r="H97" i="57"/>
  <c r="L60" i="57"/>
  <c r="M60" i="57"/>
  <c r="N60" i="57"/>
  <c r="O60" i="57"/>
  <c r="P60" i="57"/>
  <c r="Q60" i="57"/>
  <c r="L61" i="57"/>
  <c r="M61" i="57"/>
  <c r="N61" i="57"/>
  <c r="O61" i="57"/>
  <c r="P61" i="57"/>
  <c r="Q61" i="57"/>
  <c r="M59" i="57"/>
  <c r="N59" i="57"/>
  <c r="O59" i="57"/>
  <c r="P59" i="57"/>
  <c r="Q59" i="57"/>
  <c r="L59" i="57"/>
  <c r="H54" i="57"/>
  <c r="H53" i="57"/>
  <c r="H52" i="57"/>
  <c r="U31" i="57"/>
  <c r="O83" i="57" s="1"/>
  <c r="U30" i="57"/>
  <c r="O82" i="57" s="1"/>
  <c r="S32" i="57"/>
  <c r="S31" i="57"/>
  <c r="S30" i="57"/>
  <c r="Q32" i="57"/>
  <c r="Q84" i="57" s="1"/>
  <c r="P32" i="57"/>
  <c r="P84" i="57" s="1"/>
  <c r="O32" i="57"/>
  <c r="O84" i="57" s="1"/>
  <c r="N32" i="57"/>
  <c r="N84" i="57" s="1"/>
  <c r="M32" i="57"/>
  <c r="M84" i="57" s="1"/>
  <c r="L32" i="57"/>
  <c r="L84" i="57" s="1"/>
  <c r="Q31" i="57"/>
  <c r="Q83" i="57" s="1"/>
  <c r="P31" i="57"/>
  <c r="O31" i="57"/>
  <c r="N31" i="57"/>
  <c r="N83" i="57" s="1"/>
  <c r="M31" i="57"/>
  <c r="M83" i="57" s="1"/>
  <c r="L31" i="57"/>
  <c r="L83" i="57" s="1"/>
  <c r="Q30" i="57"/>
  <c r="Q82" i="57" s="1"/>
  <c r="P30" i="57"/>
  <c r="O30" i="57"/>
  <c r="N30" i="57"/>
  <c r="N82" i="57" s="1"/>
  <c r="M30" i="57"/>
  <c r="M82" i="57" s="1"/>
  <c r="L30" i="57"/>
  <c r="L82" i="57" s="1"/>
  <c r="S27" i="57"/>
  <c r="S26" i="57"/>
  <c r="S25" i="57"/>
  <c r="L26" i="57"/>
  <c r="L67" i="57" s="1"/>
  <c r="M26" i="57"/>
  <c r="M67" i="57" s="1"/>
  <c r="N26" i="57"/>
  <c r="N67" i="57" s="1"/>
  <c r="O26" i="57"/>
  <c r="O67" i="57" s="1"/>
  <c r="P26" i="57"/>
  <c r="Q26" i="57"/>
  <c r="Q67" i="57" s="1"/>
  <c r="L27" i="57"/>
  <c r="L68" i="57" s="1"/>
  <c r="M27" i="57"/>
  <c r="M68" i="57" s="1"/>
  <c r="N27" i="57"/>
  <c r="N68" i="57" s="1"/>
  <c r="O27" i="57"/>
  <c r="O68" i="57" s="1"/>
  <c r="P27" i="57"/>
  <c r="Q27" i="57"/>
  <c r="Q68" i="57" s="1"/>
  <c r="M25" i="57"/>
  <c r="M66" i="57" s="1"/>
  <c r="N25" i="57"/>
  <c r="N66" i="57" s="1"/>
  <c r="O25" i="57"/>
  <c r="O66" i="57" s="1"/>
  <c r="P25" i="57"/>
  <c r="P66" i="57" s="1"/>
  <c r="Q25" i="57"/>
  <c r="Q66" i="57" s="1"/>
  <c r="L25" i="57"/>
  <c r="L66" i="57" s="1"/>
  <c r="J48" i="55"/>
  <c r="J47" i="55"/>
  <c r="J46" i="55"/>
  <c r="P82" i="57" l="1"/>
  <c r="J82" i="57" s="1"/>
  <c r="J87" i="57" s="1"/>
  <c r="P68" i="57"/>
  <c r="J68" i="57" s="1"/>
  <c r="J73" i="57" s="1"/>
  <c r="P83" i="57"/>
  <c r="J83" i="57" s="1"/>
  <c r="J88" i="57" s="1"/>
  <c r="P67" i="57"/>
  <c r="J67" i="57" s="1"/>
  <c r="J72" i="57" s="1"/>
  <c r="J60" i="57"/>
  <c r="J84" i="57"/>
  <c r="J89" i="57" s="1"/>
  <c r="J61" i="57"/>
  <c r="J59" i="57"/>
  <c r="J66" i="57"/>
  <c r="J71" i="57" s="1"/>
  <c r="J91" i="57" l="1"/>
  <c r="J93" i="57" s="1"/>
  <c r="J75" i="57"/>
  <c r="J77" i="57" s="1"/>
  <c r="J112" i="57" l="1"/>
  <c r="J113" i="57"/>
  <c r="J115" i="57" s="1"/>
  <c r="H117" i="57" s="1"/>
  <c r="J100" i="57"/>
  <c r="J99" i="57"/>
  <c r="J102" i="57" l="1"/>
  <c r="H104" i="57" s="1"/>
  <c r="L106" i="57" s="1"/>
  <c r="L16" i="28"/>
  <c r="P119" i="57" l="1"/>
  <c r="O119" i="57"/>
  <c r="M119" i="57"/>
  <c r="Q119" i="57"/>
  <c r="N119" i="57"/>
  <c r="L119" i="57"/>
  <c r="O106" i="57"/>
  <c r="P106" i="57"/>
  <c r="M106" i="57"/>
  <c r="Q106" i="57"/>
  <c r="N106" i="57"/>
  <c r="H17" i="21" l="1"/>
  <c r="M54" i="27" l="1"/>
  <c r="M55" i="27"/>
  <c r="M56" i="27"/>
  <c r="N68" i="27" l="1"/>
  <c r="N72" i="27" s="1"/>
  <c r="M53" i="27" l="1"/>
  <c r="L55" i="27"/>
  <c r="L56" i="27"/>
  <c r="H16" i="21"/>
  <c r="M68" i="27" l="1"/>
  <c r="M71" i="27" s="1"/>
  <c r="N71" i="27" l="1"/>
  <c r="H123" i="57" l="1"/>
  <c r="O127" i="57" s="1"/>
  <c r="M16" i="28"/>
  <c r="M12" i="21" s="1"/>
  <c r="N16" i="28"/>
  <c r="N12" i="21" s="1"/>
  <c r="O16" i="28"/>
  <c r="O12" i="21" s="1"/>
  <c r="P16" i="28"/>
  <c r="P12" i="21" s="1"/>
  <c r="Q16" i="28"/>
  <c r="Q12" i="21" s="1"/>
  <c r="N127" i="57" l="1"/>
  <c r="M126" i="57"/>
  <c r="N126" i="57"/>
  <c r="Q126" i="57"/>
  <c r="O126" i="57"/>
  <c r="L126" i="57"/>
  <c r="P126" i="57"/>
  <c r="L127" i="57"/>
  <c r="P127" i="57"/>
  <c r="M127" i="57"/>
  <c r="Q127" i="57"/>
  <c r="L12" i="21"/>
  <c r="J12" i="21" s="1"/>
  <c r="H15" i="21"/>
  <c r="M13" i="21"/>
  <c r="N13" i="21"/>
  <c r="O13" i="21"/>
  <c r="P13" i="21"/>
  <c r="Q13" i="21"/>
  <c r="L13" i="21"/>
  <c r="N129" i="57" l="1"/>
  <c r="J126" i="57"/>
  <c r="O129" i="57"/>
  <c r="J127" i="57"/>
  <c r="Q129" i="57"/>
  <c r="L129" i="57"/>
  <c r="M129" i="57"/>
  <c r="P129" i="57"/>
  <c r="O19" i="21"/>
  <c r="L19" i="21"/>
  <c r="L20" i="21" s="1"/>
  <c r="L21" i="21" s="1"/>
  <c r="Q19" i="21"/>
  <c r="N19" i="21"/>
  <c r="M19" i="21"/>
  <c r="P19" i="21"/>
  <c r="J129" i="57" l="1"/>
  <c r="Q20" i="21"/>
  <c r="M20" i="21"/>
  <c r="M21" i="21" s="1"/>
  <c r="N20" i="21"/>
  <c r="N21" i="21" s="1"/>
  <c r="O20" i="21"/>
  <c r="O21" i="21" s="1"/>
  <c r="P20" i="21"/>
  <c r="P21" i="21" s="1"/>
  <c r="J21" i="21" l="1"/>
  <c r="J20" i="21"/>
  <c r="B25" i="10" l="1"/>
  <c r="J19" i="21" l="1"/>
  <c r="B13" i="10" l="1"/>
  <c r="B20" i="10" l="1"/>
  <c r="B14" i="10"/>
  <c r="B15" i="10" l="1"/>
  <c r="B1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19"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N68" authorId="0" shapeId="0" xr:uid="{2C25EF92-CCE6-4B7B-88BA-C41C779A1643}">
      <text>
        <r>
          <rPr>
            <sz val="8"/>
            <color indexed="81"/>
            <rFont val="Tahoma"/>
            <family val="2"/>
          </rPr>
          <t>Waarde voor het eerste half jaar van 2024 wordt geschat door de meest recente beschikbare gegevens te gebruiken.</t>
        </r>
      </text>
    </comment>
  </commentList>
</comments>
</file>

<file path=xl/sharedStrings.xml><?xml version="1.0" encoding="utf-8"?>
<sst xmlns="http://schemas.openxmlformats.org/spreadsheetml/2006/main" count="466" uniqueCount="271">
  <si>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</si>
  <si>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</si>
  <si>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</si>
  <si>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</si>
  <si>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</si>
  <si>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</si>
  <si>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</si>
  <si>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</si>
  <si>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</si>
  <si>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</si>
  <si>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</si>
  <si>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</si>
  <si>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</si>
  <si>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</si>
  <si>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</si>
  <si>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</si>
  <si>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</si>
  <si>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</si>
  <si>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</si>
  <si>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</si>
  <si>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</si>
  <si>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</si>
  <si>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</si>
  <si>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</si>
  <si>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</si>
  <si>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</si>
  <si>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</si>
  <si>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</si>
  <si>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</si>
  <si>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</si>
  <si>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</si>
  <si>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</si>
  <si>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</si>
  <si>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</si>
  <si>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</si>
  <si>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</si>
  <si>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</si>
  <si>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</si>
  <si>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</si>
  <si>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</si>
  <si>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</si>
  <si>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</si>
  <si>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</si>
  <si>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</si>
  <si>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</si>
  <si>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</si>
  <si>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Omschrijving</t>
  </si>
  <si>
    <t>Bronverwijzing</t>
  </si>
  <si>
    <t>Opmerking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</si>
  <si>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</si>
  <si>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</si>
  <si>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</si>
  <si>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</si>
  <si>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</si>
  <si>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</si>
  <si>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Nr.</t>
  </si>
  <si>
    <t xml:space="preserve">Verkorte naam </t>
  </si>
  <si>
    <t>Naam bestand extern</t>
  </si>
  <si>
    <t>Beschrijving berekening</t>
  </si>
  <si>
    <t>Beschrijving resultaat</t>
  </si>
  <si>
    <t>Aanvullende gegevens bestand extern</t>
  </si>
  <si>
    <t>Datum ontvangst, versie nr., opmerkingen</t>
  </si>
  <si>
    <t>Zoals gebruikt in dit bestand</t>
  </si>
  <si>
    <t>ENDURIS</t>
  </si>
  <si>
    <t>ENEXIS</t>
  </si>
  <si>
    <t>LIANDER</t>
  </si>
  <si>
    <t>RENDO</t>
  </si>
  <si>
    <t>STEDIN</t>
  </si>
  <si>
    <t>WESTLAND</t>
  </si>
  <si>
    <t>#</t>
  </si>
  <si>
    <t>%</t>
  </si>
  <si>
    <t>Data rentepercentage tariefcorrecties</t>
  </si>
  <si>
    <t>Toelichting gegevens rentepercentage tariefcorrecties</t>
  </si>
  <si>
    <t>Rentepercentage tariefcorrecties</t>
  </si>
  <si>
    <t>Eerste kwartaal</t>
  </si>
  <si>
    <t>Tweede kwartaal</t>
  </si>
  <si>
    <t>Derde kwartaal</t>
  </si>
  <si>
    <t>Vierde kwartaal</t>
  </si>
  <si>
    <t>Mutatie van bedrag in oorspronkelijk prijspeil naar boekjaar</t>
  </si>
  <si>
    <t>Samengesteld percentage op basis van juli - juli mutatie:</t>
  </si>
  <si>
    <t>Berekening rentepercentage tariefcorrecties op jaarbasis</t>
  </si>
  <si>
    <t>Berekening mutatie rentepercentage tariefcorrecties over meerdere jaren</t>
  </si>
  <si>
    <t>Berekening op basis van parameters</t>
  </si>
  <si>
    <t>Totale Inkomsten exclusief correcties</t>
  </si>
  <si>
    <t>X-factor</t>
  </si>
  <si>
    <t>Begininkomsten</t>
  </si>
  <si>
    <t>Input x-factoren en begininkomsten</t>
  </si>
  <si>
    <t>COTEQ</t>
  </si>
  <si>
    <t xml:space="preserve">StatLine </t>
  </si>
  <si>
    <t>Data cpi</t>
  </si>
  <si>
    <t>Toelichting vaststelling jaarlijks cpi-percentage</t>
  </si>
  <si>
    <t>cpi percentage</t>
  </si>
  <si>
    <t>De gegevens zijn afkomstig uit StatLine, zie de reeks: Jaarmutatie consumentenprijsindex; vanaf 1963 (www.cbs.nl)</t>
  </si>
  <si>
    <t>EUR, pp 2020</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</si>
  <si>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</si>
  <si>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</si>
  <si>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Data en input (bron wordt vermeld)</t>
  </si>
  <si>
    <t>EUR, pp 2021</t>
  </si>
  <si>
    <t>Grijze cijfers geven de uitkomst van een check berekening; dit is geen resultaat waarmee verder wordt gerekend</t>
  </si>
  <si>
    <t>2022</t>
  </si>
  <si>
    <t>Begininkomsten 2021</t>
  </si>
  <si>
    <t>X-factor 2022-2026</t>
  </si>
  <si>
    <t>EUR, pp 2022</t>
  </si>
  <si>
    <t>cpi 2022</t>
  </si>
  <si>
    <t>Begininkomsten en x-factoren 2022-2026</t>
  </si>
  <si>
    <t>Aansluitdienst</t>
  </si>
  <si>
    <t>TI 2022 (exclusief correcties)</t>
  </si>
  <si>
    <t>StatLine</t>
  </si>
  <si>
    <t>https://opendata.cbs.nl/#/CBS/nl/dataset/70936ned/table?ts=1631782812900</t>
  </si>
  <si>
    <t>DNB</t>
  </si>
  <si>
    <t>https://www.dnb.nl/statistieken/data-zoeken/#/details/wettelijke-rente/dataset/2ed0b77d-72c5-47e8-8a3d-0c213048e11d/resource/b363a333-1ce1-4ba0-83b9-80bdf6f78fa0</t>
  </si>
  <si>
    <t>Gewijzigde X-factorberekening regionale netbeheerders gas 2022-2026</t>
  </si>
  <si>
    <t>Gewijzigde X-factorberekening RNB G 2022-2026</t>
  </si>
  <si>
    <t>2023</t>
  </si>
  <si>
    <t>EUR, pp 2023</t>
  </si>
  <si>
    <t>TI 2023 (exclusief correcties)</t>
  </si>
  <si>
    <t>cpi 2023</t>
  </si>
  <si>
    <t>Voor bedragen oorspronkelijk in prijspeil 2022</t>
  </si>
  <si>
    <t xml:space="preserve">De relatieve wijziging van de consumentenprijsindex wordt berekend uit het quotiënt van van deze index, gepubliceerd in de vierde maand voorafgaande aan het jaar t, </t>
  </si>
  <si>
    <t>en van deze index, gepubliceerd in de zestiende maand voorafgaande aan het jaar t, zoals deze maandelijks wordt vastgesteld door het CBS.</t>
  </si>
  <si>
    <t>https://www.acm.nl/nl/publicaties/herstel-x-factorberekening-regionale-netbeheerders-gas-2021-2026</t>
  </si>
  <si>
    <t>2024</t>
  </si>
  <si>
    <t>Transportdienst</t>
  </si>
  <si>
    <t>Voor bedragen oorspronkelijk in prijspeil 2023</t>
  </si>
  <si>
    <t>Mutatie rentepercentage van 2022 naar 2024</t>
  </si>
  <si>
    <t>EUR, pp 2024</t>
  </si>
  <si>
    <t>cpi 2024</t>
  </si>
  <si>
    <t>TI 2024 (exclusief correcties)</t>
  </si>
  <si>
    <t>Parameters</t>
  </si>
  <si>
    <t>TI-berekening 2024</t>
  </si>
  <si>
    <t>Samengestelde output</t>
  </si>
  <si>
    <t>Nacalculatiebedragen</t>
  </si>
  <si>
    <t>Op dit tabblad worden de totale inkomsten (inclusief correcties) berekend. Dit gebeurt door de wettelijke formule toe te passen op de begininkomsten, dit resulteert in de TI 2024 (exclusief correcties). Hierop worden vervolgens correcties toegepast.</t>
  </si>
  <si>
    <t>Op dit blad worden input gegevens uit het x-factor berekeningsbestand verzameld.</t>
  </si>
  <si>
    <t>Nominale WACC 2022</t>
  </si>
  <si>
    <t>Ophalen parameters</t>
  </si>
  <si>
    <t>Gegevens GAW</t>
  </si>
  <si>
    <t>GAW 2018</t>
  </si>
  <si>
    <t>EUR, pp 2018</t>
  </si>
  <si>
    <t>GAW 2019</t>
  </si>
  <si>
    <t>EUR, pp 2019</t>
  </si>
  <si>
    <t>GAW 2020</t>
  </si>
  <si>
    <t>WACC in x-factorberekening</t>
  </si>
  <si>
    <t>WACC bestaand vermogen incl. nacalculatie rente</t>
  </si>
  <si>
    <t>Nacalculatiemodel WACC 2022</t>
  </si>
  <si>
    <t>Productiviteitsverandering tot 2021</t>
  </si>
  <si>
    <t>Productiviteitsverandering 2021-2026</t>
  </si>
  <si>
    <t>Geschatte jaarlijkse CPI voor de periode 2022-2026</t>
  </si>
  <si>
    <t>RENDO incl. BV</t>
  </si>
  <si>
    <t>GAW AD</t>
  </si>
  <si>
    <t>GAW TD</t>
  </si>
  <si>
    <t>Nominale WACC begininkomstenjaar 2021</t>
  </si>
  <si>
    <t>Nominale WACC eindinkomstenjaar 2026</t>
  </si>
  <si>
    <t>Productiviteitsverandering AD</t>
  </si>
  <si>
    <t>Productiviteitsverandering TD</t>
  </si>
  <si>
    <t>SO totaal voor maatstaf TD 2022-2026</t>
  </si>
  <si>
    <t>SO totaal voor maatstaf AD 2022-2026 (EAV o.b.v. peiljaren)</t>
  </si>
  <si>
    <t>SO totaal voor maatstaf AD 2022-2026 (EAV o.b.v. 2020)</t>
  </si>
  <si>
    <t>Ophalen gegevens GAW</t>
  </si>
  <si>
    <t>CPI</t>
  </si>
  <si>
    <t>CPI 2019</t>
  </si>
  <si>
    <t>CPI 2020</t>
  </si>
  <si>
    <t>CPI 2021</t>
  </si>
  <si>
    <t>EUR/#, pp 2022</t>
  </si>
  <si>
    <t>2019</t>
  </si>
  <si>
    <t>2020</t>
  </si>
  <si>
    <t>2021</t>
  </si>
  <si>
    <t>Berekening GAW AD in efficiëntieniveau en prijspeil 2022</t>
  </si>
  <si>
    <t>GAW TD incl. correctie Enduris en correctie RENDO voor start-GAW</t>
  </si>
  <si>
    <t>Berekening GAW TD in efficiëntieniveau en prijspeil 2022</t>
  </si>
  <si>
    <t>Nominale WACC 2022 in x-factorberekening</t>
  </si>
  <si>
    <t>Nacalculatiebedrag in tarieven 2024</t>
  </si>
  <si>
    <t>Nacalculatie AD</t>
  </si>
  <si>
    <t>Nacalculatie TD</t>
  </si>
  <si>
    <t>GAW TD in 2021</t>
  </si>
  <si>
    <t>Gemiddelde GAW TD in 2021</t>
  </si>
  <si>
    <t>Gemiddelde GAW TD in 2022</t>
  </si>
  <si>
    <t>Gemiddelde GAW AD in 2021</t>
  </si>
  <si>
    <t>Gemiddelde GAW AD in 2022</t>
  </si>
  <si>
    <t>GAW AD in 2021</t>
  </si>
  <si>
    <t>GAW AD incl. correctie Enduris</t>
  </si>
  <si>
    <t>Gewijzigd kostenbestand RNB G 2022-2026, tabblad 'Berekening kapitaalkosten AD', rij 161</t>
  </si>
  <si>
    <t>Gewijzigd kostenbestand RNB G 2022-2026, tabblad 'Berekening kapitaalkosten AD', rij 204</t>
  </si>
  <si>
    <t>Gewijzigd kostenbestand RNB G 2022-2026, tabblad 'Berekening kapitaalkosten AD', rij 247</t>
  </si>
  <si>
    <t>Gewijzigd kostenbestand RNB G 2022-2026, tabblad 'Berekening kapitaalkosten TD', rij 161</t>
  </si>
  <si>
    <t>Gewijzigd kostenbestand RNB G 2022-2026, tabblad 'Berekening kapitaalkosten TD', rij 204</t>
  </si>
  <si>
    <t>Gewijzigd kostenbestand RNB G 2022-2026, tabblad 'Berekening kapitaalkosten TD', rij 247</t>
  </si>
  <si>
    <t>Gewijzigde x-factorberekening RNB G 2022-2026, tabblad 'Reguleringsparameters', cel H13</t>
  </si>
  <si>
    <t>Gewijzigde x-factorberekening RNB G 2022-2026, tabblad 'Reguleringsparameters', cel H14</t>
  </si>
  <si>
    <t>Gewijzigde x-factorberekening RNB G 2022-2026, tabblad 'Reguleringsparameters', cel H26</t>
  </si>
  <si>
    <t xml:space="preserve"> </t>
  </si>
  <si>
    <t>Gewijzigde x-factorberekening RNB G 2022-2026, tabblad 'SO, BI &amp; PV', rij 12</t>
  </si>
  <si>
    <t>Gewijzigde x-factorberekening RNB G 2022-2026, tabblad 'SO, BI &amp; PV', rij 28</t>
  </si>
  <si>
    <t>Gewijzigde x-factorberekening RNB G 2022-2026, tabblad 'SO, BI &amp; PV', rij 29</t>
  </si>
  <si>
    <t>Gewijzigde x-factorberekening RNB G 2022-2026, tabblad 'Resultaat', cel H33</t>
  </si>
  <si>
    <t>Gewijzigde x-factorberekening RNB G 2022-2026, tabblad 'Resultaat', cel H35</t>
  </si>
  <si>
    <t>Gewijzigde x-factorberekening RNB G 2022-2026, tabblad 'Resultaat', cel H32</t>
  </si>
  <si>
    <t>Gewijzigde x-factorberekening RNB G 2022-2026, tabblad 'Resultaat', cel H34</t>
  </si>
  <si>
    <t>Verschil efficiënte vermogenskosten TD 2022</t>
  </si>
  <si>
    <t>Verschil efficiënte vermogenskosten TD per SO</t>
  </si>
  <si>
    <t>Verschil efficiënte vermogenskosten TD per netbeheerder o.b.v. SO</t>
  </si>
  <si>
    <t>Verschil efficiënte vermogenskosten AD 2022</t>
  </si>
  <si>
    <t>Verschil efficiënte vermogenskosten AD per SO (EAV o.b.v. peiljaren)</t>
  </si>
  <si>
    <t>Verschil efficiënte vermogenskosten AD per netbeheerder o.b.v. SO (EAV o.b.v. 2020)</t>
  </si>
  <si>
    <t>Gewijzigde x-factorberekening RNB G 2022 - 2026, tabblad  'Resultaat', regel 12</t>
  </si>
  <si>
    <t>Gewijzigde x-factorberekening RNB G 2022 - 2026, tabblad  'Resultaat', regel 16</t>
  </si>
  <si>
    <t>Gewijzigde x-factorberekening RNB G 2022 - 2026, tabblad  'Resultaat', regel 20</t>
  </si>
  <si>
    <t>Gewijzigd kostenbestand RNB G 2022-2026</t>
  </si>
  <si>
    <t>Gewijzigd kostenbestand regionale netbeheerders gas 2022-2026</t>
  </si>
  <si>
    <t>Er is in de methodebesluiten dus geen afzonderlijke WACC vastgesteld voor de tussenliggende jaren 2022-2025. Deze afzonderlijke WACC is wel benodigd voor de nacalculatie van de WACC voor deze jaren.</t>
  </si>
  <si>
    <t>Door de afzonderlijke WACC te berekenen voor ieder tussenliggend jaar ziet de nacalculatie telkens op één jaar en is er geen sprake van een herverdeling van inkomsten over tijd.</t>
  </si>
  <si>
    <t>De nacalculatie komt vervolgens tot stand via de volgende stappen:</t>
  </si>
  <si>
    <t>Stap 1: Het startpunt is de sectorgemiddelde GAW 2018-2020 in efficiëntie niveau 2021 en prijspeil 2021 uit het x-factorbestand.</t>
  </si>
  <si>
    <t>Stap 4: Het verschil tussen de twee vermogenskosten vormt het nacalculatiebedrag voor de sector.</t>
  </si>
  <si>
    <t>Stap 5: Voor het aansluitdomein wordt dit bedrag gecorrigeerd voor het verschil tussen de SO op basis van de EAV in de peiljaren en de SO op basis van de EAV in enkel 2020.</t>
  </si>
  <si>
    <t>Stap 6: Dit bedrag wordt vervolgens op basis van de samengestelde output aan de individuele netbeheerders toebedeeld om tot het nacalculatiebedrag te komen.</t>
  </si>
  <si>
    <t>CPI jaar t</t>
  </si>
  <si>
    <t>Berekening CPI-tabel</t>
  </si>
  <si>
    <t>Groeifactor</t>
  </si>
  <si>
    <t xml:space="preserve">CPI van … naar … </t>
  </si>
  <si>
    <t>Kolommen L tot AD zijn ingeklapt ten behoeve van het overzicht.</t>
  </si>
  <si>
    <t>De geschatte vermogenskosten vormen onderdeel van de x-factorberekening. De ACM stelt de jaarlijkse geschatte vermogenskosten in de x-factorberekening vast door uit te gaan van een lineair verloop van de geschatte efficiënte kosten tussen 2021 en 2026.</t>
  </si>
  <si>
    <t>Daarom wordt eerst de WACC berekend voor de tussenliggende jaren 2022-2025, uitgaande van het lineaire verloop van geschatte efficiënte kosten tussen 2021 en 2026.</t>
  </si>
  <si>
    <t>Stap 2: De sectorgemiddelde GAW wordt met behulp van de productiviteitsverandering en de geschatte CPI naar het efficiëntie niveau en prijspeil 2022 gebracht.</t>
  </si>
  <si>
    <t>Input parameters</t>
  </si>
  <si>
    <t>Deze parameters betreffen de CPI en het rentepercentage tariefcorrecties.</t>
  </si>
  <si>
    <t>Op dit blad worden inputgegevens verzameld voor relevante parameters in de berekening van de Totale Inkomsten.</t>
  </si>
  <si>
    <t>De ACM gebruikt het rentepercentage tariefcorrecties voor de vergoeding van de tijdwaarde van geld in het geval van het toekennen van correcties in de tarieven die volgen uit nacalculaties over eerdere jaren.</t>
  </si>
  <si>
    <t>De nacalculaties waarop het rentepercentage tariefcorrecties wordt toegepast kunnen zowel positief als negatief zijn; ACM past het rentepercentage tariefcorrecties symmetrisch toe.</t>
  </si>
  <si>
    <t>De ACM hanteert vanaf 2022 de wettelijke rente als rentepercentage tariefcorrecties. De wettelijke rente wordt halfjaarlijks door De Nederlandsche Bank gepubliceerd.</t>
  </si>
  <si>
    <t>De definitieve waarden voor het eerste half jaar van 2024 worden pas begin 2024 bekend. De ACM neemt hiervoor een schatting op die zij baseert op de berekeningsmethode van de wettelijke rente zoals gehanteerd bij de meest recente wijziging van de wettelijke rente.</t>
  </si>
  <si>
    <t>Deze berekeningsmethode gaat voor de bepaling van de wettelijke rente voor het eerste half jaar van 2024 uit van de stand van de basisherfinancieringsrente van de ECB (ECB rente) eind oktober 2023.</t>
  </si>
  <si>
    <t>Ten tijde van het vaststellen van de totale inkomsten voor 2024 is de rentestand eind oktober niet bekend. In het tarievenbesluit 2024 baseert de ACM de geschatte wettelijke rente op de meest recente rentestand ten tijde van vaststelling van de totale inkomsten. De peildatum die hiervoor wordt aangehouden is 31 augustus 2023 om 23:59u.</t>
  </si>
  <si>
    <t>Rentepercentage wettelijke rente</t>
  </si>
  <si>
    <t>Rentepercentage ECB rente</t>
  </si>
  <si>
    <t>Rentestand op 31 augustus 2023</t>
  </si>
  <si>
    <t>ECB</t>
  </si>
  <si>
    <t>Ophalen gegevens voor berekening CPI</t>
  </si>
  <si>
    <t>Ophalen gegevens voor berekening rentepercentage tariefcorrecties</t>
  </si>
  <si>
    <t>Wettelijke rente 2024</t>
  </si>
  <si>
    <t>Schatting wettelijke rente eerste kwartaal</t>
  </si>
  <si>
    <t>Schatting wettelijke rente tweede kwartaal</t>
  </si>
  <si>
    <t>1 + CPI</t>
  </si>
  <si>
    <t>De ACM schat de wettelijkre rente voor het eerste en tweede kwartaal van 2024 op basis van de verwachte berekeningsmethode.</t>
  </si>
  <si>
    <t>Volgens deze berekeningsmethode staat de wettelijke rente gelijk aan de som van de ECB rente en 2,25%, afgerond naar boven.</t>
  </si>
  <si>
    <t>Voor het eerste en tweede kwartaal van 2024 wordt de stand van de ECB rente eind oktober toegepast. Omdat deze rentestand niet bekend is ten tijde van het vaststellen van de totale inkomsten gaat de ACM uit van de meest recente rentestand.</t>
  </si>
  <si>
    <t>De peildatum die hiervoor wordt aangehouden is 31 augustus om 23:59u.</t>
  </si>
  <si>
    <t>Op dit blad wordt voor de CPI en de wettelijke rente de mutatie tussen twee jaren berekend.</t>
  </si>
  <si>
    <t>De wettelijke rente is relevant voor de berekening van nacalculatiebedragen. Door de wettelijke rente toe te passen kunnen nacalculatiebedragen uit eerdere jaren naar het prijspeil in het tarievenjaar 2024 worden gebracht.</t>
  </si>
  <si>
    <t>https://www.ecb.europa.eu/stats/policy_and_exchange_rates/key_ecb_interest_rates/html/index.nl.html</t>
  </si>
  <si>
    <t>Omdat de personeelsentiteit van RENDO tot en met 2019 deel uitmaakte van de transportdienst van de netbeheerder wordt er tot en met 2019 rekening gehouden met de GAW van RENDO inclusief de activa van de personeelsentiteit.</t>
  </si>
  <si>
    <t>Tarievenbesluiten regionale netbeheerders gas 2025</t>
  </si>
  <si>
    <t>Berekening totale inkomsten 2025 regionale netbeheerders gas</t>
  </si>
  <si>
    <t>In dit bestand berekent de ACM de input voor de nacalculatie gewijzigd methodebesluit gas 2022-2024, wat onderdeel uitmaakt van de berekening van de Totale Inkomsten (TI) voor het jaar 2025 voor de regionale netbeheerders gas.</t>
  </si>
  <si>
    <t>Input risicovrije rente en de rente voor de kostenvoet vreemd vermogen 2022</t>
  </si>
  <si>
    <t>Op dit blad worden input gegevens verzameld voor de nacalculatie van de risicovrije rente en de rente voor de kostenvoet vreemd vermogen in de WACC in 2022.</t>
  </si>
  <si>
    <t>De nacalculatie staat gelijk aan het verschil tussen de in het x-factorbesluit geschatte vermogenskosten voor 2022 en de vermogenskosten op basis van de herrekende WACC in 2022.</t>
  </si>
  <si>
    <t>Toelichting bij bijzonderheden</t>
  </si>
  <si>
    <t>Nacalculatie risicovrije rente en de rente voor de kostenvoet vreemd vermogen 2022</t>
  </si>
  <si>
    <t>Voor de nacalculatie WACC wordt jaarlijks het absolute verschil berekend tussen de geschatte vermogenskosten en de vermogenskosten op basis van de herrekende WACC.</t>
  </si>
  <si>
    <t>Stap 3: Vervolgens worden de vermogenskosten tweemaal berekend door de GAW te vermenigvuldigen met 1) de WACC die is af te leiden uit de x-factorberekening en 2) de herrekende WACC.</t>
  </si>
  <si>
    <t>WACC bestaand vermogen incl. nacalculatie rente (herrekende WACC)</t>
  </si>
  <si>
    <t>Berekening verschil vermogenskosten AD n.a.v. herrekende WACC</t>
  </si>
  <si>
    <t>Efficiënte vermogenskosten AD 2022 in x-factorberekening</t>
  </si>
  <si>
    <t>Efficiënte vermogenskosten AD 2022 obv herrekende WACC</t>
  </si>
  <si>
    <t>Berekening verschil vermogenskosten TD n.a.v. herrekende WACC</t>
  </si>
  <si>
    <t>Efficiënte vermogenskosten TD 2022 in x-factorberekening</t>
  </si>
  <si>
    <t>Efficiënte vermogenskosten TD 2022 obv herrekende WACC</t>
  </si>
  <si>
    <t>ACM/23/187178</t>
  </si>
  <si>
    <t>Ja</t>
  </si>
  <si>
    <t>Berekening input nacalculatie gewijzigd methodebesluit 2022-2024 regionale netbeheerders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</si>
</sst>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0_-;_-* #,##0\-;_-* &quot;-&quot;??_-;_-@_-"/>
    <numFmt numFmtId="165" formatCode="_ * #,##0_ ;_ * \-#,##0_ ;_ * &quot;-&quot;??_ ;_ @_ "/>
    <numFmt numFmtId="166" formatCode="0.0%"/>
    <numFmt numFmtId="167" formatCode="_-* #,##0_-;_-* #,##0\-;_-* &quot;-&quot;_-;_-@_-"/>
    <numFmt numFmtId="168" formatCode="_-* #,##0.00_-;_-* #,##0.00\-;_-* &quot;-&quot;??_-;_-@_-"/>
    <numFmt numFmtId="169" formatCode="_ * #,##0.00_ ;_ * \-#,##0.00_ ;_ * &quot;-&quot;_ ;_ @_ "/>
    <numFmt numFmtId="170" formatCode="0.00000%"/>
    <numFmt numFmtId="171" formatCode="_ * #,##0.000_ ;_ * \-#,##0.000_ ;_ * &quot;-&quot;_ ;_ @_ "/>
    <numFmt numFmtId="172" formatCode="0.000"/>
  </numFmts>
  <fonts count="4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u/>
      <sz val="10"/>
      <color theme="10"/>
      <name val="Arial"/>
      <family val="2"/>
    </font>
    <font>
      <sz val="8"/>
      <name val="Calibri"/>
      <family val="2"/>
      <scheme val="minor"/>
    </font>
    <font>
      <sz val="10"/>
      <color rgb="FF000000"/>
      <name val="Arial"/>
      <family val="2"/>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1FFE1"/>
        <bgColor indexed="64"/>
      </patternFill>
    </fill>
    <fill>
      <patternFill patternType="solid">
        <fgColor rgb="FF99FF99"/>
        <bgColor indexed="64"/>
      </patternFill>
    </fill>
    <fill>
      <patternFill patternType="solid">
        <fgColor theme="0" tint="-0.14996795556505021"/>
        <bgColor indexed="64"/>
      </patternFill>
    </fill>
    <fill>
      <patternFill patternType="solid">
        <fgColor indexed="9"/>
        <bgColor indexed="64"/>
      </patternFill>
    </fill>
  </fills>
  <borders count="1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95">
    <xf numFmtId="0" fontId="0" fillId="0" borderId="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0" borderId="0">
      <alignment vertical="top"/>
    </xf>
    <xf numFmtId="49" fontId="18" fillId="5" borderId="1">
      <alignment vertical="top"/>
    </xf>
    <xf numFmtId="49" fontId="15" fillId="23" borderId="1">
      <alignment vertical="top"/>
    </xf>
    <xf numFmtId="49" fontId="15" fillId="0" borderId="0">
      <alignment vertical="top"/>
    </xf>
    <xf numFmtId="43" fontId="14" fillId="16" borderId="0">
      <alignment vertical="top"/>
    </xf>
    <xf numFmtId="43" fontId="14" fillId="15" borderId="0">
      <alignment vertical="top"/>
    </xf>
    <xf numFmtId="43" fontId="14" fillId="13" borderId="0">
      <alignment vertical="top"/>
    </xf>
    <xf numFmtId="43" fontId="14" fillId="6" borderId="0">
      <alignment vertical="top"/>
    </xf>
    <xf numFmtId="43" fontId="14" fillId="8" borderId="0">
      <alignment vertical="top"/>
    </xf>
    <xf numFmtId="43" fontId="14" fillId="17" borderId="0">
      <alignment vertical="top"/>
    </xf>
    <xf numFmtId="49" fontId="19" fillId="0" borderId="0">
      <alignment vertical="top"/>
    </xf>
    <xf numFmtId="0" fontId="26" fillId="19" borderId="3" applyNumberFormat="0" applyAlignment="0" applyProtection="0"/>
    <xf numFmtId="0" fontId="27" fillId="20" borderId="4" applyNumberFormat="0" applyAlignment="0" applyProtection="0"/>
    <xf numFmtId="0" fontId="28" fillId="20" borderId="3" applyNumberFormat="0" applyAlignment="0" applyProtection="0"/>
    <xf numFmtId="0" fontId="29" fillId="0" borderId="5" applyNumberFormat="0" applyFill="0" applyAlignment="0" applyProtection="0"/>
    <xf numFmtId="0" fontId="23" fillId="21" borderId="6" applyNumberFormat="0" applyAlignment="0" applyProtection="0"/>
    <xf numFmtId="0" fontId="25" fillId="22" borderId="7" applyNumberFormat="0" applyFont="0" applyAlignment="0" applyProtection="0"/>
    <xf numFmtId="0" fontId="30" fillId="0" borderId="0" applyNumberForma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4" fontId="25" fillId="0" borderId="0" applyFont="0" applyFill="0" applyBorder="0" applyAlignment="0" applyProtection="0"/>
    <xf numFmtId="42" fontId="25" fillId="0" borderId="0" applyFont="0" applyFill="0" applyBorder="0" applyAlignment="0" applyProtection="0"/>
    <xf numFmtId="9" fontId="25" fillId="0" borderId="0" applyFont="0" applyFill="0" applyBorder="0" applyAlignment="0" applyProtection="0"/>
    <xf numFmtId="0" fontId="31" fillId="0" borderId="0" applyNumberFormat="0" applyFill="0" applyBorder="0" applyAlignment="0" applyProtection="0"/>
    <xf numFmtId="0" fontId="32" fillId="0" borderId="8" applyNumberFormat="0" applyFill="0" applyAlignment="0" applyProtection="0"/>
    <xf numFmtId="0" fontId="33" fillId="0" borderId="9" applyNumberFormat="0" applyFill="0" applyAlignment="0" applyProtection="0"/>
    <xf numFmtId="0" fontId="34" fillId="0" borderId="10" applyNumberFormat="0" applyFill="0" applyAlignment="0" applyProtection="0"/>
    <xf numFmtId="0" fontId="34" fillId="0" borderId="0" applyNumberFormat="0" applyFill="0" applyBorder="0" applyAlignment="0" applyProtection="0"/>
    <xf numFmtId="0" fontId="24" fillId="0" borderId="0" applyNumberFormat="0" applyFill="0" applyBorder="0" applyAlignment="0" applyProtection="0"/>
    <xf numFmtId="0" fontId="35" fillId="0" borderId="0" applyNumberFormat="0" applyFill="0" applyBorder="0" applyAlignment="0" applyProtection="0"/>
    <xf numFmtId="0" fontId="36" fillId="0" borderId="11" applyNumberFormat="0" applyFill="0" applyAlignment="0" applyProtection="0"/>
    <xf numFmtId="0" fontId="37"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7" fillId="47" borderId="0" applyNumberFormat="0" applyBorder="0" applyAlignment="0" applyProtection="0"/>
    <xf numFmtId="0" fontId="38" fillId="0" borderId="0" applyNumberForma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30" fillId="0" borderId="0" applyNumberFormat="0" applyFill="0" applyBorder="0" applyAlignment="0" applyProtection="0"/>
    <xf numFmtId="165" fontId="14" fillId="7" borderId="0"/>
    <xf numFmtId="43" fontId="14" fillId="49" borderId="0">
      <alignment vertical="top"/>
    </xf>
    <xf numFmtId="43" fontId="14" fillId="50" borderId="0">
      <alignment vertical="top"/>
    </xf>
    <xf numFmtId="43" fontId="14" fillId="51" borderId="0" applyNumberFormat="0">
      <alignment vertical="top"/>
    </xf>
    <xf numFmtId="0" fontId="30" fillId="0" borderId="0" applyNumberFormat="0" applyFill="0" applyBorder="0" applyAlignment="0" applyProtection="0"/>
    <xf numFmtId="9" fontId="14" fillId="0" borderId="0" applyFont="0" applyFill="0" applyBorder="0" applyAlignment="0" applyProtection="0"/>
    <xf numFmtId="168" fontId="14" fillId="0" borderId="0" applyFont="0" applyFill="0" applyBorder="0" applyAlignment="0" applyProtection="0"/>
    <xf numFmtId="43" fontId="25" fillId="0" borderId="0" applyFont="0" applyFill="0" applyBorder="0" applyAlignment="0" applyProtection="0"/>
    <xf numFmtId="168" fontId="14" fillId="0" borderId="0" applyFont="0" applyFill="0" applyBorder="0" applyAlignment="0" applyProtection="0"/>
    <xf numFmtId="9" fontId="25"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applyFill="0"/>
    <xf numFmtId="0" fontId="25" fillId="0" borderId="0"/>
    <xf numFmtId="0" fontId="14" fillId="0" borderId="0"/>
    <xf numFmtId="0" fontId="14" fillId="0" borderId="0"/>
    <xf numFmtId="0" fontId="14" fillId="0" borderId="0"/>
    <xf numFmtId="41" fontId="14" fillId="15" borderId="0">
      <alignment vertical="top"/>
    </xf>
    <xf numFmtId="0" fontId="14" fillId="0" borderId="0"/>
    <xf numFmtId="41" fontId="14" fillId="49" borderId="0">
      <alignment vertical="top"/>
    </xf>
    <xf numFmtId="0" fontId="5" fillId="0" borderId="0">
      <alignment vertical="top"/>
    </xf>
    <xf numFmtId="43" fontId="25" fillId="0" borderId="0" applyFont="0" applyFill="0" applyBorder="0" applyAlignment="0" applyProtection="0"/>
    <xf numFmtId="49" fontId="15" fillId="23" borderId="1">
      <alignment vertical="top"/>
    </xf>
    <xf numFmtId="9" fontId="25" fillId="0" borderId="0" applyFont="0" applyFill="0" applyBorder="0" applyAlignment="0" applyProtection="0"/>
    <xf numFmtId="41" fontId="14" fillId="50" borderId="0">
      <alignment vertical="top"/>
    </xf>
    <xf numFmtId="49" fontId="18" fillId="5" borderId="1">
      <alignment vertical="top"/>
    </xf>
    <xf numFmtId="41" fontId="14" fillId="49" borderId="0">
      <alignment vertical="top"/>
    </xf>
    <xf numFmtId="0" fontId="2" fillId="0" borderId="0">
      <alignment vertical="top"/>
    </xf>
    <xf numFmtId="10" fontId="14" fillId="0" borderId="0" applyFont="0" applyFill="0" applyBorder="0" applyAlignment="0" applyProtection="0">
      <alignment vertical="top"/>
    </xf>
    <xf numFmtId="0" fontId="14" fillId="0" borderId="0"/>
    <xf numFmtId="0" fontId="14" fillId="0" borderId="0"/>
  </cellStyleXfs>
  <cellXfs count="110">
    <xf numFmtId="0" fontId="0" fillId="0" borderId="0" xfId="0"/>
    <xf numFmtId="0" fontId="15" fillId="0" borderId="0" xfId="4" applyFont="1">
      <alignment vertical="top"/>
    </xf>
    <xf numFmtId="0" fontId="14" fillId="0" borderId="0" xfId="4">
      <alignment vertical="top"/>
    </xf>
    <xf numFmtId="0" fontId="16" fillId="0" borderId="0" xfId="4" applyFont="1">
      <alignment vertical="top"/>
    </xf>
    <xf numFmtId="0" fontId="19" fillId="0" borderId="0" xfId="4" applyFont="1">
      <alignment vertical="top"/>
    </xf>
    <xf numFmtId="0" fontId="20" fillId="0" borderId="0" xfId="4" applyFont="1">
      <alignment vertical="top"/>
    </xf>
    <xf numFmtId="49" fontId="15" fillId="23" borderId="1" xfId="6">
      <alignment vertical="top"/>
    </xf>
    <xf numFmtId="0" fontId="16" fillId="0" borderId="2" xfId="4" applyFont="1" applyBorder="1" applyAlignment="1">
      <alignment horizontal="left" vertical="top" wrapText="1"/>
    </xf>
    <xf numFmtId="0" fontId="14" fillId="0" borderId="2" xfId="4" applyBorder="1" applyAlignment="1">
      <alignment horizontal="left" vertical="top" wrapText="1"/>
    </xf>
    <xf numFmtId="0" fontId="18" fillId="5" borderId="1" xfId="4" applyFont="1" applyFill="1" applyBorder="1">
      <alignment vertical="top"/>
    </xf>
    <xf numFmtId="0" fontId="17" fillId="5" borderId="1" xfId="4" applyFont="1" applyFill="1" applyBorder="1">
      <alignment vertical="top"/>
    </xf>
    <xf numFmtId="0" fontId="14" fillId="10" borderId="0" xfId="4" applyFill="1">
      <alignment vertical="top"/>
    </xf>
    <xf numFmtId="0" fontId="14" fillId="11" borderId="0" xfId="4" applyFill="1">
      <alignment vertical="top"/>
    </xf>
    <xf numFmtId="0" fontId="14" fillId="12" borderId="0" xfId="4" applyFill="1">
      <alignment vertical="top"/>
    </xf>
    <xf numFmtId="0" fontId="14" fillId="7" borderId="0" xfId="4" applyFill="1">
      <alignment vertical="top"/>
    </xf>
    <xf numFmtId="2" fontId="14" fillId="14" borderId="0" xfId="4" applyNumberFormat="1" applyFill="1">
      <alignment vertical="top"/>
    </xf>
    <xf numFmtId="1" fontId="14" fillId="0" borderId="0" xfId="4" applyNumberFormat="1">
      <alignment vertical="top"/>
    </xf>
    <xf numFmtId="1" fontId="19" fillId="0" borderId="0" xfId="4" applyNumberFormat="1" applyFont="1">
      <alignment vertical="top"/>
    </xf>
    <xf numFmtId="0" fontId="22" fillId="0" borderId="0" xfId="4" applyFont="1">
      <alignment vertical="top"/>
    </xf>
    <xf numFmtId="0" fontId="18" fillId="5" borderId="1" xfId="5" applyNumberFormat="1">
      <alignment vertical="top"/>
    </xf>
    <xf numFmtId="0" fontId="24" fillId="0" borderId="0" xfId="4" applyFont="1">
      <alignment vertical="top"/>
    </xf>
    <xf numFmtId="0" fontId="16" fillId="9" borderId="0" xfId="4" applyFont="1" applyFill="1">
      <alignment vertical="top"/>
    </xf>
    <xf numFmtId="0" fontId="16" fillId="11" borderId="0" xfId="4" applyFont="1" applyFill="1">
      <alignment vertical="top"/>
    </xf>
    <xf numFmtId="0" fontId="16" fillId="12" borderId="0" xfId="4" applyFont="1" applyFill="1">
      <alignment vertical="top"/>
    </xf>
    <xf numFmtId="0" fontId="14" fillId="18" borderId="0" xfId="4" applyFill="1">
      <alignment vertical="top"/>
    </xf>
    <xf numFmtId="49" fontId="16" fillId="23" borderId="0" xfId="6" applyFont="1" applyBorder="1">
      <alignment vertical="top"/>
    </xf>
    <xf numFmtId="49" fontId="14" fillId="23" borderId="2" xfId="6" applyFont="1" applyBorder="1">
      <alignment vertical="top"/>
    </xf>
    <xf numFmtId="0" fontId="16" fillId="0" borderId="0" xfId="4" applyFont="1" applyAlignment="1">
      <alignment horizontal="left" vertical="top" wrapText="1"/>
    </xf>
    <xf numFmtId="49" fontId="15" fillId="0" borderId="0" xfId="7">
      <alignment vertical="top"/>
    </xf>
    <xf numFmtId="0" fontId="10" fillId="0" borderId="0" xfId="0" applyFont="1"/>
    <xf numFmtId="165" fontId="14" fillId="0" borderId="0" xfId="0" applyNumberFormat="1" applyFont="1" applyAlignment="1">
      <alignment vertical="top"/>
    </xf>
    <xf numFmtId="43" fontId="14" fillId="17" borderId="0" xfId="13">
      <alignment vertical="top"/>
    </xf>
    <xf numFmtId="165" fontId="14" fillId="15" borderId="0" xfId="9" applyNumberFormat="1">
      <alignment vertical="top"/>
    </xf>
    <xf numFmtId="0" fontId="14" fillId="0" borderId="0" xfId="0" applyFont="1"/>
    <xf numFmtId="165" fontId="14" fillId="17" borderId="0" xfId="13" applyNumberFormat="1">
      <alignment vertical="top"/>
    </xf>
    <xf numFmtId="166" fontId="14" fillId="17" borderId="0" xfId="61" applyNumberFormat="1" applyFont="1" applyFill="1" applyAlignment="1">
      <alignment vertical="top"/>
    </xf>
    <xf numFmtId="166" fontId="14" fillId="15" borderId="0" xfId="61" applyNumberFormat="1" applyFont="1" applyFill="1" applyAlignment="1">
      <alignment vertical="top"/>
    </xf>
    <xf numFmtId="0" fontId="15" fillId="23" borderId="1" xfId="6" applyNumberFormat="1">
      <alignment vertical="top"/>
    </xf>
    <xf numFmtId="10" fontId="14" fillId="17" borderId="0" xfId="61" applyNumberFormat="1" applyFont="1" applyFill="1" applyAlignment="1">
      <alignment vertical="top"/>
    </xf>
    <xf numFmtId="2" fontId="15" fillId="23" borderId="1" xfId="6" applyNumberFormat="1">
      <alignment vertical="top"/>
    </xf>
    <xf numFmtId="164" fontId="14" fillId="0" borderId="0" xfId="4" applyNumberFormat="1">
      <alignment vertical="top"/>
    </xf>
    <xf numFmtId="49" fontId="19" fillId="0" borderId="0" xfId="14">
      <alignment vertical="top"/>
    </xf>
    <xf numFmtId="43" fontId="14" fillId="49" borderId="0" xfId="64">
      <alignment vertical="top"/>
    </xf>
    <xf numFmtId="43" fontId="14" fillId="50" borderId="0" xfId="65">
      <alignment vertical="top"/>
    </xf>
    <xf numFmtId="43" fontId="14" fillId="13" borderId="0" xfId="10">
      <alignment vertical="top"/>
    </xf>
    <xf numFmtId="165" fontId="14" fillId="49" borderId="0" xfId="64" applyNumberFormat="1">
      <alignment vertical="top"/>
    </xf>
    <xf numFmtId="10" fontId="14" fillId="49" borderId="0" xfId="61" applyNumberFormat="1" applyFont="1" applyFill="1" applyAlignment="1">
      <alignment vertical="top"/>
    </xf>
    <xf numFmtId="43" fontId="14" fillId="49" borderId="2" xfId="64" applyBorder="1">
      <alignment vertical="top"/>
    </xf>
    <xf numFmtId="0" fontId="22" fillId="0" borderId="0" xfId="0" applyFont="1" applyAlignment="1">
      <alignment vertical="top"/>
    </xf>
    <xf numFmtId="0" fontId="14" fillId="0" borderId="0" xfId="4" applyAlignment="1">
      <alignment vertical="top" wrapText="1"/>
    </xf>
    <xf numFmtId="49" fontId="15" fillId="23" borderId="1" xfId="6" applyAlignment="1">
      <alignment vertical="top" wrapText="1"/>
    </xf>
    <xf numFmtId="167" fontId="14" fillId="0" borderId="0" xfId="4" applyNumberFormat="1">
      <alignment vertical="top"/>
    </xf>
    <xf numFmtId="0" fontId="14" fillId="0" borderId="0" xfId="80"/>
    <xf numFmtId="0" fontId="9" fillId="0" borderId="0" xfId="0" applyFont="1"/>
    <xf numFmtId="0" fontId="14" fillId="48" borderId="0" xfId="4" applyFill="1">
      <alignment vertical="top"/>
    </xf>
    <xf numFmtId="0" fontId="9" fillId="48" borderId="0" xfId="0" applyFont="1" applyFill="1"/>
    <xf numFmtId="165" fontId="14" fillId="48" borderId="0" xfId="64" applyNumberFormat="1" applyFill="1">
      <alignment vertical="top"/>
    </xf>
    <xf numFmtId="165" fontId="14" fillId="0" borderId="0" xfId="4" applyNumberFormat="1">
      <alignment vertical="top"/>
    </xf>
    <xf numFmtId="0" fontId="23" fillId="5" borderId="1" xfId="4" applyFont="1" applyFill="1" applyBorder="1">
      <alignment vertical="top"/>
    </xf>
    <xf numFmtId="0" fontId="30" fillId="0" borderId="0" xfId="62"/>
    <xf numFmtId="0" fontId="8" fillId="0" borderId="0" xfId="0" applyFont="1"/>
    <xf numFmtId="49" fontId="14" fillId="0" borderId="0" xfId="6" applyFont="1" applyFill="1" applyBorder="1">
      <alignment vertical="top"/>
    </xf>
    <xf numFmtId="0" fontId="7" fillId="0" borderId="0" xfId="0" applyFont="1"/>
    <xf numFmtId="0" fontId="23" fillId="5" borderId="1" xfId="5" applyNumberFormat="1" applyFont="1">
      <alignment vertical="top"/>
    </xf>
    <xf numFmtId="41" fontId="14" fillId="49" borderId="0" xfId="83">
      <alignment vertical="top"/>
    </xf>
    <xf numFmtId="43" fontId="14" fillId="0" borderId="0" xfId="4" applyNumberFormat="1">
      <alignment vertical="top"/>
    </xf>
    <xf numFmtId="43" fontId="15" fillId="23" borderId="1" xfId="6" applyNumberFormat="1">
      <alignment vertical="top"/>
    </xf>
    <xf numFmtId="165" fontId="14" fillId="17" borderId="0" xfId="64" applyNumberFormat="1" applyFill="1">
      <alignment vertical="top"/>
    </xf>
    <xf numFmtId="166" fontId="14" fillId="17" borderId="0" xfId="4" applyNumberFormat="1" applyFill="1">
      <alignment vertical="top"/>
    </xf>
    <xf numFmtId="43" fontId="23" fillId="5" borderId="1" xfId="5" applyNumberFormat="1" applyFont="1">
      <alignment vertical="top"/>
    </xf>
    <xf numFmtId="41" fontId="14" fillId="15" borderId="0" xfId="81">
      <alignment vertical="top"/>
    </xf>
    <xf numFmtId="41" fontId="14" fillId="17" borderId="0" xfId="83" applyFill="1">
      <alignment vertical="top"/>
    </xf>
    <xf numFmtId="0" fontId="0" fillId="0" borderId="0" xfId="0" applyAlignment="1">
      <alignment vertical="top"/>
    </xf>
    <xf numFmtId="41" fontId="14" fillId="17" borderId="0" xfId="81" applyFill="1">
      <alignment vertical="top"/>
    </xf>
    <xf numFmtId="41" fontId="14" fillId="0" borderId="0" xfId="4" applyNumberFormat="1">
      <alignment vertical="top"/>
    </xf>
    <xf numFmtId="41" fontId="14" fillId="16" borderId="0" xfId="81" applyFill="1">
      <alignment vertical="top"/>
    </xf>
    <xf numFmtId="0" fontId="6" fillId="0" borderId="0" xfId="0" applyFont="1"/>
    <xf numFmtId="0" fontId="4" fillId="0" borderId="0" xfId="75" applyFont="1" applyAlignment="1">
      <alignment vertical="top"/>
    </xf>
    <xf numFmtId="0" fontId="36" fillId="0" borderId="0" xfId="75" applyFont="1" applyAlignment="1">
      <alignment vertical="top"/>
    </xf>
    <xf numFmtId="0" fontId="4" fillId="0" borderId="0" xfId="75" applyFont="1"/>
    <xf numFmtId="0" fontId="41" fillId="0" borderId="0" xfId="0" applyFont="1" applyAlignment="1">
      <alignment vertical="center"/>
    </xf>
    <xf numFmtId="10" fontId="14" fillId="49" borderId="0" xfId="83" applyNumberFormat="1">
      <alignment vertical="top"/>
    </xf>
    <xf numFmtId="10" fontId="14" fillId="17" borderId="0" xfId="83" applyNumberFormat="1" applyFill="1">
      <alignment vertical="top"/>
    </xf>
    <xf numFmtId="0" fontId="4" fillId="0" borderId="0" xfId="0" applyFont="1"/>
    <xf numFmtId="9" fontId="25" fillId="0" borderId="0" xfId="61" applyAlignment="1">
      <alignment vertical="top"/>
    </xf>
    <xf numFmtId="170" fontId="14" fillId="0" borderId="0" xfId="4" applyNumberFormat="1">
      <alignment vertical="top"/>
    </xf>
    <xf numFmtId="10" fontId="14" fillId="15" borderId="0" xfId="83" applyNumberFormat="1" applyFill="1">
      <alignment vertical="top"/>
    </xf>
    <xf numFmtId="169" fontId="14" fillId="15" borderId="0" xfId="81" applyNumberFormat="1">
      <alignment vertical="top"/>
    </xf>
    <xf numFmtId="49" fontId="15" fillId="23" borderId="1" xfId="86">
      <alignment vertical="top"/>
    </xf>
    <xf numFmtId="0" fontId="4" fillId="0" borderId="0" xfId="0" applyFont="1" applyAlignment="1">
      <alignment vertical="top"/>
    </xf>
    <xf numFmtId="10" fontId="4" fillId="0" borderId="0" xfId="0" applyNumberFormat="1" applyFont="1"/>
    <xf numFmtId="166" fontId="14" fillId="17" borderId="0" xfId="87" applyNumberFormat="1" applyFont="1" applyFill="1" applyAlignment="1">
      <alignment vertical="top"/>
    </xf>
    <xf numFmtId="0" fontId="3" fillId="0" borderId="0" xfId="75" applyFont="1" applyAlignment="1">
      <alignment vertical="top"/>
    </xf>
    <xf numFmtId="0" fontId="3" fillId="0" borderId="0" xfId="0" applyFont="1"/>
    <xf numFmtId="0" fontId="39" fillId="0" borderId="0" xfId="67" applyFont="1" applyBorder="1" applyAlignment="1">
      <alignment vertical="top" wrapText="1"/>
    </xf>
    <xf numFmtId="10" fontId="14" fillId="17" borderId="0" xfId="0" applyNumberFormat="1" applyFont="1" applyFill="1" applyAlignment="1">
      <alignment vertical="top"/>
    </xf>
    <xf numFmtId="0" fontId="14" fillId="52" borderId="0" xfId="0" applyFont="1" applyFill="1" applyAlignment="1">
      <alignment vertical="top"/>
    </xf>
    <xf numFmtId="171" fontId="14" fillId="15" borderId="0" xfId="81" applyNumberFormat="1">
      <alignment vertical="top"/>
    </xf>
    <xf numFmtId="0" fontId="14" fillId="0" borderId="0" xfId="0" applyFont="1" applyAlignment="1">
      <alignment horizontal="center" vertical="top"/>
    </xf>
    <xf numFmtId="172" fontId="0" fillId="7" borderId="0" xfId="0" applyNumberFormat="1" applyFill="1" applyAlignment="1">
      <alignment vertical="top"/>
    </xf>
    <xf numFmtId="0" fontId="14" fillId="51" borderId="0" xfId="66" applyNumberFormat="1">
      <alignment vertical="top"/>
    </xf>
    <xf numFmtId="166" fontId="14" fillId="15" borderId="0" xfId="73" applyNumberFormat="1" applyFont="1" applyFill="1" applyAlignment="1">
      <alignment vertical="top"/>
    </xf>
    <xf numFmtId="166" fontId="14" fillId="13" borderId="0" xfId="73" applyNumberFormat="1" applyFont="1" applyFill="1" applyAlignment="1">
      <alignment vertical="top"/>
    </xf>
    <xf numFmtId="166" fontId="14" fillId="0" borderId="0" xfId="61" applyNumberFormat="1" applyFont="1" applyFill="1" applyAlignment="1">
      <alignment vertical="top"/>
    </xf>
    <xf numFmtId="0" fontId="14" fillId="0" borderId="2" xfId="4" applyBorder="1">
      <alignment vertical="top"/>
    </xf>
    <xf numFmtId="0" fontId="14" fillId="0" borderId="2" xfId="4" applyBorder="1" applyAlignment="1">
      <alignment vertical="top" wrapText="1"/>
    </xf>
    <xf numFmtId="0" fontId="39" fillId="0" borderId="2" xfId="67" applyFont="1" applyFill="1" applyBorder="1" applyAlignment="1">
      <alignment vertical="top" wrapText="1"/>
    </xf>
    <xf numFmtId="10" fontId="4" fillId="0" borderId="0" xfId="75" applyNumberFormat="1" applyFont="1" applyAlignment="1">
      <alignment vertical="top"/>
    </xf>
    <xf numFmtId="165" fontId="14" fillId="16" borderId="0" xfId="8" applyNumberFormat="1">
      <alignment vertical="top"/>
    </xf>
    <xf numFmtId="0" fontId="1" fillId="0" borderId="0" xfId="75" applyFont="1" applyAlignment="1">
      <alignment vertical="top"/>
    </xf>
  </cellXfs>
  <cellStyles count="95">
    <cellStyle name="_x000d__x000a_JournalTemplate=C:\COMFO\CTALK\JOURSTD.TPL_x000d__x000a_LbStateAddress=3 3 0 251 1 89 2 311_x000d__x000a_LbStateJou 2" xfId="82" xr:uid="{DB3D1099-F489-4369-B80F-F949295E3D80}"/>
    <cellStyle name="_x000d__x000a_JournalTemplate=C:\COMFO\CTALK\JOURSTD.TPL_x000d__x000a_LbStateAddress=3 3 0 251 1 89 2 311_x000d__x000a_LbStateJou_CONCEPT invulmodule E 2012 - aanpassing tab 7" xfId="94" xr:uid="{0B4A3FCB-5C76-49FB-8418-0D9F7D66406F}"/>
    <cellStyle name="_kop1 Bladtitel" xfId="5" xr:uid="{00000000-0005-0000-0000-000000000000}"/>
    <cellStyle name="_kop1 Bladtitel 2" xfId="89" xr:uid="{77AA9CA7-17C8-4DB4-A453-7DC4AF7ED495}"/>
    <cellStyle name="_kop2 Bloktitel" xfId="6" xr:uid="{00000000-0005-0000-0000-000001000000}"/>
    <cellStyle name="_kop2 Bloktitel 2" xfId="86" xr:uid="{E0F3CA13-4B3F-4215-BCEC-B9B24936E124}"/>
    <cellStyle name="_kop3 Subkop" xfId="7" xr:uid="{00000000-0005-0000-0000-000002000000}"/>
    <cellStyle name="20% - Accent1" xfId="36" builtinId="30" hidden="1"/>
    <cellStyle name="20% - Accent2" xfId="40" builtinId="34" hidden="1"/>
    <cellStyle name="20% - Accent3" xfId="44" builtinId="38" hidden="1"/>
    <cellStyle name="20% - Accent4" xfId="48" builtinId="42" hidden="1"/>
    <cellStyle name="20% - Accent5" xfId="52" builtinId="46" hidden="1"/>
    <cellStyle name="20% - Accent6" xfId="56" builtinId="50" hidden="1"/>
    <cellStyle name="40% - Accent1" xfId="37" builtinId="31" hidden="1"/>
    <cellStyle name="40% - Accent2" xfId="41" builtinId="35" hidden="1"/>
    <cellStyle name="40% - Accent3" xfId="45" builtinId="39" hidden="1"/>
    <cellStyle name="40% - Accent4" xfId="49" builtinId="43" hidden="1"/>
    <cellStyle name="40% - Accent5" xfId="53" builtinId="47" hidden="1"/>
    <cellStyle name="40% - Accent6" xfId="57" builtinId="51" hidden="1"/>
    <cellStyle name="60% - Accent1" xfId="38" builtinId="32" hidden="1"/>
    <cellStyle name="60% - Accent2" xfId="42" builtinId="36" hidden="1"/>
    <cellStyle name="60% - Accent3" xfId="46" builtinId="40" hidden="1"/>
    <cellStyle name="60% - Accent4" xfId="50" builtinId="44" hidden="1"/>
    <cellStyle name="60% - Accent5" xfId="54" builtinId="48" hidden="1"/>
    <cellStyle name="60% - Accent6" xfId="58" builtinId="52" hidden="1"/>
    <cellStyle name="Accent1" xfId="35" builtinId="29" hidden="1"/>
    <cellStyle name="Accent2" xfId="39" builtinId="33" hidden="1"/>
    <cellStyle name="Accent3" xfId="43" builtinId="37" hidden="1"/>
    <cellStyle name="Accent4" xfId="47" builtinId="41" hidden="1"/>
    <cellStyle name="Accent5" xfId="51" builtinId="45" hidden="1"/>
    <cellStyle name="Accent6" xfId="55" builtinId="49" hidden="1"/>
    <cellStyle name="Berekening" xfId="17" builtinId="22" hidden="1"/>
    <cellStyle name="Cel (tussen)resultaat" xfId="8" xr:uid="{00000000-0005-0000-0000-00001C000000}"/>
    <cellStyle name="Cel Berekening" xfId="9" xr:uid="{00000000-0005-0000-0000-00001D000000}"/>
    <cellStyle name="Cel Berekening 2" xfId="81" xr:uid="{64C68C5C-BD60-4364-B2EA-FE214186076F}"/>
    <cellStyle name="Cel Bijzonderheid" xfId="10" xr:uid="{00000000-0005-0000-0000-00001E000000}"/>
    <cellStyle name="Cel Dataverzoek" xfId="88" xr:uid="{E3F72FAD-65A0-482D-A8FC-45F77358FE0B}"/>
    <cellStyle name="Cel Input" xfId="11" xr:uid="{00000000-0005-0000-0000-00001F000000}"/>
    <cellStyle name="Cel Input 2" xfId="64" xr:uid="{00000000-0005-0000-0000-000020000000}"/>
    <cellStyle name="Cel Input 3" xfId="83" xr:uid="{F67CB7EF-86C2-4AAA-B6F9-14B229603E08}"/>
    <cellStyle name="Cel Input 3 2" xfId="90" xr:uid="{EECBB009-3096-4AD8-953A-623921CA64BB}"/>
    <cellStyle name="Cel Input Data" xfId="65" xr:uid="{00000000-0005-0000-0000-000021000000}"/>
    <cellStyle name="Cel n.v.t. (leeg)" xfId="66" xr:uid="{00000000-0005-0000-0000-000022000000}"/>
    <cellStyle name="Cel PM extern" xfId="12" xr:uid="{00000000-0005-0000-0000-000023000000}"/>
    <cellStyle name="Cel Verwijzing" xfId="13" xr:uid="{00000000-0005-0000-0000-000024000000}"/>
    <cellStyle name="Controlecel" xfId="19" builtinId="23" hidden="1"/>
    <cellStyle name="Gekoppelde cel" xfId="18" builtinId="24" hidden="1"/>
    <cellStyle name="Gevolgde hyperlink" xfId="59" builtinId="9" hidden="1"/>
    <cellStyle name="Goed" xfId="1" builtinId="26" hidden="1"/>
    <cellStyle name="Grijze cel" xfId="63" xr:uid="{00000000-0005-0000-0000-000029000000}"/>
    <cellStyle name="Hyperlink" xfId="21" builtinId="8" hidden="1"/>
    <cellStyle name="Hyperlink" xfId="62" builtinId="8"/>
    <cellStyle name="Hyperlink 2" xfId="67" xr:uid="{00000000-0005-0000-0000-00002C000000}"/>
    <cellStyle name="Invoer" xfId="15" builtinId="20" hidden="1"/>
    <cellStyle name="Komma" xfId="22" builtinId="3" hidden="1"/>
    <cellStyle name="Komma" xfId="60" builtinId="3" hidden="1"/>
    <cellStyle name="Komma [0]" xfId="23" builtinId="6" hidden="1"/>
    <cellStyle name="Komma 2" xfId="85" xr:uid="{B3949C48-D61E-4DB0-A4C1-E69A462A4D4E}"/>
    <cellStyle name="Komma 3" xfId="69" xr:uid="{00000000-0005-0000-0000-000031000000}"/>
    <cellStyle name="Komma 4" xfId="70" xr:uid="{00000000-0005-0000-0000-000032000000}"/>
    <cellStyle name="Komma 5" xfId="71" xr:uid="{00000000-0005-0000-0000-000033000000}"/>
    <cellStyle name="Kop 1" xfId="28" builtinId="16" hidden="1"/>
    <cellStyle name="Kop 2" xfId="29" builtinId="17" hidden="1"/>
    <cellStyle name="Kop 3" xfId="30" builtinId="18" hidden="1"/>
    <cellStyle name="Kop 4" xfId="31" builtinId="19" hidden="1"/>
    <cellStyle name="Neutraal" xfId="3" builtinId="28" hidden="1"/>
    <cellStyle name="Notitie" xfId="20" builtinId="10" hidden="1"/>
    <cellStyle name="Ongeldig" xfId="2" builtinId="27" hidden="1"/>
    <cellStyle name="Procent" xfId="26" builtinId="5" hidden="1"/>
    <cellStyle name="Procent" xfId="61" builtinId="5"/>
    <cellStyle name="Procent 2" xfId="68" xr:uid="{00000000-0005-0000-0000-00003D000000}"/>
    <cellStyle name="Procent 2 3" xfId="87" xr:uid="{49484D78-3B2B-43FA-B6D8-11D27F1F7706}"/>
    <cellStyle name="Procent 3" xfId="72" xr:uid="{00000000-0005-0000-0000-00003E000000}"/>
    <cellStyle name="Procent 4" xfId="73" xr:uid="{00000000-0005-0000-0000-00003F000000}"/>
    <cellStyle name="Procent 5" xfId="92" xr:uid="{2B4CEF0B-BD83-452F-9412-C41DAECB8D01}"/>
    <cellStyle name="Standaard" xfId="0" builtinId="0"/>
    <cellStyle name="Standaard 2" xfId="74" xr:uid="{00000000-0005-0000-0000-000041000000}"/>
    <cellStyle name="Standaard 2 2" xfId="80" xr:uid="{018D6841-10FA-4212-AC2E-A44822A7D589}"/>
    <cellStyle name="Standaard 3" xfId="75" xr:uid="{00000000-0005-0000-0000-000042000000}"/>
    <cellStyle name="Standaard 4" xfId="76" xr:uid="{00000000-0005-0000-0000-000043000000}"/>
    <cellStyle name="Standaard 5" xfId="84" xr:uid="{56E829B3-6FE3-489A-8F8A-34672DD8B495}"/>
    <cellStyle name="Standaard 6" xfId="77" xr:uid="{00000000-0005-0000-0000-000044000000}"/>
    <cellStyle name="Standaard 6 2" xfId="93" xr:uid="{4D02D4C7-3D1D-4E75-9B79-02504428134B}"/>
    <cellStyle name="Standaard 7" xfId="78" xr:uid="{00000000-0005-0000-0000-000045000000}"/>
    <cellStyle name="Standaard 8" xfId="79" xr:uid="{00000000-0005-0000-0000-000046000000}"/>
    <cellStyle name="Standaard 9" xfId="91" xr:uid="{7979DAD1-DDBE-40BC-ABFA-5F7489066598}"/>
    <cellStyle name="Standaard ACM-DE" xfId="4" xr:uid="{00000000-0005-0000-0000-000047000000}"/>
    <cellStyle name="Titel" xfId="27" builtinId="15" hidden="1"/>
    <cellStyle name="Toelichting" xfId="14" xr:uid="{00000000-0005-0000-0000-000049000000}"/>
    <cellStyle name="Totaal" xfId="34" builtinId="25" hidden="1"/>
    <cellStyle name="Uitvoer" xfId="16" builtinId="21" hidden="1"/>
    <cellStyle name="Valuta" xfId="24" builtinId="4" hidden="1"/>
    <cellStyle name="Valuta [0]" xfId="25" builtinId="7" hidden="1"/>
    <cellStyle name="Verklarende tekst" xfId="33" builtinId="53" hidden="1"/>
    <cellStyle name="Waarschuwingstekst" xfId="32" builtinId="11" hidden="1"/>
  </cellStyles>
  <dxfs count="0"/>
  <tableStyles count="0" defaultTableStyle="TableStyleMedium2" defaultPivotStyle="PivotStyleLight16"/>
  <colors>
    <mruColors>
      <color rgb="FFCCC8D9"/>
      <color rgb="FFFF00FF"/>
      <color rgb="FFCCFFCC"/>
      <color rgb="FFFFFFCC"/>
      <color rgb="FFFFCC99"/>
      <color rgb="FFCC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179293</xdr:colOff>
      <xdr:row>6</xdr:row>
      <xdr:rowOff>0</xdr:rowOff>
    </xdr:from>
    <xdr:to>
      <xdr:col>3</xdr:col>
      <xdr:colOff>549007</xdr:colOff>
      <xdr:row>6</xdr:row>
      <xdr:rowOff>0</xdr:rowOff>
    </xdr:to>
    <xdr:sp macro="" textlink="">
      <xdr:nvSpPr>
        <xdr:cNvPr id="14" name="Rechthoek 13">
          <a:extLst>
            <a:ext uri="{FF2B5EF4-FFF2-40B4-BE49-F238E27FC236}">
              <a16:creationId xmlns:a16="http://schemas.microsoft.com/office/drawing/2014/main" id="{00000000-0008-0000-0100-00000E000000}"/>
            </a:ext>
          </a:extLst>
        </xdr:cNvPr>
        <xdr:cNvSpPr/>
      </xdr:nvSpPr>
      <xdr:spPr>
        <a:xfrm>
          <a:off x="179293" y="3424520"/>
          <a:ext cx="1817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Groot\AppData\Local\Microsoft\Windows\Temporary%20Internet%20Files\Content.Outlook\BV2YK9DL\kapitaalkostenmodel%20Classic%20ultimo%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20CODATA/06%20Ingevuld/NE/16%20RD/19.034792%20RD%202018/2%20Ruwe%20data/19.034798%20STED/STED%20-%20V01%20-%20NE-RD(i)-18-01%20-%20concep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763103\Local%20Settings\Temporary%20Internet%20Files\OLK21C\NE-PRD(i)-10-01%20CONCEPT%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7%20DN\103407%20103408%20PRD%20NG%20NE%202009\3.%20Opzet%20informatieverzoek\Gas\NG-PRD(i)-10-01%20-%20CONCEPT%2015JANUARI%20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xas\ek\Afdelingsdata%20DREV\07%20DN\Administratie%20Totale%20Inkomsten%20RNBs\03.%20TI%20administratie%20Gas\2.%20TI-recht\NG3R%20-%202009\TI-recht%202009%20REND%20-%20x-factoren%20NG3R%20na%20bob%20Rend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TE\ALGEMEEN\Tarieven\Tarieven%202002%20netbeheerders\AuditMod%20I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08%20Netten\02%20Persoon\Groot\_Backup\Database\Basismodel%20CB%20NE\CB%20met%20activawaarde%20dte\Kopie%20van%20030205%20X_CB%20NE%20DEA%20Model%20CB%20met%20activawaarde%20d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nma.nl/images/103636_Gewijzigd_rekenmodel_x-factor_en_rekenvolumina22-14668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exas\ek\07%20DN\103221%20NE5R%20(vanaf%202011)\13%20Data%20en%20berekeningen\Kapitaalkosten\100913%20Kapitaalkosten%20v6.5%20IN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Data G"/>
      <sheetName val="Kapitaalkosten Gasaansluiting"/>
      <sheetName val="Data Gasaansluiting"/>
      <sheetName val="Netbeheerders"/>
      <sheetName val="Kapitaalkosten Classic"/>
      <sheetName val="Data E"/>
      <sheetName val="CPI en WACC"/>
    </sheetNames>
    <sheetDataSet>
      <sheetData sheetId="0" refreshError="1"/>
      <sheetData sheetId="1"/>
      <sheetData sheetId="2">
        <row r="1">
          <cell r="C1" t="str">
            <v>STEDIN</v>
          </cell>
        </row>
      </sheetData>
      <sheetData sheetId="3" refreshError="1"/>
      <sheetData sheetId="4">
        <row r="2">
          <cell r="B2" t="str">
            <v>ALLE</v>
          </cell>
        </row>
        <row r="3">
          <cell r="B3" t="str">
            <v>MOSA</v>
          </cell>
        </row>
        <row r="4">
          <cell r="B4" t="str">
            <v>ONS</v>
          </cell>
        </row>
        <row r="5">
          <cell r="B5" t="str">
            <v>COGAS</v>
          </cell>
        </row>
        <row r="6">
          <cell r="B6" t="str">
            <v>DELTA</v>
          </cell>
        </row>
        <row r="7">
          <cell r="B7" t="str">
            <v>DELTA HS</v>
          </cell>
        </row>
        <row r="8">
          <cell r="B8" t="str">
            <v>DELTA EXCL HS</v>
          </cell>
        </row>
        <row r="9">
          <cell r="B9" t="str">
            <v>ENDINET</v>
          </cell>
        </row>
        <row r="10">
          <cell r="B10" t="str">
            <v>ENEXIS</v>
          </cell>
        </row>
        <row r="11">
          <cell r="B11" t="str">
            <v>ENEXIS HS</v>
          </cell>
        </row>
        <row r="12">
          <cell r="B12" t="str">
            <v>ENEXIS EXCL HS</v>
          </cell>
        </row>
        <row r="13">
          <cell r="B13" t="str">
            <v>HAARLEMMERMEER</v>
          </cell>
        </row>
        <row r="14">
          <cell r="B14" t="str">
            <v>INTERGAS</v>
          </cell>
        </row>
        <row r="15">
          <cell r="B15" t="str">
            <v>LIANDER</v>
          </cell>
        </row>
        <row r="16">
          <cell r="B16" t="str">
            <v>LIANDER HS</v>
          </cell>
        </row>
        <row r="17">
          <cell r="B17" t="str">
            <v>LIANDER EXCL HS</v>
          </cell>
        </row>
        <row r="18">
          <cell r="B18" t="str">
            <v>OBRAGAS</v>
          </cell>
        </row>
        <row r="19">
          <cell r="B19" t="str">
            <v>RENDO</v>
          </cell>
        </row>
        <row r="20">
          <cell r="B20" t="str">
            <v>STEDIN</v>
          </cell>
        </row>
        <row r="21">
          <cell r="B21" t="str">
            <v>WESTLAND</v>
          </cell>
        </row>
        <row r="22">
          <cell r="B22" t="str">
            <v>ZEBRA</v>
          </cell>
        </row>
        <row r="23">
          <cell r="B23" t="str">
            <v>SECTOR EXCL HS</v>
          </cell>
        </row>
        <row r="24">
          <cell r="B24" t="str">
            <v>SECTOR HS</v>
          </cell>
        </row>
        <row r="25">
          <cell r="B25" t="str">
            <v>SECTOR</v>
          </cell>
        </row>
      </sheetData>
      <sheetData sheetId="5"/>
      <sheetData sheetId="6"/>
      <sheetData sheetId="7">
        <row r="6">
          <cell r="C6" t="str">
            <v>CPI</v>
          </cell>
        </row>
        <row r="7">
          <cell r="C7">
            <v>2.5000000000000001E-2</v>
          </cell>
        </row>
        <row r="8">
          <cell r="C8">
            <v>4.7E-2</v>
          </cell>
        </row>
        <row r="9">
          <cell r="C9">
            <v>3.3000000000000002E-2</v>
          </cell>
        </row>
        <row r="10">
          <cell r="C10">
            <v>2.1000000000000001E-2</v>
          </cell>
        </row>
        <row r="11">
          <cell r="C11">
            <v>1.0999999999999999E-2</v>
          </cell>
        </row>
        <row r="12">
          <cell r="C12">
            <v>1.7999999999999999E-2</v>
          </cell>
        </row>
        <row r="13">
          <cell r="C13">
            <v>1.4E-2</v>
          </cell>
        </row>
        <row r="14">
          <cell r="C14">
            <v>1.0999999999999999E-2</v>
          </cell>
        </row>
        <row r="15">
          <cell r="C15">
            <v>3.2000000000000001E-2</v>
          </cell>
        </row>
        <row r="16">
          <cell r="C16">
            <v>3.0000000000000001E-3</v>
          </cell>
        </row>
        <row r="17">
          <cell r="C17">
            <v>1.4999999999999999E-2</v>
          </cell>
        </row>
        <row r="18">
          <cell r="C18">
            <v>2.5999999999999999E-2</v>
          </cell>
        </row>
        <row r="19">
          <cell r="C19">
            <v>2.3E-2</v>
          </cell>
        </row>
        <row r="20">
          <cell r="C20">
            <v>2.8000000000000001E-2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 1 - Adresgegevens"/>
      <sheetName val="Tabel 2A - Investeringen"/>
      <sheetName val="Tabel 2B - Desinvesteringen"/>
      <sheetName val="Tabel 2C - Private netten"/>
      <sheetName val="Tabel 3A - Operationele kosten"/>
      <sheetName val="Tabel 3B - Specificaties inkoop"/>
      <sheetName val="Tabel 4A - Omzet transport"/>
      <sheetName val="Tabel 4B - Volumes invoeding"/>
      <sheetName val="Tabel 5A - Omzet PAV"/>
      <sheetName val="Tabel 5B - Bijdrage EAV"/>
      <sheetName val="Tabel 6 - Totale opbrengsten"/>
      <sheetName val="Tabel 7 - Overige opbrengsten"/>
      <sheetName val="Tabel 8A - Meetdomein (des)inv."/>
      <sheetName val="Tabel 8B - Meetdomein overig"/>
    </sheetNames>
    <sheetDataSet>
      <sheetData sheetId="0"/>
      <sheetData sheetId="1"/>
      <sheetData sheetId="2"/>
      <sheetData sheetId="3"/>
      <sheetData sheetId="4"/>
      <sheetData sheetId="5">
        <row r="33">
          <cell r="R33">
            <v>110754495.11999999</v>
          </cell>
        </row>
        <row r="57">
          <cell r="R57">
            <v>2687274.2512000003</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 1 - Adresgegevens"/>
      <sheetName val="Tabel 2A - Bijz mutaties activa"/>
      <sheetName val="Tabel 3 - Operationele Kosten "/>
      <sheetName val="Tabel 4 - Omzet Transportdienst"/>
      <sheetName val="Tabel 5A - Omzet PAV"/>
      <sheetName val="Tabel 5B - Bijdrage EAV"/>
      <sheetName val="Tabel 6 - Opbrengsten"/>
      <sheetName val="Tabel 7 - Volumes invoeding"/>
      <sheetName val="Tabel 8 - Toelichting"/>
    </sheetNames>
    <sheetDataSet>
      <sheetData sheetId="0" refreshError="1"/>
      <sheetData sheetId="1">
        <row r="46">
          <cell r="F46">
            <v>0</v>
          </cell>
          <cell r="J46">
            <v>0</v>
          </cell>
          <cell r="N46">
            <v>0</v>
          </cell>
          <cell r="R46">
            <v>0</v>
          </cell>
          <cell r="V46">
            <v>0</v>
          </cell>
          <cell r="Z46">
            <v>0</v>
          </cell>
          <cell r="AD46">
            <v>0</v>
          </cell>
          <cell r="AH46">
            <v>0</v>
          </cell>
          <cell r="AL46">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 1 - Adresgegevens"/>
      <sheetName val="Tabel 2 - Investeringen"/>
      <sheetName val="Tabel 2A - Bijz mutaties activa"/>
      <sheetName val="Tabel 3 - OPEX Transport"/>
      <sheetName val="Tabel 3A - OPEX Gasaansl"/>
      <sheetName val="Tabel 4 - Omzet transportdienst"/>
      <sheetName val="Tabel 5 - PAV Aansluitingen"/>
      <sheetName val="Tabel 5A - EAV Aansluitingen"/>
      <sheetName val="Tabel 6-Benutte cap grootverbr"/>
      <sheetName val="Tabel 7 - Toelichting"/>
    </sheetNames>
    <sheetDataSet>
      <sheetData sheetId="0" refreshError="1"/>
      <sheetData sheetId="1" refreshError="1"/>
      <sheetData sheetId="2">
        <row r="39">
          <cell r="H39">
            <v>0</v>
          </cell>
          <cell r="L39">
            <v>0</v>
          </cell>
          <cell r="P39">
            <v>0</v>
          </cell>
          <cell r="T39">
            <v>0</v>
          </cell>
          <cell r="X39">
            <v>0</v>
          </cell>
          <cell r="AB39">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Nacalc LH2009 (REND)"/>
      <sheetName val="Lokale heffingen (LH)"/>
      <sheetName val="TI-recht 2009 (per heden)"/>
      <sheetName val="Vanaf hier oorspr. bestand --&gt; "/>
      <sheetName val="x-factor"/>
      <sheetName val="Eindinkomsten"/>
      <sheetName val="Productiviteit"/>
      <sheetName val="Kosten"/>
      <sheetName val="SO"/>
      <sheetName val="Sectortarieven"/>
      <sheetName val="Tarieven"/>
      <sheetName val="Rekenvol"/>
      <sheetName val="Volumes"/>
      <sheetName val="ORV"/>
      <sheetName val="CPI"/>
      <sheetName val="Graadda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2)"/>
      <sheetName val="constants"/>
      <sheetName val="Data"/>
      <sheetName val="Calc"/>
      <sheetName val="Results"/>
    </sheetNames>
    <sheetDataSet>
      <sheetData sheetId="0"/>
      <sheetData sheetId="1">
        <row r="3">
          <cell r="E3">
            <v>6.2E-2</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x-factor"/>
      <sheetName val="Eindinkomsten"/>
      <sheetName val="Productiviteit TD"/>
      <sheetName val="Kosten AD"/>
      <sheetName val="Kosten TD"/>
      <sheetName val="Vergoedingen AD"/>
      <sheetName val="SO"/>
      <sheetName val="Wegingsfactor TD"/>
      <sheetName val="Wegingsfactor AD"/>
      <sheetName val="Rekenvolumes"/>
      <sheetName val="Volumes"/>
      <sheetName val="ORV"/>
      <sheetName val="CPI&amp;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D14">
            <v>6.2E-2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ebeheer"/>
      <sheetName val="Toelichting"/>
      <sheetName val="Kapitaalkosten"/>
      <sheetName val="Opm bij Data E"/>
      <sheetName val="Data E"/>
      <sheetName val="Data G"/>
      <sheetName val="Bronnen"/>
      <sheetName val="Kapitaalkosten NG3R en NE4R"/>
      <sheetName val="Overzicht netbeheerders"/>
      <sheetName val="Kapitaalkosten Gasaansluiting"/>
      <sheetName val="Data Gasaansluiting"/>
      <sheetName val="CPI en WACC"/>
      <sheetName val="Netbeheerders"/>
    </sheetNames>
    <sheetDataSet>
      <sheetData sheetId="0"/>
      <sheetData sheetId="1"/>
      <sheetData sheetId="2"/>
      <sheetData sheetId="3"/>
      <sheetData sheetId="4"/>
      <sheetData sheetId="5"/>
      <sheetData sheetId="6"/>
      <sheetData sheetId="7"/>
      <sheetData sheetId="8"/>
      <sheetData sheetId="9"/>
      <sheetData sheetId="10"/>
      <sheetData sheetId="11">
        <row r="6">
          <cell r="C6" t="str">
            <v>CPI</v>
          </cell>
          <cell r="D6" t="str">
            <v>WACC</v>
          </cell>
        </row>
        <row r="7">
          <cell r="B7">
            <v>2001</v>
          </cell>
          <cell r="C7">
            <v>2.5000000000000001E-2</v>
          </cell>
          <cell r="D7">
            <v>6.6000000000000003E-2</v>
          </cell>
        </row>
        <row r="8">
          <cell r="B8">
            <v>2002</v>
          </cell>
          <cell r="C8">
            <v>4.7E-2</v>
          </cell>
          <cell r="D8">
            <v>6.6000000000000003E-2</v>
          </cell>
        </row>
        <row r="9">
          <cell r="B9">
            <v>2003</v>
          </cell>
          <cell r="C9">
            <v>3.3000000000000002E-2</v>
          </cell>
          <cell r="D9">
            <v>6.6000000000000003E-2</v>
          </cell>
        </row>
        <row r="10">
          <cell r="B10">
            <v>2004</v>
          </cell>
          <cell r="C10">
            <v>2.1000000000000001E-2</v>
          </cell>
          <cell r="D10">
            <v>6.6000000000000003E-2</v>
          </cell>
        </row>
        <row r="11">
          <cell r="B11">
            <v>2005</v>
          </cell>
          <cell r="C11">
            <v>1.0999999999999999E-2</v>
          </cell>
          <cell r="D11">
            <v>6.6000000000000003E-2</v>
          </cell>
        </row>
        <row r="12">
          <cell r="B12">
            <v>2006</v>
          </cell>
          <cell r="C12">
            <v>1.7999999999999999E-2</v>
          </cell>
          <cell r="D12">
            <v>6.6000000000000003E-2</v>
          </cell>
        </row>
        <row r="13">
          <cell r="B13">
            <v>2007</v>
          </cell>
          <cell r="C13">
            <v>1.4E-2</v>
          </cell>
          <cell r="D13">
            <v>5.8000000000000003E-2</v>
          </cell>
        </row>
        <row r="14">
          <cell r="B14">
            <v>2008</v>
          </cell>
          <cell r="C14">
            <v>1.0999999999999999E-2</v>
          </cell>
          <cell r="D14">
            <v>5.5E-2</v>
          </cell>
        </row>
        <row r="15">
          <cell r="B15">
            <v>2009</v>
          </cell>
          <cell r="C15">
            <v>3.2000000000000001E-2</v>
          </cell>
          <cell r="D15">
            <v>5.5E-2</v>
          </cell>
        </row>
        <row r="16">
          <cell r="B16">
            <v>2010</v>
          </cell>
          <cell r="C16">
            <v>3.0000000000000001E-3</v>
          </cell>
          <cell r="D16">
            <v>5.5E-2</v>
          </cell>
        </row>
        <row r="17">
          <cell r="B17">
            <v>2011</v>
          </cell>
          <cell r="D17">
            <v>6.2E-2</v>
          </cell>
        </row>
        <row r="18">
          <cell r="B18">
            <v>2012</v>
          </cell>
          <cell r="D18">
            <v>6.2E-2</v>
          </cell>
        </row>
        <row r="19">
          <cell r="B19">
            <v>2013</v>
          </cell>
          <cell r="D19">
            <v>6.2E-2</v>
          </cell>
        </row>
        <row r="20">
          <cell r="B20">
            <v>2014</v>
          </cell>
          <cell r="D20">
            <v>0</v>
          </cell>
        </row>
        <row r="21">
          <cell r="B21">
            <v>2015</v>
          </cell>
          <cell r="D21">
            <v>0</v>
          </cell>
        </row>
        <row r="22">
          <cell r="B22">
            <v>2016</v>
          </cell>
          <cell r="D22">
            <v>0</v>
          </cell>
        </row>
        <row r="23">
          <cell r="B23">
            <v>2017</v>
          </cell>
          <cell r="D23">
            <v>0</v>
          </cell>
        </row>
        <row r="24">
          <cell r="B24">
            <v>2018</v>
          </cell>
          <cell r="D24">
            <v>0</v>
          </cell>
        </row>
        <row r="25">
          <cell r="B25">
            <v>2019</v>
          </cell>
          <cell r="D25">
            <v>0</v>
          </cell>
        </row>
        <row r="26">
          <cell r="B26">
            <v>2020</v>
          </cell>
          <cell r="D26">
            <v>0</v>
          </cell>
        </row>
      </sheetData>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dnb.nl/statistieken/data-zoeken/" TargetMode="External"/><Relationship Id="rId2" Type="http://schemas.openxmlformats.org/officeDocument/2006/relationships/hyperlink" Target="https://opendata.cbs.nl/" TargetMode="External"/><Relationship Id="rId1" Type="http://schemas.openxmlformats.org/officeDocument/2006/relationships/hyperlink" Target="https://www.acm.nl/nl/publicaties/herstel-x-factorberekening-regionale-netbeheerders-gas-2021-2026" TargetMode="External"/><Relationship Id="rId6" Type="http://schemas.openxmlformats.org/officeDocument/2006/relationships/printerSettings" Target="../printerSettings/printerSettings3.bin"/><Relationship Id="rId5" Type="http://schemas.openxmlformats.org/officeDocument/2006/relationships/hyperlink" Target="https://www.ecb.europa.eu/stats/policy_and_exchange_rates/key_ecb_interest_rates/html/index.nl.html" TargetMode="External"/><Relationship Id="rId4" Type="http://schemas.openxmlformats.org/officeDocument/2006/relationships/hyperlink" Target="https://www.acm.nl/nl/publicaties/herstel-x-factorberekening-regionale-netbeheerders-gas-2021-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D35"/>
  <sheetViews>
    <sheetView showGridLines="0" tabSelected="1" zoomScale="85" zoomScaleNormal="85" workbookViewId="0">
      <pane ySplit="3" topLeftCell="A4" activePane="bottomLeft" state="frozen"/>
      <selection activeCell="Q27" sqref="Q27"/>
      <selection pane="bottomLeft" activeCell="A4" sqref="A4"/>
    </sheetView>
  </sheetViews>
  <sheetFormatPr defaultColWidth="9.140625" defaultRowHeight="12.75" x14ac:dyDescent="0.25"/>
  <cols>
    <col min="1" max="1" width="2.85546875" style="2" customWidth="1"/>
    <col min="2" max="2" width="39.85546875" style="2" customWidth="1"/>
    <col min="3" max="3" width="91.85546875" style="2" customWidth="1"/>
    <col min="4" max="16384" width="9.140625" style="2"/>
  </cols>
  <sheetData>
    <row r="2" spans="2:3" s="10" customFormat="1" ht="18" x14ac:dyDescent="0.25">
      <c r="B2" s="9" t="s">
        <v>270</v>
      </c>
    </row>
    <row r="6" spans="2:3" x14ac:dyDescent="0.25">
      <c r="B6" s="3"/>
    </row>
    <row r="13" spans="2:3" s="6" customFormat="1" x14ac:dyDescent="0.25">
      <c r="B13" s="6" t="s">
        <v>0</v>
      </c>
    </row>
    <row r="15" spans="2:3" x14ac:dyDescent="0.25">
      <c r="B15" s="7" t="s">
        <v>1</v>
      </c>
      <c r="C15" s="8" t="s">
        <v>268</v>
      </c>
    </row>
    <row r="16" spans="2:3" x14ac:dyDescent="0.25">
      <c r="B16" s="7" t="s">
        <v>2</v>
      </c>
      <c r="C16" s="8" t="s">
        <v>270</v>
      </c>
    </row>
    <row r="17" spans="2:3" x14ac:dyDescent="0.25">
      <c r="B17" s="7" t="s">
        <v>3</v>
      </c>
      <c r="C17" s="8"/>
    </row>
    <row r="18" spans="2:3" x14ac:dyDescent="0.25">
      <c r="B18" s="7" t="s">
        <v>4</v>
      </c>
      <c r="C18" s="8" t="s">
        <v>251</v>
      </c>
    </row>
    <row r="19" spans="2:3" x14ac:dyDescent="0.25">
      <c r="B19" s="7" t="s">
        <v>5</v>
      </c>
      <c r="C19" s="8"/>
    </row>
    <row r="20" spans="2:3" x14ac:dyDescent="0.25">
      <c r="B20" s="7" t="s">
        <v>6</v>
      </c>
      <c r="C20" s="8"/>
    </row>
    <row r="21" spans="2:3" x14ac:dyDescent="0.25">
      <c r="B21" s="7" t="s">
        <v>7</v>
      </c>
      <c r="C21" s="8" t="s">
        <v>252</v>
      </c>
    </row>
    <row r="22" spans="2:3" x14ac:dyDescent="0.25">
      <c r="B22" s="7" t="s">
        <v>8</v>
      </c>
      <c r="C22" s="8"/>
    </row>
    <row r="25" spans="2:3" s="6" customFormat="1" x14ac:dyDescent="0.25">
      <c r="B25" s="6" t="s">
        <v>9</v>
      </c>
    </row>
    <row r="27" spans="2:3" x14ac:dyDescent="0.25">
      <c r="B27" s="7" t="s">
        <v>10</v>
      </c>
      <c r="C27" s="8" t="s">
        <v>269</v>
      </c>
    </row>
    <row r="28" spans="2:3" x14ac:dyDescent="0.25">
      <c r="B28" s="7" t="s">
        <v>11</v>
      </c>
      <c r="C28" s="8" t="s">
        <v>269</v>
      </c>
    </row>
    <row r="29" spans="2:3" ht="25.5" x14ac:dyDescent="0.25">
      <c r="B29" s="7" t="s">
        <v>12</v>
      </c>
      <c r="C29" s="8" t="s">
        <v>269</v>
      </c>
    </row>
    <row r="30" spans="2:3" x14ac:dyDescent="0.25">
      <c r="B30" s="7" t="s">
        <v>13</v>
      </c>
      <c r="C30" s="8"/>
    </row>
    <row r="31" spans="2:3" x14ac:dyDescent="0.25">
      <c r="B31" s="7" t="s">
        <v>8</v>
      </c>
      <c r="C31" s="8"/>
    </row>
    <row r="33" spans="2:4" x14ac:dyDescent="0.25">
      <c r="B33" s="27"/>
      <c r="C33" s="27"/>
      <c r="D33" s="5"/>
    </row>
    <row r="35" spans="2:4" s="6" customFormat="1" x14ac:dyDescent="0.25">
      <c r="B35" s="6" t="s">
        <v>14</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sheetPr>
  <dimension ref="B2:AC76"/>
  <sheetViews>
    <sheetView showGridLines="0" zoomScale="85" zoomScaleNormal="85" workbookViewId="0">
      <pane xSplit="6" ySplit="14" topLeftCell="G15" activePane="bottomRight" state="frozen"/>
      <selection pane="topRight" activeCell="G1" sqref="G1"/>
      <selection pane="bottomLeft" activeCell="A10" sqref="A10"/>
      <selection pane="bottomRight" activeCell="G15" sqref="G15"/>
    </sheetView>
  </sheetViews>
  <sheetFormatPr defaultColWidth="9.140625" defaultRowHeight="12.75" x14ac:dyDescent="0.25"/>
  <cols>
    <col min="1" max="1" width="4" style="2" customWidth="1"/>
    <col min="2" max="2" width="48" style="2" customWidth="1"/>
    <col min="3" max="4" width="4.5703125" style="2" customWidth="1"/>
    <col min="5" max="5" width="3.28515625" style="2" customWidth="1"/>
    <col min="6" max="6" width="12.42578125" style="2" customWidth="1"/>
    <col min="7" max="7" width="2.7109375" style="2" customWidth="1"/>
    <col min="8" max="8" width="13.7109375" style="2" customWidth="1"/>
    <col min="9" max="29" width="11.7109375" style="2" customWidth="1"/>
    <col min="30" max="16384" width="9.140625" style="2"/>
  </cols>
  <sheetData>
    <row r="2" spans="2:29" s="19" customFormat="1" ht="18" x14ac:dyDescent="0.25">
      <c r="B2" s="19" t="s">
        <v>82</v>
      </c>
    </row>
    <row r="4" spans="2:29" ht="12" customHeight="1" x14ac:dyDescent="0.25">
      <c r="B4" s="1" t="s">
        <v>58</v>
      </c>
      <c r="C4" s="1"/>
      <c r="D4" s="1"/>
    </row>
    <row r="5" spans="2:29" ht="12" customHeight="1" x14ac:dyDescent="0.25">
      <c r="B5" s="2" t="s">
        <v>247</v>
      </c>
      <c r="H5" s="20"/>
    </row>
    <row r="6" spans="2:29" ht="12" customHeight="1" x14ac:dyDescent="0.25">
      <c r="H6" s="20"/>
    </row>
    <row r="7" spans="2:29" ht="12" customHeight="1" x14ac:dyDescent="0.25">
      <c r="B7" s="2" t="s">
        <v>248</v>
      </c>
      <c r="H7" s="20"/>
    </row>
    <row r="8" spans="2:29" ht="12" customHeight="1" x14ac:dyDescent="0.25">
      <c r="B8" s="2" t="s">
        <v>243</v>
      </c>
      <c r="H8" s="20"/>
    </row>
    <row r="9" spans="2:29" ht="12" customHeight="1" x14ac:dyDescent="0.25">
      <c r="B9" s="2" t="s">
        <v>244</v>
      </c>
      <c r="H9" s="20"/>
    </row>
    <row r="10" spans="2:29" ht="12" customHeight="1" x14ac:dyDescent="0.25">
      <c r="B10" s="2" t="s">
        <v>245</v>
      </c>
      <c r="H10" s="20"/>
    </row>
    <row r="11" spans="2:29" ht="12" customHeight="1" x14ac:dyDescent="0.25">
      <c r="B11" s="2" t="s">
        <v>246</v>
      </c>
      <c r="H11" s="20"/>
    </row>
    <row r="12" spans="2:29" ht="12" customHeight="1" x14ac:dyDescent="0.25"/>
    <row r="13" spans="2:29" s="6" customFormat="1" ht="12" customHeight="1" x14ac:dyDescent="0.25">
      <c r="B13" s="6" t="s">
        <v>46</v>
      </c>
      <c r="F13" s="6" t="s">
        <v>28</v>
      </c>
      <c r="H13" s="6" t="s">
        <v>29</v>
      </c>
      <c r="L13" s="37"/>
      <c r="M13" s="37"/>
      <c r="N13" s="37"/>
      <c r="O13" s="39"/>
    </row>
    <row r="14" spans="2:29" ht="12" customHeight="1" x14ac:dyDescent="0.25"/>
    <row r="15" spans="2:29" ht="12" customHeight="1" x14ac:dyDescent="0.25"/>
    <row r="16" spans="2:29" s="6" customFormat="1" ht="12" customHeight="1" x14ac:dyDescent="0.25">
      <c r="B16" s="6" t="s">
        <v>237</v>
      </c>
      <c r="I16" s="6">
        <v>2004</v>
      </c>
      <c r="J16" s="6">
        <v>2005</v>
      </c>
      <c r="K16" s="6">
        <v>2006</v>
      </c>
      <c r="L16" s="6">
        <v>2007</v>
      </c>
      <c r="M16" s="6">
        <v>2008</v>
      </c>
      <c r="N16" s="6">
        <v>2009</v>
      </c>
      <c r="O16" s="6">
        <v>2010</v>
      </c>
      <c r="P16" s="6">
        <v>2011</v>
      </c>
      <c r="Q16" s="6">
        <v>2012</v>
      </c>
      <c r="R16" s="6">
        <v>2013</v>
      </c>
      <c r="S16" s="6">
        <v>2014</v>
      </c>
      <c r="T16" s="6">
        <v>2015</v>
      </c>
      <c r="U16" s="6">
        <v>2016</v>
      </c>
      <c r="V16" s="6">
        <v>2017</v>
      </c>
      <c r="W16" s="6">
        <v>2018</v>
      </c>
      <c r="X16" s="6">
        <v>2019</v>
      </c>
      <c r="Y16" s="6">
        <v>2020</v>
      </c>
      <c r="Z16" s="6">
        <v>2021</v>
      </c>
      <c r="AA16" s="6">
        <v>2022</v>
      </c>
      <c r="AB16" s="6">
        <v>2023</v>
      </c>
      <c r="AC16" s="6">
        <v>2024</v>
      </c>
    </row>
    <row r="17" spans="2:29" ht="12" customHeight="1" x14ac:dyDescent="0.25"/>
    <row r="18" spans="2:29" s="72" customFormat="1" ht="12" customHeight="1" x14ac:dyDescent="0.25">
      <c r="B18" s="2" t="s">
        <v>216</v>
      </c>
      <c r="I18" s="95">
        <f>'Input parameters'!L21</f>
        <v>2.1000000000000001E-2</v>
      </c>
      <c r="J18" s="95">
        <f>'Input parameters'!M21</f>
        <v>1.0999999999999999E-2</v>
      </c>
      <c r="K18" s="95">
        <f>'Input parameters'!N21</f>
        <v>1.7999999999999999E-2</v>
      </c>
      <c r="L18" s="95">
        <f>'Input parameters'!O21</f>
        <v>1.4E-2</v>
      </c>
      <c r="M18" s="95">
        <f>'Input parameters'!P21</f>
        <v>1.0999999999999999E-2</v>
      </c>
      <c r="N18" s="95">
        <f>'Input parameters'!Q21</f>
        <v>3.2000000000000001E-2</v>
      </c>
      <c r="O18" s="95">
        <f>'Input parameters'!R21</f>
        <v>3.0000000000000001E-3</v>
      </c>
      <c r="P18" s="95">
        <f>'Input parameters'!S21</f>
        <v>1.4999999999999999E-2</v>
      </c>
      <c r="Q18" s="95">
        <f>'Input parameters'!T21</f>
        <v>2.5999999999999999E-2</v>
      </c>
      <c r="R18" s="95">
        <f>'Input parameters'!U21</f>
        <v>2.3E-2</v>
      </c>
      <c r="S18" s="95">
        <f>'Input parameters'!V21</f>
        <v>2.8000000000000001E-2</v>
      </c>
      <c r="T18" s="95">
        <f>'Input parameters'!W21</f>
        <v>0.01</v>
      </c>
      <c r="U18" s="95">
        <f>'Input parameters'!X21</f>
        <v>8.0000000000000002E-3</v>
      </c>
      <c r="V18" s="95">
        <f>'Input parameters'!Y21</f>
        <v>2E-3</v>
      </c>
      <c r="W18" s="95">
        <f>'Input parameters'!Z21</f>
        <v>1.4E-2</v>
      </c>
      <c r="X18" s="95">
        <f>'Input parameters'!AA21</f>
        <v>2.1000000000000001E-2</v>
      </c>
      <c r="Y18" s="95">
        <f>'Input parameters'!AB21</f>
        <v>2.8000000000000001E-2</v>
      </c>
      <c r="Z18" s="95">
        <f>'Input parameters'!AC21</f>
        <v>7.0000000000000001E-3</v>
      </c>
      <c r="AA18" s="95">
        <f>'Input parameters'!AD21</f>
        <v>2.4E-2</v>
      </c>
      <c r="AB18" s="95">
        <f>'Input parameters'!AE21</f>
        <v>0.12</v>
      </c>
      <c r="AC18" s="95">
        <f>'Input parameters'!AF21</f>
        <v>0.03</v>
      </c>
    </row>
    <row r="19" spans="2:29" ht="12" customHeight="1" x14ac:dyDescent="0.25"/>
    <row r="20" spans="2:29" s="6" customFormat="1" ht="12" customHeight="1" x14ac:dyDescent="0.25">
      <c r="B20" s="6" t="s">
        <v>217</v>
      </c>
      <c r="I20" s="6">
        <v>2004</v>
      </c>
      <c r="J20" s="6">
        <v>2005</v>
      </c>
      <c r="K20" s="6">
        <v>2006</v>
      </c>
      <c r="L20" s="6">
        <v>2007</v>
      </c>
      <c r="M20" s="6">
        <v>2008</v>
      </c>
      <c r="N20" s="6">
        <v>2009</v>
      </c>
      <c r="O20" s="6">
        <v>2010</v>
      </c>
      <c r="P20" s="6">
        <v>2011</v>
      </c>
      <c r="Q20" s="6">
        <v>2012</v>
      </c>
      <c r="R20" s="6">
        <v>2013</v>
      </c>
      <c r="S20" s="6">
        <v>2014</v>
      </c>
      <c r="T20" s="6">
        <v>2015</v>
      </c>
      <c r="U20" s="6">
        <v>2016</v>
      </c>
      <c r="V20" s="6">
        <v>2017</v>
      </c>
      <c r="W20" s="6">
        <v>2018</v>
      </c>
      <c r="X20" s="6">
        <v>2019</v>
      </c>
      <c r="Y20" s="6">
        <v>2020</v>
      </c>
      <c r="Z20" s="6">
        <v>2021</v>
      </c>
      <c r="AA20" s="6">
        <v>2022</v>
      </c>
      <c r="AB20" s="6">
        <v>2023</v>
      </c>
      <c r="AC20" s="6">
        <v>2024</v>
      </c>
    </row>
    <row r="21" spans="2:29" s="72" customFormat="1" ht="12" customHeight="1" x14ac:dyDescent="0.25"/>
    <row r="22" spans="2:29" s="28" customFormat="1" ht="12" customHeight="1" x14ac:dyDescent="0.25">
      <c r="B22" s="28" t="s">
        <v>218</v>
      </c>
    </row>
    <row r="23" spans="2:29" s="72" customFormat="1" ht="12" customHeight="1" x14ac:dyDescent="0.25">
      <c r="B23" s="2" t="s">
        <v>242</v>
      </c>
      <c r="E23" s="96"/>
      <c r="I23" s="97">
        <f t="shared" ref="I23:AC23" si="0">1+I18</f>
        <v>1.0209999999999999</v>
      </c>
      <c r="J23" s="97">
        <f t="shared" si="0"/>
        <v>1.0109999999999999</v>
      </c>
      <c r="K23" s="97">
        <f t="shared" si="0"/>
        <v>1.018</v>
      </c>
      <c r="L23" s="97">
        <f t="shared" si="0"/>
        <v>1.014</v>
      </c>
      <c r="M23" s="97">
        <f t="shared" si="0"/>
        <v>1.0109999999999999</v>
      </c>
      <c r="N23" s="97">
        <f t="shared" si="0"/>
        <v>1.032</v>
      </c>
      <c r="O23" s="97">
        <f t="shared" si="0"/>
        <v>1.0029999999999999</v>
      </c>
      <c r="P23" s="97">
        <f t="shared" si="0"/>
        <v>1.0149999999999999</v>
      </c>
      <c r="Q23" s="97">
        <f t="shared" si="0"/>
        <v>1.026</v>
      </c>
      <c r="R23" s="97">
        <f t="shared" si="0"/>
        <v>1.0229999999999999</v>
      </c>
      <c r="S23" s="97">
        <f t="shared" si="0"/>
        <v>1.028</v>
      </c>
      <c r="T23" s="97">
        <f t="shared" si="0"/>
        <v>1.01</v>
      </c>
      <c r="U23" s="97">
        <f t="shared" si="0"/>
        <v>1.008</v>
      </c>
      <c r="V23" s="97">
        <f t="shared" si="0"/>
        <v>1.002</v>
      </c>
      <c r="W23" s="97">
        <f t="shared" si="0"/>
        <v>1.014</v>
      </c>
      <c r="X23" s="97">
        <f t="shared" si="0"/>
        <v>1.0209999999999999</v>
      </c>
      <c r="Y23" s="97">
        <f t="shared" si="0"/>
        <v>1.028</v>
      </c>
      <c r="Z23" s="97">
        <f t="shared" si="0"/>
        <v>1.0069999999999999</v>
      </c>
      <c r="AA23" s="97">
        <f t="shared" si="0"/>
        <v>1.024</v>
      </c>
      <c r="AB23" s="97">
        <f t="shared" si="0"/>
        <v>1.1200000000000001</v>
      </c>
      <c r="AC23" s="97">
        <f t="shared" si="0"/>
        <v>1.03</v>
      </c>
    </row>
    <row r="24" spans="2:29" s="72" customFormat="1" ht="12" customHeight="1" x14ac:dyDescent="0.25"/>
    <row r="25" spans="2:29" s="28" customFormat="1" ht="12" customHeight="1" x14ac:dyDescent="0.25">
      <c r="B25" s="28" t="s">
        <v>219</v>
      </c>
    </row>
    <row r="26" spans="2:29" s="72" customFormat="1" ht="12" customHeight="1" x14ac:dyDescent="0.25">
      <c r="B26" s="98">
        <v>2004</v>
      </c>
      <c r="I26" s="64">
        <v>1</v>
      </c>
      <c r="J26" s="97">
        <f t="shared" ref="J26:AC26" si="1">I26*J$23</f>
        <v>1.0109999999999999</v>
      </c>
      <c r="K26" s="97">
        <f t="shared" si="1"/>
        <v>1.0291979999999998</v>
      </c>
      <c r="L26" s="97">
        <f t="shared" si="1"/>
        <v>1.0436067719999997</v>
      </c>
      <c r="M26" s="97">
        <f t="shared" si="1"/>
        <v>1.0550864464919996</v>
      </c>
      <c r="N26" s="97">
        <f t="shared" si="1"/>
        <v>1.0888492127797436</v>
      </c>
      <c r="O26" s="97">
        <f t="shared" si="1"/>
        <v>1.0921157604180827</v>
      </c>
      <c r="P26" s="97">
        <f t="shared" si="1"/>
        <v>1.1084974968243537</v>
      </c>
      <c r="Q26" s="97">
        <f t="shared" si="1"/>
        <v>1.137318431741787</v>
      </c>
      <c r="R26" s="97">
        <f t="shared" si="1"/>
        <v>1.1634767556718479</v>
      </c>
      <c r="S26" s="97">
        <f t="shared" si="1"/>
        <v>1.1960541048306597</v>
      </c>
      <c r="T26" s="97">
        <f t="shared" si="1"/>
        <v>1.2080146458789662</v>
      </c>
      <c r="U26" s="97">
        <f t="shared" si="1"/>
        <v>1.217678763045998</v>
      </c>
      <c r="V26" s="97">
        <f t="shared" si="1"/>
        <v>1.22011412057209</v>
      </c>
      <c r="W26" s="97">
        <f t="shared" si="1"/>
        <v>1.2371957182600992</v>
      </c>
      <c r="X26" s="97">
        <f t="shared" si="1"/>
        <v>1.2631768283435612</v>
      </c>
      <c r="Y26" s="97">
        <f t="shared" si="1"/>
        <v>1.2985457795371809</v>
      </c>
      <c r="Z26" s="97">
        <f t="shared" si="1"/>
        <v>1.3076355999939411</v>
      </c>
      <c r="AA26" s="97">
        <f t="shared" si="1"/>
        <v>1.3390188543937958</v>
      </c>
      <c r="AB26" s="97">
        <f t="shared" si="1"/>
        <v>1.4997011169210515</v>
      </c>
      <c r="AC26" s="97">
        <f t="shared" si="1"/>
        <v>1.544692150428683</v>
      </c>
    </row>
    <row r="27" spans="2:29" s="72" customFormat="1" ht="12" customHeight="1" x14ac:dyDescent="0.25">
      <c r="B27" s="98">
        <v>2005</v>
      </c>
      <c r="I27" s="99"/>
      <c r="J27" s="64">
        <v>1</v>
      </c>
      <c r="K27" s="97">
        <f t="shared" ref="K27:AC27" si="2">J27*K$23</f>
        <v>1.018</v>
      </c>
      <c r="L27" s="97">
        <f t="shared" si="2"/>
        <v>1.0322519999999999</v>
      </c>
      <c r="M27" s="97">
        <f t="shared" si="2"/>
        <v>1.0436067719999997</v>
      </c>
      <c r="N27" s="97">
        <f t="shared" si="2"/>
        <v>1.0770021887039998</v>
      </c>
      <c r="O27" s="97">
        <f t="shared" si="2"/>
        <v>1.0802331952701116</v>
      </c>
      <c r="P27" s="97">
        <f t="shared" si="2"/>
        <v>1.0964366931991631</v>
      </c>
      <c r="Q27" s="97">
        <f t="shared" si="2"/>
        <v>1.1249440472223413</v>
      </c>
      <c r="R27" s="97">
        <f t="shared" si="2"/>
        <v>1.1508177603084551</v>
      </c>
      <c r="S27" s="97">
        <f t="shared" si="2"/>
        <v>1.1830406575970918</v>
      </c>
      <c r="T27" s="97">
        <f t="shared" si="2"/>
        <v>1.1948710641730627</v>
      </c>
      <c r="U27" s="97">
        <f t="shared" si="2"/>
        <v>1.2044300326864472</v>
      </c>
      <c r="V27" s="97">
        <f t="shared" si="2"/>
        <v>1.2068388927518201</v>
      </c>
      <c r="W27" s="97">
        <f t="shared" si="2"/>
        <v>1.2237346372503457</v>
      </c>
      <c r="X27" s="97">
        <f t="shared" si="2"/>
        <v>1.2494330646326028</v>
      </c>
      <c r="Y27" s="97">
        <f t="shared" si="2"/>
        <v>1.2844171904423158</v>
      </c>
      <c r="Z27" s="97">
        <f t="shared" si="2"/>
        <v>1.2934081107754118</v>
      </c>
      <c r="AA27" s="97">
        <f t="shared" si="2"/>
        <v>1.3244499054340217</v>
      </c>
      <c r="AB27" s="97">
        <f t="shared" si="2"/>
        <v>1.4833838940861046</v>
      </c>
      <c r="AC27" s="97">
        <f t="shared" si="2"/>
        <v>1.5278854109086877</v>
      </c>
    </row>
    <row r="28" spans="2:29" s="72" customFormat="1" ht="12" customHeight="1" x14ac:dyDescent="0.25">
      <c r="B28" s="98">
        <v>2006</v>
      </c>
      <c r="I28" s="99"/>
      <c r="J28" s="99"/>
      <c r="K28" s="64">
        <v>1</v>
      </c>
      <c r="L28" s="97">
        <f t="shared" ref="L28:AC28" si="3">K28*L$23</f>
        <v>1.014</v>
      </c>
      <c r="M28" s="97">
        <f t="shared" si="3"/>
        <v>1.0251539999999999</v>
      </c>
      <c r="N28" s="97">
        <f t="shared" si="3"/>
        <v>1.0579589279999999</v>
      </c>
      <c r="O28" s="97">
        <f t="shared" si="3"/>
        <v>1.0611328047839999</v>
      </c>
      <c r="P28" s="97">
        <f t="shared" si="3"/>
        <v>1.0770497968557597</v>
      </c>
      <c r="Q28" s="97">
        <f t="shared" si="3"/>
        <v>1.1050530915740095</v>
      </c>
      <c r="R28" s="97">
        <f t="shared" si="3"/>
        <v>1.1304693126802117</v>
      </c>
      <c r="S28" s="97">
        <f t="shared" si="3"/>
        <v>1.1621224534352577</v>
      </c>
      <c r="T28" s="97">
        <f t="shared" si="3"/>
        <v>1.1737436779696102</v>
      </c>
      <c r="U28" s="97">
        <f t="shared" si="3"/>
        <v>1.183133627393367</v>
      </c>
      <c r="V28" s="97">
        <f t="shared" si="3"/>
        <v>1.1854998946481539</v>
      </c>
      <c r="W28" s="97">
        <f t="shared" si="3"/>
        <v>1.2020968931732281</v>
      </c>
      <c r="X28" s="97">
        <f t="shared" si="3"/>
        <v>1.2273409279298657</v>
      </c>
      <c r="Y28" s="97">
        <f t="shared" si="3"/>
        <v>1.2617064739119019</v>
      </c>
      <c r="Z28" s="97">
        <f t="shared" si="3"/>
        <v>1.270538419229285</v>
      </c>
      <c r="AA28" s="97">
        <f t="shared" si="3"/>
        <v>1.3010313412907879</v>
      </c>
      <c r="AB28" s="97">
        <f t="shared" si="3"/>
        <v>1.4571551022456826</v>
      </c>
      <c r="AC28" s="97">
        <f t="shared" si="3"/>
        <v>1.500869755313053</v>
      </c>
    </row>
    <row r="29" spans="2:29" s="72" customFormat="1" ht="12" customHeight="1" x14ac:dyDescent="0.25">
      <c r="B29" s="98">
        <v>2007</v>
      </c>
      <c r="I29" s="99"/>
      <c r="J29" s="99"/>
      <c r="K29" s="99"/>
      <c r="L29" s="64">
        <v>1</v>
      </c>
      <c r="M29" s="97">
        <f t="shared" ref="M29:AC29" si="4">L29*M$23</f>
        <v>1.0109999999999999</v>
      </c>
      <c r="N29" s="97">
        <f t="shared" si="4"/>
        <v>1.0433519999999998</v>
      </c>
      <c r="O29" s="97">
        <f t="shared" si="4"/>
        <v>1.0464820559999997</v>
      </c>
      <c r="P29" s="97">
        <f t="shared" si="4"/>
        <v>1.0621792868399995</v>
      </c>
      <c r="Q29" s="97">
        <f t="shared" si="4"/>
        <v>1.0897959482978394</v>
      </c>
      <c r="R29" s="97">
        <f t="shared" si="4"/>
        <v>1.1148612551086896</v>
      </c>
      <c r="S29" s="97">
        <f t="shared" si="4"/>
        <v>1.1460773702517328</v>
      </c>
      <c r="T29" s="97">
        <f t="shared" si="4"/>
        <v>1.1575381439542503</v>
      </c>
      <c r="U29" s="97">
        <f t="shared" si="4"/>
        <v>1.1667984491058843</v>
      </c>
      <c r="V29" s="97">
        <f t="shared" si="4"/>
        <v>1.1691320460040959</v>
      </c>
      <c r="W29" s="97">
        <f t="shared" si="4"/>
        <v>1.1854998946481532</v>
      </c>
      <c r="X29" s="97">
        <f t="shared" si="4"/>
        <v>1.2103953924357642</v>
      </c>
      <c r="Y29" s="97">
        <f t="shared" si="4"/>
        <v>1.2442864634239656</v>
      </c>
      <c r="Z29" s="97">
        <f t="shared" si="4"/>
        <v>1.2529964686679333</v>
      </c>
      <c r="AA29" s="97">
        <f t="shared" si="4"/>
        <v>1.2830683839159638</v>
      </c>
      <c r="AB29" s="97">
        <f t="shared" si="4"/>
        <v>1.4370365899858795</v>
      </c>
      <c r="AC29" s="97">
        <f t="shared" si="4"/>
        <v>1.4801476876854558</v>
      </c>
    </row>
    <row r="30" spans="2:29" s="72" customFormat="1" ht="12" customHeight="1" x14ac:dyDescent="0.25">
      <c r="B30" s="98">
        <v>2008</v>
      </c>
      <c r="I30" s="99"/>
      <c r="J30" s="99"/>
      <c r="K30" s="99"/>
      <c r="L30" s="99"/>
      <c r="M30" s="64">
        <v>1</v>
      </c>
      <c r="N30" s="97">
        <f t="shared" ref="N30:AC30" si="5">M30*N$23</f>
        <v>1.032</v>
      </c>
      <c r="O30" s="97">
        <f t="shared" si="5"/>
        <v>1.035096</v>
      </c>
      <c r="P30" s="97">
        <f t="shared" si="5"/>
        <v>1.0506224399999999</v>
      </c>
      <c r="Q30" s="97">
        <f t="shared" si="5"/>
        <v>1.0779386234399999</v>
      </c>
      <c r="R30" s="97">
        <f t="shared" si="5"/>
        <v>1.1027312117791197</v>
      </c>
      <c r="S30" s="97">
        <f t="shared" si="5"/>
        <v>1.133607685708935</v>
      </c>
      <c r="T30" s="97">
        <f t="shared" si="5"/>
        <v>1.1449437625660244</v>
      </c>
      <c r="U30" s="97">
        <f t="shared" si="5"/>
        <v>1.1541033126665525</v>
      </c>
      <c r="V30" s="97">
        <f t="shared" si="5"/>
        <v>1.1564115192918856</v>
      </c>
      <c r="W30" s="97">
        <f t="shared" si="5"/>
        <v>1.1726012805619719</v>
      </c>
      <c r="X30" s="97">
        <f t="shared" si="5"/>
        <v>1.1972259074537732</v>
      </c>
      <c r="Y30" s="97">
        <f t="shared" si="5"/>
        <v>1.2307482328624788</v>
      </c>
      <c r="Z30" s="97">
        <f t="shared" si="5"/>
        <v>1.2393634704925161</v>
      </c>
      <c r="AA30" s="97">
        <f t="shared" si="5"/>
        <v>1.2691081937843365</v>
      </c>
      <c r="AB30" s="97">
        <f t="shared" si="5"/>
        <v>1.4214011770384569</v>
      </c>
      <c r="AC30" s="97">
        <f t="shared" si="5"/>
        <v>1.4640432123496108</v>
      </c>
    </row>
    <row r="31" spans="2:29" s="72" customFormat="1" ht="12" customHeight="1" x14ac:dyDescent="0.25">
      <c r="B31" s="98">
        <v>2009</v>
      </c>
      <c r="I31" s="99"/>
      <c r="J31" s="99"/>
      <c r="K31" s="99"/>
      <c r="L31" s="99"/>
      <c r="M31" s="99"/>
      <c r="N31" s="64">
        <v>1</v>
      </c>
      <c r="O31" s="97">
        <f t="shared" ref="O31:AC31" si="6">N31*O$23</f>
        <v>1.0029999999999999</v>
      </c>
      <c r="P31" s="97">
        <f t="shared" si="6"/>
        <v>1.0180449999999999</v>
      </c>
      <c r="Q31" s="97">
        <f t="shared" si="6"/>
        <v>1.0445141699999998</v>
      </c>
      <c r="R31" s="97">
        <f t="shared" si="6"/>
        <v>1.0685379959099996</v>
      </c>
      <c r="S31" s="97">
        <f t="shared" si="6"/>
        <v>1.0984570597954797</v>
      </c>
      <c r="T31" s="97">
        <f t="shared" si="6"/>
        <v>1.1094416303934345</v>
      </c>
      <c r="U31" s="97">
        <f t="shared" si="6"/>
        <v>1.1183171634365821</v>
      </c>
      <c r="V31" s="97">
        <f t="shared" si="6"/>
        <v>1.1205537977634552</v>
      </c>
      <c r="W31" s="97">
        <f t="shared" si="6"/>
        <v>1.1362415509321435</v>
      </c>
      <c r="X31" s="97">
        <f t="shared" si="6"/>
        <v>1.1601026235017184</v>
      </c>
      <c r="Y31" s="97">
        <f t="shared" si="6"/>
        <v>1.1925854969597667</v>
      </c>
      <c r="Z31" s="97">
        <f t="shared" si="6"/>
        <v>1.200933595438485</v>
      </c>
      <c r="AA31" s="97">
        <f t="shared" si="6"/>
        <v>1.2297560017290086</v>
      </c>
      <c r="AB31" s="97">
        <f t="shared" si="6"/>
        <v>1.3773267219364898</v>
      </c>
      <c r="AC31" s="97">
        <f t="shared" si="6"/>
        <v>1.4186465235945844</v>
      </c>
    </row>
    <row r="32" spans="2:29" s="72" customFormat="1" ht="12" customHeight="1" x14ac:dyDescent="0.25">
      <c r="B32" s="98">
        <v>2010</v>
      </c>
      <c r="I32" s="99"/>
      <c r="J32" s="99"/>
      <c r="K32" s="99"/>
      <c r="L32" s="99"/>
      <c r="M32" s="99"/>
      <c r="N32" s="99"/>
      <c r="O32" s="64">
        <v>1</v>
      </c>
      <c r="P32" s="97">
        <f t="shared" ref="P32:AC32" si="7">O32*P$23</f>
        <v>1.0149999999999999</v>
      </c>
      <c r="Q32" s="97">
        <f t="shared" si="7"/>
        <v>1.0413899999999998</v>
      </c>
      <c r="R32" s="97">
        <f t="shared" si="7"/>
        <v>1.0653419699999997</v>
      </c>
      <c r="S32" s="97">
        <f t="shared" si="7"/>
        <v>1.0951715451599997</v>
      </c>
      <c r="T32" s="97">
        <f t="shared" si="7"/>
        <v>1.1061232606115996</v>
      </c>
      <c r="U32" s="97">
        <f t="shared" si="7"/>
        <v>1.1149722466964924</v>
      </c>
      <c r="V32" s="97">
        <f t="shared" si="7"/>
        <v>1.1172021911898855</v>
      </c>
      <c r="W32" s="97">
        <f t="shared" si="7"/>
        <v>1.132843021866544</v>
      </c>
      <c r="X32" s="97">
        <f t="shared" si="7"/>
        <v>1.1566327253257414</v>
      </c>
      <c r="Y32" s="97">
        <f t="shared" si="7"/>
        <v>1.1890184416348621</v>
      </c>
      <c r="Z32" s="97">
        <f t="shared" si="7"/>
        <v>1.197341570726306</v>
      </c>
      <c r="AA32" s="97">
        <f t="shared" si="7"/>
        <v>1.2260777684237374</v>
      </c>
      <c r="AB32" s="97">
        <f t="shared" si="7"/>
        <v>1.3732071006345861</v>
      </c>
      <c r="AC32" s="97">
        <f t="shared" si="7"/>
        <v>1.4144033136536236</v>
      </c>
    </row>
    <row r="33" spans="2:29" s="72" customFormat="1" ht="12" customHeight="1" x14ac:dyDescent="0.25">
      <c r="B33" s="98">
        <v>2011</v>
      </c>
      <c r="I33" s="99"/>
      <c r="J33" s="99"/>
      <c r="K33" s="99"/>
      <c r="L33" s="99"/>
      <c r="M33" s="99"/>
      <c r="N33" s="99"/>
      <c r="O33" s="99"/>
      <c r="P33" s="64">
        <v>1</v>
      </c>
      <c r="Q33" s="97">
        <f t="shared" ref="Q33:AC33" si="8">P33*Q$23</f>
        <v>1.026</v>
      </c>
      <c r="R33" s="97">
        <f t="shared" si="8"/>
        <v>1.049598</v>
      </c>
      <c r="S33" s="97">
        <f t="shared" si="8"/>
        <v>1.0789867440000001</v>
      </c>
      <c r="T33" s="97">
        <f t="shared" si="8"/>
        <v>1.08977661144</v>
      </c>
      <c r="U33" s="97">
        <f t="shared" si="8"/>
        <v>1.09849482433152</v>
      </c>
      <c r="V33" s="97">
        <f t="shared" si="8"/>
        <v>1.1006918139801831</v>
      </c>
      <c r="W33" s="97">
        <f t="shared" si="8"/>
        <v>1.1161014993759057</v>
      </c>
      <c r="X33" s="97">
        <f t="shared" si="8"/>
        <v>1.1395396308627996</v>
      </c>
      <c r="Y33" s="97">
        <f t="shared" si="8"/>
        <v>1.171446740526958</v>
      </c>
      <c r="Z33" s="97">
        <f t="shared" si="8"/>
        <v>1.1796468677106466</v>
      </c>
      <c r="AA33" s="97">
        <f t="shared" si="8"/>
        <v>1.2079583925357023</v>
      </c>
      <c r="AB33" s="97">
        <f t="shared" si="8"/>
        <v>1.3529133996399867</v>
      </c>
      <c r="AC33" s="97">
        <f t="shared" si="8"/>
        <v>1.3935008016291863</v>
      </c>
    </row>
    <row r="34" spans="2:29" s="72" customFormat="1" ht="12" customHeight="1" x14ac:dyDescent="0.25">
      <c r="B34" s="98">
        <v>2012</v>
      </c>
      <c r="I34" s="99"/>
      <c r="J34" s="99"/>
      <c r="K34" s="99"/>
      <c r="L34" s="99"/>
      <c r="M34" s="99"/>
      <c r="N34" s="99"/>
      <c r="O34" s="99"/>
      <c r="P34" s="99"/>
      <c r="Q34" s="64">
        <v>1</v>
      </c>
      <c r="R34" s="97">
        <f t="shared" ref="R34:AC34" si="9">Q34*R$23</f>
        <v>1.0229999999999999</v>
      </c>
      <c r="S34" s="97">
        <f t="shared" si="9"/>
        <v>1.051644</v>
      </c>
      <c r="T34" s="97">
        <f t="shared" si="9"/>
        <v>1.06216044</v>
      </c>
      <c r="U34" s="97">
        <f t="shared" si="9"/>
        <v>1.0706577235199999</v>
      </c>
      <c r="V34" s="97">
        <f t="shared" si="9"/>
        <v>1.0727990389670399</v>
      </c>
      <c r="W34" s="97">
        <f t="shared" si="9"/>
        <v>1.0878182255125783</v>
      </c>
      <c r="X34" s="97">
        <f t="shared" si="9"/>
        <v>1.1106624082483423</v>
      </c>
      <c r="Y34" s="97">
        <f t="shared" si="9"/>
        <v>1.1417609556792958</v>
      </c>
      <c r="Z34" s="97">
        <f t="shared" si="9"/>
        <v>1.1497532823690508</v>
      </c>
      <c r="AA34" s="97">
        <f t="shared" si="9"/>
        <v>1.177347361145908</v>
      </c>
      <c r="AB34" s="97">
        <f t="shared" si="9"/>
        <v>1.318629044483417</v>
      </c>
      <c r="AC34" s="97">
        <f t="shared" si="9"/>
        <v>1.3581879158179195</v>
      </c>
    </row>
    <row r="35" spans="2:29" s="72" customFormat="1" ht="12" customHeight="1" x14ac:dyDescent="0.25">
      <c r="B35" s="98">
        <v>2013</v>
      </c>
      <c r="I35" s="99"/>
      <c r="J35" s="99"/>
      <c r="K35" s="99"/>
      <c r="L35" s="99"/>
      <c r="M35" s="99"/>
      <c r="N35" s="99"/>
      <c r="O35" s="99"/>
      <c r="P35" s="99"/>
      <c r="Q35" s="99"/>
      <c r="R35" s="64">
        <v>1</v>
      </c>
      <c r="S35" s="97">
        <f t="shared" ref="S35:AC35" si="10">R35*S$23</f>
        <v>1.028</v>
      </c>
      <c r="T35" s="97">
        <f t="shared" si="10"/>
        <v>1.0382800000000001</v>
      </c>
      <c r="U35" s="97">
        <f t="shared" si="10"/>
        <v>1.0465862400000001</v>
      </c>
      <c r="V35" s="97">
        <f t="shared" si="10"/>
        <v>1.0486794124800001</v>
      </c>
      <c r="W35" s="97">
        <f t="shared" si="10"/>
        <v>1.0633609242547202</v>
      </c>
      <c r="X35" s="97">
        <f t="shared" si="10"/>
        <v>1.0856915036640693</v>
      </c>
      <c r="Y35" s="97">
        <f t="shared" si="10"/>
        <v>1.1160908657666633</v>
      </c>
      <c r="Z35" s="97">
        <f t="shared" si="10"/>
        <v>1.1239035018270298</v>
      </c>
      <c r="AA35" s="97">
        <f t="shared" si="10"/>
        <v>1.1508771858708786</v>
      </c>
      <c r="AB35" s="97">
        <f t="shared" si="10"/>
        <v>1.2889824481753842</v>
      </c>
      <c r="AC35" s="97">
        <f t="shared" si="10"/>
        <v>1.3276519216206457</v>
      </c>
    </row>
    <row r="36" spans="2:29" s="72" customFormat="1" ht="12" customHeight="1" x14ac:dyDescent="0.25">
      <c r="B36" s="98">
        <v>2014</v>
      </c>
      <c r="I36" s="99"/>
      <c r="J36" s="99"/>
      <c r="K36" s="99"/>
      <c r="L36" s="99"/>
      <c r="M36" s="99"/>
      <c r="N36" s="99"/>
      <c r="O36" s="99"/>
      <c r="P36" s="99"/>
      <c r="Q36" s="99"/>
      <c r="R36" s="99"/>
      <c r="S36" s="64">
        <v>1</v>
      </c>
      <c r="T36" s="97">
        <f t="shared" ref="T36:AC36" si="11">S36*T$23</f>
        <v>1.01</v>
      </c>
      <c r="U36" s="97">
        <f t="shared" si="11"/>
        <v>1.0180800000000001</v>
      </c>
      <c r="V36" s="97">
        <f t="shared" si="11"/>
        <v>1.0201161600000002</v>
      </c>
      <c r="W36" s="97">
        <f t="shared" si="11"/>
        <v>1.0343977862400002</v>
      </c>
      <c r="X36" s="97">
        <f t="shared" si="11"/>
        <v>1.0561201397510402</v>
      </c>
      <c r="Y36" s="97">
        <f t="shared" si="11"/>
        <v>1.0856915036640693</v>
      </c>
      <c r="Z36" s="97">
        <f t="shared" si="11"/>
        <v>1.0932913441897176</v>
      </c>
      <c r="AA36" s="97">
        <f t="shared" si="11"/>
        <v>1.1195303364502709</v>
      </c>
      <c r="AB36" s="97">
        <f t="shared" si="11"/>
        <v>1.2538739768243035</v>
      </c>
      <c r="AC36" s="97">
        <f t="shared" si="11"/>
        <v>1.2914901961290326</v>
      </c>
    </row>
    <row r="37" spans="2:29" s="72" customFormat="1" ht="12" customHeight="1" x14ac:dyDescent="0.25">
      <c r="B37" s="98">
        <v>2015</v>
      </c>
      <c r="I37" s="99"/>
      <c r="J37" s="99"/>
      <c r="K37" s="99"/>
      <c r="L37" s="99"/>
      <c r="M37" s="99"/>
      <c r="N37" s="99"/>
      <c r="O37" s="99"/>
      <c r="P37" s="99"/>
      <c r="Q37" s="99"/>
      <c r="R37" s="99"/>
      <c r="S37" s="99"/>
      <c r="T37" s="64">
        <v>1</v>
      </c>
      <c r="U37" s="97">
        <f t="shared" ref="U37:AC37" si="12">T37*U$23</f>
        <v>1.008</v>
      </c>
      <c r="V37" s="97">
        <f t="shared" si="12"/>
        <v>1.010016</v>
      </c>
      <c r="W37" s="97">
        <f t="shared" si="12"/>
        <v>1.0241562239999999</v>
      </c>
      <c r="X37" s="97">
        <f t="shared" si="12"/>
        <v>1.0456635047039999</v>
      </c>
      <c r="Y37" s="97">
        <f t="shared" si="12"/>
        <v>1.0749420828357119</v>
      </c>
      <c r="Z37" s="97">
        <f t="shared" si="12"/>
        <v>1.0824666774155618</v>
      </c>
      <c r="AA37" s="97">
        <f t="shared" si="12"/>
        <v>1.1084458776735353</v>
      </c>
      <c r="AB37" s="97">
        <f t="shared" si="12"/>
        <v>1.2414593829943597</v>
      </c>
      <c r="AC37" s="97">
        <f t="shared" si="12"/>
        <v>1.2787031644841904</v>
      </c>
    </row>
    <row r="38" spans="2:29" s="72" customFormat="1" ht="12" customHeight="1" x14ac:dyDescent="0.25">
      <c r="B38" s="98">
        <v>2016</v>
      </c>
      <c r="I38" s="99"/>
      <c r="J38" s="99"/>
      <c r="K38" s="99"/>
      <c r="L38" s="99"/>
      <c r="M38" s="99"/>
      <c r="N38" s="99"/>
      <c r="O38" s="99"/>
      <c r="P38" s="99"/>
      <c r="Q38" s="99"/>
      <c r="R38" s="99"/>
      <c r="S38" s="99"/>
      <c r="T38" s="99"/>
      <c r="U38" s="64">
        <v>1</v>
      </c>
      <c r="V38" s="97">
        <f t="shared" ref="V38:AC38" si="13">U38*V$23</f>
        <v>1.002</v>
      </c>
      <c r="W38" s="97">
        <f t="shared" si="13"/>
        <v>1.0160279999999999</v>
      </c>
      <c r="X38" s="97">
        <f t="shared" si="13"/>
        <v>1.0373645879999998</v>
      </c>
      <c r="Y38" s="97">
        <f t="shared" si="13"/>
        <v>1.0664107964639997</v>
      </c>
      <c r="Z38" s="97">
        <f t="shared" si="13"/>
        <v>1.0738756720392475</v>
      </c>
      <c r="AA38" s="97">
        <f t="shared" si="13"/>
        <v>1.0996486881681895</v>
      </c>
      <c r="AB38" s="97">
        <f t="shared" si="13"/>
        <v>1.2316065307483723</v>
      </c>
      <c r="AC38" s="97">
        <f t="shared" si="13"/>
        <v>1.2685547266708235</v>
      </c>
    </row>
    <row r="39" spans="2:29" s="72" customFormat="1" ht="12" customHeight="1" x14ac:dyDescent="0.25">
      <c r="B39" s="98">
        <v>2017</v>
      </c>
      <c r="I39" s="99"/>
      <c r="J39" s="99"/>
      <c r="K39" s="99"/>
      <c r="L39" s="99"/>
      <c r="M39" s="99"/>
      <c r="N39" s="99"/>
      <c r="O39" s="99"/>
      <c r="P39" s="99"/>
      <c r="Q39" s="99"/>
      <c r="R39" s="99"/>
      <c r="S39" s="99"/>
      <c r="T39" s="99"/>
      <c r="U39" s="99"/>
      <c r="V39" s="64">
        <v>1</v>
      </c>
      <c r="W39" s="97">
        <f t="shared" ref="W39:AC39" si="14">V39*W$23</f>
        <v>1.014</v>
      </c>
      <c r="X39" s="97">
        <f t="shared" si="14"/>
        <v>1.0352939999999999</v>
      </c>
      <c r="Y39" s="97">
        <f t="shared" si="14"/>
        <v>1.0642822320000001</v>
      </c>
      <c r="Z39" s="97">
        <f t="shared" si="14"/>
        <v>1.0717322076239999</v>
      </c>
      <c r="AA39" s="97">
        <f t="shared" si="14"/>
        <v>1.097453780606976</v>
      </c>
      <c r="AB39" s="97">
        <f t="shared" si="14"/>
        <v>1.2291482342798132</v>
      </c>
      <c r="AC39" s="97">
        <f t="shared" si="14"/>
        <v>1.2660226813082076</v>
      </c>
    </row>
    <row r="40" spans="2:29" s="72" customFormat="1" ht="12" customHeight="1" x14ac:dyDescent="0.25">
      <c r="B40" s="98">
        <v>2018</v>
      </c>
      <c r="I40" s="99"/>
      <c r="J40" s="99"/>
      <c r="K40" s="99"/>
      <c r="L40" s="99"/>
      <c r="M40" s="99"/>
      <c r="N40" s="99"/>
      <c r="O40" s="99"/>
      <c r="P40" s="99"/>
      <c r="Q40" s="99"/>
      <c r="R40" s="99"/>
      <c r="S40" s="99"/>
      <c r="T40" s="99"/>
      <c r="U40" s="99"/>
      <c r="V40" s="99"/>
      <c r="W40" s="64">
        <v>1</v>
      </c>
      <c r="X40" s="97">
        <f t="shared" ref="X40:AC40" si="15">W40*X$23</f>
        <v>1.0209999999999999</v>
      </c>
      <c r="Y40" s="97">
        <f t="shared" si="15"/>
        <v>1.049588</v>
      </c>
      <c r="Z40" s="97">
        <f t="shared" si="15"/>
        <v>1.0569351159999998</v>
      </c>
      <c r="AA40" s="97">
        <f t="shared" si="15"/>
        <v>1.0823015587839997</v>
      </c>
      <c r="AB40" s="97">
        <f t="shared" si="15"/>
        <v>1.2121777458380798</v>
      </c>
      <c r="AC40" s="97">
        <f t="shared" si="15"/>
        <v>1.2485430782132223</v>
      </c>
    </row>
    <row r="41" spans="2:29" s="72" customFormat="1" ht="12" customHeight="1" x14ac:dyDescent="0.25">
      <c r="B41" s="98">
        <v>2019</v>
      </c>
      <c r="I41" s="99"/>
      <c r="J41" s="99"/>
      <c r="K41" s="99"/>
      <c r="L41" s="99"/>
      <c r="M41" s="99"/>
      <c r="N41" s="99"/>
      <c r="O41" s="99"/>
      <c r="P41" s="99"/>
      <c r="Q41" s="99"/>
      <c r="R41" s="99"/>
      <c r="S41" s="99"/>
      <c r="T41" s="99"/>
      <c r="U41" s="99"/>
      <c r="V41" s="99"/>
      <c r="W41" s="99"/>
      <c r="X41" s="64">
        <v>1</v>
      </c>
      <c r="Y41" s="97">
        <f>X41*Y$23</f>
        <v>1.028</v>
      </c>
      <c r="Z41" s="97">
        <f>Y41*Z$23</f>
        <v>1.035196</v>
      </c>
      <c r="AA41" s="97">
        <f>Z41*AA$23</f>
        <v>1.0600407039999999</v>
      </c>
      <c r="AB41" s="97">
        <f>AA41*AB$23</f>
        <v>1.1872455884799999</v>
      </c>
      <c r="AC41" s="97">
        <f>AB41*AC$23</f>
        <v>1.2228629561344</v>
      </c>
    </row>
    <row r="42" spans="2:29" s="72" customFormat="1" ht="12" customHeight="1" x14ac:dyDescent="0.25">
      <c r="B42" s="98">
        <v>2020</v>
      </c>
      <c r="I42" s="99"/>
      <c r="J42" s="99"/>
      <c r="K42" s="99"/>
      <c r="L42" s="99"/>
      <c r="M42" s="99"/>
      <c r="N42" s="99"/>
      <c r="O42" s="99"/>
      <c r="P42" s="99"/>
      <c r="Q42" s="99"/>
      <c r="R42" s="99"/>
      <c r="S42" s="99"/>
      <c r="T42" s="99"/>
      <c r="U42" s="99"/>
      <c r="V42" s="99"/>
      <c r="W42" s="99"/>
      <c r="X42" s="99"/>
      <c r="Y42" s="64">
        <v>1</v>
      </c>
      <c r="Z42" s="97">
        <f>Y42*Z$23</f>
        <v>1.0069999999999999</v>
      </c>
      <c r="AA42" s="97">
        <f>Z42*AA$23</f>
        <v>1.0311679999999999</v>
      </c>
      <c r="AB42" s="97">
        <f>AA42*AB$23</f>
        <v>1.15490816</v>
      </c>
      <c r="AC42" s="97">
        <f>AB42*AC$23</f>
        <v>1.1895554047999999</v>
      </c>
    </row>
    <row r="43" spans="2:29" s="72" customFormat="1" ht="12" customHeight="1" x14ac:dyDescent="0.25">
      <c r="B43" s="98">
        <v>2021</v>
      </c>
      <c r="I43" s="99"/>
      <c r="J43" s="99"/>
      <c r="K43" s="99"/>
      <c r="L43" s="99"/>
      <c r="M43" s="99"/>
      <c r="N43" s="99"/>
      <c r="O43" s="99"/>
      <c r="P43" s="99"/>
      <c r="Q43" s="99"/>
      <c r="R43" s="99"/>
      <c r="S43" s="99"/>
      <c r="T43" s="99"/>
      <c r="U43" s="99"/>
      <c r="V43" s="99"/>
      <c r="W43" s="99"/>
      <c r="X43" s="99"/>
      <c r="Y43" s="99"/>
      <c r="Z43" s="64">
        <v>1</v>
      </c>
      <c r="AA43" s="97">
        <f>Z43*AA$23</f>
        <v>1.024</v>
      </c>
      <c r="AB43" s="97">
        <f>AA43*AB$23</f>
        <v>1.1468800000000001</v>
      </c>
      <c r="AC43" s="97">
        <f>AB43*AC$23</f>
        <v>1.1812864000000001</v>
      </c>
    </row>
    <row r="44" spans="2:29" s="72" customFormat="1" ht="12" customHeight="1" x14ac:dyDescent="0.25">
      <c r="B44" s="98">
        <v>2022</v>
      </c>
      <c r="I44" s="99"/>
      <c r="J44" s="99"/>
      <c r="K44" s="99"/>
      <c r="L44" s="99"/>
      <c r="M44" s="99"/>
      <c r="N44" s="99"/>
      <c r="O44" s="99"/>
      <c r="P44" s="99"/>
      <c r="Q44" s="99"/>
      <c r="R44" s="99"/>
      <c r="S44" s="99"/>
      <c r="T44" s="99"/>
      <c r="U44" s="99"/>
      <c r="V44" s="99"/>
      <c r="W44" s="99"/>
      <c r="X44" s="99"/>
      <c r="Y44" s="99"/>
      <c r="Z44" s="99"/>
      <c r="AA44" s="64">
        <v>1</v>
      </c>
      <c r="AB44" s="97">
        <f>AA44*AB$23</f>
        <v>1.1200000000000001</v>
      </c>
      <c r="AC44" s="97">
        <f>AB44*AC$23</f>
        <v>1.1536000000000002</v>
      </c>
    </row>
    <row r="45" spans="2:29" s="72" customFormat="1" ht="12" customHeight="1" x14ac:dyDescent="0.25">
      <c r="B45" s="98">
        <v>2023</v>
      </c>
      <c r="I45" s="99"/>
      <c r="J45" s="99"/>
      <c r="K45" s="99"/>
      <c r="L45" s="99"/>
      <c r="M45" s="99"/>
      <c r="N45" s="99"/>
      <c r="O45" s="99"/>
      <c r="P45" s="99"/>
      <c r="Q45" s="99"/>
      <c r="R45" s="99"/>
      <c r="S45" s="99"/>
      <c r="T45" s="99"/>
      <c r="U45" s="99"/>
      <c r="V45" s="99"/>
      <c r="W45" s="99"/>
      <c r="X45" s="99"/>
      <c r="Y45" s="99"/>
      <c r="Z45" s="99"/>
      <c r="AA45" s="99"/>
      <c r="AB45" s="64">
        <v>1</v>
      </c>
      <c r="AC45" s="97">
        <f>AB45*AC$23</f>
        <v>1.03</v>
      </c>
    </row>
    <row r="46" spans="2:29" s="72" customFormat="1" ht="12" customHeight="1" x14ac:dyDescent="0.25">
      <c r="B46" s="98">
        <v>2024</v>
      </c>
      <c r="I46" s="99"/>
      <c r="J46" s="99"/>
      <c r="K46" s="99"/>
      <c r="L46" s="99"/>
      <c r="M46" s="99"/>
      <c r="N46" s="99"/>
      <c r="O46" s="99"/>
      <c r="P46" s="99"/>
      <c r="Q46" s="99"/>
      <c r="R46" s="99"/>
      <c r="S46" s="99"/>
      <c r="T46" s="99"/>
      <c r="U46" s="99"/>
      <c r="V46" s="99"/>
      <c r="W46" s="99"/>
      <c r="X46" s="99"/>
      <c r="Y46" s="99"/>
      <c r="Z46" s="99"/>
      <c r="AA46" s="99"/>
      <c r="AB46" s="99"/>
      <c r="AC46" s="64">
        <v>1</v>
      </c>
    </row>
    <row r="47" spans="2:29" s="72" customFormat="1" ht="12" customHeight="1" x14ac:dyDescent="0.25">
      <c r="B47" s="98">
        <v>2025</v>
      </c>
      <c r="I47" s="99"/>
      <c r="J47" s="99"/>
      <c r="K47" s="99"/>
      <c r="L47" s="99"/>
      <c r="M47" s="99"/>
      <c r="N47" s="99"/>
      <c r="O47" s="99"/>
      <c r="P47" s="99"/>
      <c r="Q47" s="99"/>
      <c r="R47" s="99"/>
      <c r="S47" s="99"/>
      <c r="T47" s="99"/>
      <c r="U47" s="99"/>
      <c r="V47" s="99"/>
      <c r="W47" s="99"/>
      <c r="X47" s="99"/>
      <c r="Y47" s="99"/>
      <c r="Z47" s="99"/>
      <c r="AA47" s="99"/>
      <c r="AB47" s="99"/>
      <c r="AC47" s="99"/>
    </row>
    <row r="48" spans="2:29" s="72" customFormat="1" ht="12" customHeight="1" x14ac:dyDescent="0.25">
      <c r="B48" s="98">
        <v>2026</v>
      </c>
      <c r="I48" s="99"/>
      <c r="J48" s="99"/>
      <c r="K48" s="99"/>
      <c r="L48" s="99"/>
      <c r="M48" s="99"/>
      <c r="N48" s="99"/>
      <c r="O48" s="99"/>
      <c r="P48" s="99"/>
      <c r="Q48" s="99"/>
      <c r="R48" s="99"/>
      <c r="S48" s="99"/>
      <c r="T48" s="99"/>
      <c r="U48" s="99"/>
      <c r="V48" s="99"/>
      <c r="W48" s="99"/>
      <c r="X48" s="99"/>
      <c r="Y48" s="99"/>
      <c r="Z48" s="99"/>
      <c r="AA48" s="99"/>
      <c r="AB48" s="99"/>
      <c r="AC48" s="99"/>
    </row>
    <row r="49" spans="2:15" ht="12" customHeight="1" x14ac:dyDescent="0.25"/>
    <row r="50" spans="2:15" s="6" customFormat="1" ht="12" customHeight="1" x14ac:dyDescent="0.25">
      <c r="B50" s="6" t="s">
        <v>238</v>
      </c>
      <c r="L50" s="37">
        <v>2022</v>
      </c>
      <c r="M50" s="37">
        <v>2023</v>
      </c>
      <c r="N50" s="37">
        <v>2024</v>
      </c>
      <c r="O50" s="39"/>
    </row>
    <row r="51" spans="2:15" ht="12" customHeight="1" x14ac:dyDescent="0.25"/>
    <row r="52" spans="2:15" ht="12" customHeight="1" x14ac:dyDescent="0.25">
      <c r="B52" s="1" t="s">
        <v>73</v>
      </c>
    </row>
    <row r="53" spans="2:15" ht="12" customHeight="1" x14ac:dyDescent="0.25">
      <c r="B53" s="2" t="s">
        <v>74</v>
      </c>
      <c r="F53" s="2" t="s">
        <v>70</v>
      </c>
      <c r="L53" s="14"/>
      <c r="M53" s="35">
        <f>'Input parameters'!AE35</f>
        <v>0.04</v>
      </c>
    </row>
    <row r="54" spans="2:15" ht="12" customHeight="1" x14ac:dyDescent="0.25">
      <c r="B54" s="2" t="s">
        <v>75</v>
      </c>
      <c r="F54" s="2" t="s">
        <v>70</v>
      </c>
      <c r="L54" s="14"/>
      <c r="M54" s="35">
        <f>'Input parameters'!AE36</f>
        <v>0.04</v>
      </c>
    </row>
    <row r="55" spans="2:15" ht="12" customHeight="1" x14ac:dyDescent="0.25">
      <c r="B55" s="2" t="s">
        <v>76</v>
      </c>
      <c r="F55" s="2" t="s">
        <v>70</v>
      </c>
      <c r="L55" s="35">
        <f>'Input parameters'!AD37</f>
        <v>0.02</v>
      </c>
      <c r="M55" s="35">
        <f>'Input parameters'!AE37</f>
        <v>0.06</v>
      </c>
    </row>
    <row r="56" spans="2:15" ht="12" customHeight="1" x14ac:dyDescent="0.25">
      <c r="B56" s="2" t="s">
        <v>77</v>
      </c>
      <c r="F56" s="2" t="s">
        <v>70</v>
      </c>
      <c r="L56" s="35">
        <f>'Input parameters'!AD38</f>
        <v>0.02</v>
      </c>
      <c r="M56" s="35">
        <f>'Input parameters'!AE38</f>
        <v>0.06</v>
      </c>
    </row>
    <row r="57" spans="2:15" ht="12" customHeight="1" x14ac:dyDescent="0.25"/>
    <row r="58" spans="2:15" ht="12" customHeight="1" x14ac:dyDescent="0.25">
      <c r="B58" s="1" t="s">
        <v>234</v>
      </c>
    </row>
    <row r="59" spans="2:15" ht="12" customHeight="1" x14ac:dyDescent="0.25">
      <c r="B59" s="2" t="s">
        <v>235</v>
      </c>
      <c r="F59" s="2" t="s">
        <v>70</v>
      </c>
      <c r="H59" s="38">
        <f>'Input parameters'!H41</f>
        <v>4.2500000000000003E-2</v>
      </c>
    </row>
    <row r="60" spans="2:15" ht="12" customHeight="1" x14ac:dyDescent="0.25"/>
    <row r="61" spans="2:15" s="6" customFormat="1" ht="12" customHeight="1" x14ac:dyDescent="0.25">
      <c r="B61" s="6" t="s">
        <v>81</v>
      </c>
      <c r="M61" s="37">
        <v>2023</v>
      </c>
      <c r="N61" s="37">
        <v>2024</v>
      </c>
    </row>
    <row r="62" spans="2:15" ht="12" customHeight="1" x14ac:dyDescent="0.25"/>
    <row r="63" spans="2:15" ht="12" customHeight="1" x14ac:dyDescent="0.25">
      <c r="B63" s="1" t="s">
        <v>239</v>
      </c>
    </row>
    <row r="64" spans="2:15" ht="12" customHeight="1" x14ac:dyDescent="0.25">
      <c r="B64" s="2" t="s">
        <v>240</v>
      </c>
      <c r="F64" s="2" t="s">
        <v>70</v>
      </c>
      <c r="M64" s="14"/>
      <c r="N64" s="101">
        <f>ROUND($H$59+2.25%,2)</f>
        <v>7.0000000000000007E-2</v>
      </c>
    </row>
    <row r="65" spans="2:16" ht="12" customHeight="1" x14ac:dyDescent="0.25">
      <c r="B65" s="2" t="s">
        <v>241</v>
      </c>
      <c r="F65" s="2" t="s">
        <v>70</v>
      </c>
      <c r="M65" s="14"/>
      <c r="N65" s="101">
        <f>ROUND($H$59+2.25%,2)</f>
        <v>7.0000000000000007E-2</v>
      </c>
    </row>
    <row r="66" spans="2:16" ht="12" customHeight="1" x14ac:dyDescent="0.25"/>
    <row r="67" spans="2:16" ht="12" customHeight="1" x14ac:dyDescent="0.25">
      <c r="B67" s="1" t="s">
        <v>80</v>
      </c>
    </row>
    <row r="68" spans="2:16" ht="12" customHeight="1" x14ac:dyDescent="0.25">
      <c r="B68" s="2" t="s">
        <v>79</v>
      </c>
      <c r="F68" s="2" t="s">
        <v>70</v>
      </c>
      <c r="M68" s="101">
        <f>((1+L55)*(1+L56)*(1+M53)*(1+M54))^(1/4)-1</f>
        <v>2.9951455166698615E-2</v>
      </c>
      <c r="N68" s="102">
        <f>((1+M55)*(1+M56)*(1+N64)*(1+N65))^(1/4)-1</f>
        <v>6.4988262846121803E-2</v>
      </c>
      <c r="O68" s="103"/>
      <c r="P68" s="20"/>
    </row>
    <row r="69" spans="2:16" ht="12" customHeight="1" x14ac:dyDescent="0.25">
      <c r="P69" s="20"/>
    </row>
    <row r="70" spans="2:16" ht="12" customHeight="1" x14ac:dyDescent="0.25">
      <c r="B70" s="1" t="s">
        <v>78</v>
      </c>
    </row>
    <row r="71" spans="2:16" ht="12" customHeight="1" x14ac:dyDescent="0.25">
      <c r="B71" s="2" t="s">
        <v>117</v>
      </c>
      <c r="F71" s="2" t="s">
        <v>70</v>
      </c>
      <c r="M71" s="68">
        <f>M68</f>
        <v>2.9951455166698615E-2</v>
      </c>
      <c r="N71" s="36">
        <f>(1+M71)*(1+N$68)-1</f>
        <v>9.6886211053817561E-2</v>
      </c>
    </row>
    <row r="72" spans="2:16" ht="12" customHeight="1" x14ac:dyDescent="0.25">
      <c r="B72" s="2" t="s">
        <v>123</v>
      </c>
      <c r="F72" s="2" t="s">
        <v>70</v>
      </c>
      <c r="M72" s="14"/>
      <c r="N72" s="68">
        <f>N68</f>
        <v>6.4988262846121803E-2</v>
      </c>
    </row>
    <row r="73" spans="2:16" ht="12" customHeight="1" x14ac:dyDescent="0.25"/>
    <row r="74" spans="2:16" ht="12" customHeight="1" x14ac:dyDescent="0.25"/>
    <row r="75" spans="2:16" ht="12" customHeight="1" x14ac:dyDescent="0.25"/>
    <row r="76" spans="2:16" ht="12" customHeight="1" x14ac:dyDescent="0.25"/>
  </sheetData>
  <phoneticPr fontId="40" type="noConversion"/>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3FDC-9A16-403B-9BC6-0996DB6F8A37}">
  <sheetPr>
    <tabColor rgb="FFFFFFCC"/>
  </sheetPr>
  <dimension ref="A1:X129"/>
  <sheetViews>
    <sheetView showGridLines="0" zoomScale="85" zoomScaleNormal="85" workbookViewId="0">
      <pane xSplit="6" ySplit="20" topLeftCell="G21" activePane="bottomRight" state="frozen"/>
      <selection pane="topRight" activeCell="G1" sqref="G1"/>
      <selection pane="bottomLeft" activeCell="A21" sqref="A21"/>
      <selection pane="bottomRight" activeCell="G21" sqref="G21"/>
    </sheetView>
  </sheetViews>
  <sheetFormatPr defaultColWidth="9.140625" defaultRowHeight="12" customHeight="1" x14ac:dyDescent="0.25"/>
  <cols>
    <col min="1" max="1" width="3" style="77" customWidth="1"/>
    <col min="2" max="2" width="65.85546875" style="77" customWidth="1"/>
    <col min="3" max="3" width="3.7109375" style="77" customWidth="1"/>
    <col min="4" max="4" width="3.42578125" style="77" customWidth="1"/>
    <col min="5" max="5" width="3.140625" style="77" customWidth="1"/>
    <col min="6" max="6" width="13.28515625" style="77" customWidth="1"/>
    <col min="7" max="7" width="2.5703125" style="77" customWidth="1"/>
    <col min="8" max="8" width="13.85546875" style="77" customWidth="1"/>
    <col min="9" max="9" width="2.7109375" style="77" customWidth="1"/>
    <col min="10" max="10" width="15" style="77" bestFit="1" customWidth="1"/>
    <col min="11" max="11" width="2.140625" style="77" customWidth="1"/>
    <col min="12" max="17" width="14" style="77" customWidth="1"/>
    <col min="18" max="18" width="2.42578125" style="77" customWidth="1"/>
    <col min="19" max="19" width="14" style="77" customWidth="1"/>
    <col min="20" max="20" width="2.42578125" style="77" customWidth="1"/>
    <col min="21" max="21" width="15.7109375" style="77" customWidth="1"/>
    <col min="22" max="16384" width="9.140625" style="77"/>
  </cols>
  <sheetData>
    <row r="1" spans="2:17" s="2" customFormat="1" ht="12.75" x14ac:dyDescent="0.25">
      <c r="L1" s="65"/>
      <c r="M1" s="65"/>
      <c r="N1" s="65"/>
      <c r="O1" s="65"/>
      <c r="P1" s="65"/>
      <c r="Q1" s="65"/>
    </row>
    <row r="2" spans="2:17" s="63" customFormat="1" ht="18" x14ac:dyDescent="0.25">
      <c r="B2" s="19" t="s">
        <v>258</v>
      </c>
      <c r="L2" s="69"/>
      <c r="M2" s="69"/>
      <c r="N2" s="69"/>
      <c r="O2" s="69"/>
      <c r="P2" s="69"/>
      <c r="Q2" s="69"/>
    </row>
    <row r="3" spans="2:17" s="2" customFormat="1" ht="12" customHeight="1" x14ac:dyDescent="0.25">
      <c r="L3" s="65"/>
      <c r="M3" s="65"/>
      <c r="N3" s="65"/>
      <c r="O3" s="65"/>
      <c r="P3" s="65"/>
      <c r="Q3" s="65"/>
    </row>
    <row r="4" spans="2:17" s="2" customFormat="1" ht="12" customHeight="1" x14ac:dyDescent="0.25">
      <c r="B4" s="1" t="s">
        <v>58</v>
      </c>
      <c r="L4" s="65"/>
      <c r="M4" s="65"/>
      <c r="N4" s="65"/>
      <c r="O4" s="65"/>
      <c r="P4" s="65"/>
      <c r="Q4" s="65"/>
    </row>
    <row r="5" spans="2:17" s="2" customFormat="1" ht="12.75" x14ac:dyDescent="0.2">
      <c r="B5" s="33" t="s">
        <v>259</v>
      </c>
      <c r="C5" s="1"/>
      <c r="D5" s="1"/>
    </row>
    <row r="6" spans="2:17" s="2" customFormat="1" ht="12.75" x14ac:dyDescent="0.2">
      <c r="B6" s="33" t="s">
        <v>221</v>
      </c>
      <c r="C6" s="1"/>
      <c r="D6" s="1"/>
    </row>
    <row r="7" spans="2:17" s="2" customFormat="1" ht="12.75" x14ac:dyDescent="0.2">
      <c r="B7" s="33" t="s">
        <v>209</v>
      </c>
      <c r="C7" s="1"/>
      <c r="D7" s="1"/>
    </row>
    <row r="8" spans="2:17" s="2" customFormat="1" ht="12.75" x14ac:dyDescent="0.2">
      <c r="B8" s="33" t="s">
        <v>222</v>
      </c>
      <c r="C8" s="1"/>
      <c r="D8" s="1"/>
    </row>
    <row r="9" spans="2:17" s="2" customFormat="1" ht="12.75" x14ac:dyDescent="0.25">
      <c r="B9" s="2" t="s">
        <v>210</v>
      </c>
      <c r="H9" s="20"/>
    </row>
    <row r="10" spans="2:17" s="2" customFormat="1" ht="12.75" x14ac:dyDescent="0.25">
      <c r="H10" s="20"/>
    </row>
    <row r="11" spans="2:17" s="2" customFormat="1" ht="12.75" x14ac:dyDescent="0.25">
      <c r="B11" s="2" t="s">
        <v>211</v>
      </c>
      <c r="H11" s="20"/>
    </row>
    <row r="12" spans="2:17" s="2" customFormat="1" ht="12.75" x14ac:dyDescent="0.25">
      <c r="B12" s="2" t="s">
        <v>212</v>
      </c>
      <c r="H12" s="20"/>
    </row>
    <row r="13" spans="2:17" s="2" customFormat="1" ht="12.75" x14ac:dyDescent="0.25">
      <c r="B13" s="2" t="s">
        <v>223</v>
      </c>
      <c r="H13" s="20"/>
    </row>
    <row r="14" spans="2:17" s="2" customFormat="1" ht="12.75" x14ac:dyDescent="0.25">
      <c r="B14" s="2" t="s">
        <v>260</v>
      </c>
      <c r="H14" s="20"/>
    </row>
    <row r="15" spans="2:17" s="2" customFormat="1" ht="12.75" x14ac:dyDescent="0.25">
      <c r="B15" s="2" t="s">
        <v>213</v>
      </c>
      <c r="H15" s="20"/>
    </row>
    <row r="16" spans="2:17" s="2" customFormat="1" ht="12.75" x14ac:dyDescent="0.25">
      <c r="B16" s="2" t="s">
        <v>214</v>
      </c>
      <c r="H16" s="20"/>
    </row>
    <row r="17" spans="2:24" s="2" customFormat="1" ht="12.75" x14ac:dyDescent="0.25">
      <c r="B17" s="2" t="s">
        <v>215</v>
      </c>
      <c r="H17" s="20"/>
    </row>
    <row r="18" spans="2:24" s="2" customFormat="1" ht="12" customHeight="1" x14ac:dyDescent="0.25">
      <c r="L18" s="65"/>
      <c r="M18" s="65"/>
      <c r="N18" s="65"/>
      <c r="O18" s="65"/>
      <c r="P18" s="65"/>
      <c r="Q18" s="65"/>
    </row>
    <row r="19" spans="2:24" s="6" customFormat="1" ht="12" customHeight="1" x14ac:dyDescent="0.25">
      <c r="B19" s="6" t="s">
        <v>46</v>
      </c>
      <c r="F19" s="6" t="s">
        <v>28</v>
      </c>
      <c r="H19" s="6" t="s">
        <v>29</v>
      </c>
      <c r="J19" s="6" t="s">
        <v>49</v>
      </c>
      <c r="L19" s="66" t="s">
        <v>87</v>
      </c>
      <c r="M19" s="66" t="s">
        <v>64</v>
      </c>
      <c r="N19" s="66" t="s">
        <v>65</v>
      </c>
      <c r="O19" s="66" t="s">
        <v>66</v>
      </c>
      <c r="P19" s="66" t="s">
        <v>67</v>
      </c>
      <c r="Q19" s="66" t="s">
        <v>68</v>
      </c>
      <c r="S19" s="6" t="s">
        <v>63</v>
      </c>
      <c r="U19" s="6" t="s">
        <v>148</v>
      </c>
    </row>
    <row r="20" spans="2:24" s="2" customFormat="1" ht="12" customHeight="1" x14ac:dyDescent="0.25">
      <c r="L20" s="65"/>
      <c r="M20" s="65"/>
      <c r="N20" s="65"/>
      <c r="O20" s="65"/>
      <c r="P20" s="65"/>
      <c r="Q20" s="65"/>
    </row>
    <row r="21" spans="2:24" s="2" customFormat="1" ht="12" customHeight="1" x14ac:dyDescent="0.25">
      <c r="L21" s="65"/>
      <c r="M21" s="65"/>
      <c r="N21" s="65"/>
      <c r="O21" s="65"/>
      <c r="P21" s="65"/>
      <c r="Q21" s="65"/>
    </row>
    <row r="22" spans="2:24" s="6" customFormat="1" ht="12.75" x14ac:dyDescent="0.25">
      <c r="B22" s="6" t="s">
        <v>158</v>
      </c>
    </row>
    <row r="23" spans="2:24" ht="12.75" x14ac:dyDescent="0.25">
      <c r="R23" s="2"/>
    </row>
    <row r="24" spans="2:24" ht="12.75" x14ac:dyDescent="0.25">
      <c r="B24" s="78" t="s">
        <v>149</v>
      </c>
      <c r="R24" s="2"/>
    </row>
    <row r="25" spans="2:24" ht="12.75" x14ac:dyDescent="0.2">
      <c r="B25" s="79" t="s">
        <v>137</v>
      </c>
      <c r="F25" s="79" t="s">
        <v>138</v>
      </c>
      <c r="K25" s="2"/>
      <c r="L25" s="67">
        <f>'Input rente'!L17</f>
        <v>30652480.316061754</v>
      </c>
      <c r="M25" s="67">
        <f>'Input rente'!M17</f>
        <v>394254915.4142642</v>
      </c>
      <c r="N25" s="67">
        <f>'Input rente'!N17</f>
        <v>474872325.14985597</v>
      </c>
      <c r="O25" s="67">
        <f>'Input rente'!O17</f>
        <v>13550831.825132813</v>
      </c>
      <c r="P25" s="67">
        <f>'Input rente'!P17</f>
        <v>523512609.75456166</v>
      </c>
      <c r="Q25" s="67">
        <f>'Input rente'!Q17</f>
        <v>4445816.9122776175</v>
      </c>
      <c r="R25" s="2"/>
      <c r="S25" s="67">
        <f>'Input rente'!S17</f>
        <v>23909206.87880842</v>
      </c>
      <c r="T25" s="2"/>
      <c r="W25" s="2"/>
    </row>
    <row r="26" spans="2:24" ht="12.75" x14ac:dyDescent="0.2">
      <c r="B26" s="79" t="s">
        <v>139</v>
      </c>
      <c r="F26" s="79" t="s">
        <v>140</v>
      </c>
      <c r="K26" s="2"/>
      <c r="L26" s="67">
        <f>'Input rente'!L18</f>
        <v>32381728.118142974</v>
      </c>
      <c r="M26" s="67">
        <f>'Input rente'!M18</f>
        <v>430824188.62226701</v>
      </c>
      <c r="N26" s="67">
        <f>'Input rente'!N18</f>
        <v>498196289.91242325</v>
      </c>
      <c r="O26" s="67">
        <f>'Input rente'!O18</f>
        <v>13877279.674869154</v>
      </c>
      <c r="P26" s="67">
        <f>'Input rente'!P18</f>
        <v>553547665.17372274</v>
      </c>
      <c r="Q26" s="67">
        <f>'Input rente'!Q18</f>
        <v>5306249.0338292299</v>
      </c>
      <c r="S26" s="67">
        <f>'Input rente'!S18</f>
        <v>26571132.509465653</v>
      </c>
      <c r="T26" s="2"/>
      <c r="W26" s="2"/>
    </row>
    <row r="27" spans="2:24" ht="12.75" x14ac:dyDescent="0.2">
      <c r="B27" s="77" t="s">
        <v>141</v>
      </c>
      <c r="F27" s="79" t="s">
        <v>93</v>
      </c>
      <c r="K27" s="2"/>
      <c r="L27" s="67">
        <f>'Input rente'!L19</f>
        <v>33655137.099942259</v>
      </c>
      <c r="M27" s="67">
        <f>'Input rente'!M19</f>
        <v>470682349.42935896</v>
      </c>
      <c r="N27" s="67">
        <f>'Input rente'!N19</f>
        <v>515359430.54450917</v>
      </c>
      <c r="O27" s="67">
        <f>'Input rente'!O19</f>
        <v>14509438.926430915</v>
      </c>
      <c r="P27" s="67">
        <f>'Input rente'!P19</f>
        <v>584621308.46684813</v>
      </c>
      <c r="Q27" s="67">
        <f>'Input rente'!Q19</f>
        <v>6144622.2314581117</v>
      </c>
      <c r="S27" s="67">
        <f>'Input rente'!S19</f>
        <v>27870432.564941615</v>
      </c>
      <c r="T27" s="2"/>
      <c r="W27" s="2"/>
    </row>
    <row r="28" spans="2:24" ht="12.75" x14ac:dyDescent="0.25">
      <c r="R28" s="2"/>
      <c r="W28" s="2"/>
    </row>
    <row r="29" spans="2:24" ht="12.75" x14ac:dyDescent="0.25">
      <c r="B29" s="78" t="s">
        <v>150</v>
      </c>
      <c r="R29" s="2"/>
      <c r="W29" s="2"/>
    </row>
    <row r="30" spans="2:24" ht="12.75" x14ac:dyDescent="0.2">
      <c r="B30" s="79" t="s">
        <v>137</v>
      </c>
      <c r="F30" s="79" t="s">
        <v>138</v>
      </c>
      <c r="K30" s="2"/>
      <c r="L30" s="67">
        <f>'Input rente'!L22</f>
        <v>88606458.440240785</v>
      </c>
      <c r="M30" s="67">
        <f>'Input rente'!M22</f>
        <v>2031930430.9568429</v>
      </c>
      <c r="N30" s="67">
        <f>'Input rente'!N22</f>
        <v>2192572173.8942842</v>
      </c>
      <c r="O30" s="67">
        <f>'Input rente'!O22</f>
        <v>134235076.96486095</v>
      </c>
      <c r="P30" s="67">
        <f>'Input rente'!P22</f>
        <v>1599840013.6930697</v>
      </c>
      <c r="Q30" s="67">
        <f>'Input rente'!Q22</f>
        <v>114950789.67042841</v>
      </c>
      <c r="R30" s="2"/>
      <c r="S30" s="67">
        <f>'Input rente'!S22</f>
        <v>133331815.58543745</v>
      </c>
      <c r="T30" s="2"/>
      <c r="U30" s="67">
        <f>'Input rente'!U22</f>
        <v>136082375.25258124</v>
      </c>
      <c r="V30" s="2"/>
      <c r="W30" s="2"/>
      <c r="X30" s="2"/>
    </row>
    <row r="31" spans="2:24" ht="12.75" x14ac:dyDescent="0.2">
      <c r="B31" s="79" t="s">
        <v>139</v>
      </c>
      <c r="F31" s="79" t="s">
        <v>140</v>
      </c>
      <c r="K31" s="2"/>
      <c r="L31" s="67">
        <f>'Input rente'!L23</f>
        <v>87159418.324196801</v>
      </c>
      <c r="M31" s="67">
        <f>'Input rente'!M23</f>
        <v>2125583728.4493718</v>
      </c>
      <c r="N31" s="67">
        <f>'Input rente'!N23</f>
        <v>2208864039.1738081</v>
      </c>
      <c r="O31" s="67">
        <f>'Input rente'!O23</f>
        <v>131656865.26070504</v>
      </c>
      <c r="P31" s="67">
        <f>'Input rente'!P23</f>
        <v>1642805785.3970008</v>
      </c>
      <c r="Q31" s="67">
        <f>'Input rente'!Q23</f>
        <v>114564740.14767645</v>
      </c>
      <c r="S31" s="67">
        <f>'Input rente'!S23</f>
        <v>137813406.4031584</v>
      </c>
      <c r="T31" s="2"/>
      <c r="U31" s="67">
        <f>'Input rente'!U23</f>
        <v>133674859.88588828</v>
      </c>
      <c r="V31" s="2"/>
      <c r="W31" s="2"/>
      <c r="X31" s="2"/>
    </row>
    <row r="32" spans="2:24" ht="12.75" x14ac:dyDescent="0.2">
      <c r="B32" s="77" t="s">
        <v>141</v>
      </c>
      <c r="F32" s="79" t="s">
        <v>93</v>
      </c>
      <c r="K32" s="2"/>
      <c r="L32" s="67">
        <f>'Input rente'!L24</f>
        <v>85929787.491672069</v>
      </c>
      <c r="M32" s="67">
        <f>'Input rente'!M24</f>
        <v>2227267699.5519772</v>
      </c>
      <c r="N32" s="67">
        <f>'Input rente'!N24</f>
        <v>2242584564.1130085</v>
      </c>
      <c r="O32" s="67">
        <f>'Input rente'!O24</f>
        <v>130593520.99825928</v>
      </c>
      <c r="P32" s="67">
        <f>'Input rente'!P24</f>
        <v>1670805630.1382911</v>
      </c>
      <c r="Q32" s="67">
        <f>'Input rente'!Q24</f>
        <v>112196988.28063172</v>
      </c>
      <c r="S32" s="67">
        <f>'Input rente'!S24</f>
        <v>139065836.12812001</v>
      </c>
      <c r="T32" s="2"/>
      <c r="U32" s="100"/>
      <c r="V32" s="2"/>
      <c r="W32" s="2"/>
      <c r="X32" s="2"/>
    </row>
    <row r="33" spans="2:23" ht="12.75" x14ac:dyDescent="0.25"/>
    <row r="34" spans="2:23" s="6" customFormat="1" ht="12.75" x14ac:dyDescent="0.25">
      <c r="B34" s="6" t="s">
        <v>135</v>
      </c>
    </row>
    <row r="35" spans="2:23" ht="12.75" x14ac:dyDescent="0.25"/>
    <row r="36" spans="2:23" ht="12.75" x14ac:dyDescent="0.25">
      <c r="B36" s="1" t="s">
        <v>142</v>
      </c>
    </row>
    <row r="37" spans="2:23" ht="12.75" x14ac:dyDescent="0.25">
      <c r="B37" s="2" t="s">
        <v>151</v>
      </c>
      <c r="F37" s="77" t="s">
        <v>70</v>
      </c>
      <c r="H37" s="82">
        <f>'Input rente'!H29</f>
        <v>3.4000000000000002E-2</v>
      </c>
      <c r="W37" s="2"/>
    </row>
    <row r="38" spans="2:23" ht="12.75" x14ac:dyDescent="0.25">
      <c r="B38" s="2" t="s">
        <v>152</v>
      </c>
      <c r="F38" s="77" t="s">
        <v>70</v>
      </c>
      <c r="H38" s="82">
        <f>'Input rente'!H30</f>
        <v>3.6999999999999998E-2</v>
      </c>
      <c r="W38" s="2"/>
    </row>
    <row r="39" spans="2:23" ht="12.75" x14ac:dyDescent="0.25">
      <c r="B39" s="2"/>
    </row>
    <row r="40" spans="2:23" ht="12.75" x14ac:dyDescent="0.25">
      <c r="B40" s="1" t="s">
        <v>261</v>
      </c>
    </row>
    <row r="41" spans="2:23" ht="12.75" x14ac:dyDescent="0.25">
      <c r="B41" s="2" t="s">
        <v>134</v>
      </c>
      <c r="F41" s="77" t="s">
        <v>70</v>
      </c>
      <c r="H41" s="82">
        <f>'Input rente'!H33</f>
        <v>4.1000000000000002E-2</v>
      </c>
    </row>
    <row r="42" spans="2:23" ht="12.75" x14ac:dyDescent="0.25">
      <c r="B42" s="2"/>
    </row>
    <row r="43" spans="2:23" ht="12.75" x14ac:dyDescent="0.25">
      <c r="B43" s="1" t="s">
        <v>153</v>
      </c>
    </row>
    <row r="44" spans="2:23" ht="12.75" x14ac:dyDescent="0.25">
      <c r="B44" s="2" t="s">
        <v>145</v>
      </c>
      <c r="F44" s="77" t="s">
        <v>70</v>
      </c>
      <c r="H44" s="82">
        <f>'Input rente'!H36</f>
        <v>-3.6868648042002516E-2</v>
      </c>
      <c r="W44" s="2"/>
    </row>
    <row r="45" spans="2:23" ht="12.75" x14ac:dyDescent="0.25">
      <c r="B45" s="2" t="s">
        <v>146</v>
      </c>
      <c r="F45" s="77" t="s">
        <v>70</v>
      </c>
      <c r="H45" s="82">
        <f>'Input rente'!H37</f>
        <v>-3.1175556579387642E-2</v>
      </c>
      <c r="R45" s="2"/>
      <c r="S45" s="2"/>
      <c r="T45" s="2"/>
      <c r="U45" s="2"/>
      <c r="W45" s="2"/>
    </row>
    <row r="46" spans="2:23" ht="12.75" x14ac:dyDescent="0.25">
      <c r="B46" s="2"/>
    </row>
    <row r="47" spans="2:23" ht="12.75" x14ac:dyDescent="0.25">
      <c r="B47" s="1" t="s">
        <v>154</v>
      </c>
    </row>
    <row r="48" spans="2:23" ht="12.75" x14ac:dyDescent="0.25">
      <c r="B48" s="2" t="s">
        <v>145</v>
      </c>
      <c r="F48" s="77" t="s">
        <v>70</v>
      </c>
      <c r="H48" s="82">
        <f>'Input rente'!H40</f>
        <v>-7.5913637800173461E-4</v>
      </c>
    </row>
    <row r="49" spans="2:23" ht="12.75" x14ac:dyDescent="0.25">
      <c r="B49" s="2" t="s">
        <v>146</v>
      </c>
      <c r="F49" s="77" t="s">
        <v>70</v>
      </c>
      <c r="H49" s="82">
        <f>'Input rente'!H41</f>
        <v>2.5444272186812E-3</v>
      </c>
    </row>
    <row r="50" spans="2:23" ht="12.75" x14ac:dyDescent="0.25">
      <c r="B50" s="2"/>
    </row>
    <row r="51" spans="2:23" ht="12.75" x14ac:dyDescent="0.25">
      <c r="B51" s="1" t="s">
        <v>159</v>
      </c>
    </row>
    <row r="52" spans="2:23" ht="12.75" x14ac:dyDescent="0.25">
      <c r="B52" s="2" t="s">
        <v>160</v>
      </c>
      <c r="F52" s="77" t="s">
        <v>70</v>
      </c>
      <c r="H52" s="82">
        <f>'Input parameters'!AA21</f>
        <v>2.1000000000000001E-2</v>
      </c>
    </row>
    <row r="53" spans="2:23" ht="12.75" x14ac:dyDescent="0.25">
      <c r="B53" s="2" t="s">
        <v>161</v>
      </c>
      <c r="F53" s="77" t="s">
        <v>70</v>
      </c>
      <c r="H53" s="82">
        <f>'Input parameters'!AB21</f>
        <v>2.8000000000000001E-2</v>
      </c>
    </row>
    <row r="54" spans="2:23" ht="12.75" x14ac:dyDescent="0.25">
      <c r="B54" s="2" t="s">
        <v>162</v>
      </c>
      <c r="F54" s="77" t="s">
        <v>70</v>
      </c>
      <c r="H54" s="82">
        <f>'Input parameters'!AC21</f>
        <v>7.0000000000000001E-3</v>
      </c>
    </row>
    <row r="55" spans="2:23" ht="12.75" x14ac:dyDescent="0.25">
      <c r="B55" s="2"/>
    </row>
    <row r="56" spans="2:23" ht="12.75" x14ac:dyDescent="0.25">
      <c r="B56" s="2" t="s">
        <v>147</v>
      </c>
      <c r="C56" s="2"/>
      <c r="D56" s="2"/>
      <c r="E56" s="2"/>
      <c r="F56" s="2" t="s">
        <v>70</v>
      </c>
      <c r="G56" s="2"/>
      <c r="H56" s="82">
        <f>'Input rente'!H43</f>
        <v>1.7999999999999999E-2</v>
      </c>
      <c r="I56" s="2"/>
      <c r="J56" s="2"/>
      <c r="K56" s="2"/>
      <c r="L56" s="2"/>
      <c r="M56" s="2"/>
      <c r="N56" s="2"/>
      <c r="O56" s="2"/>
      <c r="P56" s="2"/>
      <c r="Q56" s="2"/>
    </row>
    <row r="57" spans="2:23" ht="12.75" x14ac:dyDescent="0.25">
      <c r="B57" s="2"/>
    </row>
    <row r="58" spans="2:23" s="2" customFormat="1" ht="12.75" x14ac:dyDescent="0.25">
      <c r="B58" s="1" t="s">
        <v>130</v>
      </c>
      <c r="C58" s="77"/>
      <c r="D58" s="77"/>
      <c r="E58" s="77"/>
      <c r="F58" s="77"/>
      <c r="G58" s="77"/>
      <c r="H58" s="77"/>
      <c r="I58" s="77"/>
      <c r="J58" s="77"/>
      <c r="K58" s="77"/>
      <c r="L58" s="77"/>
      <c r="M58" s="77"/>
      <c r="N58" s="77"/>
      <c r="O58" s="77"/>
      <c r="P58" s="77"/>
      <c r="Q58" s="77"/>
      <c r="R58" s="77"/>
      <c r="S58" s="77"/>
      <c r="T58" s="77"/>
      <c r="U58" s="77"/>
    </row>
    <row r="59" spans="2:23" ht="12.75" x14ac:dyDescent="0.25">
      <c r="B59" s="61" t="s">
        <v>157</v>
      </c>
      <c r="F59" s="77" t="s">
        <v>69</v>
      </c>
      <c r="J59" s="70">
        <f>SUM(L59:Q59)</f>
        <v>264524640.82615989</v>
      </c>
      <c r="K59" s="2"/>
      <c r="L59" s="71">
        <f>'Input rente'!L46</f>
        <v>5120838.4661773751</v>
      </c>
      <c r="M59" s="71">
        <f>'Input rente'!M46</f>
        <v>83821433.468037471</v>
      </c>
      <c r="N59" s="71">
        <f>'Input rente'!N46</f>
        <v>94615610.206328645</v>
      </c>
      <c r="O59" s="71">
        <f>'Input rente'!O46</f>
        <v>3719013.8211027142</v>
      </c>
      <c r="P59" s="71">
        <f>'Input rente'!P46</f>
        <v>73837318.031333953</v>
      </c>
      <c r="Q59" s="71">
        <f>'Input rente'!Q46</f>
        <v>3410426.8331797407</v>
      </c>
    </row>
    <row r="60" spans="2:23" ht="12.75" x14ac:dyDescent="0.25">
      <c r="B60" s="61" t="s">
        <v>156</v>
      </c>
      <c r="F60" s="77" t="s">
        <v>69</v>
      </c>
      <c r="J60" s="70">
        <f>SUM(L60:Q60)</f>
        <v>280366757.95199353</v>
      </c>
      <c r="K60" s="2"/>
      <c r="L60" s="71">
        <f>'Input rente'!L47</f>
        <v>5505982.2846343154</v>
      </c>
      <c r="M60" s="71">
        <f>'Input rente'!M47</f>
        <v>89278102.858918875</v>
      </c>
      <c r="N60" s="71">
        <f>'Input rente'!N47</f>
        <v>99477334.853988722</v>
      </c>
      <c r="O60" s="71">
        <f>'Input rente'!O47</f>
        <v>3971361.9924819255</v>
      </c>
      <c r="P60" s="71">
        <f>'Input rente'!P47</f>
        <v>78559150.739823759</v>
      </c>
      <c r="Q60" s="71">
        <f>'Input rente'!Q47</f>
        <v>3574825.2221459462</v>
      </c>
    </row>
    <row r="61" spans="2:23" ht="12.75" x14ac:dyDescent="0.25">
      <c r="B61" s="61" t="s">
        <v>155</v>
      </c>
      <c r="F61" s="77" t="s">
        <v>69</v>
      </c>
      <c r="J61" s="70">
        <f>SUM(L61:Q61)</f>
        <v>829798182.34168494</v>
      </c>
      <c r="K61" s="2"/>
      <c r="L61" s="71">
        <f>'Input rente'!L48</f>
        <v>16401680.494385676</v>
      </c>
      <c r="M61" s="71">
        <f>'Input rente'!M48</f>
        <v>266533758.56356135</v>
      </c>
      <c r="N61" s="71">
        <f>'Input rente'!N48</f>
        <v>285455588.10709691</v>
      </c>
      <c r="O61" s="71">
        <f>'Input rente'!O48</f>
        <v>12040239.024494292</v>
      </c>
      <c r="P61" s="71">
        <f>'Input rente'!P48</f>
        <v>235138144.63941851</v>
      </c>
      <c r="Q61" s="71">
        <f>'Input rente'!Q48</f>
        <v>14228771.512728186</v>
      </c>
      <c r="W61" s="2"/>
    </row>
    <row r="63" spans="2:23" s="6" customFormat="1" ht="12.75" x14ac:dyDescent="0.25">
      <c r="B63" s="6" t="s">
        <v>167</v>
      </c>
    </row>
    <row r="65" spans="2:17" ht="12" customHeight="1" x14ac:dyDescent="0.25">
      <c r="B65" s="78" t="s">
        <v>180</v>
      </c>
    </row>
    <row r="66" spans="2:17" ht="12" customHeight="1" x14ac:dyDescent="0.2">
      <c r="B66" s="80" t="s">
        <v>137</v>
      </c>
      <c r="C66" s="83"/>
      <c r="D66" s="83"/>
      <c r="E66" s="83"/>
      <c r="F66" s="83" t="s">
        <v>138</v>
      </c>
      <c r="J66" s="70">
        <f>SUM(L66:Q66)</f>
        <v>1465198186.2509625</v>
      </c>
      <c r="L66" s="73">
        <f t="shared" ref="L66:O68" si="0">L25</f>
        <v>30652480.316061754</v>
      </c>
      <c r="M66" s="73">
        <f t="shared" si="0"/>
        <v>394254915.4142642</v>
      </c>
      <c r="N66" s="73">
        <f t="shared" si="0"/>
        <v>474872325.14985597</v>
      </c>
      <c r="O66" s="73">
        <f t="shared" si="0"/>
        <v>13550831.825132813</v>
      </c>
      <c r="P66" s="70">
        <f>P25+S25</f>
        <v>547421816.63337004</v>
      </c>
      <c r="Q66" s="73">
        <f>Q25</f>
        <v>4445816.9122776175</v>
      </c>
    </row>
    <row r="67" spans="2:17" ht="12" customHeight="1" x14ac:dyDescent="0.2">
      <c r="B67" s="80" t="s">
        <v>139</v>
      </c>
      <c r="C67" s="83"/>
      <c r="D67" s="83"/>
      <c r="E67" s="83"/>
      <c r="F67" s="83" t="s">
        <v>140</v>
      </c>
      <c r="J67" s="70">
        <f>SUM(L67:Q67)</f>
        <v>1560704533.0447202</v>
      </c>
      <c r="L67" s="73">
        <f t="shared" si="0"/>
        <v>32381728.118142974</v>
      </c>
      <c r="M67" s="73">
        <f t="shared" si="0"/>
        <v>430824188.62226701</v>
      </c>
      <c r="N67" s="73">
        <f t="shared" si="0"/>
        <v>498196289.91242325</v>
      </c>
      <c r="O67" s="73">
        <f t="shared" si="0"/>
        <v>13877279.674869154</v>
      </c>
      <c r="P67" s="70">
        <f>P26+S26</f>
        <v>580118797.68318844</v>
      </c>
      <c r="Q67" s="73">
        <f>Q26</f>
        <v>5306249.0338292299</v>
      </c>
    </row>
    <row r="68" spans="2:17" ht="12" customHeight="1" x14ac:dyDescent="0.2">
      <c r="B68" s="80" t="s">
        <v>141</v>
      </c>
      <c r="C68" s="83"/>
      <c r="D68" s="83"/>
      <c r="E68" s="83"/>
      <c r="F68" s="83" t="s">
        <v>93</v>
      </c>
      <c r="J68" s="70">
        <f>SUM(L68:Q68)</f>
        <v>1652842719.2634892</v>
      </c>
      <c r="L68" s="73">
        <f t="shared" si="0"/>
        <v>33655137.099942259</v>
      </c>
      <c r="M68" s="73">
        <f t="shared" si="0"/>
        <v>470682349.42935896</v>
      </c>
      <c r="N68" s="73">
        <f t="shared" si="0"/>
        <v>515359430.54450917</v>
      </c>
      <c r="O68" s="73">
        <f t="shared" si="0"/>
        <v>14509438.926430915</v>
      </c>
      <c r="P68" s="70">
        <f>P27+S27</f>
        <v>612491741.03178978</v>
      </c>
      <c r="Q68" s="73">
        <f>Q27</f>
        <v>6144622.2314581117</v>
      </c>
    </row>
    <row r="70" spans="2:17" s="2" customFormat="1" ht="12" customHeight="1" x14ac:dyDescent="0.25">
      <c r="B70" s="1" t="s">
        <v>179</v>
      </c>
      <c r="K70" s="74"/>
    </row>
    <row r="71" spans="2:17" s="2" customFormat="1" ht="12" customHeight="1" x14ac:dyDescent="0.2">
      <c r="B71" s="80" t="s">
        <v>137</v>
      </c>
      <c r="C71" s="83"/>
      <c r="D71" s="83"/>
      <c r="E71" s="83"/>
      <c r="F71" s="83" t="s">
        <v>97</v>
      </c>
      <c r="J71" s="70">
        <f>J66*(1-H44)^3*(1+H52)*(1+H53)*(1+H54)</f>
        <v>1726298639.3328245</v>
      </c>
      <c r="K71" s="84"/>
      <c r="N71" s="85"/>
    </row>
    <row r="72" spans="2:17" s="2" customFormat="1" ht="12" customHeight="1" x14ac:dyDescent="0.2">
      <c r="B72" s="80" t="s">
        <v>139</v>
      </c>
      <c r="C72" s="83"/>
      <c r="D72" s="83"/>
      <c r="E72" s="83"/>
      <c r="F72" s="83" t="s">
        <v>97</v>
      </c>
      <c r="G72" s="77"/>
      <c r="H72" s="77"/>
      <c r="J72" s="70">
        <f>J67*(1-H44)^2*(1+H53)*(1+H54)</f>
        <v>1736963781.0367148</v>
      </c>
      <c r="K72" s="84"/>
      <c r="N72" s="85"/>
    </row>
    <row r="73" spans="2:17" s="2" customFormat="1" ht="12" customHeight="1" x14ac:dyDescent="0.2">
      <c r="B73" s="80" t="s">
        <v>141</v>
      </c>
      <c r="C73" s="83"/>
      <c r="D73" s="83"/>
      <c r="E73" s="83"/>
      <c r="F73" s="83" t="s">
        <v>97</v>
      </c>
      <c r="G73" s="77"/>
      <c r="H73" s="77"/>
      <c r="J73" s="70">
        <f>J68*(1-H44)*(1+H54)</f>
        <v>1725777261.3190424</v>
      </c>
      <c r="K73" s="84"/>
      <c r="N73" s="85"/>
    </row>
    <row r="75" spans="2:17" ht="12" customHeight="1" x14ac:dyDescent="0.2">
      <c r="B75" s="92" t="s">
        <v>177</v>
      </c>
      <c r="F75" s="83" t="s">
        <v>97</v>
      </c>
      <c r="J75" s="70">
        <f>(J71+J72+J73)/3</f>
        <v>1729679893.8961937</v>
      </c>
    </row>
    <row r="77" spans="2:17" ht="12" customHeight="1" x14ac:dyDescent="0.2">
      <c r="B77" s="92" t="s">
        <v>178</v>
      </c>
      <c r="F77" s="83" t="s">
        <v>102</v>
      </c>
      <c r="J77" s="70">
        <f>J75*(1-H45)*(1+H56)</f>
        <v>1815708492.5838501</v>
      </c>
    </row>
    <row r="79" spans="2:17" s="6" customFormat="1" ht="12.75" x14ac:dyDescent="0.25">
      <c r="B79" s="6" t="s">
        <v>169</v>
      </c>
    </row>
    <row r="81" spans="2:17" ht="12" customHeight="1" x14ac:dyDescent="0.25">
      <c r="B81" s="78" t="s">
        <v>168</v>
      </c>
    </row>
    <row r="82" spans="2:17" ht="12" customHeight="1" x14ac:dyDescent="0.2">
      <c r="B82" s="80" t="s">
        <v>137</v>
      </c>
      <c r="C82" s="83"/>
      <c r="D82" s="83"/>
      <c r="E82" s="83"/>
      <c r="F82" s="83" t="s">
        <v>138</v>
      </c>
      <c r="J82" s="70">
        <f>SUM(L82:Q82)</f>
        <v>6297314057.4928856</v>
      </c>
      <c r="L82" s="73">
        <f t="shared" ref="L82:N84" si="1">L30</f>
        <v>88606458.440240785</v>
      </c>
      <c r="M82" s="73">
        <f t="shared" si="1"/>
        <v>2031930430.9568429</v>
      </c>
      <c r="N82" s="73">
        <f t="shared" si="1"/>
        <v>2192572173.8942842</v>
      </c>
      <c r="O82" s="73">
        <f>U30</f>
        <v>136082375.25258124</v>
      </c>
      <c r="P82" s="70">
        <f>P30+S30</f>
        <v>1733171829.2785072</v>
      </c>
      <c r="Q82" s="73">
        <f>Q30</f>
        <v>114950789.67042841</v>
      </c>
    </row>
    <row r="83" spans="2:17" ht="12" customHeight="1" x14ac:dyDescent="0.2">
      <c r="B83" s="80" t="s">
        <v>139</v>
      </c>
      <c r="C83" s="83"/>
      <c r="D83" s="83"/>
      <c r="E83" s="83"/>
      <c r="F83" s="83" t="s">
        <v>140</v>
      </c>
      <c r="J83" s="70">
        <f>SUM(L83:Q83)</f>
        <v>6450465977.7811003</v>
      </c>
      <c r="L83" s="73">
        <f t="shared" si="1"/>
        <v>87159418.324196801</v>
      </c>
      <c r="M83" s="73">
        <f t="shared" si="1"/>
        <v>2125583728.4493718</v>
      </c>
      <c r="N83" s="73">
        <f t="shared" si="1"/>
        <v>2208864039.1738081</v>
      </c>
      <c r="O83" s="73">
        <f>U31</f>
        <v>133674859.88588828</v>
      </c>
      <c r="P83" s="70">
        <f>P31+S31</f>
        <v>1780619191.8001592</v>
      </c>
      <c r="Q83" s="73">
        <f>Q31</f>
        <v>114564740.14767645</v>
      </c>
    </row>
    <row r="84" spans="2:17" ht="12" customHeight="1" x14ac:dyDescent="0.2">
      <c r="B84" s="80" t="s">
        <v>141</v>
      </c>
      <c r="C84" s="83"/>
      <c r="D84" s="83"/>
      <c r="E84" s="83"/>
      <c r="F84" s="83" t="s">
        <v>93</v>
      </c>
      <c r="J84" s="70">
        <f>SUM(L84:Q84)</f>
        <v>6608444026.7019606</v>
      </c>
      <c r="L84" s="73">
        <f t="shared" si="1"/>
        <v>85929787.491672069</v>
      </c>
      <c r="M84" s="73">
        <f t="shared" si="1"/>
        <v>2227267699.5519772</v>
      </c>
      <c r="N84" s="73">
        <f t="shared" si="1"/>
        <v>2242584564.1130085</v>
      </c>
      <c r="O84" s="73">
        <f>O32</f>
        <v>130593520.99825928</v>
      </c>
      <c r="P84" s="70">
        <f>P32+S32</f>
        <v>1809871466.2664111</v>
      </c>
      <c r="Q84" s="73">
        <f>Q32</f>
        <v>112196988.28063172</v>
      </c>
    </row>
    <row r="86" spans="2:17" ht="12" customHeight="1" x14ac:dyDescent="0.25">
      <c r="B86" s="1" t="s">
        <v>174</v>
      </c>
      <c r="C86" s="2"/>
      <c r="D86" s="2"/>
      <c r="E86" s="2"/>
      <c r="F86" s="2"/>
      <c r="G86" s="2"/>
      <c r="H86" s="2"/>
      <c r="I86" s="2"/>
      <c r="J86" s="2"/>
    </row>
    <row r="87" spans="2:17" ht="12" customHeight="1" x14ac:dyDescent="0.2">
      <c r="B87" s="80" t="s">
        <v>137</v>
      </c>
      <c r="C87" s="83"/>
      <c r="D87" s="83"/>
      <c r="E87" s="83"/>
      <c r="F87" s="83" t="s">
        <v>97</v>
      </c>
      <c r="G87" s="2"/>
      <c r="H87" s="2"/>
      <c r="I87" s="2"/>
      <c r="J87" s="70">
        <f>J82*(1-H48)^3*(1+H52)*(1+H53)*(1+H54)</f>
        <v>6671021972.7888393</v>
      </c>
    </row>
    <row r="88" spans="2:17" ht="12" customHeight="1" x14ac:dyDescent="0.2">
      <c r="B88" s="80" t="s">
        <v>139</v>
      </c>
      <c r="C88" s="83"/>
      <c r="D88" s="83"/>
      <c r="E88" s="83"/>
      <c r="F88" s="83" t="s">
        <v>97</v>
      </c>
      <c r="I88" s="2"/>
      <c r="J88" s="70">
        <f>J83*(1-H48)^2*(1+H53)*(1+H54)</f>
        <v>6687638687.629694</v>
      </c>
    </row>
    <row r="89" spans="2:17" ht="12" customHeight="1" x14ac:dyDescent="0.2">
      <c r="B89" s="80" t="s">
        <v>141</v>
      </c>
      <c r="C89" s="83"/>
      <c r="D89" s="83"/>
      <c r="E89" s="83"/>
      <c r="F89" s="83" t="s">
        <v>97</v>
      </c>
      <c r="I89" s="2"/>
      <c r="J89" s="70">
        <f>J84*(1-H48)*(1+H54)</f>
        <v>6659754962.1233702</v>
      </c>
    </row>
    <row r="91" spans="2:17" ht="12" customHeight="1" x14ac:dyDescent="0.2">
      <c r="B91" s="92" t="s">
        <v>175</v>
      </c>
      <c r="F91" s="83" t="s">
        <v>97</v>
      </c>
      <c r="J91" s="70">
        <f>(J87+J88+J89)/3</f>
        <v>6672805207.5139685</v>
      </c>
    </row>
    <row r="93" spans="2:17" ht="12" customHeight="1" x14ac:dyDescent="0.2">
      <c r="B93" s="92" t="s">
        <v>176</v>
      </c>
      <c r="F93" s="83" t="s">
        <v>102</v>
      </c>
      <c r="J93" s="70">
        <f>J91*(1-H49)*(1+H56)</f>
        <v>6775631621.6447554</v>
      </c>
    </row>
    <row r="95" spans="2:17" s="6" customFormat="1" ht="12.75" x14ac:dyDescent="0.25">
      <c r="B95" s="6" t="s">
        <v>262</v>
      </c>
    </row>
    <row r="96" spans="2:17" ht="12" customHeight="1" x14ac:dyDescent="0.25">
      <c r="L96" s="2"/>
      <c r="M96" s="2"/>
    </row>
    <row r="97" spans="2:17" ht="12" customHeight="1" x14ac:dyDescent="0.25">
      <c r="B97" s="2" t="s">
        <v>170</v>
      </c>
      <c r="F97" s="77" t="s">
        <v>70</v>
      </c>
      <c r="H97" s="86">
        <f>H37-(H37-H38)/5</f>
        <v>3.4599999999999999E-2</v>
      </c>
    </row>
    <row r="98" spans="2:17" ht="12" customHeight="1" x14ac:dyDescent="0.25">
      <c r="B98" s="2"/>
    </row>
    <row r="99" spans="2:17" ht="12" customHeight="1" x14ac:dyDescent="0.2">
      <c r="B99" s="109" t="s">
        <v>263</v>
      </c>
      <c r="F99" s="83" t="s">
        <v>102</v>
      </c>
      <c r="J99" s="70">
        <f>J77*H97</f>
        <v>62823513.843401216</v>
      </c>
    </row>
    <row r="100" spans="2:17" ht="12" customHeight="1" x14ac:dyDescent="0.2">
      <c r="B100" s="109" t="s">
        <v>264</v>
      </c>
      <c r="F100" s="83" t="s">
        <v>102</v>
      </c>
      <c r="J100" s="70">
        <f>J77*H41</f>
        <v>74444048.195937857</v>
      </c>
    </row>
    <row r="101" spans="2:17" ht="12" customHeight="1" x14ac:dyDescent="0.25">
      <c r="B101" s="109"/>
    </row>
    <row r="102" spans="2:17" ht="12" customHeight="1" x14ac:dyDescent="0.2">
      <c r="B102" s="109" t="s">
        <v>201</v>
      </c>
      <c r="F102" s="83" t="s">
        <v>102</v>
      </c>
      <c r="J102" s="70">
        <f>J100-J99</f>
        <v>11620534.352536641</v>
      </c>
    </row>
    <row r="103" spans="2:17" ht="12" customHeight="1" x14ac:dyDescent="0.25">
      <c r="B103" s="109"/>
    </row>
    <row r="104" spans="2:17" ht="12" customHeight="1" x14ac:dyDescent="0.25">
      <c r="B104" s="109" t="s">
        <v>202</v>
      </c>
      <c r="F104" s="2" t="s">
        <v>163</v>
      </c>
      <c r="H104" s="87">
        <f>J102/J60</f>
        <v>4.1447618246262974E-2</v>
      </c>
    </row>
    <row r="105" spans="2:17" ht="12" customHeight="1" x14ac:dyDescent="0.25">
      <c r="B105" s="109"/>
    </row>
    <row r="106" spans="2:17" ht="12" customHeight="1" x14ac:dyDescent="0.2">
      <c r="B106" s="109" t="s">
        <v>203</v>
      </c>
      <c r="F106" s="83" t="s">
        <v>102</v>
      </c>
      <c r="L106" s="70">
        <f t="shared" ref="L106:Q106" si="2">$H$104*L59</f>
        <v>212246.55784689868</v>
      </c>
      <c r="M106" s="70">
        <f t="shared" si="2"/>
        <v>3474198.7752377479</v>
      </c>
      <c r="N106" s="70">
        <f t="shared" si="2"/>
        <v>3921591.6919691325</v>
      </c>
      <c r="O106" s="70">
        <f t="shared" si="2"/>
        <v>154144.26510964104</v>
      </c>
      <c r="P106" s="70">
        <f t="shared" si="2"/>
        <v>3060380.9700906393</v>
      </c>
      <c r="Q106" s="70">
        <f t="shared" si="2"/>
        <v>141354.06943844547</v>
      </c>
    </row>
    <row r="108" spans="2:17" s="6" customFormat="1" ht="12.75" x14ac:dyDescent="0.25">
      <c r="B108" s="6" t="s">
        <v>265</v>
      </c>
    </row>
    <row r="109" spans="2:17" ht="12" customHeight="1" x14ac:dyDescent="0.25">
      <c r="L109" s="2"/>
      <c r="M109" s="2"/>
    </row>
    <row r="110" spans="2:17" ht="12" customHeight="1" x14ac:dyDescent="0.25">
      <c r="B110" s="2" t="s">
        <v>170</v>
      </c>
      <c r="F110" s="77" t="s">
        <v>70</v>
      </c>
      <c r="H110" s="86">
        <f>H37-(H37-H38)/5</f>
        <v>3.4599999999999999E-2</v>
      </c>
    </row>
    <row r="111" spans="2:17" ht="12" customHeight="1" x14ac:dyDescent="0.25">
      <c r="B111" s="2"/>
    </row>
    <row r="112" spans="2:17" ht="12" customHeight="1" x14ac:dyDescent="0.2">
      <c r="B112" s="109" t="s">
        <v>266</v>
      </c>
      <c r="F112" s="83" t="s">
        <v>102</v>
      </c>
      <c r="J112" s="70">
        <f>J93*H110</f>
        <v>234436854.10890853</v>
      </c>
    </row>
    <row r="113" spans="1:17" ht="12" customHeight="1" x14ac:dyDescent="0.2">
      <c r="B113" s="109" t="s">
        <v>267</v>
      </c>
      <c r="F113" s="83" t="s">
        <v>102</v>
      </c>
      <c r="J113" s="70">
        <f>J93*H41</f>
        <v>277800896.48743498</v>
      </c>
    </row>
    <row r="114" spans="1:17" ht="12" customHeight="1" x14ac:dyDescent="0.25">
      <c r="B114" s="109"/>
    </row>
    <row r="115" spans="1:17" ht="12" customHeight="1" x14ac:dyDescent="0.2">
      <c r="B115" s="109" t="s">
        <v>198</v>
      </c>
      <c r="F115" s="83" t="s">
        <v>102</v>
      </c>
      <c r="J115" s="70">
        <f>J113-J112</f>
        <v>43364042.378526449</v>
      </c>
    </row>
    <row r="116" spans="1:17" ht="12" customHeight="1" x14ac:dyDescent="0.25">
      <c r="B116" s="109"/>
    </row>
    <row r="117" spans="1:17" ht="12" customHeight="1" x14ac:dyDescent="0.25">
      <c r="B117" s="109" t="s">
        <v>199</v>
      </c>
      <c r="F117" s="2" t="s">
        <v>163</v>
      </c>
      <c r="H117" s="87">
        <f>J115/J61</f>
        <v>5.2258541054107169E-2</v>
      </c>
    </row>
    <row r="118" spans="1:17" ht="12" customHeight="1" x14ac:dyDescent="0.25">
      <c r="B118" s="109"/>
    </row>
    <row r="119" spans="1:17" ht="12" customHeight="1" x14ac:dyDescent="0.2">
      <c r="B119" s="109" t="s">
        <v>200</v>
      </c>
      <c r="F119" s="83" t="s">
        <v>102</v>
      </c>
      <c r="L119" s="70">
        <f>$H$117*L61</f>
        <v>857127.89347220259</v>
      </c>
      <c r="M119" s="70">
        <f t="shared" ref="M119:Q119" si="3">$H$117*M61</f>
        <v>13928665.364199359</v>
      </c>
      <c r="N119" s="70">
        <f t="shared" si="3"/>
        <v>14917492.570219031</v>
      </c>
      <c r="O119" s="70">
        <f t="shared" si="3"/>
        <v>629205.32536279818</v>
      </c>
      <c r="P119" s="70">
        <f t="shared" si="3"/>
        <v>12287976.385025641</v>
      </c>
      <c r="Q119" s="70">
        <f t="shared" si="3"/>
        <v>743574.84024741652</v>
      </c>
    </row>
    <row r="121" spans="1:17" s="88" customFormat="1" ht="12.75" x14ac:dyDescent="0.25">
      <c r="B121" s="88" t="s">
        <v>131</v>
      </c>
    </row>
    <row r="122" spans="1:17" s="89" customFormat="1" ht="12" customHeight="1" x14ac:dyDescent="0.25"/>
    <row r="123" spans="1:17" s="2" customFormat="1" ht="12.75" x14ac:dyDescent="0.2">
      <c r="A123" s="89"/>
      <c r="B123" s="33" t="s">
        <v>124</v>
      </c>
      <c r="C123" s="83"/>
      <c r="D123" s="83"/>
      <c r="E123" s="83"/>
      <c r="F123" s="90" t="s">
        <v>70</v>
      </c>
      <c r="H123" s="91">
        <f>Parameters!N71</f>
        <v>9.6886211053817561E-2</v>
      </c>
    </row>
    <row r="125" spans="1:17" ht="12" customHeight="1" x14ac:dyDescent="0.25">
      <c r="B125" s="78" t="s">
        <v>171</v>
      </c>
    </row>
    <row r="126" spans="1:17" ht="12" customHeight="1" x14ac:dyDescent="0.2">
      <c r="B126" s="109" t="s">
        <v>172</v>
      </c>
      <c r="F126" s="93" t="s">
        <v>125</v>
      </c>
      <c r="J126" s="70">
        <f>SUM(L126:Q126)</f>
        <v>12026168.641187489</v>
      </c>
      <c r="L126" s="75">
        <f t="shared" ref="L126:Q126" si="4">L106*(1+$H$123)</f>
        <v>232810.32264589961</v>
      </c>
      <c r="M126" s="75">
        <f t="shared" si="4"/>
        <v>3810800.7310183467</v>
      </c>
      <c r="N126" s="75">
        <f t="shared" si="4"/>
        <v>4301539.8523041513</v>
      </c>
      <c r="O126" s="75">
        <f t="shared" si="4"/>
        <v>169078.71891178933</v>
      </c>
      <c r="P126" s="75">
        <f t="shared" si="4"/>
        <v>3356889.686663928</v>
      </c>
      <c r="Q126" s="75">
        <f t="shared" si="4"/>
        <v>155049.32964337469</v>
      </c>
    </row>
    <row r="127" spans="1:17" ht="12" customHeight="1" x14ac:dyDescent="0.2">
      <c r="B127" s="109" t="s">
        <v>173</v>
      </c>
      <c r="F127" s="93" t="s">
        <v>125</v>
      </c>
      <c r="J127" s="70">
        <f>SUM(L127:Q127)</f>
        <v>47565420.140559047</v>
      </c>
      <c r="L127" s="75">
        <f>L119*(1+$H$123)</f>
        <v>940171.76745926449</v>
      </c>
      <c r="M127" s="75">
        <f t="shared" ref="M127:Q127" si="5">M119*(1+$H$123)</f>
        <v>15278160.976373177</v>
      </c>
      <c r="N127" s="75">
        <f t="shared" si="5"/>
        <v>16362791.903771028</v>
      </c>
      <c r="O127" s="75">
        <f t="shared" si="5"/>
        <v>690166.64531208423</v>
      </c>
      <c r="P127" s="75">
        <f t="shared" si="5"/>
        <v>13478511.858489562</v>
      </c>
      <c r="Q127" s="75">
        <f t="shared" si="5"/>
        <v>815616.98915393639</v>
      </c>
    </row>
    <row r="128" spans="1:17" ht="12" customHeight="1" x14ac:dyDescent="0.25">
      <c r="B128" s="109"/>
    </row>
    <row r="129" spans="2:17" ht="12" customHeight="1" x14ac:dyDescent="0.2">
      <c r="B129" s="109" t="s">
        <v>258</v>
      </c>
      <c r="F129" s="93" t="s">
        <v>125</v>
      </c>
      <c r="J129" s="70">
        <f>SUM(L129:Q129)</f>
        <v>59591588.781746544</v>
      </c>
      <c r="L129" s="75">
        <f>L126+L127</f>
        <v>1172982.0901051641</v>
      </c>
      <c r="M129" s="75">
        <f t="shared" ref="M129:Q129" si="6">M126+M127</f>
        <v>19088961.707391523</v>
      </c>
      <c r="N129" s="75">
        <f t="shared" si="6"/>
        <v>20664331.756075181</v>
      </c>
      <c r="O129" s="75">
        <f t="shared" si="6"/>
        <v>859245.36422387359</v>
      </c>
      <c r="P129" s="75">
        <f t="shared" si="6"/>
        <v>16835401.545153491</v>
      </c>
      <c r="Q129" s="75">
        <f t="shared" si="6"/>
        <v>970666.31879731105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G38"/>
  <sheetViews>
    <sheetView showGridLines="0" zoomScale="85" zoomScaleNormal="85" workbookViewId="0">
      <pane ySplit="3" topLeftCell="A4" activePane="bottomLeft" state="frozen"/>
      <selection activeCell="Q27" sqref="Q27"/>
      <selection pane="bottomLeft" activeCell="A4" sqref="A4"/>
    </sheetView>
  </sheetViews>
  <sheetFormatPr defaultColWidth="9.140625" defaultRowHeight="12.75" x14ac:dyDescent="0.25"/>
  <cols>
    <col min="1" max="7" width="9.140625" style="2" customWidth="1"/>
    <col min="8" max="16384" width="9.140625" style="2"/>
  </cols>
  <sheetData>
    <row r="2" spans="2:6" s="10" customFormat="1" ht="18" x14ac:dyDescent="0.25">
      <c r="B2" s="9" t="s">
        <v>53</v>
      </c>
    </row>
    <row r="4" spans="2:6" s="6" customFormat="1" x14ac:dyDescent="0.25">
      <c r="B4" s="6" t="s">
        <v>15</v>
      </c>
    </row>
    <row r="6" spans="2:6" x14ac:dyDescent="0.25">
      <c r="B6" s="2" t="s">
        <v>253</v>
      </c>
    </row>
    <row r="8" spans="2:6" s="6" customFormat="1" x14ac:dyDescent="0.25">
      <c r="B8" s="6" t="s">
        <v>16</v>
      </c>
    </row>
    <row r="10" spans="2:6" x14ac:dyDescent="0.25">
      <c r="B10" s="1" t="s">
        <v>39</v>
      </c>
      <c r="D10" s="1" t="s">
        <v>17</v>
      </c>
      <c r="F10" s="5"/>
    </row>
    <row r="12" spans="2:6" x14ac:dyDescent="0.25">
      <c r="B12" s="42">
        <v>123</v>
      </c>
      <c r="D12" s="2" t="s">
        <v>96</v>
      </c>
    </row>
    <row r="13" spans="2:6" x14ac:dyDescent="0.25">
      <c r="B13" s="11">
        <f>B12</f>
        <v>123</v>
      </c>
      <c r="D13" s="2" t="s">
        <v>18</v>
      </c>
    </row>
    <row r="14" spans="2:6" x14ac:dyDescent="0.25">
      <c r="B14" s="12">
        <f>B13+B12</f>
        <v>246</v>
      </c>
      <c r="D14" s="2" t="s">
        <v>19</v>
      </c>
    </row>
    <row r="15" spans="2:6" x14ac:dyDescent="0.25">
      <c r="B15" s="13">
        <f>B13+B14</f>
        <v>369</v>
      </c>
      <c r="D15" s="2" t="s">
        <v>54</v>
      </c>
      <c r="E15" s="5"/>
      <c r="F15" s="5"/>
    </row>
    <row r="16" spans="2:6" x14ac:dyDescent="0.25">
      <c r="B16" s="14"/>
      <c r="D16" s="3" t="s">
        <v>20</v>
      </c>
      <c r="E16" s="5"/>
    </row>
    <row r="18" spans="2:7" x14ac:dyDescent="0.25">
      <c r="B18" s="4" t="s">
        <v>21</v>
      </c>
    </row>
    <row r="19" spans="2:7" x14ac:dyDescent="0.25">
      <c r="B19" s="44">
        <f>B15+16</f>
        <v>385</v>
      </c>
      <c r="D19" s="2" t="s">
        <v>22</v>
      </c>
    </row>
    <row r="20" spans="2:7" x14ac:dyDescent="0.25">
      <c r="B20" s="15">
        <f>B13*PI()</f>
        <v>386.41589639154455</v>
      </c>
      <c r="C20" s="16"/>
      <c r="D20" s="2" t="s">
        <v>23</v>
      </c>
    </row>
    <row r="21" spans="2:7" x14ac:dyDescent="0.25">
      <c r="B21" s="16"/>
      <c r="C21" s="16"/>
    </row>
    <row r="22" spans="2:7" x14ac:dyDescent="0.25">
      <c r="B22" s="41" t="s">
        <v>24</v>
      </c>
      <c r="C22" s="17"/>
    </row>
    <row r="23" spans="2:7" x14ac:dyDescent="0.25">
      <c r="B23" s="43">
        <v>123</v>
      </c>
      <c r="C23" s="17"/>
      <c r="D23" s="2" t="s">
        <v>94</v>
      </c>
      <c r="G23" s="5"/>
    </row>
    <row r="24" spans="2:7" x14ac:dyDescent="0.25">
      <c r="B24" s="47">
        <v>124</v>
      </c>
      <c r="C24" s="17"/>
      <c r="D24" s="2" t="s">
        <v>95</v>
      </c>
    </row>
    <row r="25" spans="2:7" x14ac:dyDescent="0.25">
      <c r="B25" s="48">
        <f>B23-B24</f>
        <v>-1</v>
      </c>
      <c r="C25" s="18"/>
      <c r="D25" s="2" t="s">
        <v>98</v>
      </c>
    </row>
    <row r="28" spans="2:7" x14ac:dyDescent="0.25">
      <c r="B28" s="1" t="s">
        <v>34</v>
      </c>
    </row>
    <row r="29" spans="2:7" x14ac:dyDescent="0.25">
      <c r="B29" s="1"/>
    </row>
    <row r="30" spans="2:7" x14ac:dyDescent="0.25">
      <c r="B30" s="4" t="s">
        <v>40</v>
      </c>
    </row>
    <row r="31" spans="2:7" x14ac:dyDescent="0.25">
      <c r="B31" s="23" t="s">
        <v>33</v>
      </c>
      <c r="D31" s="3" t="s">
        <v>43</v>
      </c>
    </row>
    <row r="32" spans="2:7" x14ac:dyDescent="0.25">
      <c r="B32" s="21" t="s">
        <v>31</v>
      </c>
      <c r="D32" s="3" t="s">
        <v>35</v>
      </c>
    </row>
    <row r="33" spans="2:4" x14ac:dyDescent="0.25">
      <c r="B33" s="22" t="s">
        <v>32</v>
      </c>
      <c r="D33" s="3" t="s">
        <v>36</v>
      </c>
    </row>
    <row r="34" spans="2:4" x14ac:dyDescent="0.25">
      <c r="B34" s="15" t="s">
        <v>32</v>
      </c>
      <c r="D34" s="3" t="s">
        <v>38</v>
      </c>
    </row>
    <row r="35" spans="2:4" x14ac:dyDescent="0.25">
      <c r="D35" s="3"/>
    </row>
    <row r="36" spans="2:4" x14ac:dyDescent="0.25">
      <c r="B36" s="4" t="s">
        <v>42</v>
      </c>
      <c r="D36" s="3"/>
    </row>
    <row r="37" spans="2:4" x14ac:dyDescent="0.25">
      <c r="B37" s="24" t="s">
        <v>37</v>
      </c>
      <c r="D37" s="3" t="s">
        <v>44</v>
      </c>
    </row>
    <row r="38" spans="2:4" x14ac:dyDescent="0.25">
      <c r="B38" s="25" t="s">
        <v>41</v>
      </c>
      <c r="D38" s="3" t="s">
        <v>45</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G20"/>
  <sheetViews>
    <sheetView showGridLines="0" zoomScale="85" zoomScaleNormal="85" workbookViewId="0">
      <pane ySplit="3" topLeftCell="A4" activePane="bottomLeft" state="frozen"/>
      <selection activeCell="Q27" sqref="Q27"/>
      <selection pane="bottomLeft" activeCell="A4" sqref="A4"/>
    </sheetView>
  </sheetViews>
  <sheetFormatPr defaultColWidth="9.140625" defaultRowHeight="15" customHeight="1" x14ac:dyDescent="0.25"/>
  <cols>
    <col min="1" max="1" width="2.85546875" style="2" customWidth="1"/>
    <col min="2" max="2" width="7.5703125" style="2" customWidth="1"/>
    <col min="3" max="3" width="60.85546875" style="2" customWidth="1"/>
    <col min="4" max="4" width="85.5703125" style="49" customWidth="1"/>
    <col min="5" max="5" width="108.7109375" style="2" customWidth="1"/>
    <col min="6" max="6" width="4.5703125" style="2" customWidth="1"/>
    <col min="7" max="7" width="43.42578125" style="2" customWidth="1"/>
    <col min="8" max="8" width="28.7109375" style="2" customWidth="1"/>
    <col min="9" max="9" width="26.85546875" style="2" customWidth="1"/>
    <col min="10" max="10" width="58.42578125" style="2" customWidth="1"/>
    <col min="11" max="11" width="22" style="2" customWidth="1"/>
    <col min="12" max="16384" width="9.140625" style="2"/>
  </cols>
  <sheetData>
    <row r="2" spans="2:7" s="10" customFormat="1" ht="18" x14ac:dyDescent="0.25">
      <c r="B2" s="9" t="s">
        <v>25</v>
      </c>
    </row>
    <row r="4" spans="2:7" s="6" customFormat="1" ht="15" customHeight="1" x14ac:dyDescent="0.25">
      <c r="B4" s="6" t="s">
        <v>26</v>
      </c>
      <c r="D4" s="50"/>
    </row>
    <row r="5" spans="2:7" ht="12.75" x14ac:dyDescent="0.25">
      <c r="D5" s="2"/>
    </row>
    <row r="6" spans="2:7" ht="12.75" x14ac:dyDescent="0.25">
      <c r="B6" s="5"/>
      <c r="D6" s="2"/>
    </row>
    <row r="7" spans="2:7" ht="12.75" x14ac:dyDescent="0.25">
      <c r="D7" s="2"/>
    </row>
    <row r="8" spans="2:7" ht="12.75" x14ac:dyDescent="0.25">
      <c r="B8" s="58" t="s">
        <v>55</v>
      </c>
      <c r="C8" s="58" t="s">
        <v>56</v>
      </c>
      <c r="D8" s="58" t="s">
        <v>57</v>
      </c>
      <c r="E8" s="58" t="s">
        <v>60</v>
      </c>
    </row>
    <row r="9" spans="2:7" ht="12.75" x14ac:dyDescent="0.25">
      <c r="B9" s="26"/>
      <c r="C9" s="26" t="s">
        <v>62</v>
      </c>
      <c r="D9" s="26" t="s">
        <v>27</v>
      </c>
      <c r="E9" s="26" t="s">
        <v>61</v>
      </c>
    </row>
    <row r="10" spans="2:7" ht="12" customHeight="1" x14ac:dyDescent="0.25">
      <c r="B10" s="104">
        <v>1</v>
      </c>
      <c r="C10" s="104" t="s">
        <v>109</v>
      </c>
      <c r="D10" s="104"/>
      <c r="E10" s="106" t="s">
        <v>110</v>
      </c>
    </row>
    <row r="11" spans="2:7" ht="12" customHeight="1" x14ac:dyDescent="0.25">
      <c r="B11" s="104">
        <v>2</v>
      </c>
      <c r="C11" s="104" t="s">
        <v>236</v>
      </c>
      <c r="D11" s="105"/>
      <c r="E11" s="106" t="s">
        <v>249</v>
      </c>
      <c r="G11" s="59"/>
    </row>
    <row r="12" spans="2:7" ht="12" customHeight="1" x14ac:dyDescent="0.25">
      <c r="B12" s="104">
        <v>3</v>
      </c>
      <c r="C12" s="104" t="s">
        <v>207</v>
      </c>
      <c r="D12" s="104" t="s">
        <v>208</v>
      </c>
      <c r="E12" s="106" t="s">
        <v>120</v>
      </c>
    </row>
    <row r="13" spans="2:7" ht="12" customHeight="1" x14ac:dyDescent="0.25">
      <c r="B13" s="104">
        <v>4</v>
      </c>
      <c r="C13" s="104" t="s">
        <v>112</v>
      </c>
      <c r="D13" s="104" t="s">
        <v>111</v>
      </c>
      <c r="E13" s="106" t="s">
        <v>120</v>
      </c>
    </row>
    <row r="14" spans="2:7" ht="12.75" x14ac:dyDescent="0.25">
      <c r="B14" s="104">
        <v>6</v>
      </c>
      <c r="C14" s="104" t="s">
        <v>144</v>
      </c>
      <c r="D14" s="104" t="s">
        <v>144</v>
      </c>
      <c r="E14" s="106"/>
    </row>
    <row r="15" spans="2:7" ht="12" customHeight="1" x14ac:dyDescent="0.25">
      <c r="B15" s="104">
        <v>8</v>
      </c>
      <c r="C15" s="104" t="s">
        <v>88</v>
      </c>
      <c r="D15" s="105"/>
      <c r="E15" s="106" t="s">
        <v>108</v>
      </c>
    </row>
    <row r="16" spans="2:7" ht="12.75" x14ac:dyDescent="0.25">
      <c r="D16" s="2"/>
      <c r="E16" s="94"/>
    </row>
    <row r="17" spans="2:4" s="6" customFormat="1" ht="15" customHeight="1" x14ac:dyDescent="0.25">
      <c r="B17" s="6" t="s">
        <v>52</v>
      </c>
      <c r="D17" s="50"/>
    </row>
    <row r="19" spans="2:4" ht="15" customHeight="1" x14ac:dyDescent="0.25">
      <c r="B19" s="4" t="s">
        <v>50</v>
      </c>
    </row>
    <row r="20" spans="2:4" ht="15" customHeight="1" x14ac:dyDescent="0.25">
      <c r="B20" s="4" t="s">
        <v>51</v>
      </c>
    </row>
  </sheetData>
  <sortState xmlns:xlrd2="http://schemas.microsoft.com/office/spreadsheetml/2017/richdata2" ref="C10:E15">
    <sortCondition ref="C10:C15"/>
  </sortState>
  <hyperlinks>
    <hyperlink ref="E13" r:id="rId1" xr:uid="{96B50C13-2F30-4CA0-A325-874AA5BFD201}"/>
    <hyperlink ref="E15" r:id="rId2" location="/CBS/nl/dataset/70936ned/table?ts=1631782812900" xr:uid="{21E134B9-3E09-41F2-A372-BA31BE06099A}"/>
    <hyperlink ref="E10" r:id="rId3" location="/details/wettelijke-rente/dataset/2ed0b77d-72c5-47e8-8a3d-0c213048e11d/resource/b363a333-1ce1-4ba0-83b9-80bdf6f78fa0" xr:uid="{0524099A-615A-46BF-8931-90672648D28C}"/>
    <hyperlink ref="E12" r:id="rId4" xr:uid="{1996C36F-9004-44F1-A6F2-22BC1AA18863}"/>
    <hyperlink ref="E11" r:id="rId5" xr:uid="{90D2B706-9606-4086-8012-FEF7CD7924D5}"/>
  </hyperlinks>
  <pageMargins left="0.75" right="0.75" top="1" bottom="1" header="0.5" footer="0.5"/>
  <pageSetup paperSize="9" orientation="portrait" r:id="rId6"/>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B2:T32"/>
  <sheetViews>
    <sheetView showGridLines="0" zoomScale="85" zoomScaleNormal="85" workbookViewId="0">
      <pane xSplit="6" ySplit="8" topLeftCell="G9" activePane="bottomRight" state="frozen"/>
      <selection activeCell="Q27" sqref="Q27"/>
      <selection pane="topRight" activeCell="Q27" sqref="Q27"/>
      <selection pane="bottomLeft" activeCell="Q27" sqref="Q27"/>
      <selection pane="bottomRight" activeCell="G9" sqref="G9"/>
    </sheetView>
  </sheetViews>
  <sheetFormatPr defaultColWidth="9.140625" defaultRowHeight="12.75" x14ac:dyDescent="0.25"/>
  <cols>
    <col min="1" max="1" width="4" style="2" customWidth="1"/>
    <col min="2" max="2" width="70.1406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4.85546875" style="2" bestFit="1" customWidth="1"/>
    <col min="11" max="11" width="2.7109375" style="2" customWidth="1"/>
    <col min="12" max="12" width="15.28515625" style="2" bestFit="1" customWidth="1"/>
    <col min="13" max="14" width="15.85546875" style="2" bestFit="1" customWidth="1"/>
    <col min="15" max="15" width="14.7109375" style="2" bestFit="1" customWidth="1"/>
    <col min="16" max="16" width="15.85546875" style="2" bestFit="1" customWidth="1"/>
    <col min="17" max="17" width="14.7109375" style="2" bestFit="1" customWidth="1"/>
    <col min="18" max="19" width="2.7109375" style="2" customWidth="1"/>
    <col min="20" max="34" width="13.7109375" style="2" customWidth="1"/>
    <col min="35" max="16384" width="9.140625" style="2"/>
  </cols>
  <sheetData>
    <row r="2" spans="2:20" s="19" customFormat="1" ht="18" x14ac:dyDescent="0.25">
      <c r="B2" s="19" t="s">
        <v>129</v>
      </c>
    </row>
    <row r="4" spans="2:20" x14ac:dyDescent="0.25">
      <c r="B4" s="1" t="s">
        <v>59</v>
      </c>
      <c r="C4" s="1"/>
      <c r="D4" s="1"/>
    </row>
    <row r="5" spans="2:20" x14ac:dyDescent="0.2">
      <c r="B5" s="76" t="s">
        <v>132</v>
      </c>
      <c r="C5" s="3"/>
      <c r="D5" s="3"/>
      <c r="H5" s="20"/>
    </row>
    <row r="7" spans="2:20" s="6" customFormat="1" x14ac:dyDescent="0.25">
      <c r="B7" s="6" t="s">
        <v>46</v>
      </c>
      <c r="F7" s="6" t="s">
        <v>28</v>
      </c>
      <c r="H7" s="6" t="s">
        <v>29</v>
      </c>
      <c r="J7" s="6" t="s">
        <v>49</v>
      </c>
      <c r="L7" s="6" t="s">
        <v>87</v>
      </c>
      <c r="M7" s="6" t="s">
        <v>64</v>
      </c>
      <c r="N7" s="6" t="s">
        <v>65</v>
      </c>
      <c r="O7" s="6" t="s">
        <v>66</v>
      </c>
      <c r="P7" s="6" t="s">
        <v>67</v>
      </c>
      <c r="Q7" s="6" t="s">
        <v>68</v>
      </c>
      <c r="T7" s="6" t="s">
        <v>48</v>
      </c>
    </row>
    <row r="10" spans="2:20" s="6" customFormat="1" x14ac:dyDescent="0.25">
      <c r="B10" s="6" t="s">
        <v>83</v>
      </c>
    </row>
    <row r="12" spans="2:20" x14ac:dyDescent="0.2">
      <c r="B12" s="2" t="s">
        <v>100</v>
      </c>
      <c r="F12" s="60" t="s">
        <v>97</v>
      </c>
      <c r="J12" s="32">
        <f>SUM(L12:Q12)</f>
        <v>1172785308.1406469</v>
      </c>
      <c r="L12" s="34">
        <f>'Input x-factor, begininkomsten'!L16</f>
        <v>23017675.960507385</v>
      </c>
      <c r="M12" s="34">
        <f>'Input x-factor, begininkomsten'!M16</f>
        <v>375367487.48965442</v>
      </c>
      <c r="N12" s="34">
        <f>'Input x-factor, begininkomsten'!N16</f>
        <v>407020417.70622271</v>
      </c>
      <c r="O12" s="34">
        <f>'Input x-factor, begininkomsten'!O16</f>
        <v>16863318.222685933</v>
      </c>
      <c r="P12" s="34">
        <f>'Input x-factor, begininkomsten'!P16</f>
        <v>330959954.95050144</v>
      </c>
      <c r="Q12" s="34">
        <f>'Input x-factor, begininkomsten'!Q16</f>
        <v>19556453.811075315</v>
      </c>
    </row>
    <row r="13" spans="2:20" x14ac:dyDescent="0.2">
      <c r="B13" s="2" t="s">
        <v>101</v>
      </c>
      <c r="F13" s="29" t="s">
        <v>69</v>
      </c>
      <c r="L13" s="31">
        <f>'Input x-factor, begininkomsten'!L19</f>
        <v>1.4000000000000001</v>
      </c>
      <c r="M13" s="31">
        <f>'Input x-factor, begininkomsten'!M19</f>
        <v>1.3900000000000001</v>
      </c>
      <c r="N13" s="31">
        <f>'Input x-factor, begininkomsten'!N19</f>
        <v>1.35</v>
      </c>
      <c r="O13" s="31">
        <f>'Input x-factor, begininkomsten'!O19</f>
        <v>1.4000000000000001</v>
      </c>
      <c r="P13" s="31">
        <f>'Input x-factor, begininkomsten'!P19</f>
        <v>1.3900000000000001</v>
      </c>
      <c r="Q13" s="31">
        <f>'Input x-factor, begininkomsten'!Q19</f>
        <v>1.54</v>
      </c>
    </row>
    <row r="14" spans="2:20" x14ac:dyDescent="0.2">
      <c r="F14" s="29"/>
    </row>
    <row r="15" spans="2:20" x14ac:dyDescent="0.2">
      <c r="B15" s="2" t="s">
        <v>103</v>
      </c>
      <c r="F15" s="29" t="s">
        <v>70</v>
      </c>
      <c r="H15" s="35">
        <f>'Input parameters'!AD21</f>
        <v>2.4E-2</v>
      </c>
    </row>
    <row r="16" spans="2:20" x14ac:dyDescent="0.2">
      <c r="B16" s="2" t="s">
        <v>116</v>
      </c>
      <c r="F16" s="62" t="s">
        <v>70</v>
      </c>
      <c r="H16" s="35">
        <f>'Input parameters'!AE21</f>
        <v>0.12</v>
      </c>
    </row>
    <row r="17" spans="2:17" x14ac:dyDescent="0.2">
      <c r="B17" s="2" t="s">
        <v>126</v>
      </c>
      <c r="F17" s="62" t="s">
        <v>70</v>
      </c>
      <c r="H17" s="35">
        <f>'Input parameters'!AF21</f>
        <v>0.03</v>
      </c>
    </row>
    <row r="18" spans="2:17" x14ac:dyDescent="0.2">
      <c r="F18" s="29"/>
    </row>
    <row r="19" spans="2:17" x14ac:dyDescent="0.25">
      <c r="B19" s="2" t="s">
        <v>106</v>
      </c>
      <c r="F19" s="2" t="s">
        <v>102</v>
      </c>
      <c r="J19" s="32">
        <f>SUM(L19:Q19)</f>
        <v>1184759925.1398156</v>
      </c>
      <c r="L19" s="108">
        <f>(L12)*(1-L13/100+$H15)</f>
        <v>23247852.720112458</v>
      </c>
      <c r="M19" s="108">
        <f t="shared" ref="M19:Q19" si="0">(M12)*(1-M13/100+$H15)</f>
        <v>379158699.11329991</v>
      </c>
      <c r="N19" s="108">
        <f t="shared" si="0"/>
        <v>411294132.09213805</v>
      </c>
      <c r="O19" s="108">
        <f>(O12)*(1-O13/100+$H15)</f>
        <v>17031951.404912792</v>
      </c>
      <c r="P19" s="108">
        <f t="shared" si="0"/>
        <v>334302650.49550152</v>
      </c>
      <c r="Q19" s="108">
        <f t="shared" si="0"/>
        <v>19724639.313850563</v>
      </c>
    </row>
    <row r="20" spans="2:17" x14ac:dyDescent="0.25">
      <c r="B20" s="2" t="s">
        <v>115</v>
      </c>
      <c r="F20" s="2" t="s">
        <v>114</v>
      </c>
      <c r="J20" s="32">
        <f>SUM(L20:Q20)</f>
        <v>1310593855.9106033</v>
      </c>
      <c r="L20" s="108">
        <f>(L19)*(1-L$13/100+$H16)</f>
        <v>25712125.108444374</v>
      </c>
      <c r="M20" s="108">
        <f>(M19)*(1-M$13/100+$H16)</f>
        <v>419387437.08922106</v>
      </c>
      <c r="N20" s="108">
        <f t="shared" ref="N20:P20" si="1">(N19)*(1-N$13/100+$H16)</f>
        <v>455096957.15995079</v>
      </c>
      <c r="O20" s="108">
        <f t="shared" si="1"/>
        <v>18837338.253833547</v>
      </c>
      <c r="P20" s="108">
        <f t="shared" si="1"/>
        <v>369772161.71307427</v>
      </c>
      <c r="Q20" s="108">
        <f>(Q19)*(1-Q$13/100+$H16)</f>
        <v>21787836.586079333</v>
      </c>
    </row>
    <row r="21" spans="2:17" x14ac:dyDescent="0.25">
      <c r="B21" s="2" t="s">
        <v>127</v>
      </c>
      <c r="F21" s="2" t="s">
        <v>125</v>
      </c>
      <c r="J21" s="32">
        <f>SUM(L21:Q21)</f>
        <v>1331839319.0724127</v>
      </c>
      <c r="L21" s="108">
        <f>(L20)*(1-L$13/100+$H17)</f>
        <v>26123519.110179484</v>
      </c>
      <c r="M21" s="108">
        <f>(M20)*(1-M$13/100+$H17)</f>
        <v>426139574.82635754</v>
      </c>
      <c r="N21" s="108">
        <f t="shared" ref="N21" si="2">(N20)*(1-N$13/100+$H17)</f>
        <v>462606056.95308995</v>
      </c>
      <c r="O21" s="108">
        <f t="shared" ref="O21" si="3">(O20)*(1-O$13/100+$H17)</f>
        <v>19138735.665894885</v>
      </c>
      <c r="P21" s="108">
        <f t="shared" ref="P21" si="4">(P20)*(1-P$13/100+$H17)</f>
        <v>375725493.51665479</v>
      </c>
      <c r="Q21" s="108">
        <f>(Q20)*(1-Q$13/100+$H17)</f>
        <v>22105939.00023609</v>
      </c>
    </row>
    <row r="24" spans="2:17" x14ac:dyDescent="0.25">
      <c r="L24" s="30"/>
      <c r="M24" s="30"/>
      <c r="N24" s="30"/>
      <c r="O24" s="30"/>
      <c r="P24" s="30"/>
      <c r="Q24" s="30"/>
    </row>
    <row r="25" spans="2:17" x14ac:dyDescent="0.25">
      <c r="L25" s="30"/>
      <c r="M25" s="30"/>
      <c r="N25" s="30"/>
      <c r="O25" s="30"/>
      <c r="P25" s="30"/>
      <c r="Q25" s="30"/>
    </row>
    <row r="27" spans="2:17" x14ac:dyDescent="0.25">
      <c r="L27" s="40"/>
      <c r="M27" s="40"/>
      <c r="N27" s="40"/>
      <c r="O27" s="40"/>
      <c r="P27" s="40"/>
      <c r="Q27" s="40"/>
    </row>
    <row r="28" spans="2:17" x14ac:dyDescent="0.25">
      <c r="L28" s="51"/>
      <c r="M28" s="51"/>
      <c r="N28" s="51"/>
      <c r="O28" s="51"/>
      <c r="P28" s="51"/>
      <c r="Q28" s="51"/>
    </row>
    <row r="29" spans="2:17" x14ac:dyDescent="0.25">
      <c r="L29" s="51"/>
      <c r="M29" s="51"/>
      <c r="N29" s="51"/>
      <c r="O29" s="51"/>
      <c r="P29" s="51"/>
      <c r="Q29" s="51"/>
    </row>
    <row r="30" spans="2:17" x14ac:dyDescent="0.25">
      <c r="L30" s="51"/>
      <c r="M30" s="51"/>
      <c r="N30" s="51"/>
      <c r="O30" s="51"/>
      <c r="P30" s="51"/>
      <c r="Q30" s="51"/>
    </row>
    <row r="31" spans="2:17" x14ac:dyDescent="0.25">
      <c r="L31" s="51"/>
      <c r="M31" s="51"/>
      <c r="N31" s="51"/>
      <c r="O31" s="51"/>
      <c r="P31" s="51"/>
      <c r="Q31" s="51"/>
    </row>
    <row r="32" spans="2:17" x14ac:dyDescent="0.25">
      <c r="L32" s="51"/>
      <c r="M32" s="51"/>
      <c r="N32" s="51"/>
      <c r="O32" s="51"/>
      <c r="P32" s="51"/>
      <c r="Q32" s="51"/>
    </row>
  </sheetData>
  <phoneticPr fontId="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
  <sheetViews>
    <sheetView showGridLines="0" zoomScale="85" zoomScaleNormal="85" workbookViewId="0"/>
  </sheetViews>
  <sheetFormatPr defaultColWidth="9.140625" defaultRowHeight="12.75" x14ac:dyDescent="0.25"/>
  <cols>
    <col min="1" max="16384" width="9.140625" style="24"/>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sheetPr>
  <dimension ref="B2:AJ41"/>
  <sheetViews>
    <sheetView showGridLines="0" zoomScale="85" zoomScaleNormal="85" workbookViewId="0">
      <pane xSplit="6" ySplit="12" topLeftCell="G13" activePane="bottomRight" state="frozen"/>
      <selection activeCell="Q27" sqref="Q27"/>
      <selection pane="topRight" activeCell="Q27" sqref="Q27"/>
      <selection pane="bottomLeft" activeCell="Q27" sqref="Q27"/>
      <selection pane="bottomRight" activeCell="G13" sqref="G13"/>
    </sheetView>
  </sheetViews>
  <sheetFormatPr defaultColWidth="9.140625" defaultRowHeight="12.75"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6" width="17" style="2" hidden="1" customWidth="1"/>
    <col min="27" max="29" width="6.42578125" style="2" bestFit="1" customWidth="1"/>
    <col min="30" max="30" width="12.5703125" style="2" customWidth="1"/>
    <col min="31" max="31" width="13.7109375" style="2" customWidth="1"/>
    <col min="32" max="32" width="12.5703125" style="2" customWidth="1"/>
    <col min="33" max="33" width="2.7109375" style="2" customWidth="1"/>
    <col min="34" max="34" width="24.7109375" style="2" customWidth="1"/>
    <col min="35" max="35" width="2.7109375" style="2" customWidth="1"/>
    <col min="36" max="36" width="13.7109375" style="2" customWidth="1"/>
    <col min="37" max="37" width="2.7109375" style="2" customWidth="1"/>
    <col min="38" max="52" width="13.7109375" style="2" customWidth="1"/>
    <col min="53" max="16384" width="9.140625" style="2"/>
  </cols>
  <sheetData>
    <row r="2" spans="2:36" s="19" customFormat="1" ht="18" x14ac:dyDescent="0.25">
      <c r="B2" s="19" t="s">
        <v>224</v>
      </c>
    </row>
    <row r="4" spans="2:36" x14ac:dyDescent="0.25">
      <c r="B4" s="28" t="s">
        <v>30</v>
      </c>
      <c r="C4" s="1"/>
      <c r="D4" s="1"/>
    </row>
    <row r="5" spans="2:36" x14ac:dyDescent="0.25">
      <c r="B5" s="2" t="s">
        <v>226</v>
      </c>
      <c r="H5" s="20"/>
    </row>
    <row r="6" spans="2:36" x14ac:dyDescent="0.25">
      <c r="B6" s="2" t="s">
        <v>225</v>
      </c>
      <c r="H6" s="20"/>
    </row>
    <row r="7" spans="2:36" x14ac:dyDescent="0.25">
      <c r="H7" s="20"/>
    </row>
    <row r="8" spans="2:36" x14ac:dyDescent="0.25">
      <c r="B8" s="2" t="s">
        <v>41</v>
      </c>
      <c r="H8" s="20"/>
    </row>
    <row r="9" spans="2:36" x14ac:dyDescent="0.25">
      <c r="B9" s="4" t="s">
        <v>220</v>
      </c>
      <c r="H9" s="20"/>
    </row>
    <row r="11" spans="2:36" s="6" customFormat="1" x14ac:dyDescent="0.25">
      <c r="B11" s="6" t="s">
        <v>46</v>
      </c>
      <c r="F11" s="6" t="s">
        <v>28</v>
      </c>
      <c r="H11" s="6" t="s">
        <v>29</v>
      </c>
      <c r="J11" s="6" t="s">
        <v>49</v>
      </c>
      <c r="L11" s="6">
        <v>2004</v>
      </c>
      <c r="M11" s="6">
        <v>2005</v>
      </c>
      <c r="N11" s="6">
        <v>2006</v>
      </c>
      <c r="O11" s="6">
        <v>2007</v>
      </c>
      <c r="P11" s="6">
        <v>2008</v>
      </c>
      <c r="Q11" s="6">
        <v>2009</v>
      </c>
      <c r="R11" s="6">
        <v>2010</v>
      </c>
      <c r="S11" s="6">
        <v>2011</v>
      </c>
      <c r="T11" s="6">
        <v>2012</v>
      </c>
      <c r="U11" s="6">
        <v>2013</v>
      </c>
      <c r="V11" s="6">
        <v>2014</v>
      </c>
      <c r="W11" s="6">
        <v>2015</v>
      </c>
      <c r="X11" s="6">
        <v>2016</v>
      </c>
      <c r="Y11" s="6">
        <v>2017</v>
      </c>
      <c r="Z11" s="6">
        <v>2018</v>
      </c>
      <c r="AA11" s="6" t="s">
        <v>164</v>
      </c>
      <c r="AB11" s="6" t="s">
        <v>165</v>
      </c>
      <c r="AC11" s="6" t="s">
        <v>166</v>
      </c>
      <c r="AD11" s="6" t="s">
        <v>99</v>
      </c>
      <c r="AE11" s="6" t="s">
        <v>113</v>
      </c>
      <c r="AF11" s="6" t="s">
        <v>121</v>
      </c>
      <c r="AH11" s="6" t="s">
        <v>47</v>
      </c>
      <c r="AJ11" s="6" t="s">
        <v>48</v>
      </c>
    </row>
    <row r="14" spans="2:36" s="6" customFormat="1" x14ac:dyDescent="0.25">
      <c r="B14" s="6" t="s">
        <v>89</v>
      </c>
    </row>
    <row r="16" spans="2:36" x14ac:dyDescent="0.25">
      <c r="B16" s="28" t="s">
        <v>90</v>
      </c>
    </row>
    <row r="17" spans="2:34" x14ac:dyDescent="0.25">
      <c r="B17" s="2" t="s">
        <v>118</v>
      </c>
    </row>
    <row r="18" spans="2:34" x14ac:dyDescent="0.25">
      <c r="B18" s="2" t="s">
        <v>119</v>
      </c>
    </row>
    <row r="19" spans="2:34" x14ac:dyDescent="0.25">
      <c r="B19" s="2" t="s">
        <v>92</v>
      </c>
    </row>
    <row r="20" spans="2:34" x14ac:dyDescent="0.2">
      <c r="B20" s="33"/>
    </row>
    <row r="21" spans="2:34" ht="12" customHeight="1" x14ac:dyDescent="0.25">
      <c r="B21" s="2" t="s">
        <v>91</v>
      </c>
      <c r="F21" s="2" t="s">
        <v>70</v>
      </c>
      <c r="L21" s="81">
        <v>2.1000000000000001E-2</v>
      </c>
      <c r="M21" s="81">
        <v>1.0999999999999999E-2</v>
      </c>
      <c r="N21" s="81">
        <v>1.7999999999999999E-2</v>
      </c>
      <c r="O21" s="81">
        <v>1.4E-2</v>
      </c>
      <c r="P21" s="81">
        <v>1.0999999999999999E-2</v>
      </c>
      <c r="Q21" s="81">
        <v>3.2000000000000001E-2</v>
      </c>
      <c r="R21" s="81">
        <v>3.0000000000000001E-3</v>
      </c>
      <c r="S21" s="81">
        <v>1.4999999999999999E-2</v>
      </c>
      <c r="T21" s="81">
        <v>2.5999999999999999E-2</v>
      </c>
      <c r="U21" s="81">
        <v>2.3E-2</v>
      </c>
      <c r="V21" s="81">
        <v>2.8000000000000001E-2</v>
      </c>
      <c r="W21" s="81">
        <v>0.01</v>
      </c>
      <c r="X21" s="81">
        <v>8.0000000000000002E-3</v>
      </c>
      <c r="Y21" s="81">
        <v>2E-3</v>
      </c>
      <c r="Z21" s="81">
        <v>1.4E-2</v>
      </c>
      <c r="AA21" s="46">
        <v>2.1000000000000001E-2</v>
      </c>
      <c r="AB21" s="46">
        <v>2.8000000000000001E-2</v>
      </c>
      <c r="AC21" s="46">
        <v>7.0000000000000001E-3</v>
      </c>
      <c r="AD21" s="46">
        <v>2.4E-2</v>
      </c>
      <c r="AE21" s="46">
        <v>0.12</v>
      </c>
      <c r="AF21" s="46">
        <v>0.03</v>
      </c>
      <c r="AH21" s="2" t="s">
        <v>107</v>
      </c>
    </row>
    <row r="24" spans="2:34" s="6" customFormat="1" x14ac:dyDescent="0.25">
      <c r="B24" s="6" t="s">
        <v>71</v>
      </c>
    </row>
    <row r="26" spans="2:34" x14ac:dyDescent="0.25">
      <c r="B26" s="1" t="s">
        <v>72</v>
      </c>
    </row>
    <row r="27" spans="2:34" x14ac:dyDescent="0.25">
      <c r="B27" s="2" t="s">
        <v>227</v>
      </c>
    </row>
    <row r="28" spans="2:34" x14ac:dyDescent="0.25">
      <c r="B28" s="2" t="s">
        <v>228</v>
      </c>
    </row>
    <row r="29" spans="2:34" x14ac:dyDescent="0.25">
      <c r="B29" s="2" t="s">
        <v>229</v>
      </c>
    </row>
    <row r="30" spans="2:34" x14ac:dyDescent="0.25">
      <c r="B30" s="2" t="s">
        <v>230</v>
      </c>
    </row>
    <row r="31" spans="2:34" ht="12" customHeight="1" x14ac:dyDescent="0.25">
      <c r="B31" s="2" t="s">
        <v>231</v>
      </c>
    </row>
    <row r="32" spans="2:34" ht="12" customHeight="1" x14ac:dyDescent="0.25">
      <c r="B32" s="2" t="s">
        <v>232</v>
      </c>
    </row>
    <row r="33" spans="2:34" x14ac:dyDescent="0.2">
      <c r="B33" s="52"/>
    </row>
    <row r="34" spans="2:34" x14ac:dyDescent="0.25">
      <c r="B34" s="1" t="s">
        <v>233</v>
      </c>
    </row>
    <row r="35" spans="2:34" ht="12" customHeight="1" x14ac:dyDescent="0.25">
      <c r="B35" s="2" t="s">
        <v>74</v>
      </c>
      <c r="F35" s="2" t="s">
        <v>70</v>
      </c>
      <c r="AE35" s="46">
        <v>0.04</v>
      </c>
      <c r="AH35" s="2" t="s">
        <v>109</v>
      </c>
    </row>
    <row r="36" spans="2:34" x14ac:dyDescent="0.25">
      <c r="B36" s="2" t="s">
        <v>75</v>
      </c>
      <c r="F36" s="2" t="s">
        <v>70</v>
      </c>
      <c r="AE36" s="46">
        <v>0.04</v>
      </c>
    </row>
    <row r="37" spans="2:34" x14ac:dyDescent="0.25">
      <c r="B37" s="2" t="s">
        <v>76</v>
      </c>
      <c r="F37" s="2" t="s">
        <v>70</v>
      </c>
      <c r="AD37" s="46">
        <v>0.02</v>
      </c>
      <c r="AE37" s="46">
        <v>0.06</v>
      </c>
    </row>
    <row r="38" spans="2:34" x14ac:dyDescent="0.25">
      <c r="B38" s="2" t="s">
        <v>77</v>
      </c>
      <c r="F38" s="2" t="s">
        <v>70</v>
      </c>
      <c r="AD38" s="46">
        <v>0.02</v>
      </c>
      <c r="AE38" s="46">
        <v>0.06</v>
      </c>
    </row>
    <row r="40" spans="2:34" x14ac:dyDescent="0.25">
      <c r="B40" s="1" t="s">
        <v>234</v>
      </c>
    </row>
    <row r="41" spans="2:34" x14ac:dyDescent="0.25">
      <c r="B41" s="2" t="s">
        <v>235</v>
      </c>
      <c r="F41" s="2" t="s">
        <v>70</v>
      </c>
      <c r="H41" s="46">
        <v>4.2500000000000003E-2</v>
      </c>
      <c r="AH41" s="2" t="s">
        <v>236</v>
      </c>
    </row>
  </sheetData>
  <phoneticPr fontId="40"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sheetPr>
  <dimension ref="A2:V25"/>
  <sheetViews>
    <sheetView showGridLines="0" zoomScale="85" zoomScaleNormal="85" workbookViewId="0">
      <pane xSplit="6" ySplit="8" topLeftCell="G9" activePane="bottomRight" state="frozen"/>
      <selection activeCell="Q27" sqref="Q27"/>
      <selection pane="topRight" activeCell="Q27" sqref="Q27"/>
      <selection pane="bottomLeft" activeCell="Q27" sqref="Q27"/>
      <selection pane="bottomRight" activeCell="G9" sqref="G9"/>
    </sheetView>
  </sheetViews>
  <sheetFormatPr defaultColWidth="9.140625" defaultRowHeight="12.75"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3.28515625" style="2" customWidth="1"/>
    <col min="14" max="14" width="14.140625" style="2" bestFit="1" customWidth="1"/>
    <col min="15" max="17" width="13.28515625" style="2" customWidth="1"/>
    <col min="18" max="19" width="2.7109375" style="2" customWidth="1"/>
    <col min="20" max="20" width="24.7109375" style="2" customWidth="1"/>
    <col min="21" max="21" width="2.7109375" style="2" customWidth="1"/>
    <col min="22" max="22" width="13.7109375" style="2" customWidth="1"/>
    <col min="23" max="23" width="2.7109375" style="2" customWidth="1"/>
    <col min="24" max="38" width="13.7109375" style="2" customWidth="1"/>
    <col min="39" max="16384" width="9.140625" style="2"/>
  </cols>
  <sheetData>
    <row r="2" spans="1:22" s="19" customFormat="1" ht="18" x14ac:dyDescent="0.25">
      <c r="B2" s="19" t="s">
        <v>86</v>
      </c>
    </row>
    <row r="4" spans="1:22" x14ac:dyDescent="0.25">
      <c r="B4" s="1" t="s">
        <v>30</v>
      </c>
      <c r="C4" s="1"/>
      <c r="D4" s="1"/>
    </row>
    <row r="5" spans="1:22" x14ac:dyDescent="0.25">
      <c r="B5" s="2" t="s">
        <v>133</v>
      </c>
      <c r="H5" s="20"/>
    </row>
    <row r="7" spans="1:22" s="6" customFormat="1" x14ac:dyDescent="0.25">
      <c r="B7" s="6" t="s">
        <v>46</v>
      </c>
      <c r="F7" s="6" t="s">
        <v>28</v>
      </c>
      <c r="H7" s="6" t="s">
        <v>29</v>
      </c>
      <c r="J7" s="6" t="s">
        <v>49</v>
      </c>
      <c r="L7" s="6" t="s">
        <v>87</v>
      </c>
      <c r="M7" s="6" t="s">
        <v>64</v>
      </c>
      <c r="N7" s="6" t="s">
        <v>65</v>
      </c>
      <c r="O7" s="6" t="s">
        <v>66</v>
      </c>
      <c r="P7" s="6" t="s">
        <v>67</v>
      </c>
      <c r="Q7" s="6" t="s">
        <v>68</v>
      </c>
      <c r="T7" s="6" t="s">
        <v>47</v>
      </c>
      <c r="V7" s="6" t="s">
        <v>48</v>
      </c>
    </row>
    <row r="10" spans="1:22" s="6" customFormat="1" x14ac:dyDescent="0.25">
      <c r="B10" s="6" t="s">
        <v>104</v>
      </c>
    </row>
    <row r="11" spans="1:22" x14ac:dyDescent="0.25">
      <c r="M11" s="57"/>
      <c r="N11" s="57"/>
      <c r="O11" s="57"/>
      <c r="P11" s="57"/>
      <c r="Q11" s="57"/>
    </row>
    <row r="12" spans="1:22" x14ac:dyDescent="0.25">
      <c r="B12" s="1" t="s">
        <v>85</v>
      </c>
    </row>
    <row r="13" spans="1:22" x14ac:dyDescent="0.2">
      <c r="B13" s="2" t="s">
        <v>122</v>
      </c>
      <c r="F13" s="53" t="s">
        <v>97</v>
      </c>
      <c r="L13" s="45">
        <v>17509659.581804149</v>
      </c>
      <c r="M13" s="45">
        <v>285208457.58122259</v>
      </c>
      <c r="N13" s="45">
        <v>305251081.66104859</v>
      </c>
      <c r="O13" s="45">
        <v>12863116.073261615</v>
      </c>
      <c r="P13" s="45">
        <v>251539922.51591069</v>
      </c>
      <c r="Q13" s="45">
        <v>15888170.388429981</v>
      </c>
      <c r="T13" s="2" t="s">
        <v>204</v>
      </c>
    </row>
    <row r="14" spans="1:22" x14ac:dyDescent="0.2">
      <c r="B14" s="2" t="s">
        <v>105</v>
      </c>
      <c r="F14" s="53" t="s">
        <v>97</v>
      </c>
      <c r="L14" s="45">
        <v>5508016.3787032366</v>
      </c>
      <c r="M14" s="45">
        <v>90159029.908431798</v>
      </c>
      <c r="N14" s="45">
        <v>101769336.04517412</v>
      </c>
      <c r="O14" s="45">
        <v>4000202.1494243168</v>
      </c>
      <c r="P14" s="45">
        <v>79420032.434590772</v>
      </c>
      <c r="Q14" s="45">
        <v>3668283.4226453337</v>
      </c>
      <c r="T14" s="2" t="s">
        <v>205</v>
      </c>
    </row>
    <row r="15" spans="1:22" s="54" customFormat="1" x14ac:dyDescent="0.2">
      <c r="A15" s="2"/>
      <c r="F15" s="55"/>
      <c r="J15" s="2"/>
      <c r="L15" s="56"/>
      <c r="M15" s="56"/>
      <c r="N15" s="56"/>
      <c r="O15" s="56"/>
      <c r="P15" s="56"/>
      <c r="Q15" s="56"/>
      <c r="T15" s="2"/>
    </row>
    <row r="16" spans="1:22" s="54" customFormat="1" x14ac:dyDescent="0.2">
      <c r="A16" s="2"/>
      <c r="B16" s="54" t="s">
        <v>100</v>
      </c>
      <c r="F16" s="53" t="s">
        <v>97</v>
      </c>
      <c r="J16" s="2"/>
      <c r="L16" s="32">
        <f>L13+L14</f>
        <v>23017675.960507385</v>
      </c>
      <c r="M16" s="32">
        <f t="shared" ref="M16:Q16" si="0">M13+M14</f>
        <v>375367487.48965442</v>
      </c>
      <c r="N16" s="32">
        <f t="shared" si="0"/>
        <v>407020417.70622271</v>
      </c>
      <c r="O16" s="32">
        <f t="shared" si="0"/>
        <v>16863318.222685933</v>
      </c>
      <c r="P16" s="32">
        <f t="shared" si="0"/>
        <v>330959954.95050144</v>
      </c>
      <c r="Q16" s="32">
        <f t="shared" si="0"/>
        <v>19556453.811075315</v>
      </c>
      <c r="T16" s="2"/>
    </row>
    <row r="18" spans="2:20" x14ac:dyDescent="0.25">
      <c r="B18" s="1" t="s">
        <v>84</v>
      </c>
    </row>
    <row r="19" spans="2:20" x14ac:dyDescent="0.2">
      <c r="B19" s="2" t="s">
        <v>101</v>
      </c>
      <c r="F19" s="53" t="s">
        <v>69</v>
      </c>
      <c r="L19" s="42">
        <v>1.4000000000000001</v>
      </c>
      <c r="M19" s="42">
        <v>1.3900000000000001</v>
      </c>
      <c r="N19" s="42">
        <v>1.35</v>
      </c>
      <c r="O19" s="42">
        <v>1.4000000000000001</v>
      </c>
      <c r="P19" s="42">
        <v>1.3900000000000001</v>
      </c>
      <c r="Q19" s="42">
        <v>1.54</v>
      </c>
      <c r="T19" s="2" t="s">
        <v>206</v>
      </c>
    </row>
    <row r="23" spans="2:20" x14ac:dyDescent="0.25">
      <c r="L23" s="57"/>
      <c r="M23" s="57"/>
      <c r="N23" s="57"/>
      <c r="O23" s="57"/>
      <c r="P23" s="57"/>
      <c r="Q23" s="57"/>
    </row>
    <row r="25" spans="2:20" x14ac:dyDescent="0.25">
      <c r="L25" s="57"/>
      <c r="M25" s="57"/>
      <c r="N25" s="57"/>
      <c r="O25" s="57"/>
      <c r="P25" s="57"/>
      <c r="Q25" s="57"/>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DCD56-8395-46F8-8F5F-2075D305BC90}">
  <sheetPr>
    <tabColor rgb="FFCCFFCC"/>
  </sheetPr>
  <dimension ref="A1:Y54"/>
  <sheetViews>
    <sheetView showGridLines="0" zoomScale="80" zoomScaleNormal="80" workbookViewId="0">
      <pane xSplit="6" ySplit="12" topLeftCell="G13" activePane="bottomRight" state="frozen"/>
      <selection activeCell="Q27" sqref="Q27"/>
      <selection pane="topRight" activeCell="Q27" sqref="Q27"/>
      <selection pane="bottomLeft" activeCell="Q27" sqref="Q27"/>
      <selection pane="bottomRight" activeCell="G13" sqref="G13"/>
    </sheetView>
  </sheetViews>
  <sheetFormatPr defaultColWidth="9.140625" defaultRowHeight="12.75" x14ac:dyDescent="0.25"/>
  <cols>
    <col min="1" max="1" width="4.7109375" style="77" customWidth="1"/>
    <col min="2" max="2" width="58.140625" style="77" customWidth="1"/>
    <col min="3" max="3" width="1.85546875" style="77" customWidth="1"/>
    <col min="4" max="4" width="2.5703125" style="77" customWidth="1"/>
    <col min="5" max="5" width="2.42578125" style="77" customWidth="1"/>
    <col min="6" max="6" width="13" style="77" customWidth="1"/>
    <col min="7" max="7" width="2.42578125" style="77" customWidth="1"/>
    <col min="8" max="8" width="11.42578125" style="77" customWidth="1"/>
    <col min="9" max="9" width="2.42578125" style="77" customWidth="1"/>
    <col min="10" max="10" width="14" style="77" bestFit="1" customWidth="1"/>
    <col min="11" max="11" width="2.5703125" style="77" customWidth="1"/>
    <col min="12" max="12" width="14" style="77" customWidth="1"/>
    <col min="13" max="14" width="14.85546875" style="77" bestFit="1" customWidth="1"/>
    <col min="15" max="15" width="14" style="77" customWidth="1"/>
    <col min="16" max="16" width="14.85546875" style="77" bestFit="1" customWidth="1"/>
    <col min="17" max="17" width="14" style="77" customWidth="1"/>
    <col min="18" max="18" width="2.42578125" style="77" customWidth="1"/>
    <col min="19" max="19" width="14" style="77" customWidth="1"/>
    <col min="20" max="20" width="2.42578125" style="77" customWidth="1"/>
    <col min="21" max="21" width="15.7109375" style="77" customWidth="1"/>
    <col min="22" max="22" width="2.42578125" style="77" customWidth="1"/>
    <col min="23" max="16384" width="9.140625" style="77"/>
  </cols>
  <sheetData>
    <row r="1" spans="2:25" s="2" customFormat="1" x14ac:dyDescent="0.25"/>
    <row r="2" spans="2:25" s="63" customFormat="1" ht="18" x14ac:dyDescent="0.25">
      <c r="B2" s="19" t="s">
        <v>254</v>
      </c>
    </row>
    <row r="3" spans="2:25" s="2" customFormat="1" x14ac:dyDescent="0.25"/>
    <row r="4" spans="2:25" s="2" customFormat="1" x14ac:dyDescent="0.25">
      <c r="B4" s="1" t="s">
        <v>30</v>
      </c>
      <c r="C4" s="1"/>
      <c r="D4" s="1"/>
    </row>
    <row r="5" spans="2:25" s="2" customFormat="1" x14ac:dyDescent="0.2">
      <c r="B5" s="33" t="s">
        <v>255</v>
      </c>
      <c r="C5" s="1"/>
      <c r="D5" s="1"/>
    </row>
    <row r="6" spans="2:25" s="2" customFormat="1" x14ac:dyDescent="0.2">
      <c r="B6" s="33" t="s">
        <v>256</v>
      </c>
      <c r="C6" s="1"/>
      <c r="D6" s="1"/>
    </row>
    <row r="7" spans="2:25" s="2" customFormat="1" x14ac:dyDescent="0.2">
      <c r="B7" s="33"/>
      <c r="C7" s="1"/>
      <c r="D7" s="1"/>
    </row>
    <row r="8" spans="2:25" s="2" customFormat="1" x14ac:dyDescent="0.25">
      <c r="B8" s="4" t="s">
        <v>257</v>
      </c>
      <c r="C8" s="1"/>
      <c r="D8" s="1"/>
    </row>
    <row r="9" spans="2:25" s="2" customFormat="1" x14ac:dyDescent="0.2">
      <c r="B9" s="33" t="s">
        <v>250</v>
      </c>
      <c r="C9" s="1"/>
      <c r="D9" s="1"/>
    </row>
    <row r="10" spans="2:25" s="2" customFormat="1" x14ac:dyDescent="0.25"/>
    <row r="11" spans="2:25" s="6" customFormat="1" x14ac:dyDescent="0.25">
      <c r="B11" s="6" t="s">
        <v>46</v>
      </c>
      <c r="F11" s="6" t="s">
        <v>28</v>
      </c>
      <c r="H11" s="6" t="s">
        <v>29</v>
      </c>
      <c r="J11" s="6" t="s">
        <v>49</v>
      </c>
      <c r="L11" s="6" t="s">
        <v>87</v>
      </c>
      <c r="M11" s="6" t="s">
        <v>64</v>
      </c>
      <c r="N11" s="6" t="s">
        <v>65</v>
      </c>
      <c r="O11" s="6" t="s">
        <v>66</v>
      </c>
      <c r="P11" s="6" t="s">
        <v>67</v>
      </c>
      <c r="Q11" s="6" t="s">
        <v>68</v>
      </c>
      <c r="S11" s="6" t="s">
        <v>63</v>
      </c>
      <c r="U11" s="6" t="s">
        <v>148</v>
      </c>
      <c r="W11" s="6" t="s">
        <v>47</v>
      </c>
      <c r="Y11" s="6" t="s">
        <v>48</v>
      </c>
    </row>
    <row r="12" spans="2:25" s="2" customFormat="1" x14ac:dyDescent="0.25"/>
    <row r="13" spans="2:25" s="2" customFormat="1" x14ac:dyDescent="0.25"/>
    <row r="14" spans="2:25" s="6" customFormat="1" x14ac:dyDescent="0.25">
      <c r="B14" s="6" t="s">
        <v>136</v>
      </c>
    </row>
    <row r="16" spans="2:25" x14ac:dyDescent="0.25">
      <c r="B16" s="78" t="s">
        <v>149</v>
      </c>
    </row>
    <row r="17" spans="2:23" x14ac:dyDescent="0.2">
      <c r="B17" s="79" t="s">
        <v>137</v>
      </c>
      <c r="F17" s="79" t="s">
        <v>138</v>
      </c>
      <c r="K17" s="2"/>
      <c r="L17" s="45">
        <v>30652480.316061754</v>
      </c>
      <c r="M17" s="45">
        <v>394254915.4142642</v>
      </c>
      <c r="N17" s="45">
        <v>474872325.14985597</v>
      </c>
      <c r="O17" s="45">
        <v>13550831.825132813</v>
      </c>
      <c r="P17" s="45">
        <v>523512609.75456166</v>
      </c>
      <c r="Q17" s="45">
        <v>4445816.9122776175</v>
      </c>
      <c r="R17" s="2"/>
      <c r="S17" s="45">
        <v>23909206.87880842</v>
      </c>
      <c r="T17" s="2"/>
      <c r="W17" s="2" t="s">
        <v>181</v>
      </c>
    </row>
    <row r="18" spans="2:23" x14ac:dyDescent="0.2">
      <c r="B18" s="79" t="s">
        <v>139</v>
      </c>
      <c r="F18" s="79" t="s">
        <v>140</v>
      </c>
      <c r="K18" s="2"/>
      <c r="L18" s="45">
        <v>32381728.118142974</v>
      </c>
      <c r="M18" s="45">
        <v>430824188.62226701</v>
      </c>
      <c r="N18" s="45">
        <v>498196289.91242325</v>
      </c>
      <c r="O18" s="45">
        <v>13877279.674869154</v>
      </c>
      <c r="P18" s="45">
        <v>553547665.17372274</v>
      </c>
      <c r="Q18" s="45">
        <v>5306249.0338292299</v>
      </c>
      <c r="R18" s="2"/>
      <c r="S18" s="45">
        <v>26571132.509465653</v>
      </c>
      <c r="T18" s="2"/>
      <c r="W18" s="2" t="s">
        <v>182</v>
      </c>
    </row>
    <row r="19" spans="2:23" x14ac:dyDescent="0.2">
      <c r="B19" s="77" t="s">
        <v>141</v>
      </c>
      <c r="F19" s="79" t="s">
        <v>93</v>
      </c>
      <c r="K19" s="2"/>
      <c r="L19" s="45">
        <v>33655137.099942259</v>
      </c>
      <c r="M19" s="45">
        <v>470682349.42935896</v>
      </c>
      <c r="N19" s="45">
        <v>515359430.54450917</v>
      </c>
      <c r="O19" s="45">
        <v>14509438.926430915</v>
      </c>
      <c r="P19" s="45">
        <v>584621308.46684813</v>
      </c>
      <c r="Q19" s="45">
        <v>6144622.2314581117</v>
      </c>
      <c r="R19" s="2"/>
      <c r="S19" s="45">
        <v>27870432.564941615</v>
      </c>
      <c r="T19" s="2"/>
      <c r="W19" s="2" t="s">
        <v>183</v>
      </c>
    </row>
    <row r="20" spans="2:23" x14ac:dyDescent="0.25">
      <c r="W20" s="2"/>
    </row>
    <row r="21" spans="2:23" x14ac:dyDescent="0.25">
      <c r="B21" s="78" t="s">
        <v>150</v>
      </c>
    </row>
    <row r="22" spans="2:23" x14ac:dyDescent="0.2">
      <c r="B22" s="79" t="s">
        <v>137</v>
      </c>
      <c r="F22" s="79" t="s">
        <v>138</v>
      </c>
      <c r="K22" s="2"/>
      <c r="L22" s="45">
        <v>88606458.440240785</v>
      </c>
      <c r="M22" s="45">
        <v>2031930430.9568429</v>
      </c>
      <c r="N22" s="45">
        <v>2192572173.8942842</v>
      </c>
      <c r="O22" s="45">
        <v>134235076.96486095</v>
      </c>
      <c r="P22" s="45">
        <v>1599840013.6930697</v>
      </c>
      <c r="Q22" s="45">
        <v>114950789.67042841</v>
      </c>
      <c r="R22" s="2"/>
      <c r="S22" s="45">
        <v>133331815.58543745</v>
      </c>
      <c r="T22" s="2"/>
      <c r="U22" s="45">
        <v>136082375.25258124</v>
      </c>
      <c r="W22" s="2" t="s">
        <v>184</v>
      </c>
    </row>
    <row r="23" spans="2:23" x14ac:dyDescent="0.2">
      <c r="B23" s="79" t="s">
        <v>139</v>
      </c>
      <c r="F23" s="79" t="s">
        <v>140</v>
      </c>
      <c r="K23" s="2"/>
      <c r="L23" s="45">
        <v>87159418.324196801</v>
      </c>
      <c r="M23" s="45">
        <v>2125583728.4493718</v>
      </c>
      <c r="N23" s="45">
        <v>2208864039.1738081</v>
      </c>
      <c r="O23" s="45">
        <v>131656865.26070504</v>
      </c>
      <c r="P23" s="45">
        <v>1642805785.3970008</v>
      </c>
      <c r="Q23" s="45">
        <v>114564740.14767645</v>
      </c>
      <c r="R23" s="2"/>
      <c r="S23" s="45">
        <v>137813406.4031584</v>
      </c>
      <c r="T23" s="2"/>
      <c r="U23" s="45">
        <v>133674859.88588828</v>
      </c>
      <c r="W23" s="2" t="s">
        <v>185</v>
      </c>
    </row>
    <row r="24" spans="2:23" x14ac:dyDescent="0.2">
      <c r="B24" s="77" t="s">
        <v>141</v>
      </c>
      <c r="F24" s="79" t="s">
        <v>93</v>
      </c>
      <c r="K24" s="2"/>
      <c r="L24" s="45">
        <v>85929787.491672069</v>
      </c>
      <c r="M24" s="45">
        <v>2227267699.5519772</v>
      </c>
      <c r="N24" s="45">
        <v>2242584564.1130085</v>
      </c>
      <c r="O24" s="45">
        <v>130593520.99825928</v>
      </c>
      <c r="P24" s="45">
        <v>1670805630.1382911</v>
      </c>
      <c r="Q24" s="45">
        <v>112196988.28063172</v>
      </c>
      <c r="R24" s="2"/>
      <c r="S24" s="45">
        <v>139065836.12812001</v>
      </c>
      <c r="T24" s="2"/>
      <c r="U24" s="100"/>
      <c r="W24" s="2" t="s">
        <v>186</v>
      </c>
    </row>
    <row r="26" spans="2:23" s="6" customFormat="1" x14ac:dyDescent="0.25">
      <c r="B26" s="6" t="s">
        <v>128</v>
      </c>
    </row>
    <row r="28" spans="2:23" x14ac:dyDescent="0.25">
      <c r="B28" s="1" t="s">
        <v>142</v>
      </c>
    </row>
    <row r="29" spans="2:23" x14ac:dyDescent="0.25">
      <c r="B29" s="2" t="s">
        <v>151</v>
      </c>
      <c r="F29" s="77" t="s">
        <v>70</v>
      </c>
      <c r="H29" s="81">
        <v>3.4000000000000002E-2</v>
      </c>
      <c r="W29" s="2" t="s">
        <v>187</v>
      </c>
    </row>
    <row r="30" spans="2:23" x14ac:dyDescent="0.25">
      <c r="B30" s="2" t="s">
        <v>152</v>
      </c>
      <c r="F30" s="77" t="s">
        <v>70</v>
      </c>
      <c r="H30" s="81">
        <v>3.6999999999999998E-2</v>
      </c>
      <c r="W30" s="2" t="s">
        <v>188</v>
      </c>
    </row>
    <row r="31" spans="2:23" x14ac:dyDescent="0.25">
      <c r="B31" s="2"/>
    </row>
    <row r="32" spans="2:23" x14ac:dyDescent="0.25">
      <c r="B32" s="1" t="s">
        <v>143</v>
      </c>
    </row>
    <row r="33" spans="1:23" x14ac:dyDescent="0.25">
      <c r="B33" s="2" t="s">
        <v>134</v>
      </c>
      <c r="F33" s="77" t="s">
        <v>70</v>
      </c>
      <c r="H33" s="81">
        <v>4.1000000000000002E-2</v>
      </c>
      <c r="W33" s="77" t="s">
        <v>144</v>
      </c>
    </row>
    <row r="34" spans="1:23" x14ac:dyDescent="0.25">
      <c r="B34" s="2"/>
    </row>
    <row r="35" spans="1:23" x14ac:dyDescent="0.25">
      <c r="B35" s="1" t="s">
        <v>153</v>
      </c>
    </row>
    <row r="36" spans="1:23" x14ac:dyDescent="0.25">
      <c r="B36" s="2" t="s">
        <v>145</v>
      </c>
      <c r="F36" s="77" t="s">
        <v>70</v>
      </c>
      <c r="H36" s="81">
        <v>-3.6868648042002516E-2</v>
      </c>
      <c r="W36" s="2" t="s">
        <v>194</v>
      </c>
    </row>
    <row r="37" spans="1:23" x14ac:dyDescent="0.25">
      <c r="B37" s="2" t="s">
        <v>146</v>
      </c>
      <c r="F37" s="77" t="s">
        <v>70</v>
      </c>
      <c r="H37" s="81">
        <v>-3.1175556579387642E-2</v>
      </c>
      <c r="W37" s="2" t="s">
        <v>195</v>
      </c>
    </row>
    <row r="38" spans="1:23" x14ac:dyDescent="0.25">
      <c r="B38" s="2"/>
      <c r="H38" s="107"/>
    </row>
    <row r="39" spans="1:23" x14ac:dyDescent="0.25">
      <c r="B39" s="1" t="s">
        <v>154</v>
      </c>
      <c r="H39" s="107"/>
    </row>
    <row r="40" spans="1:23" x14ac:dyDescent="0.25">
      <c r="B40" s="2" t="s">
        <v>145</v>
      </c>
      <c r="F40" s="77" t="s">
        <v>70</v>
      </c>
      <c r="H40" s="81">
        <v>-7.5913637800173461E-4</v>
      </c>
      <c r="W40" s="2" t="s">
        <v>196</v>
      </c>
    </row>
    <row r="41" spans="1:23" x14ac:dyDescent="0.25">
      <c r="B41" s="2" t="s">
        <v>146</v>
      </c>
      <c r="F41" s="77" t="s">
        <v>70</v>
      </c>
      <c r="H41" s="81">
        <v>2.5444272186812E-3</v>
      </c>
      <c r="W41" s="2" t="s">
        <v>197</v>
      </c>
    </row>
    <row r="42" spans="1:23" x14ac:dyDescent="0.25">
      <c r="B42" s="2"/>
    </row>
    <row r="43" spans="1:23" s="2" customFormat="1" x14ac:dyDescent="0.25">
      <c r="A43" s="77"/>
      <c r="B43" s="2" t="s">
        <v>147</v>
      </c>
      <c r="F43" s="2" t="s">
        <v>70</v>
      </c>
      <c r="H43" s="81">
        <v>1.7999999999999999E-2</v>
      </c>
      <c r="W43" s="2" t="s">
        <v>189</v>
      </c>
    </row>
    <row r="44" spans="1:23" x14ac:dyDescent="0.25">
      <c r="B44" s="2"/>
    </row>
    <row r="45" spans="1:23" x14ac:dyDescent="0.25">
      <c r="B45" s="1" t="s">
        <v>130</v>
      </c>
    </row>
    <row r="46" spans="1:23" x14ac:dyDescent="0.25">
      <c r="B46" s="61" t="s">
        <v>157</v>
      </c>
      <c r="F46" s="77" t="s">
        <v>69</v>
      </c>
      <c r="J46" s="70">
        <f>SUM(L46:Q46)</f>
        <v>264524640.82615989</v>
      </c>
      <c r="K46" s="2"/>
      <c r="L46" s="64">
        <v>5120838.4661773751</v>
      </c>
      <c r="M46" s="64">
        <v>83821433.468037471</v>
      </c>
      <c r="N46" s="64">
        <v>94615610.206328645</v>
      </c>
      <c r="O46" s="64">
        <v>3719013.8211027142</v>
      </c>
      <c r="P46" s="64">
        <v>73837318.031333953</v>
      </c>
      <c r="Q46" s="64">
        <v>3410426.8331797407</v>
      </c>
      <c r="W46" s="2" t="s">
        <v>192</v>
      </c>
    </row>
    <row r="47" spans="1:23" x14ac:dyDescent="0.25">
      <c r="B47" s="61" t="s">
        <v>156</v>
      </c>
      <c r="F47" s="77" t="s">
        <v>69</v>
      </c>
      <c r="J47" s="70">
        <f>SUM(L47:Q47)</f>
        <v>280366757.95199353</v>
      </c>
      <c r="K47" s="2"/>
      <c r="L47" s="64">
        <v>5505982.2846343154</v>
      </c>
      <c r="M47" s="64">
        <v>89278102.858918875</v>
      </c>
      <c r="N47" s="64">
        <v>99477334.853988722</v>
      </c>
      <c r="O47" s="64">
        <v>3971361.9924819255</v>
      </c>
      <c r="P47" s="64">
        <v>78559150.739823759</v>
      </c>
      <c r="Q47" s="64">
        <v>3574825.2221459462</v>
      </c>
      <c r="W47" s="2" t="s">
        <v>193</v>
      </c>
    </row>
    <row r="48" spans="1:23" ht="12" customHeight="1" x14ac:dyDescent="0.25">
      <c r="B48" s="61" t="s">
        <v>155</v>
      </c>
      <c r="F48" s="77" t="s">
        <v>69</v>
      </c>
      <c r="J48" s="70">
        <f>SUM(L48:Q48)</f>
        <v>829798182.34168494</v>
      </c>
      <c r="K48" s="2"/>
      <c r="L48" s="64">
        <v>16401680.494385676</v>
      </c>
      <c r="M48" s="64">
        <v>266533758.56356135</v>
      </c>
      <c r="N48" s="64">
        <v>285455588.10709691</v>
      </c>
      <c r="O48" s="64">
        <v>12040239.024494292</v>
      </c>
      <c r="P48" s="64">
        <v>235138144.63941851</v>
      </c>
      <c r="Q48" s="64">
        <v>14228771.512728186</v>
      </c>
      <c r="W48" s="2" t="s">
        <v>191</v>
      </c>
    </row>
    <row r="54" spans="21:21" x14ac:dyDescent="0.25">
      <c r="U54" s="92" t="s">
        <v>190</v>
      </c>
    </row>
  </sheetData>
  <phoneticPr fontId="40"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
  <sheetViews>
    <sheetView showGridLines="0" zoomScale="85" zoomScaleNormal="85" workbookViewId="0"/>
  </sheetViews>
  <sheetFormatPr defaultColWidth="9.140625" defaultRowHeight="12.75" x14ac:dyDescent="0.25"/>
  <cols>
    <col min="1" max="16384" width="9.140625" style="24"/>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42BCD4D3B3464A9D2A7788490F1CE1" ma:contentTypeVersion="0" ma:contentTypeDescription="Een nieuw document maken." ma:contentTypeScope="" ma:versionID="167cf73272f810ef01c088e1633461d1">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B3A86E-602F-4E80-A341-BED6C4CC9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DAB9D1-B815-4B0E-93E7-4496A7FE99F6}">
  <ds:schemaRefs>
    <ds:schemaRef ds:uri="http://schemas.openxmlformats.org/package/2006/metadata/core-properties"/>
    <ds:schemaRef ds:uri="http://purl.org/dc/dcmitype/"/>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Titelblad</vt:lpstr>
      <vt:lpstr>Toelichting</vt:lpstr>
      <vt:lpstr>Bronnen en toepassingen</vt:lpstr>
      <vt:lpstr>TI-berekening 2024</vt:lpstr>
      <vt:lpstr>Input --&gt;</vt:lpstr>
      <vt:lpstr>Input parameters</vt:lpstr>
      <vt:lpstr>Input x-factor, begininkomsten</vt:lpstr>
      <vt:lpstr>Input rente</vt:lpstr>
      <vt:lpstr>Berekeningen --&gt;</vt:lpstr>
      <vt:lpstr>Parameters</vt:lpstr>
      <vt:lpstr>Nacalculatie rente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2024-11-20T12:56:42Z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0x010100DC42BCD4D3B3464A9D2A7788490F1CE1</vt:lpwstr>
  </property>
</Properties>
</file>