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8_{11492FCF-35C5-4ABA-AD30-8EB7DE25A3EB}" xr6:coauthVersionLast="47" xr6:coauthVersionMax="47" xr10:uidLastSave="{00000000-0000-0000-0000-000000000000}"/>
  <bookViews>
    <workbookView xWindow="2340" yWindow="2340" windowWidth="21600" windowHeight="12645" tabRatio="806" xr2:uid="{00000000-000D-0000-FFFF-FFFF00000000}"/>
  </bookViews>
  <sheets>
    <sheet name="Cover sheet" sheetId="9" r:id="rId1"/>
    <sheet name="Explanation" sheetId="10" r:id="rId2"/>
    <sheet name="Sources and specifics" sheetId="11" r:id="rId3"/>
    <sheet name="Result" sheetId="21" r:id="rId4"/>
    <sheet name="Input --&gt;" sheetId="13" r:id="rId5"/>
    <sheet name="Parameters" sheetId="18" r:id="rId6"/>
    <sheet name="Historical data" sheetId="24" r:id="rId7"/>
    <sheet name="Estimates" sheetId="27" r:id="rId8"/>
    <sheet name="Data ACM" sheetId="41" r:id="rId9"/>
    <sheet name="Financial data" sheetId="46" r:id="rId10"/>
    <sheet name="Calculations corrections --&gt;" sheetId="15" r:id="rId11"/>
    <sheet name="WACC correction 2024" sheetId="51" r:id="rId12"/>
    <sheet name="Volume-effect 2024" sheetId="33" r:id="rId13"/>
    <sheet name="Profit Sharing 2024" sheetId="22" r:id="rId14"/>
    <sheet name="Energy cost correction 2025" sheetId="35" r:id="rId15"/>
    <sheet name="Overview corrections" sheetId="48" r:id="rId16"/>
    <sheet name="Calculations tariffs --&gt;" sheetId="29" r:id="rId17"/>
    <sheet name="Fixed-variable costs" sheetId="36" r:id="rId18"/>
    <sheet name="Income level" sheetId="37" r:id="rId19"/>
    <sheet name="Variable tariffs electricity" sheetId="47" r:id="rId20"/>
    <sheet name="Fixed tariffs electricity" sheetId="49" r:id="rId21"/>
    <sheet name="Variable tariffs water" sheetId="40" r:id="rId22"/>
    <sheet name="Fixed tariffs water" sheetId="50" r:id="rId23"/>
    <sheet name="Dictum&amp;Bijlage 1 Electricity EN" sheetId="43" r:id="rId24"/>
    <sheet name="Dictum&amp;Bijlage 1 Water EN" sheetId="44" r:id="rId25"/>
  </sheets>
  <calcPr calcId="191029" concurrentManualCount="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0" i="48" l="1"/>
  <c r="J18" i="48"/>
  <c r="H43" i="24"/>
  <c r="F49" i="24" l="1"/>
  <c r="H42" i="24"/>
  <c r="H44" i="24"/>
  <c r="J30" i="48"/>
  <c r="J60" i="46" l="1"/>
  <c r="J51" i="46"/>
  <c r="J52" i="46" s="1"/>
  <c r="J53" i="46" s="1"/>
  <c r="J56" i="46" l="1"/>
  <c r="J57" i="46" s="1"/>
  <c r="J58" i="46" s="1"/>
  <c r="J59" i="46" s="1"/>
  <c r="M38" i="46"/>
  <c r="E31" i="44" l="1"/>
  <c r="E51" i="43"/>
  <c r="E50" i="43"/>
  <c r="M39" i="46" l="1"/>
  <c r="M40" i="46"/>
  <c r="M43" i="46"/>
  <c r="M42" i="46"/>
  <c r="M41" i="46"/>
  <c r="M45" i="46" l="1"/>
  <c r="F47" i="44" s="1"/>
  <c r="M44" i="46"/>
  <c r="F46" i="44" s="1"/>
  <c r="M18" i="22" l="1"/>
  <c r="K17" i="22"/>
  <c r="L17" i="22"/>
  <c r="M17" i="22"/>
  <c r="N17" i="22"/>
  <c r="J17" i="22"/>
  <c r="N28" i="27" l="1"/>
  <c r="M20" i="22" l="1"/>
  <c r="M19" i="22"/>
  <c r="N13" i="22"/>
  <c r="M13" i="22"/>
  <c r="L13" i="22"/>
  <c r="K13" i="22"/>
  <c r="J13" i="22"/>
  <c r="J28" i="51"/>
  <c r="K28" i="51"/>
  <c r="L28" i="51"/>
  <c r="N28" i="51"/>
  <c r="M27" i="51"/>
  <c r="M28" i="51"/>
  <c r="M29" i="51"/>
  <c r="K26" i="51"/>
  <c r="L26" i="51"/>
  <c r="M26" i="51"/>
  <c r="N26" i="51"/>
  <c r="J26" i="51"/>
  <c r="M21" i="51"/>
  <c r="J22" i="51"/>
  <c r="K22" i="51"/>
  <c r="L22" i="51"/>
  <c r="M22" i="51"/>
  <c r="N22" i="51"/>
  <c r="M23" i="51"/>
  <c r="K20" i="51"/>
  <c r="L20" i="51"/>
  <c r="M20" i="51"/>
  <c r="N20" i="51"/>
  <c r="J20" i="51"/>
  <c r="M16" i="51"/>
  <c r="K17" i="51"/>
  <c r="L17" i="51"/>
  <c r="M17" i="51"/>
  <c r="N17" i="51"/>
  <c r="N36" i="51" l="1"/>
  <c r="M36" i="51"/>
  <c r="M37" i="51"/>
  <c r="H20" i="51"/>
  <c r="H26" i="51"/>
  <c r="L34" i="51"/>
  <c r="M35" i="51"/>
  <c r="J34" i="51"/>
  <c r="K34" i="51"/>
  <c r="N34" i="51"/>
  <c r="L36" i="51"/>
  <c r="M34" i="51"/>
  <c r="K36" i="51"/>
  <c r="N40" i="51" l="1"/>
  <c r="M40" i="51"/>
  <c r="K40" i="51"/>
  <c r="L40" i="51"/>
  <c r="L25" i="48" s="1"/>
  <c r="K25" i="48" l="1"/>
  <c r="M25" i="48"/>
  <c r="N25" i="48"/>
  <c r="J50" i="46" l="1"/>
  <c r="F36" i="40"/>
  <c r="J27" i="48"/>
  <c r="J38" i="36" l="1"/>
  <c r="N28" i="24"/>
  <c r="J61" i="46" l="1"/>
  <c r="K29" i="36"/>
  <c r="L29" i="36"/>
  <c r="M29" i="36"/>
  <c r="N29" i="36"/>
  <c r="K31" i="36"/>
  <c r="L31" i="36"/>
  <c r="M31" i="36"/>
  <c r="N31" i="36"/>
  <c r="J31" i="36"/>
  <c r="K30" i="46"/>
  <c r="K32" i="36" s="1"/>
  <c r="L30" i="46"/>
  <c r="L32" i="36" s="1"/>
  <c r="M30" i="46"/>
  <c r="M32" i="36" s="1"/>
  <c r="N30" i="46"/>
  <c r="N32" i="36" s="1"/>
  <c r="J30" i="46"/>
  <c r="J32" i="36" s="1"/>
  <c r="K28" i="46"/>
  <c r="K30" i="36" s="1"/>
  <c r="L28" i="46"/>
  <c r="L30" i="36" s="1"/>
  <c r="M28" i="46"/>
  <c r="M30" i="36" s="1"/>
  <c r="N28" i="46"/>
  <c r="N30" i="36" s="1"/>
  <c r="J37" i="36" l="1"/>
  <c r="J28" i="46"/>
  <c r="J30" i="36" s="1"/>
  <c r="F41" i="49" l="1"/>
  <c r="F21" i="50"/>
  <c r="F24" i="50"/>
  <c r="F29" i="50" s="1"/>
  <c r="F26" i="50"/>
  <c r="F25" i="50"/>
  <c r="F30" i="50" l="1"/>
  <c r="F31" i="50"/>
  <c r="F45" i="49"/>
  <c r="F52" i="49" s="1"/>
  <c r="F47" i="49"/>
  <c r="F54" i="49" s="1"/>
  <c r="F48" i="49"/>
  <c r="F44" i="49"/>
  <c r="F51" i="49" s="1"/>
  <c r="B36" i="49"/>
  <c r="B35" i="49"/>
  <c r="B34" i="49"/>
  <c r="B33" i="49"/>
  <c r="B32" i="49"/>
  <c r="B31" i="49"/>
  <c r="B30" i="49"/>
  <c r="B29" i="49"/>
  <c r="B28" i="49"/>
  <c r="B27" i="49"/>
  <c r="B26" i="49"/>
  <c r="B25" i="49"/>
  <c r="B24" i="49"/>
  <c r="B23" i="49"/>
  <c r="B22" i="49"/>
  <c r="B21" i="49"/>
  <c r="B20" i="49"/>
  <c r="F55" i="49" l="1"/>
  <c r="E53" i="43" l="1"/>
  <c r="E52" i="43"/>
  <c r="E32" i="44" l="1"/>
  <c r="F43" i="21" l="1"/>
  <c r="N16" i="36"/>
  <c r="M16" i="36"/>
  <c r="L16" i="36"/>
  <c r="K16" i="36"/>
  <c r="J16" i="36"/>
  <c r="J39" i="36" s="1"/>
  <c r="E66" i="43" s="1"/>
  <c r="F62" i="21" l="1"/>
  <c r="F37" i="47"/>
  <c r="J35" i="48"/>
  <c r="K19" i="48"/>
  <c r="F13" i="48"/>
  <c r="J17" i="48"/>
  <c r="K49" i="48" l="1"/>
  <c r="K53" i="48" s="1"/>
  <c r="H49" i="48" l="1"/>
  <c r="F74" i="43"/>
  <c r="F33" i="47"/>
  <c r="F23" i="47" l="1"/>
  <c r="F21" i="18" l="1"/>
  <c r="F14" i="48" s="1"/>
  <c r="J46" i="48" s="1"/>
  <c r="H46" i="48" l="1"/>
  <c r="J30" i="37"/>
  <c r="H30" i="37" s="1"/>
  <c r="L43" i="48"/>
  <c r="E50" i="44" s="1"/>
  <c r="N43" i="48"/>
  <c r="G50" i="44" s="1"/>
  <c r="M43" i="48"/>
  <c r="F50" i="44" s="1"/>
  <c r="K43" i="48"/>
  <c r="F69" i="43" s="1"/>
  <c r="L27" i="37"/>
  <c r="J45" i="48"/>
  <c r="H45" i="48" s="1"/>
  <c r="N71" i="27"/>
  <c r="M71" i="27"/>
  <c r="L71" i="27"/>
  <c r="N27" i="37" l="1"/>
  <c r="K27" i="37"/>
  <c r="M27" i="37"/>
  <c r="J29" i="37"/>
  <c r="H29" i="37" s="1"/>
  <c r="H40" i="48"/>
  <c r="J24" i="37"/>
  <c r="H24" i="37" s="1"/>
  <c r="F46" i="40"/>
  <c r="N34" i="48"/>
  <c r="N15" i="37"/>
  <c r="F15" i="50"/>
  <c r="M15" i="37"/>
  <c r="F15" i="40"/>
  <c r="L34" i="48"/>
  <c r="L15" i="37"/>
  <c r="M36" i="36"/>
  <c r="M35" i="36"/>
  <c r="L39" i="27"/>
  <c r="J34" i="27"/>
  <c r="J33" i="27"/>
  <c r="M65" i="36" l="1"/>
  <c r="F59" i="44" s="1"/>
  <c r="H16" i="46"/>
  <c r="H17" i="46"/>
  <c r="H19" i="46"/>
  <c r="H20" i="46"/>
  <c r="H23" i="46"/>
  <c r="H24" i="46"/>
  <c r="F70" i="44" l="1"/>
  <c r="F69" i="44"/>
  <c r="E67" i="44"/>
  <c r="G65" i="44"/>
  <c r="E64" i="44"/>
  <c r="E37" i="44" l="1"/>
  <c r="E35" i="44"/>
  <c r="E34" i="44"/>
  <c r="F89" i="43"/>
  <c r="E85" i="43"/>
  <c r="E84" i="43"/>
  <c r="F62" i="43"/>
  <c r="F63" i="43"/>
  <c r="E63" i="43"/>
  <c r="E62" i="43"/>
  <c r="F60" i="43"/>
  <c r="F61" i="43"/>
  <c r="E61" i="43"/>
  <c r="E60" i="43"/>
  <c r="E57" i="43"/>
  <c r="E56" i="43"/>
  <c r="E55" i="43"/>
  <c r="J17" i="24" l="1"/>
  <c r="J21" i="36" l="1"/>
  <c r="J17" i="51"/>
  <c r="J36" i="51" s="1"/>
  <c r="J40" i="51" s="1"/>
  <c r="J31" i="22"/>
  <c r="J25" i="48" l="1"/>
  <c r="J43" i="48" s="1"/>
  <c r="H40" i="51"/>
  <c r="E87" i="43"/>
  <c r="E69" i="43" l="1"/>
  <c r="J27" i="37"/>
  <c r="H43" i="48"/>
  <c r="N26" i="22"/>
  <c r="M26" i="22"/>
  <c r="L26" i="22"/>
  <c r="L43" i="22" s="1"/>
  <c r="K26" i="22"/>
  <c r="K43" i="22" s="1"/>
  <c r="J26" i="22"/>
  <c r="J43" i="22" s="1"/>
  <c r="K25" i="22"/>
  <c r="K42" i="22" s="1"/>
  <c r="L25" i="22"/>
  <c r="L42" i="22" s="1"/>
  <c r="M25" i="22"/>
  <c r="N25" i="22"/>
  <c r="J25" i="22"/>
  <c r="J42" i="22" s="1"/>
  <c r="H27" i="37" l="1"/>
  <c r="J49" i="22"/>
  <c r="L49" i="22"/>
  <c r="K49" i="22"/>
  <c r="H25" i="22"/>
  <c r="H26" i="22"/>
  <c r="L38" i="27" l="1"/>
  <c r="L40" i="27" s="1"/>
  <c r="E66" i="44" s="1"/>
  <c r="E36" i="44"/>
  <c r="K63" i="27" l="1"/>
  <c r="F90" i="43" l="1"/>
  <c r="K71" i="27"/>
  <c r="F16" i="49" l="1"/>
  <c r="K15" i="37"/>
  <c r="M24" i="24"/>
  <c r="J35" i="27"/>
  <c r="F21" i="47" s="1"/>
  <c r="M21" i="37" l="1"/>
  <c r="E86" i="43"/>
  <c r="E38" i="43"/>
  <c r="F47" i="21" l="1"/>
  <c r="F46" i="21"/>
  <c r="F66" i="21"/>
  <c r="F48" i="21"/>
  <c r="F65" i="21"/>
  <c r="E19" i="44"/>
  <c r="F17" i="36"/>
  <c r="F21" i="40"/>
  <c r="J26" i="36" l="1"/>
  <c r="N18" i="35"/>
  <c r="N17" i="35"/>
  <c r="N19" i="35"/>
  <c r="N20" i="35"/>
  <c r="N16" i="35"/>
  <c r="M66" i="22"/>
  <c r="K66" i="22"/>
  <c r="M65" i="22"/>
  <c r="K65" i="22"/>
  <c r="L64" i="22"/>
  <c r="J63" i="22"/>
  <c r="J62" i="22"/>
  <c r="K31" i="22"/>
  <c r="L31" i="22"/>
  <c r="M31" i="22"/>
  <c r="N31" i="22"/>
  <c r="M30" i="22"/>
  <c r="J24" i="22"/>
  <c r="M70" i="22" l="1"/>
  <c r="M69" i="22"/>
  <c r="N24" i="22"/>
  <c r="K24" i="22"/>
  <c r="L24" i="22"/>
  <c r="M24" i="22"/>
  <c r="K23" i="22"/>
  <c r="L23" i="22"/>
  <c r="M23" i="22"/>
  <c r="N23" i="22"/>
  <c r="J23" i="22"/>
  <c r="K40" i="22" l="1"/>
  <c r="H23" i="22"/>
  <c r="H24" i="22"/>
  <c r="J19" i="22"/>
  <c r="J52" i="22" s="1"/>
  <c r="K19" i="22"/>
  <c r="L19" i="22"/>
  <c r="N19" i="22"/>
  <c r="F14" i="22"/>
  <c r="O20" i="33"/>
  <c r="M20" i="33"/>
  <c r="M18" i="33"/>
  <c r="N18" i="33"/>
  <c r="O18" i="33"/>
  <c r="P18" i="33"/>
  <c r="L18" i="33"/>
  <c r="M17" i="33"/>
  <c r="N17" i="33"/>
  <c r="O17" i="33"/>
  <c r="P17" i="33"/>
  <c r="L17" i="33"/>
  <c r="L52" i="22" l="1"/>
  <c r="K52" i="22"/>
  <c r="H17" i="22"/>
  <c r="M13" i="33"/>
  <c r="N13" i="33"/>
  <c r="O13" i="33"/>
  <c r="P13" i="33"/>
  <c r="L13" i="33"/>
  <c r="L25" i="33" s="1"/>
  <c r="N25" i="35" l="1"/>
  <c r="N24" i="35"/>
  <c r="N27" i="35" l="1"/>
  <c r="L26" i="48" s="1"/>
  <c r="L44" i="48" s="1"/>
  <c r="H44" i="48" s="1"/>
  <c r="J64" i="22"/>
  <c r="K70" i="22" s="1"/>
  <c r="M52" i="22"/>
  <c r="L40" i="22"/>
  <c r="K41" i="22"/>
  <c r="L41" i="22"/>
  <c r="N52" i="22"/>
  <c r="J40" i="22"/>
  <c r="J41" i="22"/>
  <c r="J18" i="33"/>
  <c r="J17" i="33"/>
  <c r="J13" i="33"/>
  <c r="E54" i="44" l="1"/>
  <c r="L28" i="37"/>
  <c r="J48" i="22"/>
  <c r="J53" i="22" s="1"/>
  <c r="L48" i="22"/>
  <c r="L53" i="22" s="1"/>
  <c r="K48" i="22"/>
  <c r="K53" i="22" s="1"/>
  <c r="K69" i="22"/>
  <c r="K73" i="22" s="1"/>
  <c r="M73" i="22"/>
  <c r="M74" i="22" s="1"/>
  <c r="M24" i="48" s="1"/>
  <c r="M50" i="48" s="1"/>
  <c r="F53" i="44" s="1"/>
  <c r="M54" i="48" l="1"/>
  <c r="F33" i="40" s="1"/>
  <c r="H52" i="22"/>
  <c r="J56" i="22"/>
  <c r="K74" i="22"/>
  <c r="K24" i="48" s="1"/>
  <c r="K50" i="48" s="1"/>
  <c r="L56" i="22"/>
  <c r="L57" i="22" s="1"/>
  <c r="L23" i="48" s="1"/>
  <c r="L42" i="48" s="1"/>
  <c r="L26" i="37" s="1"/>
  <c r="K56" i="22"/>
  <c r="K57" i="22" s="1"/>
  <c r="K23" i="48" s="1"/>
  <c r="K42" i="48" s="1"/>
  <c r="K26" i="37" s="1"/>
  <c r="J57" i="22" l="1"/>
  <c r="F72" i="43"/>
  <c r="H50" i="48"/>
  <c r="N25" i="33"/>
  <c r="J23" i="48" l="1"/>
  <c r="J42" i="48" s="1"/>
  <c r="J26" i="37" s="1"/>
  <c r="O25" i="33"/>
  <c r="O26" i="33" s="1"/>
  <c r="N26" i="33"/>
  <c r="P25" i="33"/>
  <c r="P26" i="33" s="1"/>
  <c r="M25" i="33"/>
  <c r="M26" i="33" s="1"/>
  <c r="L22" i="48" l="1"/>
  <c r="L41" i="48" s="1"/>
  <c r="L25" i="37" s="1"/>
  <c r="M22" i="48"/>
  <c r="M41" i="48" s="1"/>
  <c r="M25" i="37" s="1"/>
  <c r="K22" i="48"/>
  <c r="K41" i="48" s="1"/>
  <c r="K25" i="37" s="1"/>
  <c r="N22" i="48"/>
  <c r="N41" i="48" s="1"/>
  <c r="N25" i="37" s="1"/>
  <c r="L26" i="33"/>
  <c r="J25" i="33"/>
  <c r="J22" i="48" l="1"/>
  <c r="J41" i="48" s="1"/>
  <c r="J26" i="33"/>
  <c r="J25" i="37" l="1"/>
  <c r="H25" i="37" s="1"/>
  <c r="H41" i="48"/>
  <c r="F32" i="22"/>
  <c r="M28" i="36"/>
  <c r="J22" i="27"/>
  <c r="J71" i="27" s="1"/>
  <c r="F16" i="47" l="1"/>
  <c r="J34" i="48"/>
  <c r="J15" i="37"/>
  <c r="M42" i="22"/>
  <c r="N43" i="22"/>
  <c r="N42" i="22"/>
  <c r="M43" i="22"/>
  <c r="E83" i="43"/>
  <c r="M40" i="22"/>
  <c r="N41" i="22"/>
  <c r="M41" i="22"/>
  <c r="N40" i="22"/>
  <c r="J24" i="27"/>
  <c r="F22" i="47" s="1"/>
  <c r="F24" i="47" s="1"/>
  <c r="F15" i="21" s="1"/>
  <c r="K54" i="48" l="1"/>
  <c r="F34" i="47" s="1"/>
  <c r="N49" i="22"/>
  <c r="M48" i="22"/>
  <c r="N48" i="22"/>
  <c r="M49" i="22"/>
  <c r="H40" i="22"/>
  <c r="H41" i="22"/>
  <c r="H42" i="22"/>
  <c r="K21" i="36"/>
  <c r="L21" i="36"/>
  <c r="M21" i="36"/>
  <c r="M16" i="37" s="1"/>
  <c r="N21" i="36"/>
  <c r="J29" i="36"/>
  <c r="K24" i="36"/>
  <c r="L24" i="36"/>
  <c r="M24" i="36"/>
  <c r="K25" i="36"/>
  <c r="L25" i="36"/>
  <c r="M25" i="36"/>
  <c r="J25" i="36"/>
  <c r="J24" i="36"/>
  <c r="K26" i="36"/>
  <c r="L26" i="36"/>
  <c r="M26" i="36"/>
  <c r="N26" i="36"/>
  <c r="K27" i="36"/>
  <c r="L27" i="36"/>
  <c r="M27" i="36"/>
  <c r="N27" i="36"/>
  <c r="J27" i="36"/>
  <c r="F15" i="36"/>
  <c r="E21" i="44"/>
  <c r="E20" i="44"/>
  <c r="M46" i="36" l="1"/>
  <c r="F42" i="44" s="1"/>
  <c r="N46" i="36"/>
  <c r="N53" i="22"/>
  <c r="N56" i="22" s="1"/>
  <c r="N57" i="22" s="1"/>
  <c r="N23" i="48" s="1"/>
  <c r="N42" i="48" s="1"/>
  <c r="N26" i="37" s="1"/>
  <c r="M53" i="22"/>
  <c r="M56" i="22" s="1"/>
  <c r="M45" i="36"/>
  <c r="F41" i="44" s="1"/>
  <c r="N45" i="36"/>
  <c r="G41" i="44" s="1"/>
  <c r="M47" i="36"/>
  <c r="N47" i="36"/>
  <c r="G43" i="44" s="1"/>
  <c r="M44" i="36"/>
  <c r="N44" i="36"/>
  <c r="M57" i="36" l="1"/>
  <c r="M58" i="36" s="1"/>
  <c r="M52" i="36"/>
  <c r="G40" i="44"/>
  <c r="N52" i="36"/>
  <c r="M59" i="36"/>
  <c r="M60" i="36" s="1"/>
  <c r="M57" i="22"/>
  <c r="M23" i="48" s="1"/>
  <c r="M42" i="48" s="1"/>
  <c r="M26" i="37" s="1"/>
  <c r="H56" i="22"/>
  <c r="G42" i="44"/>
  <c r="N57" i="36"/>
  <c r="N58" i="36" s="1"/>
  <c r="H53" i="22"/>
  <c r="F40" i="44"/>
  <c r="F43" i="44"/>
  <c r="H26" i="37" l="1"/>
  <c r="H28" i="37"/>
  <c r="H42" i="48"/>
  <c r="E39" i="43"/>
  <c r="E43" i="43"/>
  <c r="E42" i="43"/>
  <c r="L45" i="36" l="1"/>
  <c r="E41" i="44" s="1"/>
  <c r="K45" i="36"/>
  <c r="L44" i="36"/>
  <c r="J44" i="36"/>
  <c r="L47" i="36"/>
  <c r="E43" i="44" s="1"/>
  <c r="K47" i="36"/>
  <c r="J47" i="36"/>
  <c r="L46" i="36"/>
  <c r="J46" i="36"/>
  <c r="E40" i="44" l="1"/>
  <c r="L52" i="36"/>
  <c r="J57" i="36"/>
  <c r="J58" i="36" s="1"/>
  <c r="J53" i="36"/>
  <c r="J54" i="36" s="1"/>
  <c r="E42" i="44"/>
  <c r="L57" i="36"/>
  <c r="L58" i="36" s="1"/>
  <c r="N53" i="36"/>
  <c r="N54" i="36" s="1"/>
  <c r="H26" i="36"/>
  <c r="H27" i="36"/>
  <c r="H25" i="36"/>
  <c r="H24" i="36"/>
  <c r="L53" i="36"/>
  <c r="L54" i="36" s="1"/>
  <c r="K46" i="36"/>
  <c r="K57" i="36" s="1"/>
  <c r="K58" i="36" s="1"/>
  <c r="K44" i="36"/>
  <c r="K52" i="36" s="1"/>
  <c r="J45" i="36"/>
  <c r="J52" i="36" s="1"/>
  <c r="H47" i="36" l="1"/>
  <c r="H45" i="36"/>
  <c r="H44" i="36"/>
  <c r="H46" i="36"/>
  <c r="K59" i="36"/>
  <c r="K60" i="36" s="1"/>
  <c r="L59" i="36"/>
  <c r="L60" i="36" s="1"/>
  <c r="M53" i="36"/>
  <c r="M54" i="36" s="1"/>
  <c r="K53" i="36"/>
  <c r="K54" i="36" s="1"/>
  <c r="N59" i="36" l="1"/>
  <c r="N60" i="36" s="1"/>
  <c r="H53" i="36"/>
  <c r="H28" i="36" l="1"/>
  <c r="F14" i="36" l="1"/>
  <c r="J63" i="36" s="1"/>
  <c r="E54" i="43"/>
  <c r="E33" i="44"/>
  <c r="M63" i="36" l="1"/>
  <c r="M19" i="37" s="1"/>
  <c r="M64" i="36"/>
  <c r="E71" i="43"/>
  <c r="E73" i="43"/>
  <c r="E70" i="43"/>
  <c r="E75" i="43"/>
  <c r="L63" i="36"/>
  <c r="N63" i="36"/>
  <c r="N19" i="37" s="1"/>
  <c r="K63" i="36"/>
  <c r="K19" i="37" s="1"/>
  <c r="N64" i="36"/>
  <c r="G52" i="44"/>
  <c r="G51" i="44"/>
  <c r="F70" i="43"/>
  <c r="F71" i="43"/>
  <c r="F52" i="44"/>
  <c r="F51" i="44"/>
  <c r="K64" i="36"/>
  <c r="L64" i="36"/>
  <c r="E52" i="44"/>
  <c r="E51" i="44"/>
  <c r="H52" i="36"/>
  <c r="J59" i="36"/>
  <c r="J60" i="36" s="1"/>
  <c r="J64" i="36" s="1"/>
  <c r="J19" i="37"/>
  <c r="H57" i="36"/>
  <c r="B16" i="10"/>
  <c r="B23" i="10" s="1"/>
  <c r="E58" i="44" l="1"/>
  <c r="L20" i="37"/>
  <c r="G58" i="44"/>
  <c r="N20" i="37"/>
  <c r="N35" i="37" s="1"/>
  <c r="N36" i="37" s="1"/>
  <c r="F79" i="43"/>
  <c r="K20" i="37"/>
  <c r="K35" i="37" s="1"/>
  <c r="K36" i="37" s="1"/>
  <c r="L19" i="37"/>
  <c r="E79" i="43"/>
  <c r="J20" i="37"/>
  <c r="J35" i="37" s="1"/>
  <c r="J36" i="37" s="1"/>
  <c r="F58" i="44"/>
  <c r="M20" i="37"/>
  <c r="M35" i="37" s="1"/>
  <c r="M36" i="37" s="1"/>
  <c r="H58" i="36"/>
  <c r="H59" i="36"/>
  <c r="B17" i="10"/>
  <c r="G57" i="44" l="1"/>
  <c r="F15" i="49"/>
  <c r="F17" i="49" s="1"/>
  <c r="F22" i="21" s="1"/>
  <c r="F78" i="43"/>
  <c r="F14" i="50"/>
  <c r="F16" i="50" s="1"/>
  <c r="F59" i="21" s="1"/>
  <c r="F57" i="44"/>
  <c r="F15" i="47"/>
  <c r="F17" i="47" s="1"/>
  <c r="F18" i="47" s="1"/>
  <c r="F14" i="21" s="1"/>
  <c r="E78" i="43"/>
  <c r="L35" i="37"/>
  <c r="L36" i="37" s="1"/>
  <c r="H63" i="36"/>
  <c r="B18" i="10"/>
  <c r="B22" i="10" s="1"/>
  <c r="E17" i="43" l="1"/>
  <c r="F32" i="49"/>
  <c r="F24" i="49"/>
  <c r="F28" i="21" s="1"/>
  <c r="E23" i="43" s="1"/>
  <c r="F33" i="49"/>
  <c r="F37" i="21" s="1"/>
  <c r="E32" i="43" s="1"/>
  <c r="F25" i="49"/>
  <c r="F29" i="21" s="1"/>
  <c r="E24" i="43" s="1"/>
  <c r="F30" i="49"/>
  <c r="F34" i="21" s="1"/>
  <c r="E29" i="43" s="1"/>
  <c r="F22" i="49"/>
  <c r="F26" i="21" s="1"/>
  <c r="E21" i="43" s="1"/>
  <c r="F31" i="49"/>
  <c r="F35" i="21" s="1"/>
  <c r="E30" i="43" s="1"/>
  <c r="F23" i="49"/>
  <c r="F27" i="21" s="1"/>
  <c r="E22" i="43" s="1"/>
  <c r="F36" i="49"/>
  <c r="F40" i="21" s="1"/>
  <c r="E35" i="43" s="1"/>
  <c r="F28" i="49"/>
  <c r="F32" i="21" s="1"/>
  <c r="E27" i="43" s="1"/>
  <c r="F20" i="49"/>
  <c r="F24" i="21" s="1"/>
  <c r="E19" i="43" s="1"/>
  <c r="F29" i="49"/>
  <c r="F33" i="21" s="1"/>
  <c r="E28" i="43" s="1"/>
  <c r="F21" i="49"/>
  <c r="F25" i="21" s="1"/>
  <c r="E20" i="43" s="1"/>
  <c r="F34" i="49"/>
  <c r="F38" i="21" s="1"/>
  <c r="E33" i="43" s="1"/>
  <c r="F26" i="49"/>
  <c r="F30" i="21" s="1"/>
  <c r="E25" i="43" s="1"/>
  <c r="F35" i="49"/>
  <c r="F39" i="21" s="1"/>
  <c r="E34" i="43" s="1"/>
  <c r="F27" i="49"/>
  <c r="F31" i="21" s="1"/>
  <c r="E26" i="43" s="1"/>
  <c r="G60" i="44"/>
  <c r="F45" i="40"/>
  <c r="E16" i="44"/>
  <c r="F60" i="44"/>
  <c r="E80" i="43"/>
  <c r="F80" i="43"/>
  <c r="F14" i="40"/>
  <c r="F16" i="40" s="1"/>
  <c r="E57" i="44"/>
  <c r="F27" i="47"/>
  <c r="F28" i="47" s="1"/>
  <c r="F16" i="21" s="1"/>
  <c r="E9" i="43"/>
  <c r="F20" i="40" l="1"/>
  <c r="F22" i="40" s="1"/>
  <c r="F36" i="21"/>
  <c r="E31" i="43" s="1"/>
  <c r="E60" i="44"/>
  <c r="F40" i="47"/>
  <c r="F41" i="47" s="1"/>
  <c r="F19" i="21" s="1"/>
  <c r="F19" i="40" l="1"/>
  <c r="F23" i="40" s="1"/>
  <c r="F24" i="40" s="1"/>
  <c r="E14" i="43"/>
  <c r="E61" i="44" l="1"/>
  <c r="F27" i="40"/>
  <c r="F39" i="40" l="1"/>
  <c r="F40" i="40" s="1"/>
  <c r="F56" i="21" s="1"/>
  <c r="E14" i="44" s="1"/>
  <c r="F28" i="40"/>
  <c r="F53" i="21" s="1"/>
  <c r="E9" i="44" s="1"/>
  <c r="F47" i="40"/>
  <c r="F48" i="40" l="1"/>
  <c r="F69" i="21" s="1"/>
  <c r="E24" i="4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B22" authorId="0" shapeId="0" xr:uid="{00000000-0006-0000-0400-000001000000}">
      <text>
        <r>
          <rPr>
            <sz val="8"/>
            <color indexed="81"/>
            <rFont val="Tahoma"/>
            <family val="2"/>
          </rPr>
          <t>At all times a (group of) pink cell(s) needs an explanantion on its special nature. This explanation will be added through this remark box.</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L16" authorId="0" shapeId="0" xr:uid="{9657C5AD-31CE-4C92-8ED0-6BC83EB6B922}">
      <text>
        <r>
          <rPr>
            <b/>
            <sz val="9"/>
            <color indexed="81"/>
            <rFont val="Tahoma"/>
            <family val="2"/>
          </rPr>
          <t xml:space="preserve">Corrected amount
</t>
        </r>
      </text>
    </comment>
    <comment ref="L19" authorId="0" shapeId="0" xr:uid="{2F82E508-4F6E-4FB4-B43F-B825EF2AE756}">
      <text>
        <r>
          <rPr>
            <b/>
            <sz val="9"/>
            <color indexed="81"/>
            <rFont val="Tahoma"/>
            <family val="2"/>
          </rPr>
          <t xml:space="preserve">Corrected amount
</t>
        </r>
      </text>
    </comment>
    <comment ref="M29" authorId="0" shapeId="0" xr:uid="{31DB1D88-C811-4623-B1C7-0ADA370CE230}">
      <text>
        <r>
          <rPr>
            <sz val="9"/>
            <color indexed="81"/>
            <rFont val="Tahoma"/>
            <family val="2"/>
          </rPr>
          <t>Costs related to network growth are calculated separately (see below)</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M19" authorId="0" shapeId="0" xr:uid="{5CE7BBD8-8244-4AA8-8A7D-4E258BD784A0}">
      <text>
        <r>
          <rPr>
            <sz val="9"/>
            <color indexed="81"/>
            <rFont val="Tahoma"/>
            <family val="2"/>
          </rPr>
          <t xml:space="preserve">Only operational costs. Estimated variable capital costs per new connection are listed in O20.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M52" authorId="0" shapeId="0" xr:uid="{F4C00F2E-D804-4583-B2F1-6DDAD1C577D7}">
      <text>
        <r>
          <rPr>
            <sz val="8"/>
            <color indexed="81"/>
            <rFont val="Tahoma"/>
            <family val="2"/>
          </rPr>
          <t>Income related to new connections is deducted from fixed operational costs</t>
        </r>
      </text>
    </comment>
    <comment ref="J57" authorId="0" shapeId="0" xr:uid="{906CB5C4-EFDA-4BFA-897A-865465CDF428}">
      <text>
        <r>
          <rPr>
            <sz val="9"/>
            <color indexed="81"/>
            <rFont val="Tahoma"/>
            <family val="2"/>
          </rPr>
          <t>Includes additions in estimated capital costs for solar park phase 3.</t>
        </r>
      </text>
    </comment>
    <comment ref="M65" authorId="0" shapeId="0" xr:uid="{9994C04C-7A7A-46B6-AC3E-AA3EC91961D8}">
      <text>
        <r>
          <rPr>
            <sz val="9"/>
            <color indexed="81"/>
            <rFont val="Tahoma"/>
            <family val="2"/>
          </rPr>
          <t>These extra variable costs  are added per new water connection above the number of connections in 2023.</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M16" authorId="0" shapeId="0" xr:uid="{CDF24042-260D-4185-B837-777476C8A9A7}">
      <text>
        <r>
          <rPr>
            <sz val="9"/>
            <color indexed="81"/>
            <rFont val="Tahoma"/>
            <family val="2"/>
          </rPr>
          <t xml:space="preserve">Needed for variable capital costs per new water connection.Amount of new connections is: Estimated number of connections 2025 minus number of connections 2023.
</t>
        </r>
      </text>
    </comment>
    <comment ref="M35" authorId="0" shapeId="0" xr:uid="{84D2BB73-EC38-40F1-8E24-7AA791A4BE4F}">
      <text>
        <r>
          <rPr>
            <sz val="9"/>
            <color indexed="81"/>
            <rFont val="Tahoma"/>
            <family val="2"/>
          </rPr>
          <t>Variable capital cost per new connection only apply to new connections.</t>
        </r>
      </text>
    </comment>
  </commentList>
</comments>
</file>

<file path=xl/sharedStrings.xml><?xml version="1.0" encoding="utf-8"?>
<sst xmlns="http://schemas.openxmlformats.org/spreadsheetml/2006/main" count="1633" uniqueCount="777">
  <si>
    <t>Disclaimer</t>
  </si>
  <si>
    <t>Data</t>
  </si>
  <si>
    <t>Input --&gt;</t>
  </si>
  <si>
    <t>About this file</t>
  </si>
  <si>
    <t>Case number</t>
  </si>
  <si>
    <t>File title</t>
  </si>
  <si>
    <t>Subtitle</t>
  </si>
  <si>
    <t>Other remarks</t>
  </si>
  <si>
    <t>About the status of this file</t>
  </si>
  <si>
    <t>Final version? (y/n)</t>
  </si>
  <si>
    <t>Is this file legally part of the decision(s) listed above? (y/n)</t>
  </si>
  <si>
    <t>Cell colors (for numbers)</t>
  </si>
  <si>
    <t>Description</t>
  </si>
  <si>
    <t>Data and input (source required)</t>
  </si>
  <si>
    <t>Calculated value</t>
  </si>
  <si>
    <t>Empty cell (not zero) used in a formula range</t>
  </si>
  <si>
    <t>Value or calculation that needs special attention or explanation</t>
  </si>
  <si>
    <t>Sheet tab colors</t>
  </si>
  <si>
    <t>Sheet with result/output</t>
  </si>
  <si>
    <t>Sheet with input</t>
  </si>
  <si>
    <t>Sheet with calculations</t>
  </si>
  <si>
    <t>Model sheets</t>
  </si>
  <si>
    <t>Result</t>
  </si>
  <si>
    <t>Calculation</t>
  </si>
  <si>
    <t>Explanatory sheets</t>
  </si>
  <si>
    <t>Explanation</t>
  </si>
  <si>
    <t>Special attention:</t>
  </si>
  <si>
    <t>Source overview and specific applications</t>
  </si>
  <si>
    <t>Source overview</t>
  </si>
  <si>
    <t>Each input sheet contains a column 'Source', in which the sources are referred to by their shortened name. These sources are further explained in the table below.</t>
  </si>
  <si>
    <t>No.</t>
  </si>
  <si>
    <t>Shortened name</t>
  </si>
  <si>
    <t>External file name</t>
  </si>
  <si>
    <t>As referred to in Source column</t>
  </si>
  <si>
    <t>Exact file name</t>
  </si>
  <si>
    <t>Date received, email, URL, file location</t>
  </si>
  <si>
    <t>Unit</t>
  </si>
  <si>
    <t>Constant</t>
  </si>
  <si>
    <t>Row total</t>
  </si>
  <si>
    <t>Remarks</t>
  </si>
  <si>
    <t>Source</t>
  </si>
  <si>
    <t>Cover sheet</t>
  </si>
  <si>
    <t>Belongs to decision(s):</t>
  </si>
  <si>
    <t>Reference number of decision(s)</t>
  </si>
  <si>
    <t>Objections and appeals can be filed against the decision to which this file belongs.</t>
  </si>
  <si>
    <t xml:space="preserve">If there are any substantive differences between the calculation in this file and the calculation that follows from the relevant decision, the decision's calculation is authentic. </t>
  </si>
  <si>
    <t>Explanatory notes to this file</t>
  </si>
  <si>
    <t xml:space="preserve">Explanation about how this file works </t>
  </si>
  <si>
    <t>Legend for the cell and sheet colors</t>
  </si>
  <si>
    <t>Value that is taken from another sheet or cell without calculation</t>
  </si>
  <si>
    <t>Result/calculated value that is used in another sheet</t>
  </si>
  <si>
    <t>Input or calculation that is not yet up-to-date or work in progress</t>
  </si>
  <si>
    <t>Sheet that is not yet up-to-date/work in progress</t>
  </si>
  <si>
    <t xml:space="preserve">Empty sheet used for indexing </t>
  </si>
  <si>
    <t>Additional information about this source</t>
  </si>
  <si>
    <t xml:space="preserve">If ACM does use cell or range references, macros, or other more complex functions in Excel, these will be explained on this sheet. </t>
  </si>
  <si>
    <t>Relationship to other calculation files</t>
  </si>
  <si>
    <t>in the overview below, ACM lists the sources that are used for data and calculations in this file.</t>
  </si>
  <si>
    <t>Explanation of the use of specific Excel-applications and other details</t>
  </si>
  <si>
    <t xml:space="preserve">In its calculation files, ACM seeks to use simple and easy-to-follow calculations as much as possible, and seeks to avoid the use of complex formulas or specific applications. </t>
  </si>
  <si>
    <t>When final, will this file be published?</t>
  </si>
  <si>
    <t>When published, doe this file contain business-confidential information? (y/n)</t>
  </si>
  <si>
    <t>This calculation is developed in the standardized format used by the Energy Department of ACM (based on version 5, june 2021)</t>
  </si>
  <si>
    <t>[ END OF SHEET ]</t>
  </si>
  <si>
    <t>Parameters</t>
  </si>
  <si>
    <t>Description data</t>
  </si>
  <si>
    <t>Explanatory notes</t>
  </si>
  <si>
    <t xml:space="preserve">The development of the CPI of Q3 year T and Q3 year T-1 will be used as the estimated inflation for the year T+1. The estimated inflation is rounded to one decimal. </t>
  </si>
  <si>
    <t xml:space="preserve">Electricity production </t>
  </si>
  <si>
    <t>Electricity distribution</t>
  </si>
  <si>
    <t>Water production</t>
  </si>
  <si>
    <t>Water distribution</t>
  </si>
  <si>
    <t>Water truck delivery</t>
  </si>
  <si>
    <t>%</t>
  </si>
  <si>
    <t>Estimated inflation 2024</t>
  </si>
  <si>
    <t xml:space="preserve">WACC </t>
  </si>
  <si>
    <t>Wettelijke rente CNL ('legal fixed interest rate')</t>
  </si>
  <si>
    <t>Wettelijke rente CNL</t>
  </si>
  <si>
    <t>Variable part of capital costs</t>
  </si>
  <si>
    <t xml:space="preserve">Description data </t>
  </si>
  <si>
    <t xml:space="preserve">Description </t>
  </si>
  <si>
    <t xml:space="preserve">Unit </t>
  </si>
  <si>
    <t xml:space="preserve">Constant </t>
  </si>
  <si>
    <t xml:space="preserve">Row total </t>
  </si>
  <si>
    <t>Input from the OPEX-model</t>
  </si>
  <si>
    <t>OPEX-model, sheet "Output"; row 11</t>
  </si>
  <si>
    <t>OPEX-model, sheet "Output"; row 12</t>
  </si>
  <si>
    <t>Input from the RAB-model</t>
  </si>
  <si>
    <t>USD</t>
  </si>
  <si>
    <t>RAB-value does not relate to any price level due to the use of a nominal WACC.</t>
  </si>
  <si>
    <t>Depreciation does not relate to any price level due to the use of a nominal WACC.</t>
  </si>
  <si>
    <t>Realized volumes</t>
  </si>
  <si>
    <t>(see column)</t>
  </si>
  <si>
    <t>kWh</t>
  </si>
  <si>
    <t>kVA</t>
  </si>
  <si>
    <t>m3</t>
  </si>
  <si>
    <t>connections</t>
  </si>
  <si>
    <t>Estimated production data electricity</t>
  </si>
  <si>
    <t xml:space="preserve">kWh </t>
  </si>
  <si>
    <t>liters</t>
  </si>
  <si>
    <t>liters/kWh</t>
  </si>
  <si>
    <t>Most recent fuel price</t>
  </si>
  <si>
    <t>USD/liter</t>
  </si>
  <si>
    <t>Estimated production data water</t>
  </si>
  <si>
    <t>Production yield based on electricity</t>
  </si>
  <si>
    <t>kWh/m3</t>
  </si>
  <si>
    <t>Estimated distribution data</t>
  </si>
  <si>
    <t>Tariff for road crossing, per meter</t>
  </si>
  <si>
    <t>Tariff new electricity connection 3,2 and 7,7 kVA (incl. up to 25 meters)</t>
  </si>
  <si>
    <t>Tariff for road crossing for 3,2 kVA connection, per meter</t>
  </si>
  <si>
    <t>Tariff for road crossing for 7,7 kVA connection, per meter</t>
  </si>
  <si>
    <t>Reconnection fee</t>
  </si>
  <si>
    <t>Income associated with new water connections</t>
  </si>
  <si>
    <t>#</t>
  </si>
  <si>
    <t>Excluding mark-up for road crossings.</t>
  </si>
  <si>
    <t xml:space="preserve">Income associated with new connections </t>
  </si>
  <si>
    <t>This calculation is added, since the income from new drinking water connections is lower than the associated costs, due to a specific tariff arrangement.</t>
  </si>
  <si>
    <t>For electricity, the tariff category is determined by the kVA of the connection.</t>
  </si>
  <si>
    <t>Number of connections per kVA</t>
  </si>
  <si>
    <t># connections</t>
  </si>
  <si>
    <t>Total estimated volume</t>
  </si>
  <si>
    <t>Number of connections for water</t>
  </si>
  <si>
    <t>Standardized sheets with general information about this file</t>
  </si>
  <si>
    <t>CPI CBS</t>
  </si>
  <si>
    <t>https://opendata.cbs.nl/statline/#/CBS/nl/dataset/84046NED/table</t>
  </si>
  <si>
    <t>https://wetten.overheid.nl/BWBR0030649/2011-11-18</t>
  </si>
  <si>
    <t>Besluit WACC Caribisch Nederland 2023-2025</t>
  </si>
  <si>
    <t>https://www.acm.nl/nl/publicaties/wacc-elektriciteit-en-drinkwater-caribisch-nederland-2023-2025</t>
  </si>
  <si>
    <t>This sheet seperates different types of sheets and is intentionally left blank</t>
  </si>
  <si>
    <t>Data on corrections</t>
  </si>
  <si>
    <t>USD, pl 2024</t>
  </si>
  <si>
    <t>Corrections as calculated in fuel model</t>
  </si>
  <si>
    <t>Applicable period</t>
  </si>
  <si>
    <t>Production price</t>
  </si>
  <si>
    <t>Production price excl fuel</t>
  </si>
  <si>
    <t xml:space="preserve">Production price incl fuel </t>
  </si>
  <si>
    <t>Variable distribution tariff</t>
  </si>
  <si>
    <t>Fixed distribution tariff per kVA category</t>
  </si>
  <si>
    <t>3,2</t>
  </si>
  <si>
    <t>7,7</t>
  </si>
  <si>
    <t>13,3</t>
  </si>
  <si>
    <t>30,4</t>
  </si>
  <si>
    <t>38,0</t>
  </si>
  <si>
    <t>11,0</t>
  </si>
  <si>
    <t>19,0</t>
  </si>
  <si>
    <t>47,5</t>
  </si>
  <si>
    <t>13,9</t>
  </si>
  <si>
    <t>23,9</t>
  </si>
  <si>
    <t>60,8</t>
  </si>
  <si>
    <t>85,5</t>
  </si>
  <si>
    <t>119,7</t>
  </si>
  <si>
    <t>Tariff for reconnection</t>
  </si>
  <si>
    <t>Tariff for connection</t>
  </si>
  <si>
    <t>Connection 3,2 and 7,7 kVA (incl. up to 25 meters)</t>
  </si>
  <si>
    <t>The reconnection fee is set fixed at USD 40.</t>
  </si>
  <si>
    <t>175,0</t>
  </si>
  <si>
    <t>95,0</t>
  </si>
  <si>
    <t>76,0</t>
  </si>
  <si>
    <t>Production price per m3 (incl electricity costs)</t>
  </si>
  <si>
    <t>Fixed distribution tariff</t>
  </si>
  <si>
    <t>Standard connection (incl. up to 25 meters)</t>
  </si>
  <si>
    <t>Tariff for road crossing for standard connection, per meter</t>
  </si>
  <si>
    <t>Distribution by truck</t>
  </si>
  <si>
    <t>Price distribution by truck</t>
  </si>
  <si>
    <t>Electricity production</t>
  </si>
  <si>
    <t>Relevant data</t>
  </si>
  <si>
    <t>Income related to new connections</t>
  </si>
  <si>
    <t>Volume</t>
  </si>
  <si>
    <t>Fixed/variable operational costs</t>
  </si>
  <si>
    <t>Fixed/variable capital costs</t>
  </si>
  <si>
    <t>USD / #</t>
  </si>
  <si>
    <t>Input</t>
  </si>
  <si>
    <t>Income level</t>
  </si>
  <si>
    <t>Fuel component</t>
  </si>
  <si>
    <t>Fuel data</t>
  </si>
  <si>
    <t>Income level per kVA per month</t>
  </si>
  <si>
    <t>Estimated volume</t>
  </si>
  <si>
    <t>Profit sharing-percentage</t>
  </si>
  <si>
    <t>Estimated production and distribution data</t>
  </si>
  <si>
    <t>Lost subsidy income</t>
  </si>
  <si>
    <t>Data on the energy cost correction</t>
  </si>
  <si>
    <t>Data on energy costs</t>
  </si>
  <si>
    <t xml:space="preserve">Description calculation </t>
  </si>
  <si>
    <t>On this sheet the ACM calculates the correction for the volume effect.</t>
  </si>
  <si>
    <t xml:space="preserve">Relevant data for volume-effect correction </t>
  </si>
  <si>
    <t>Calculation volume-effect correction</t>
  </si>
  <si>
    <t>Calculation coverage of fixed costs</t>
  </si>
  <si>
    <t>Relevant data for profit sharing  correction</t>
  </si>
  <si>
    <t>Realized costs</t>
  </si>
  <si>
    <t xml:space="preserve">Negative amount indicates realized costs were higher than estimated. </t>
  </si>
  <si>
    <t>As a result of profit sharing, the income in 2024 will be increased by 50% of the difference between the realized and estimated costs.</t>
  </si>
  <si>
    <t>Calculation of the energy cost correction for water production</t>
  </si>
  <si>
    <t>The correction for energy costs is based on the difference between the variable distribution tariff, as used in the calculation of the drinking water production price, and the variable distribution tariff that is set for the second half of the year.</t>
  </si>
  <si>
    <t>The difference between both prices results in an under- or overrecovery of electricity costs for the drinking water producer, which the energy cost correction corrects for.</t>
  </si>
  <si>
    <t>Calculation of the energy cost correction</t>
  </si>
  <si>
    <t>The volume effect for distribution is corrected for the fact that subsidy income does not increase with rising volume</t>
  </si>
  <si>
    <t>Calculation profit sharing</t>
  </si>
  <si>
    <t>On this sheet ACM calculates the profit sharing correction for regular costs and for network losses.</t>
  </si>
  <si>
    <t>ACM assumes other income to be related to fixed costs.</t>
  </si>
  <si>
    <t>Allocation key fixed/variable costs</t>
  </si>
  <si>
    <t>Historical data</t>
  </si>
  <si>
    <t>Data for the energy cost correction</t>
  </si>
  <si>
    <t>Number of connections 2016</t>
  </si>
  <si>
    <t>RAB water distribution 2016</t>
  </si>
  <si>
    <t>Depreciation water distribution 2016</t>
  </si>
  <si>
    <t>Corrections to income level</t>
  </si>
  <si>
    <t>Estimated production yield drinking water</t>
  </si>
  <si>
    <t>Energy consumption for drinking water production</t>
  </si>
  <si>
    <t>Profit-sharing percentage</t>
  </si>
  <si>
    <t>OPEX-model, sheet "Output"; row 18</t>
  </si>
  <si>
    <t>OPEX-model, sheet "Output"; row 19</t>
  </si>
  <si>
    <t>USD/gallon</t>
  </si>
  <si>
    <t>US gallon to liter</t>
  </si>
  <si>
    <t>Profit sharing and cost estimates are both calculated in this file. In previous years, profit sharing was a separate file.</t>
  </si>
  <si>
    <t>Assets in row 5, 9 and 10 are related to water production (Source: e-mail sent by STUCO on September 27 2023)</t>
  </si>
  <si>
    <t>Connections for internal use are added to the total number of connections for their kVA category</t>
  </si>
  <si>
    <t>This sheet contains the calculation of the energy cost correction for the water production.</t>
  </si>
  <si>
    <t>Methodebesluit elektriciteit en drinkwater Caribisch Nederland 2020-2025 | ACM.nl</t>
  </si>
  <si>
    <t>Methodebesluit elektriciteit en drinkwater Caribisch Nederland 2020-2025</t>
  </si>
  <si>
    <t>The outcome of the tariff calculations is displayed on this sheet.</t>
  </si>
  <si>
    <t>Dictum en Bijlage 1 Besluit: tariffs and key figures Electricity</t>
  </si>
  <si>
    <t>Tariffs to include in Dictum production price decision</t>
  </si>
  <si>
    <t xml:space="preserve">Production price electricity excl. fuel </t>
  </si>
  <si>
    <t xml:space="preserve">Variable distribution tariff electricity </t>
  </si>
  <si>
    <t xml:space="preserve">Fixed distribution tariff electricity </t>
  </si>
  <si>
    <t>Tariff per kVA</t>
  </si>
  <si>
    <t xml:space="preserve">Tariff category </t>
  </si>
  <si>
    <t xml:space="preserve">  3,2 kVA</t>
  </si>
  <si>
    <t xml:space="preserve">  7,7 kVA</t>
  </si>
  <si>
    <t xml:space="preserve">  11 kVA</t>
  </si>
  <si>
    <t xml:space="preserve">  13,86 kVA</t>
  </si>
  <si>
    <t xml:space="preserve">  13,3 kVA</t>
  </si>
  <si>
    <t xml:space="preserve">  19 kVA</t>
  </si>
  <si>
    <t xml:space="preserve">  23,94 kVA</t>
  </si>
  <si>
    <t xml:space="preserve">  30,4 kVA</t>
  </si>
  <si>
    <t xml:space="preserve">  38 kVA</t>
  </si>
  <si>
    <t xml:space="preserve">  47,5 kVA</t>
  </si>
  <si>
    <t xml:space="preserve">  60,8 kVA</t>
  </si>
  <si>
    <t xml:space="preserve">  76 kVA</t>
  </si>
  <si>
    <t xml:space="preserve">  85,5 kVA</t>
  </si>
  <si>
    <t xml:space="preserve">  95 kVA</t>
  </si>
  <si>
    <t xml:space="preserve">  119,7 kVA</t>
  </si>
  <si>
    <t xml:space="preserve">  175 kVA</t>
  </si>
  <si>
    <t xml:space="preserve">Connections tariffs electricity </t>
  </si>
  <si>
    <t xml:space="preserve">Additional tariff for road crossing </t>
  </si>
  <si>
    <t>Profit sharing percentage</t>
  </si>
  <si>
    <t xml:space="preserve">  of which are the estimated variable costs per unit</t>
  </si>
  <si>
    <t>Total estimated production volume</t>
  </si>
  <si>
    <t xml:space="preserve">   Production by solar</t>
  </si>
  <si>
    <t xml:space="preserve">   Production by fuel</t>
  </si>
  <si>
    <t>Estimated production yield for fuel</t>
  </si>
  <si>
    <t>Liter/kWh</t>
  </si>
  <si>
    <t>Price fuel (most recent)</t>
  </si>
  <si>
    <t xml:space="preserve">Note: 'pl' means price level </t>
  </si>
  <si>
    <t>Dictum en Bijlage 1 Besluit: tariffs and key figures Drinking Water</t>
  </si>
  <si>
    <t>Production price drinking water</t>
  </si>
  <si>
    <t xml:space="preserve">Variable distribution tariff drinking water </t>
  </si>
  <si>
    <t xml:space="preserve">Fixed distribution tariff drinking water </t>
  </si>
  <si>
    <t>Connection tariffs drinking water</t>
  </si>
  <si>
    <t>Price drinking water by truck</t>
  </si>
  <si>
    <t>Percentage for profit sharing</t>
  </si>
  <si>
    <t xml:space="preserve">Water production </t>
  </si>
  <si>
    <t xml:space="preserve">Water distribution </t>
  </si>
  <si>
    <t>Data on developments</t>
  </si>
  <si>
    <t xml:space="preserve">  plus extra variable capital costs per new water connection</t>
  </si>
  <si>
    <t>Additional: total electricity costs for production of drinking water</t>
  </si>
  <si>
    <t xml:space="preserve">   of which distributed by truck</t>
  </si>
  <si>
    <t>Required electricity for drinking water</t>
  </si>
  <si>
    <t>kVA-connection for water production</t>
  </si>
  <si>
    <t xml:space="preserve">  200 kVA</t>
  </si>
  <si>
    <t>This file uses the output from the OPEX model, RAB model and the Fuel model</t>
  </si>
  <si>
    <t>This document contains the calculation of electricity and drinking water tariffs for 2025. These tariffs are based on cost estimates for STUCO for 2025 and the results of profit sharing for 2023.</t>
  </si>
  <si>
    <t>ACM bases cost estimates for 2025 on realized costs in 2023, as found in the financial statements of STUCO.</t>
  </si>
  <si>
    <t>Estimated inflation 2025</t>
  </si>
  <si>
    <t>CPI</t>
  </si>
  <si>
    <t>Legal interest rate</t>
  </si>
  <si>
    <t>Data ACM</t>
  </si>
  <si>
    <t>This sheet displays the percentages used for the CPI, WACC, legal fixed interest rate and the profit sharing.</t>
  </si>
  <si>
    <t>This sheet displays data sourced from ACM tariff models.</t>
  </si>
  <si>
    <t>Realized volume 2021</t>
  </si>
  <si>
    <t>Tariffs associated with connection activities</t>
  </si>
  <si>
    <t>Tariff for new water connection in 2024</t>
  </si>
  <si>
    <t>Data from tariff model 2024 and July 2024</t>
  </si>
  <si>
    <t>Data for production yield</t>
  </si>
  <si>
    <t>Production yield electricity</t>
  </si>
  <si>
    <t>Estimated production yield electricity</t>
  </si>
  <si>
    <t>Estimated production yield</t>
  </si>
  <si>
    <t>Production yield drinking water</t>
  </si>
  <si>
    <t>Total estimated volume per category</t>
  </si>
  <si>
    <t>USD, pl 2025</t>
  </si>
  <si>
    <t>Capital costs (RAB*WACC+ depreciation)</t>
  </si>
  <si>
    <t>USD/connection</t>
  </si>
  <si>
    <t>Addition in RAB per connection</t>
  </si>
  <si>
    <t>Addition in depreciation per connection</t>
  </si>
  <si>
    <t>Total fixed/variable costs</t>
  </si>
  <si>
    <t>Calculation split water distribution</t>
  </si>
  <si>
    <t>Variable part of operational costs</t>
  </si>
  <si>
    <t>Realized costs after split water distribution</t>
  </si>
  <si>
    <t>Energy cost correction 2024</t>
  </si>
  <si>
    <t>USD, pl 2024/kWh</t>
  </si>
  <si>
    <t>Additional costs related to new water connections is calculated using data from tariff model 2016.</t>
  </si>
  <si>
    <t>USD/#</t>
  </si>
  <si>
    <t>USD /#</t>
  </si>
  <si>
    <t>Regular cost base</t>
  </si>
  <si>
    <t>Additions to cost base (major occurrences)</t>
  </si>
  <si>
    <t>Variable capital costs per new connection</t>
  </si>
  <si>
    <t>Annual depreciation per extra connection</t>
  </si>
  <si>
    <t>Addtional RAB per extra connection</t>
  </si>
  <si>
    <t>Fixed/variable costs</t>
  </si>
  <si>
    <t>Calculation income level</t>
  </si>
  <si>
    <t>Overview corrections</t>
  </si>
  <si>
    <t>Corrections to variable distribution tariff</t>
  </si>
  <si>
    <t>Corrections calculated in tariff model</t>
  </si>
  <si>
    <t>Corrections imported from fuel model</t>
  </si>
  <si>
    <t>Fixed distribution tariff per category</t>
  </si>
  <si>
    <t>Fuel component correction May - October 2024 per kWh</t>
  </si>
  <si>
    <t>Profit sharing: network losses 2023 per m3</t>
  </si>
  <si>
    <t>Network losses (NRW)</t>
  </si>
  <si>
    <t>Costs of emergency production are renumerated separately. Therefore, production by GTI is omitted from realized volume for profit sharing and for the income level 2025. Production by GTI is included in the volume correction, because electricity produced by GTI was distributed to consumers.</t>
  </si>
  <si>
    <t>Energy costs correction 2024</t>
  </si>
  <si>
    <t>Fuel component correction May-October 2024</t>
  </si>
  <si>
    <t>STUCO Water usage analysis 2016</t>
  </si>
  <si>
    <t>Total number of consumers billed divided by 12</t>
  </si>
  <si>
    <t>Fixed distribution tariff for water production facility</t>
  </si>
  <si>
    <t>ACM uses WACC 2025 to calculate estimated cost of capital 2025.</t>
  </si>
  <si>
    <t>Tariff model 2018, sheet "Input costs and subsidies", cell I20</t>
  </si>
  <si>
    <t>Tariff model 2018, sheet "Input costs and subsidies", cell I21</t>
  </si>
  <si>
    <t>Total realized costs</t>
  </si>
  <si>
    <t>Corrections to variable distribution tariff per unit</t>
  </si>
  <si>
    <t>Income level (before corrections)</t>
  </si>
  <si>
    <t>Income level (after corrections)</t>
  </si>
  <si>
    <t>Profit sharing over network losses 2023 per kWh</t>
  </si>
  <si>
    <t>Network losses</t>
  </si>
  <si>
    <t>Corrections added to variable tariff</t>
  </si>
  <si>
    <t>Fuel component January 2025</t>
  </si>
  <si>
    <t>The fuel component correction May-October 2024 will be included in the variable usage tariff January-June 2025. Therefore, this amount is divided by the volume for 1st half of 2025.</t>
  </si>
  <si>
    <t>The income level before corrections is equal to estimated costs for 2025 including a reasonable return (WACC).</t>
  </si>
  <si>
    <t>Data for indexation</t>
  </si>
  <si>
    <t>Profit sharing for regular costs</t>
  </si>
  <si>
    <t>Profit sharing for network losses</t>
  </si>
  <si>
    <t>Input for profit sharing over network losses</t>
  </si>
  <si>
    <t>Production price electricity</t>
  </si>
  <si>
    <t xml:space="preserve">Calculation variable distribution tariff </t>
  </si>
  <si>
    <t>Corrections added to variable distribution tariff</t>
  </si>
  <si>
    <t>Fixed distribution tariffs electricity</t>
  </si>
  <si>
    <t>Variable distribution tariff drinking water</t>
  </si>
  <si>
    <t>Calculation variable distribution tariff drinking water</t>
  </si>
  <si>
    <t>Fixed distribution tariff drinking water</t>
  </si>
  <si>
    <t>Calculation fixed distribution tariff</t>
  </si>
  <si>
    <t>Water distribution by truck</t>
  </si>
  <si>
    <t>Calculation tariff distribution by truck</t>
  </si>
  <si>
    <t>Income level is for the whole year 2025, therefore income level per month is income level divided by 12.</t>
  </si>
  <si>
    <t>The (monthly) fixed distribution tariff for drinking water is income level per connection per month. Income level is for the whole year 2025, therefore income level per month is income level divided by 12.</t>
  </si>
  <si>
    <t>The tariff for water distribution by truck is the production price drinking water plus income level per m3 for water distribution by truck.</t>
  </si>
  <si>
    <t>The reconnection fee is set fixed at USD 40. Therefore, it is not indexed.</t>
  </si>
  <si>
    <r>
      <t xml:space="preserve">The calculations are explained in the </t>
    </r>
    <r>
      <rPr>
        <i/>
        <sz val="10"/>
        <rFont val="Arial"/>
        <family val="2"/>
      </rPr>
      <t>Remarks</t>
    </r>
    <r>
      <rPr>
        <sz val="10"/>
        <rFont val="Arial"/>
        <family val="2"/>
      </rPr>
      <t xml:space="preserve"> column.</t>
    </r>
  </si>
  <si>
    <t>The variable distribution tariff drinking water is the production price drinking water plus corrections, divided by percentage billed water.</t>
  </si>
  <si>
    <t>The variable distribution tairff for electricity is the production price electricity plus corrections, divided by percentage billed electricity.</t>
  </si>
  <si>
    <t>The (monthly) fixed distribution tariff per category is income level per kVA per month, multiplied by the kVA of the connection.</t>
  </si>
  <si>
    <t>Cost base</t>
  </si>
  <si>
    <t>On this sheet the ACM splits costs per department in a fixed and variable part.</t>
  </si>
  <si>
    <t>Variable distribution tariff water 2025</t>
  </si>
  <si>
    <t>Tariff for reconnection 2025</t>
  </si>
  <si>
    <t>New connection tariff 2025</t>
  </si>
  <si>
    <t>ACM splits cost of water distribution between distribution by line and by truck, using estimated percentage of water by truck as allocation key.</t>
  </si>
  <si>
    <t>ACM splits cost of water distribution between distribution by line and by truck, using realized percentage of water by truck as allocation key.</t>
  </si>
  <si>
    <t>Realized costs (after split water distribution)</t>
  </si>
  <si>
    <t>Split water distribution</t>
  </si>
  <si>
    <t>Production price excluding fuel</t>
  </si>
  <si>
    <t>The production price for electricity, excluding fuel component, is equal to income level divided by estimated volume for electricity production.</t>
  </si>
  <si>
    <t xml:space="preserve">On this sheet the ACM calculates the production price and variable distribution tariff for electricity. </t>
  </si>
  <si>
    <t>Tariffs for connection activities</t>
  </si>
  <si>
    <t>Tariffs for connection activities 2024</t>
  </si>
  <si>
    <t xml:space="preserve">The fuel component is fuel costs per kWh, given by: fuel price * fuel efficiency * share of production by fuel. </t>
  </si>
  <si>
    <t>Production price including fuel</t>
  </si>
  <si>
    <t>Electricity costs of water production</t>
  </si>
  <si>
    <t>Fixed tariffs are charged monthly, therefore annual fixed electricity costs equal the fixed tariff muliplied by 12.</t>
  </si>
  <si>
    <t>Production price including electricity costs</t>
  </si>
  <si>
    <t>Production price excluding electricity costs</t>
  </si>
  <si>
    <t>Variable electricity costs for water production per m3</t>
  </si>
  <si>
    <t>Income level for water truck delivery</t>
  </si>
  <si>
    <t>Tariff for road crossing, per meter 2024</t>
  </si>
  <si>
    <t>Tariffs associated with connection activities in 2024</t>
  </si>
  <si>
    <t>Reconnection fee 2024</t>
  </si>
  <si>
    <t>Not established in the tariff decision, ACM only establishes a production price including electricity costs. This is unlike the production price electricity because the fuel component for electricity can change monthly, but electricity tariffs for the water plant can not.</t>
  </si>
  <si>
    <t>Electricity costs for water production per m3</t>
  </si>
  <si>
    <t>The fixed distribution tariffs are based on income level for electricity distribution. Tarrifs for connection activities are last year's tariffs indexed for inflation.</t>
  </si>
  <si>
    <t>The production price is based on income level for electricity production. The variable distribution tariff electricity is based on the production price electricity.</t>
  </si>
  <si>
    <t>Fixed part of operational costs</t>
  </si>
  <si>
    <t>Fixed part of capital costs</t>
  </si>
  <si>
    <t>Fuel model, sheet "Result", cell H12</t>
  </si>
  <si>
    <t>Fuel model, sheet "Result", cell H13</t>
  </si>
  <si>
    <t>Production by GTI</t>
  </si>
  <si>
    <t>Production excluding GTI</t>
  </si>
  <si>
    <t>Electricity production by GTI</t>
  </si>
  <si>
    <t>Cost of emergency production</t>
  </si>
  <si>
    <t>Solar park phase 3</t>
  </si>
  <si>
    <t>Total costs phase 3</t>
  </si>
  <si>
    <t>Subsidy EZK phase 3</t>
  </si>
  <si>
    <t>Contribution STUCO to phase 3</t>
  </si>
  <si>
    <t>Estimated date of capitalization</t>
  </si>
  <si>
    <t>Depreciation rate</t>
  </si>
  <si>
    <t>Annual depreciation</t>
  </si>
  <si>
    <t xml:space="preserve">Period in use </t>
  </si>
  <si>
    <t>Months</t>
  </si>
  <si>
    <t>Addition to RAB phase 3</t>
  </si>
  <si>
    <t>Addtion to depreciation phase 3</t>
  </si>
  <si>
    <t>Additionals to fixed capital costs phase 3</t>
  </si>
  <si>
    <t>ACM uses the adjusted WACC to correct for the risk free rate</t>
  </si>
  <si>
    <t>Fixed/variable costs after WACC correction</t>
  </si>
  <si>
    <t>WACC correction</t>
  </si>
  <si>
    <t>Total WACC correction</t>
  </si>
  <si>
    <t>Estimated costs after WACC correction</t>
  </si>
  <si>
    <t>Income per kVA per month</t>
  </si>
  <si>
    <t>Rounded to four decimals.</t>
  </si>
  <si>
    <t>Rounded to three decimals.</t>
  </si>
  <si>
    <t>Estimated RAB value at time of capitalization</t>
  </si>
  <si>
    <t>30. STUCO Estimation of Net Losses of drinking water in 2025 WP 8144 (A) Water Summ Rev Analysis UPDATED</t>
  </si>
  <si>
    <t>Based on analysis by ACM on fixed/variable costs in the Caribbean Netherlands and as used in the 2024 decisions.</t>
  </si>
  <si>
    <t>Based on assumption by ACM on fixed/variable costs in the Caribbean Netherlands and as used in the 2024 decisions.</t>
  </si>
  <si>
    <t>Subsidy grant phase 3</t>
  </si>
  <si>
    <t>Data from tariff decisions 2018</t>
  </si>
  <si>
    <r>
      <t>This data is sourced from underlying ACM models based on</t>
    </r>
    <r>
      <rPr>
        <i/>
        <sz val="10"/>
        <rFont val="Arial"/>
        <family val="2"/>
      </rPr>
      <t xml:space="preserve"> Financial information</t>
    </r>
    <r>
      <rPr>
        <sz val="10"/>
        <rFont val="Arial"/>
        <family val="2"/>
      </rPr>
      <t xml:space="preserve"> that ACM received from STUCO.</t>
    </r>
  </si>
  <si>
    <t>OPEX model, sheet "Assessment OPEX", row 256</t>
  </si>
  <si>
    <t>Fixed/variable costs before WACC correction</t>
  </si>
  <si>
    <t>On this sheet the ACM calculates the fixed distribution tariffs and the tariffs for connection activities for electricity.</t>
  </si>
  <si>
    <t>Tariff calculation Electricity - variable</t>
  </si>
  <si>
    <t>Tariff calculation Electricity - fixed</t>
  </si>
  <si>
    <t>Tariff calculation drinking water - variable</t>
  </si>
  <si>
    <t>Tariff calculation drinking water - fixed</t>
  </si>
  <si>
    <t>On this sheet the ACM calculates the production price, variable distribution tariff and tariff for truck delivery of drinking water.</t>
  </si>
  <si>
    <t>Fixed electricity costs for water production</t>
  </si>
  <si>
    <t>On this sheet the ACM calculates the fixed distribution tariff and the tariffs for connection activities for drinking water</t>
  </si>
  <si>
    <t xml:space="preserve">The calculation is done by comparing the difference between estimated fixed and variable costs before adjusting the risk free rate with the estimated fixed and variable costs after adjusting the risk free rate. </t>
  </si>
  <si>
    <t>200,0</t>
  </si>
  <si>
    <t>Additions to capital costs due to network growth</t>
  </si>
  <si>
    <t>Estimated fixed costs before WACC correction</t>
  </si>
  <si>
    <t>Estimated inflation 2026</t>
  </si>
  <si>
    <t>Compounded legal fixed interest rate over 2024 - 2026</t>
  </si>
  <si>
    <t>Adjusted WACC 2024 - Electricity production</t>
  </si>
  <si>
    <t>Adjusted WACC 2024 - Electricity distribution</t>
  </si>
  <si>
    <t>Adujusted WACC 2024 - Water production and distribution</t>
  </si>
  <si>
    <t>ACM updated WACC 2024</t>
  </si>
  <si>
    <t>WACC 2026</t>
  </si>
  <si>
    <t>WACC 2026 - Electricity production</t>
  </si>
  <si>
    <t>WACC 2026 - Electricity distribution</t>
  </si>
  <si>
    <t>WACC 2026 - Water production and distribution</t>
  </si>
  <si>
    <t>ACM WACC decision 2026-2028</t>
  </si>
  <si>
    <t>ACM method decision 2026-2031</t>
  </si>
  <si>
    <t>WACC 2024 - adjusted risk free rate</t>
  </si>
  <si>
    <t>ACM Method decision 2026-2031</t>
  </si>
  <si>
    <t>Fuel component correction May - October 2025</t>
  </si>
  <si>
    <t>This sheet displays historical data over 2024. This data comes from Historic data that ACM recieved from STUCO.</t>
  </si>
  <si>
    <t>Volumes data 2024</t>
  </si>
  <si>
    <t>Realized volume 2024</t>
  </si>
  <si>
    <t>Network losses 2024</t>
  </si>
  <si>
    <t>Number of new connections in 2024</t>
  </si>
  <si>
    <t>Tariff for new connections in 2024</t>
  </si>
  <si>
    <t>Delivery of drinking water by truck 2024</t>
  </si>
  <si>
    <t>Realisation of water distributed by line in 2024</t>
  </si>
  <si>
    <t>Percentage water distribution by truck 2024</t>
  </si>
  <si>
    <t>Realized liters of fuel consumed for production in 2024</t>
  </si>
  <si>
    <t>Realized production volume by fuel in 2024</t>
  </si>
  <si>
    <t>Fuel cost correction 2024</t>
  </si>
  <si>
    <t>Overview of electricity production</t>
  </si>
  <si>
    <t>10. STUCO Overview of Prod Elec p.m. in 2024 (EY PBC #36 UA)</t>
  </si>
  <si>
    <t>7. STUCO Electricity connections by KVA in 2024</t>
  </si>
  <si>
    <t>Electricity connections 2024</t>
  </si>
  <si>
    <t>17. An Overview of the production of drinking Water in M3 in 2024</t>
  </si>
  <si>
    <t>14. STUCO Drinking Water Connections for 2024</t>
  </si>
  <si>
    <t>Water connections</t>
  </si>
  <si>
    <t>18. An Overview of the distributed drinking Water per category in 2024 per month</t>
  </si>
  <si>
    <t>Water distribution per category</t>
  </si>
  <si>
    <t>13. WP 8143 STUCO Net Losses Electricity 2024 (EY PBC #35UA)</t>
  </si>
  <si>
    <t>19. STUCO Net Losses of drinking water in 2024 (EY PBC #39UA)</t>
  </si>
  <si>
    <t>Net losses electricity</t>
  </si>
  <si>
    <t>Net losses water</t>
  </si>
  <si>
    <t>Net losses electricity , "8143 Elec usage 2024" cell O10; Net losses water, "8144Water usage 2024 Correc", cell O18</t>
  </si>
  <si>
    <t>15. STUCO New Drinking Water Connections for 2024</t>
  </si>
  <si>
    <t>New water connections</t>
  </si>
  <si>
    <t>New water connections, "2024 New Water Connections", cell N5</t>
  </si>
  <si>
    <t>Tarif model STUCO 2024, sheet "result", cell H63.</t>
  </si>
  <si>
    <t>[9] Water distribution per category, "2024 Distr of Water, cell N5</t>
  </si>
  <si>
    <t>Fuel model, sheet "Data production"; sum of cells H14:S14</t>
  </si>
  <si>
    <t>Fuel model, sheet "Data production"; sum of cells H14:S15</t>
  </si>
  <si>
    <t>20. STUCO Overview electricity used for Production and Distribution of drinking water in 2024</t>
  </si>
  <si>
    <t>Electricity for water</t>
  </si>
  <si>
    <t>Electricity for water, sum of row 5, 9 and 10.</t>
  </si>
  <si>
    <t>Depreciation in 2026</t>
  </si>
  <si>
    <t>Estimated RAB value ultimo 2026</t>
  </si>
  <si>
    <t>Average RAB value 2026</t>
  </si>
  <si>
    <t>Average RAB value 2026, by ratio of months in use</t>
  </si>
  <si>
    <t>Major occurrences in 2025 or 2026 are added to the cost base in the calculation of income level for 2026.</t>
  </si>
  <si>
    <t>Tariff model 2025, sheet "Historical data", row 25.</t>
  </si>
  <si>
    <t>Tariff model 2025, sheet "Historical data", row 26.</t>
  </si>
  <si>
    <t>WACC electricity production 2025</t>
  </si>
  <si>
    <t>Capitalized construction interest 2025</t>
  </si>
  <si>
    <t>E-mail sent by STUCO on October 16 2025</t>
  </si>
  <si>
    <t>Cost base 2024</t>
  </si>
  <si>
    <t>This sheet displays STUCO's cost base over 2024. This is used to calculate STUCO's income level for 2026 and profit sharing over regular costs for 2024.</t>
  </si>
  <si>
    <t xml:space="preserve">Operational costs (excl fuel) 2024 </t>
  </si>
  <si>
    <t>Other income 2024</t>
  </si>
  <si>
    <t>Operational costs (excl fuel) 2024 for Profit Sharing</t>
  </si>
  <si>
    <t>Other income 2024 for Profit Sharing</t>
  </si>
  <si>
    <t>RAB-value ultimo 2024</t>
  </si>
  <si>
    <t>Depreciation 2024</t>
  </si>
  <si>
    <t>Number of connections 2024</t>
  </si>
  <si>
    <t>RAB water distribution 2024</t>
  </si>
  <si>
    <t>Depreciation water distribution 2024</t>
  </si>
  <si>
    <t xml:space="preserve">Budget 2024, page 18 </t>
  </si>
  <si>
    <t>ACM WACC decision 2024-2026</t>
  </si>
  <si>
    <t>E-mail sent by STUCO on November 22 2024</t>
  </si>
  <si>
    <t>Estimates for 2026</t>
  </si>
  <si>
    <t>On this sheet the ACM imports estimates for 2026. This data comes from Forward looking information that ACM recieved from STUCO.</t>
  </si>
  <si>
    <t>Estimated production volume 2026</t>
  </si>
  <si>
    <t>Estimated network losses 2026 in %</t>
  </si>
  <si>
    <t>Estimated production by solar in 2026</t>
  </si>
  <si>
    <t>Estimated production by fuel in 2026</t>
  </si>
  <si>
    <t>Estimated total production in 2026</t>
  </si>
  <si>
    <t>Estimated total production first half 2026</t>
  </si>
  <si>
    <t>Estimated share of production with fuel in 2026</t>
  </si>
  <si>
    <t>Estimated delivery of drinking water by truck 2026</t>
  </si>
  <si>
    <t>Estimated drinking water delivered by truck in 2026</t>
  </si>
  <si>
    <t>Estimated percentage of drinking water delivered by truck in 2026</t>
  </si>
  <si>
    <t>Estimated fuel efficiency 2026</t>
  </si>
  <si>
    <t>Tariff categories and volumes 2026</t>
  </si>
  <si>
    <t>Expected number of connections in 2026</t>
  </si>
  <si>
    <t>Water connections 2026, "2026 Connections", O5.</t>
  </si>
  <si>
    <t>Estimated volume 2026</t>
  </si>
  <si>
    <t>Realized water production in 2024</t>
  </si>
  <si>
    <t>25. STUCO Estimation of Net Losses Electricity 2026 (WP 8143 (A) Electricity Usage Summary Revenue Analysis (EY E1))</t>
  </si>
  <si>
    <t>[17] Estimated electricity production, "Elec Meter readings Month(2026)", cell N6</t>
  </si>
  <si>
    <t>[17] Estimated electricity production, "Elec Meter readings Month(2026)", cell N5</t>
  </si>
  <si>
    <t>[17] Estimated electricity production, "Elec Meter readings Month(2026)", cell G9</t>
  </si>
  <si>
    <t>Estimated water production</t>
  </si>
  <si>
    <t>Estimated net losses electricity</t>
  </si>
  <si>
    <t>Estimated net losses water</t>
  </si>
  <si>
    <t>Estimated electricity production</t>
  </si>
  <si>
    <t>24. STUCO estimation of production of Electricity in KWh for 2026 distributed by first half and second half 2026</t>
  </si>
  <si>
    <t>28. STUCO estimation of distributed Water M3 per category for 2026</t>
  </si>
  <si>
    <t>[14] Estimated water production, "2026 Distr of Water", cell N7</t>
  </si>
  <si>
    <t>[14] Estimated water production, "2026 Distr of Water", cell N6</t>
  </si>
  <si>
    <t>Estimated connections KVA</t>
  </si>
  <si>
    <t>21. STUCO Electricity connections by KVA in projection 2026</t>
  </si>
  <si>
    <t>Calculation based on [18] Estimated connections KVA</t>
  </si>
  <si>
    <t>Estimated connections water</t>
  </si>
  <si>
    <t>26. STUCO Estimation of Drinking Water Connections for 2026</t>
  </si>
  <si>
    <t>Additional costs related to new water connections 2026</t>
  </si>
  <si>
    <t>Data from tariff model 2025 is used for the energy cost correction and tariffs associated with connection activities.</t>
  </si>
  <si>
    <t>Data from tariff model 2025 and July 2025</t>
  </si>
  <si>
    <t>Total estimated water production 2025</t>
  </si>
  <si>
    <t>Variable distribution tariff per 1 January 2025</t>
  </si>
  <si>
    <t>USD, pp 2025/kWh</t>
  </si>
  <si>
    <t>Variable distribution tariff per 1 July 2025</t>
  </si>
  <si>
    <t>Expected share of water distribution in second half of the year 2025</t>
  </si>
  <si>
    <t>Expected share of 50% as is assumed in the 2025 decisions.</t>
  </si>
  <si>
    <t>Tariff for new water connection in 2025</t>
  </si>
  <si>
    <t>Data from tariff model 2024 is used for the volume correction and profit sharing</t>
  </si>
  <si>
    <t>Data from tariff model 2024 with adjusted WACC</t>
  </si>
  <si>
    <t>Estimated fixed/variable costs from tariffs 2024, adjusted for WACC</t>
  </si>
  <si>
    <t>Total estimated fixed costs 2024</t>
  </si>
  <si>
    <t>Total estimated regular variable capital costs 2024 (excl. addition new water connections)</t>
  </si>
  <si>
    <t>Total estimated variable costs 2024 per unit (excl. addition for network growth)</t>
  </si>
  <si>
    <t>USD, pl 2024 / #</t>
  </si>
  <si>
    <t>Extra estimated variable costs 2024 for network growth per new water connection</t>
  </si>
  <si>
    <t>Estimated fixed/variable costs from tariffs 2024</t>
  </si>
  <si>
    <t>Estimated volume 2024</t>
  </si>
  <si>
    <t>Estimated network losses 2024</t>
  </si>
  <si>
    <t>Production price 2024</t>
  </si>
  <si>
    <t>Production price incl fuel (Jan-Jun 2024)</t>
  </si>
  <si>
    <t>USD/kWh, pl 2024</t>
  </si>
  <si>
    <t>Production price incl fuel (Jul-Dec 2024)</t>
  </si>
  <si>
    <t>USD/m3, pl 2024</t>
  </si>
  <si>
    <t>ACM calculation lost subsidy income, sheet "Lost subsidy income 2024", Cell E94 and E107</t>
  </si>
  <si>
    <t>Tariff model 2024</t>
  </si>
  <si>
    <t>Tariff calculation STUCO 2024 - 477547</t>
  </si>
  <si>
    <t>Realized volume 2022</t>
  </si>
  <si>
    <t>Berekening variabel gebruikstarief elektriciteit STUCO per 1 juli 2024</t>
  </si>
  <si>
    <t>Tariff model July 2024</t>
  </si>
  <si>
    <t>[10] Electricity production 2024, sheet "Elec Meter readings Month(2024), cell W45</t>
  </si>
  <si>
    <t>[20] Tariff model 2024, sheet "Estimates for 2024", cell L22 cell M65; cell N14; cell O68; cell P27.</t>
  </si>
  <si>
    <t>[20] Tariff model 2024, sheet "historical data", cell O37.</t>
  </si>
  <si>
    <t>[20] Tariff model 2024, sheet "Estimates for 2024", cell L22 cell M16 &amp; O17</t>
  </si>
  <si>
    <t>[21] Tariff model July 2024, sheet "Result", cell H40.</t>
  </si>
  <si>
    <t>[20] Tariff model 2024, sheet "Result", cell H16.</t>
  </si>
  <si>
    <t>[22] Tariff model 2025, sheet "Estimates for 2025", cell N14.</t>
  </si>
  <si>
    <t>Tariff model 2025</t>
  </si>
  <si>
    <t>Berekening tarieven stuco 2025</t>
  </si>
  <si>
    <t>[22] Tariff model 2025, sheet "Estimates for 2025", cell N40.</t>
  </si>
  <si>
    <t>[22] Tariff model 2025, sheet "Result", cell H19</t>
  </si>
  <si>
    <t>[22] Tariff model 2025, sheet "Result", cell H65</t>
  </si>
  <si>
    <t>[22] Tariff model 2025, sheet "Result", cell H66</t>
  </si>
  <si>
    <t>[22] Tariff model 2025, sheet "Result", cell H46</t>
  </si>
  <si>
    <t>[22] Tariff model 2025, sheet "Result", cell H47</t>
  </si>
  <si>
    <t>[22] Tariff model 2025, sheet "Result", cell H48</t>
  </si>
  <si>
    <t>[22] Tariff model 2025, sheet "Result", cell H43 &amp; cell H62</t>
  </si>
  <si>
    <t>Tariff model july 2025</t>
  </si>
  <si>
    <t>Berekening variabel gebruikstarief elektriciteit STUCO per 1 juli 2025 </t>
  </si>
  <si>
    <t>[23] Tariff model July 2025, sheet "Result", cell H40.</t>
  </si>
  <si>
    <t>RAB-model, sheet "Output"; row 16</t>
  </si>
  <si>
    <t>RAB-model, sheet "Output"; row 17</t>
  </si>
  <si>
    <t>Additionals to fixed capital costs for major occurance phase 3</t>
  </si>
  <si>
    <t>Calculation based on [20] Tariff model 2024, sheet "Calculation cost base 2024", row 69</t>
  </si>
  <si>
    <t>Calculation based on [20] Tariff model 2024, sheet "Calculation cost base 2024", row 70</t>
  </si>
  <si>
    <t>Calculation based on [20] Tariff model 2024, sheet "Calculation cost base 2024", row 71-72</t>
  </si>
  <si>
    <t>Calculation based on [20] Tariff model 2024, sheet "Calculation cost base 2024", row 73</t>
  </si>
  <si>
    <t>[20] Tariff model 2024, sheet "Calculation cost base 2024", row 69</t>
  </si>
  <si>
    <t>[20] Tariff model 2024, sheet "Calculation cost base 2024", row 70</t>
  </si>
  <si>
    <t>[20] Tariff model 2024, sheet "Calculation cost base 2024", row 71-72</t>
  </si>
  <si>
    <t>[20] Tariff model 2024, sheet "Calculation cost base 2024", row 73</t>
  </si>
  <si>
    <t>WACC correction 2024</t>
  </si>
  <si>
    <t>On this sheet ACM calculates the WACC correction 2024.</t>
  </si>
  <si>
    <t>In the WACC decision 2024-2026, ACM decided to include a yearly ex post recalculation of the risk free rate in the tariff decisions.</t>
  </si>
  <si>
    <t>WACC correction for fixed costs 2024</t>
  </si>
  <si>
    <t>WACC correction for regular variable capital costs 2024 (excl. addition new water connections)</t>
  </si>
  <si>
    <t>WACC correction for variable costs 2024  (excl. addition for network growth)</t>
  </si>
  <si>
    <t>WACC correction extra estimated variable costs 2024 for network growth per new water connection</t>
  </si>
  <si>
    <t>Calculation volume-effect correction 2024</t>
  </si>
  <si>
    <t>Total estimated fixed costs for 2024</t>
  </si>
  <si>
    <t>Total lost subsidy income as a result of rising volumes in 2024</t>
  </si>
  <si>
    <t>Realized income to cover fixed costs 2024</t>
  </si>
  <si>
    <t>Volume-effect correction 2024</t>
  </si>
  <si>
    <t>Estimated fixed costs 2024</t>
  </si>
  <si>
    <t>Estimated variable costs 2024 per unit</t>
  </si>
  <si>
    <t>Operational costs 2024 (excl fuel)</t>
  </si>
  <si>
    <t>Capital cost 2024 (RAB*WACC+ depreciation)</t>
  </si>
  <si>
    <t>Net operational costs 2024 (OPEX excl fuel - other income)</t>
  </si>
  <si>
    <t>Estimated and realized costs 2024</t>
  </si>
  <si>
    <t>Total estimated costs for 2024 adjusted for realized volume</t>
  </si>
  <si>
    <t>Total realized costs for 2024</t>
  </si>
  <si>
    <t>Calculation profit sharing for regular costs 2024</t>
  </si>
  <si>
    <t>Realized profit (loss) over 2024 for profit sharing</t>
  </si>
  <si>
    <t>Profit sharing correction 2024</t>
  </si>
  <si>
    <t>Production price incl fuel Jan-Jun 2024</t>
  </si>
  <si>
    <t>Production price incl fuel Jul-Dec 2024</t>
  </si>
  <si>
    <t>Average production price 2024</t>
  </si>
  <si>
    <t>ACM assumes an even distribution between the first and second half of 2024</t>
  </si>
  <si>
    <t>Realized network losses 2024</t>
  </si>
  <si>
    <t>Estimated and realized costs of network losses 2024</t>
  </si>
  <si>
    <t>Estimated costs of network losses 2024</t>
  </si>
  <si>
    <t>Realized costs of network losses 2024</t>
  </si>
  <si>
    <t>Calculation profit sharing for network losses 2024</t>
  </si>
  <si>
    <t>Realized profit (loss) over network losses 2024</t>
  </si>
  <si>
    <t>Profit sharing add-on for network losses 2024</t>
  </si>
  <si>
    <t>The energy cost correction is calculated for 2025, based on the variable distribution tariff as set in the semi-annual tariff decision for electricity distribution.</t>
  </si>
  <si>
    <t>Total expected water production 2025</t>
  </si>
  <si>
    <t>USD, pl 2025/kWh</t>
  </si>
  <si>
    <t>Required amount of electricity for drinking water production 2025</t>
  </si>
  <si>
    <t>Estimated share of water distribution in 2nd half of 2025</t>
  </si>
  <si>
    <t>Difference variable tariff per January 1st and per July 1st 2025</t>
  </si>
  <si>
    <t>Electricity for drinking water production in 2nd half of 2025</t>
  </si>
  <si>
    <t>Energy cost correction 2025</t>
  </si>
  <si>
    <t>This sheet gives an overview of corrections that affect the tariffs for 2026 and converts them to price level 2026.</t>
  </si>
  <si>
    <t>Estimated production 1st half of 2026</t>
  </si>
  <si>
    <t>Corrections in price level 2026</t>
  </si>
  <si>
    <t>USD, pl 2026</t>
  </si>
  <si>
    <t>USD, pl 2026 / kWh</t>
  </si>
  <si>
    <t>USD, pl 2026 / #</t>
  </si>
  <si>
    <t>Legal fixed interest rate over 2025 - 2026</t>
  </si>
  <si>
    <t>Fuel component correction May - October 2025 per kWh</t>
  </si>
  <si>
    <t>Profit sharing 2024: regular costs</t>
  </si>
  <si>
    <t>Profit sharing 2024: network losses</t>
  </si>
  <si>
    <t>Cost of emergency production 2024</t>
  </si>
  <si>
    <t>Profit sharing 2024: network losses per kWh / m3</t>
  </si>
  <si>
    <t>Calculation Fixed/Variable costs 2026</t>
  </si>
  <si>
    <t>Estimated percentage of water by truck 2026</t>
  </si>
  <si>
    <t>Calculation fixed-variable costs for cost estimates 2026</t>
  </si>
  <si>
    <t>Estimated fixed operational costs 2026</t>
  </si>
  <si>
    <t>Estimated variable operational costs 2026</t>
  </si>
  <si>
    <t>Estimated variable operational costs 2026 per unit</t>
  </si>
  <si>
    <t>Estimated fixed capital costs 2026</t>
  </si>
  <si>
    <t>Estimated variable capital costs 2026</t>
  </si>
  <si>
    <t>Estimated variable capital costs 2026 per unit</t>
  </si>
  <si>
    <t>Total estimated fixed costs 2026</t>
  </si>
  <si>
    <t>Total estimated variable costs 2026 per unit</t>
  </si>
  <si>
    <t>Calculation Income level 2026</t>
  </si>
  <si>
    <t>On this sheet the ACM calculates an income level per activity for 2026 based on estimated fixed and variable costs.</t>
  </si>
  <si>
    <t>Income level is fixed costs plus variable costs multiplied by estimated volume 2026.</t>
  </si>
  <si>
    <t>WACC correction 2026</t>
  </si>
  <si>
    <t>Income level for electricity production 2026</t>
  </si>
  <si>
    <t>Estimated volume electricity production 2026</t>
  </si>
  <si>
    <t>Production price electricity 2026 excl. fuel</t>
  </si>
  <si>
    <t>USD/kWh, pl 2026</t>
  </si>
  <si>
    <t>Production price electricity 2026 excl. fuel (rounded)</t>
  </si>
  <si>
    <t>Estimated share production with fuel 2026</t>
  </si>
  <si>
    <t>Fuel component January 2026</t>
  </si>
  <si>
    <t xml:space="preserve">Production price electricty 2026 incl. fuel </t>
  </si>
  <si>
    <t>Production price electricty 2026 incl. fuel (rounded)</t>
  </si>
  <si>
    <t>Estimated network losses 2026</t>
  </si>
  <si>
    <t>Variable distribution tariff electricity 2026</t>
  </si>
  <si>
    <t xml:space="preserve">Income level for electricity distribution per kVA 2026 </t>
  </si>
  <si>
    <t>Total estimated kVA of connections 2026</t>
  </si>
  <si>
    <t xml:space="preserve">Income level for electricity distribution per kVA per month 2026 </t>
  </si>
  <si>
    <t>USD/kVA/month, pl 2026</t>
  </si>
  <si>
    <t>USD/month, pl 2026</t>
  </si>
  <si>
    <t>Tariffs for connection activities 2026</t>
  </si>
  <si>
    <t>Reconnection fee 2026</t>
  </si>
  <si>
    <t>Tariff new electricity connection 3,2 and 7,7 kVA (incl. up to 25 meters) 2026</t>
  </si>
  <si>
    <t>Tariff for road crossing for 3,2 kVA connection, per meter 2026</t>
  </si>
  <si>
    <t>Tariff for road crossing for 7,7 kVA connection, per meter 2026</t>
  </si>
  <si>
    <t>Income level for water production per m3 2026</t>
  </si>
  <si>
    <t>Estimated volume water production 2026</t>
  </si>
  <si>
    <t>Production price drinking water 2026 (excl. electricity costs)</t>
  </si>
  <si>
    <t>USD/m3, pl 2026</t>
  </si>
  <si>
    <t>Production price drinking water 2026 (incl. electricity costs)</t>
  </si>
  <si>
    <t>Production price drinking water 2026 (incl. electricity costs, rounded)</t>
  </si>
  <si>
    <t>Variable distribution tariff 2026 drinking water</t>
  </si>
  <si>
    <t>Variable distribution tariff 2026 drinking water (rounded)</t>
  </si>
  <si>
    <t>Estimated volume water distributed by truck 2026</t>
  </si>
  <si>
    <t>Tariff for water distribution by truck 2026</t>
  </si>
  <si>
    <t>Tariff for water distribution by truck 2026 (rounded)</t>
  </si>
  <si>
    <t>Income level for drinking water distribution 2026</t>
  </si>
  <si>
    <t>USD, pl. 2026</t>
  </si>
  <si>
    <t>Estimated number of drinking water connections 2026</t>
  </si>
  <si>
    <t>Fixed distribution tariff drinking water 2026</t>
  </si>
  <si>
    <t>Tariffs associated with connection activities in 2026</t>
  </si>
  <si>
    <t>Tariff for new water connection 2026</t>
  </si>
  <si>
    <t>Tariff for road crossing, per meter 2026</t>
  </si>
  <si>
    <t xml:space="preserve">On this sheet all the relevant information to include in the appendix of the decision on the tariffs of 2026 is shown. </t>
  </si>
  <si>
    <t>Distribution tariffs 2026</t>
  </si>
  <si>
    <t>USD, pl 2026 / month</t>
  </si>
  <si>
    <t xml:space="preserve">Key figures Tariff decisions STUCO 2026 - Electricity </t>
  </si>
  <si>
    <t>WACC 2026 - Electricity Production</t>
  </si>
  <si>
    <t>WACC 2026 - Electricity Distribution</t>
  </si>
  <si>
    <t>Capital costs in 2026 related to major occurrences</t>
  </si>
  <si>
    <t>Income level 2026</t>
  </si>
  <si>
    <t>Total estimated costs 2026 based on estimated volume 2026</t>
  </si>
  <si>
    <t>Income level 2026 after corrections</t>
  </si>
  <si>
    <t>Other parameters (expectations 2026 electricity)</t>
  </si>
  <si>
    <t>Network losses (estimate for 2026)</t>
  </si>
  <si>
    <t>Total capacity of the network (estimate for 2026)</t>
  </si>
  <si>
    <t>USD, pp 2026 / m3</t>
  </si>
  <si>
    <t xml:space="preserve">USD, pp 2026 / month </t>
  </si>
  <si>
    <t>Key figures Tariff decisions STUCO 2026 - Drinking Water</t>
  </si>
  <si>
    <t>WACC 2026 - Water Production and Distribution</t>
  </si>
  <si>
    <t>Expected percentage of drinking water delivered by truck in 2026</t>
  </si>
  <si>
    <t>Addition in RAB in 2026 due to growth of the water network</t>
  </si>
  <si>
    <t>USD, pl 2026/#</t>
  </si>
  <si>
    <t>Addition in depreciation in 2026 due to growth of the water network</t>
  </si>
  <si>
    <t>Other parameters (expectations 2026 drinking water)</t>
  </si>
  <si>
    <t>Network loss (estimated for 2026)</t>
  </si>
  <si>
    <t>Estimated number of connections 2026 (standard category)</t>
  </si>
  <si>
    <t xml:space="preserve">Variable costs per unit are costs multiplied by percentage variable, divided by realized volume 2024. Fixed costs are costs multiplied by percentage fixed (= 1 - percentage variable). </t>
  </si>
  <si>
    <t>Operational costs 2024 (excl. fuel and other income)</t>
  </si>
  <si>
    <t>Other income 2024 (excl. income new connections for water distribution)</t>
  </si>
  <si>
    <t>Depreciation in 2024</t>
  </si>
  <si>
    <t>Operational costs 2024 (excl. fuel)</t>
  </si>
  <si>
    <t>Profit sharing over regular costs 2024</t>
  </si>
  <si>
    <t>Recalculated WACC 2024 - Electricity Production</t>
  </si>
  <si>
    <t>Recalculated WACC 2024 - Electricity Distribution</t>
  </si>
  <si>
    <t>Summary of cost data 2024</t>
  </si>
  <si>
    <t>Regulated Asset Value (ultimo 2024)</t>
  </si>
  <si>
    <t>Depreciation over 2024</t>
  </si>
  <si>
    <t>Volume-effect 2024</t>
  </si>
  <si>
    <t>Profit sharing: regular costs 2024</t>
  </si>
  <si>
    <t>Profit sharing: network losses 2024</t>
  </si>
  <si>
    <t>Total cost of production by GTI in 2024</t>
  </si>
  <si>
    <t>Recalculated WACC 2024 - Water Production and Distribution</t>
  </si>
  <si>
    <t>[20] Tariff model 2025, sheet "Major occurences", cell L42</t>
  </si>
  <si>
    <t>Correction phase 3</t>
  </si>
  <si>
    <t>Email to ACM 14-10-2025, [15] Estimated Net losses electricity , "8143Elec usage 2026", cell O10; [16] Estimated net losses water, "8144Water usage 2026 Correc"",  cell O20</t>
  </si>
  <si>
    <t>Also contains correction for inflation</t>
  </si>
  <si>
    <t>Delat Petroleum Inv #20250930</t>
  </si>
  <si>
    <t>Fuel cost correction 2025</t>
  </si>
  <si>
    <t>Fuel cost correction</t>
  </si>
  <si>
    <t>[5] Overview of electricity production, "Elec meter readings month (2024), cell U71   -   calculation based on [6] Electricity connections    -   [7] Water production , "2024 Prod of Water", cell O11;    -   Calculation based on [8] Water connections    -   [9] Water distribution per category, "2024 Distr of Water, cell N6</t>
  </si>
  <si>
    <t>2026 whole year</t>
  </si>
  <si>
    <t>January 2026</t>
  </si>
  <si>
    <t>January - June 2026</t>
  </si>
  <si>
    <t>Overview tariffs electricity 2026</t>
  </si>
  <si>
    <t>Overview tariffs drinking water 2026</t>
  </si>
  <si>
    <t>Yes</t>
  </si>
  <si>
    <t>No</t>
  </si>
  <si>
    <t>Berekening herstelde tarieven STUCO 2026</t>
  </si>
  <si>
    <t>ACM/26/201302</t>
  </si>
  <si>
    <t>ACM/UIT/679975
ACM/UIT/665280 
ACM/UIT/665277</t>
  </si>
  <si>
    <t>Herstelbesluit productieprijsbeschikking en distributietariefbeschikking 2026 voor STUCO
Beschikking productieprijs drinkwater 2026 STUCO
Beschikking distributietarieven drinkwater 2026 STUCO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</si>
</sst>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_ * #,##0_ ;_ * \-#,##0_ ;_ * &quot;-&quot;??_ ;_ @_ "/>
    <numFmt numFmtId="165" formatCode="_ * #,##0.000_ ;_ * \-#,##0.000_ ;_ * &quot;-&quot;??_ ;_ @_ "/>
    <numFmt numFmtId="166" formatCode="_ * #,##0.0000_ ;_ * \-#,##0.0000_ ;_ * &quot;-&quot;??_ ;_ @_ "/>
    <numFmt numFmtId="167" formatCode="0.0%"/>
    <numFmt numFmtId="168" formatCode="_ * #,##0.0_ ;_ * \-#,##0.0_ ;_ * &quot;-&quot;??_ ;_ @_ "/>
    <numFmt numFmtId="169" formatCode="0.0"/>
    <numFmt numFmtId="170" formatCode="0.0000"/>
    <numFmt numFmtId="171" formatCode="_ * #,##0.00000_ ;_ * \-#,##0.00000_ ;_ * &quot;-&quot;??_ ;_ @_ "/>
    <numFmt numFmtId="172" formatCode="_ * #,##0.0_ ;_ * \-#,##0.0_ ;_ * &quot;-&quot;_ ;_ @_ "/>
    <numFmt numFmtId="173" formatCode="_ * #,##0.00_ ;_ * \-#,##0.00_ ;_ * &quot;-&quot;_ ;_ @_ "/>
    <numFmt numFmtId="174" formatCode="_ * #,##0.0000_ ;_ * \-#,##0.0000_ ;_ * &quot;-&quot;_ ;_ @_ "/>
    <numFmt numFmtId="175" formatCode="_ * #,##0.000_ ;_ * \-#,##0.000_ ;_ * &quot;-&quot;_ ;_ @_ "/>
    <numFmt numFmtId="176" formatCode="0.000"/>
  </numFmts>
  <fonts count="41" x14ac:knownFonts="1">
    <font>
      <sz val="10"/>
      <color theme="1"/>
      <name val="Arial"/>
      <family val="2"/>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sz val="10"/>
      <name val="Arial"/>
      <family val="2"/>
    </font>
    <font>
      <b/>
      <sz val="14"/>
      <color theme="0"/>
      <name val="Arial"/>
      <family val="2"/>
    </font>
    <font>
      <i/>
      <sz val="10"/>
      <name val="Arial"/>
      <family val="2"/>
    </font>
    <font>
      <b/>
      <sz val="10"/>
      <color rgb="FFFF0000"/>
      <name val="Arial"/>
      <family val="2"/>
    </font>
    <font>
      <sz val="8"/>
      <color indexed="81"/>
      <name val="Tahoma"/>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u/>
      <sz val="10"/>
      <color theme="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b/>
      <sz val="10"/>
      <color rgb="FF00B0F0"/>
      <name val="Arial"/>
      <family val="2"/>
    </font>
    <font>
      <sz val="10"/>
      <color rgb="FF00B0F0"/>
      <name val="Arial"/>
      <family val="2"/>
    </font>
    <font>
      <sz val="8"/>
      <name val="Arial"/>
      <family val="2"/>
    </font>
    <font>
      <sz val="10"/>
      <color indexed="8"/>
      <name val="Arial"/>
      <family val="2"/>
    </font>
    <font>
      <i/>
      <sz val="10"/>
      <color rgb="FFFF0000"/>
      <name val="Arial"/>
      <family val="2"/>
    </font>
    <font>
      <sz val="9"/>
      <color indexed="81"/>
      <name val="Tahoma"/>
      <family val="2"/>
    </font>
    <font>
      <b/>
      <sz val="10"/>
      <color indexed="8"/>
      <name val="Arial"/>
      <family val="2"/>
    </font>
    <font>
      <sz val="9"/>
      <name val="Arial"/>
      <family val="2"/>
    </font>
    <font>
      <b/>
      <sz val="9"/>
      <color theme="0"/>
      <name val="Arial"/>
      <family val="2"/>
    </font>
    <font>
      <b/>
      <sz val="9"/>
      <name val="Arial"/>
      <family val="2"/>
    </font>
    <font>
      <i/>
      <sz val="10"/>
      <color theme="1"/>
      <name val="Arial"/>
      <family val="2"/>
    </font>
    <font>
      <b/>
      <sz val="9"/>
      <color indexed="81"/>
      <name val="Tahoma"/>
      <family val="2"/>
    </font>
  </fonts>
  <fills count="4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theme="0" tint="-0.14999847407452621"/>
        <bgColor indexed="64"/>
      </patternFill>
    </fill>
    <fill>
      <patternFill patternType="solid">
        <fgColor rgb="FFFF00FF"/>
        <bgColor indexed="64"/>
      </patternFill>
    </fill>
    <fill>
      <patternFill patternType="solid">
        <fgColor rgb="FFFFCCFF"/>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rgb="FF99FF99"/>
        <bgColor indexed="64"/>
      </patternFill>
    </fill>
    <fill>
      <patternFill patternType="solid">
        <fgColor rgb="FFE1FFE1"/>
        <bgColor indexed="64"/>
      </patternFill>
    </fill>
    <fill>
      <patternFill patternType="solid">
        <fgColor rgb="FFCCFFCC"/>
        <bgColor indexed="64"/>
      </patternFill>
    </fill>
    <fill>
      <patternFill patternType="solid">
        <fgColor theme="0"/>
        <bgColor indexed="64"/>
      </patternFill>
    </fill>
  </fills>
  <borders count="22">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74">
    <xf numFmtId="0" fontId="0" fillId="0" borderId="0">
      <alignment vertical="top"/>
    </xf>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5" fillId="0" borderId="0">
      <alignment vertical="top"/>
    </xf>
    <xf numFmtId="49" fontId="8" fillId="5" borderId="1">
      <alignment vertical="top"/>
    </xf>
    <xf numFmtId="49" fontId="6" fillId="17" borderId="1">
      <alignment vertical="top"/>
    </xf>
    <xf numFmtId="49" fontId="6" fillId="0" borderId="0">
      <alignment vertical="top"/>
    </xf>
    <xf numFmtId="41" fontId="5" fillId="10" borderId="0">
      <alignment vertical="top"/>
    </xf>
    <xf numFmtId="41" fontId="5" fillId="9" borderId="0">
      <alignment vertical="top"/>
    </xf>
    <xf numFmtId="41" fontId="5" fillId="8" borderId="0">
      <alignment vertical="top"/>
    </xf>
    <xf numFmtId="41" fontId="5" fillId="44" borderId="0">
      <alignment vertical="top"/>
    </xf>
    <xf numFmtId="41" fontId="5" fillId="7" borderId="0">
      <alignment vertical="top"/>
    </xf>
    <xf numFmtId="41" fontId="5" fillId="11" borderId="0">
      <alignment vertical="top"/>
    </xf>
    <xf numFmtId="49" fontId="10" fillId="0" borderId="0">
      <alignment vertical="top"/>
    </xf>
    <xf numFmtId="49" fontId="9" fillId="0" borderId="0">
      <alignment vertical="top"/>
    </xf>
    <xf numFmtId="0" fontId="15" fillId="13" borderId="8" applyNumberFormat="0" applyAlignment="0" applyProtection="0"/>
    <xf numFmtId="0" fontId="16" fillId="14" borderId="9" applyNumberFormat="0" applyAlignment="0" applyProtection="0"/>
    <xf numFmtId="0" fontId="17" fillId="14" borderId="8" applyNumberFormat="0" applyAlignment="0" applyProtection="0"/>
    <xf numFmtId="0" fontId="18" fillId="0" borderId="10" applyNumberFormat="0" applyFill="0" applyAlignment="0" applyProtection="0"/>
    <xf numFmtId="0" fontId="12" fillId="15" borderId="11" applyNumberFormat="0" applyAlignment="0" applyProtection="0"/>
    <xf numFmtId="0" fontId="14" fillId="16" borderId="12" applyNumberFormat="0" applyFont="0" applyAlignment="0" applyProtection="0"/>
    <xf numFmtId="0" fontId="19" fillId="0" borderId="0" applyNumberFormat="0" applyFill="0" applyBorder="0" applyAlignment="0" applyProtection="0"/>
    <xf numFmtId="43" fontId="14" fillId="0" borderId="0" applyFont="0" applyFill="0" applyBorder="0" applyAlignment="0" applyProtection="0"/>
    <xf numFmtId="41" fontId="14" fillId="0" borderId="0" applyFont="0" applyFill="0" applyBorder="0" applyAlignment="0" applyProtection="0"/>
    <xf numFmtId="44" fontId="14" fillId="0" borderId="0" applyFont="0" applyFill="0" applyBorder="0" applyAlignment="0" applyProtection="0"/>
    <xf numFmtId="42" fontId="14" fillId="0" borderId="0" applyFont="0" applyFill="0" applyBorder="0" applyAlignment="0" applyProtection="0"/>
    <xf numFmtId="9" fontId="14" fillId="0" borderId="0" applyFont="0" applyFill="0" applyBorder="0" applyAlignment="0" applyProtection="0"/>
    <xf numFmtId="0" fontId="21" fillId="0" borderId="0" applyNumberFormat="0" applyFill="0" applyBorder="0" applyAlignment="0" applyProtection="0"/>
    <xf numFmtId="0" fontId="22" fillId="0" borderId="13" applyNumberFormat="0" applyFill="0" applyAlignment="0" applyProtection="0"/>
    <xf numFmtId="0" fontId="23" fillId="0" borderId="14" applyNumberFormat="0" applyFill="0" applyAlignment="0" applyProtection="0"/>
    <xf numFmtId="0" fontId="24" fillId="0" borderId="15" applyNumberFormat="0" applyFill="0" applyAlignment="0" applyProtection="0"/>
    <xf numFmtId="0" fontId="24" fillId="0" borderId="0" applyNumberFormat="0" applyFill="0" applyBorder="0" applyAlignment="0" applyProtection="0"/>
    <xf numFmtId="0" fontId="13" fillId="0" borderId="0" applyNumberFormat="0" applyFill="0" applyBorder="0" applyAlignment="0" applyProtection="0"/>
    <xf numFmtId="0" fontId="25" fillId="0" borderId="0" applyNumberFormat="0" applyFill="0" applyBorder="0" applyAlignment="0" applyProtection="0"/>
    <xf numFmtId="0" fontId="26" fillId="0" borderId="16" applyNumberFormat="0" applyFill="0" applyAlignment="0" applyProtection="0"/>
    <xf numFmtId="0" fontId="27"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7" fillId="21" borderId="0" applyNumberFormat="0" applyBorder="0" applyAlignment="0" applyProtection="0"/>
    <xf numFmtId="0" fontId="27"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7" fillId="25" borderId="0" applyNumberFormat="0" applyBorder="0" applyAlignment="0" applyProtection="0"/>
    <xf numFmtId="0" fontId="27"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7" fillId="29" borderId="0" applyNumberFormat="0" applyBorder="0" applyAlignment="0" applyProtection="0"/>
    <xf numFmtId="0" fontId="27"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7" fillId="33" borderId="0" applyNumberFormat="0" applyBorder="0" applyAlignment="0" applyProtection="0"/>
    <xf numFmtId="0" fontId="27"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27" fillId="37" borderId="0" applyNumberFormat="0" applyBorder="0" applyAlignment="0" applyProtection="0"/>
    <xf numFmtId="0" fontId="27"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27" fillId="41" borderId="0" applyNumberFormat="0" applyBorder="0" applyAlignment="0" applyProtection="0"/>
    <xf numFmtId="0" fontId="28" fillId="0" borderId="0" applyNumberFormat="0" applyFill="0" applyBorder="0" applyAlignment="0" applyProtection="0"/>
    <xf numFmtId="49" fontId="20" fillId="0" borderId="0" applyFill="0" applyBorder="0" applyAlignment="0" applyProtection="0"/>
    <xf numFmtId="43" fontId="5" fillId="42" borderId="0" applyNumberFormat="0">
      <alignment vertical="top"/>
    </xf>
    <xf numFmtId="43" fontId="5" fillId="9" borderId="0" applyFont="0" applyFill="0" applyBorder="0" applyAlignment="0" applyProtection="0">
      <alignment vertical="top"/>
    </xf>
    <xf numFmtId="10" fontId="5" fillId="0" borderId="0" applyFont="0" applyFill="0" applyBorder="0" applyAlignment="0" applyProtection="0">
      <alignment vertical="top"/>
    </xf>
    <xf numFmtId="41" fontId="5" fillId="43" borderId="0">
      <alignment vertical="top"/>
    </xf>
    <xf numFmtId="0" fontId="14" fillId="0" borderId="0"/>
    <xf numFmtId="43" fontId="5" fillId="45" borderId="0">
      <alignment vertical="top"/>
    </xf>
    <xf numFmtId="43" fontId="5" fillId="9" borderId="0">
      <alignment vertical="top"/>
    </xf>
    <xf numFmtId="49" fontId="6" fillId="17" borderId="1">
      <alignment vertical="top"/>
    </xf>
    <xf numFmtId="43" fontId="5" fillId="10" borderId="0">
      <alignment vertical="top"/>
    </xf>
    <xf numFmtId="43" fontId="5" fillId="11" borderId="0">
      <alignment vertical="top"/>
    </xf>
    <xf numFmtId="43" fontId="5" fillId="8" borderId="0">
      <alignment vertical="top"/>
    </xf>
    <xf numFmtId="0" fontId="32" fillId="0" borderId="0">
      <alignment vertical="top"/>
    </xf>
  </cellStyleXfs>
  <cellXfs count="204">
    <xf numFmtId="0" fontId="0" fillId="0" borderId="0" xfId="0">
      <alignment vertical="top"/>
    </xf>
    <xf numFmtId="0" fontId="6" fillId="0" borderId="0" xfId="4" applyFont="1">
      <alignment vertical="top"/>
    </xf>
    <xf numFmtId="0" fontId="5" fillId="0" borderId="0" xfId="4">
      <alignment vertical="top"/>
    </xf>
    <xf numFmtId="0" fontId="7" fillId="0" borderId="0" xfId="4" applyFont="1">
      <alignment vertical="top"/>
    </xf>
    <xf numFmtId="0" fontId="9" fillId="0" borderId="0" xfId="4" applyFont="1">
      <alignment vertical="top"/>
    </xf>
    <xf numFmtId="0" fontId="10" fillId="0" borderId="0" xfId="4" applyFont="1">
      <alignment vertical="top"/>
    </xf>
    <xf numFmtId="0" fontId="5" fillId="0" borderId="2" xfId="4" applyBorder="1">
      <alignment vertical="top"/>
    </xf>
    <xf numFmtId="49" fontId="8" fillId="5" borderId="1" xfId="5">
      <alignment vertical="top"/>
    </xf>
    <xf numFmtId="49" fontId="6" fillId="17" borderId="1" xfId="6">
      <alignment vertical="top"/>
    </xf>
    <xf numFmtId="0" fontId="5" fillId="0" borderId="2" xfId="4" applyBorder="1" applyAlignment="1">
      <alignment horizontal="left" vertical="top" wrapText="1"/>
    </xf>
    <xf numFmtId="0" fontId="5" fillId="6" borderId="0" xfId="4" applyFill="1">
      <alignment vertical="top"/>
    </xf>
    <xf numFmtId="1" fontId="5" fillId="0" borderId="0" xfId="4" applyNumberFormat="1">
      <alignment vertical="top"/>
    </xf>
    <xf numFmtId="0" fontId="8" fillId="5" borderId="1" xfId="5" applyNumberFormat="1">
      <alignment vertical="top"/>
    </xf>
    <xf numFmtId="0" fontId="13" fillId="0" borderId="0" xfId="4" applyFont="1">
      <alignment vertical="top"/>
    </xf>
    <xf numFmtId="0" fontId="5" fillId="12" borderId="0" xfId="4" applyFill="1">
      <alignment vertical="top"/>
    </xf>
    <xf numFmtId="49" fontId="5" fillId="17" borderId="2" xfId="6" applyFont="1" applyBorder="1">
      <alignment vertical="top"/>
    </xf>
    <xf numFmtId="0" fontId="5" fillId="0" borderId="0" xfId="4" quotePrefix="1">
      <alignment vertical="top"/>
    </xf>
    <xf numFmtId="0" fontId="7" fillId="0" borderId="0" xfId="4" applyFont="1" applyAlignment="1">
      <alignment horizontal="left" vertical="top" wrapText="1"/>
    </xf>
    <xf numFmtId="49" fontId="10" fillId="0" borderId="0" xfId="14">
      <alignment vertical="top"/>
    </xf>
    <xf numFmtId="49" fontId="6" fillId="0" borderId="0" xfId="7">
      <alignment vertical="top"/>
    </xf>
    <xf numFmtId="49" fontId="9" fillId="0" borderId="0" xfId="15">
      <alignment vertical="top"/>
    </xf>
    <xf numFmtId="41" fontId="5" fillId="10" borderId="0" xfId="8">
      <alignment vertical="top"/>
    </xf>
    <xf numFmtId="9" fontId="5" fillId="0" borderId="0" xfId="4" applyNumberFormat="1">
      <alignment vertical="top"/>
    </xf>
    <xf numFmtId="41" fontId="5" fillId="8" borderId="0" xfId="10">
      <alignment vertical="top"/>
    </xf>
    <xf numFmtId="41" fontId="5" fillId="7" borderId="0" xfId="12">
      <alignment vertical="top"/>
    </xf>
    <xf numFmtId="41" fontId="5" fillId="44" borderId="0" xfId="11">
      <alignment vertical="top"/>
    </xf>
    <xf numFmtId="41" fontId="5" fillId="11" borderId="0" xfId="13">
      <alignment vertical="top"/>
    </xf>
    <xf numFmtId="41" fontId="5" fillId="9" borderId="0" xfId="9">
      <alignment vertical="top"/>
    </xf>
    <xf numFmtId="49" fontId="29" fillId="0" borderId="0" xfId="14" applyFont="1">
      <alignment vertical="top"/>
    </xf>
    <xf numFmtId="0" fontId="30" fillId="0" borderId="0" xfId="4" applyFont="1">
      <alignment vertical="top"/>
    </xf>
    <xf numFmtId="49" fontId="5" fillId="17" borderId="0" xfId="6" applyFont="1" applyBorder="1">
      <alignment vertical="top"/>
    </xf>
    <xf numFmtId="49" fontId="12" fillId="5" borderId="1" xfId="5" applyFont="1">
      <alignment vertical="top"/>
    </xf>
    <xf numFmtId="49" fontId="5" fillId="0" borderId="0" xfId="7" applyFont="1">
      <alignment vertical="top"/>
    </xf>
    <xf numFmtId="0" fontId="9" fillId="12" borderId="0" xfId="4" applyFont="1" applyFill="1">
      <alignment vertical="top"/>
    </xf>
    <xf numFmtId="0" fontId="14" fillId="0" borderId="0" xfId="66" applyAlignment="1">
      <alignment vertical="top"/>
    </xf>
    <xf numFmtId="43" fontId="5" fillId="9" borderId="0" xfId="68">
      <alignment vertical="top"/>
    </xf>
    <xf numFmtId="164" fontId="5" fillId="9" borderId="0" xfId="68" applyNumberFormat="1">
      <alignment vertical="top"/>
    </xf>
    <xf numFmtId="0" fontId="13" fillId="6" borderId="0" xfId="4" applyFont="1" applyFill="1">
      <alignment vertical="top"/>
    </xf>
    <xf numFmtId="0" fontId="5" fillId="42" borderId="0" xfId="62" applyNumberFormat="1">
      <alignment vertical="top"/>
    </xf>
    <xf numFmtId="0" fontId="26" fillId="0" borderId="0" xfId="66" applyFont="1" applyAlignment="1">
      <alignment vertical="top"/>
    </xf>
    <xf numFmtId="0" fontId="13" fillId="6" borderId="0" xfId="4" applyFont="1" applyFill="1" applyAlignment="1">
      <alignment vertical="top" wrapText="1"/>
    </xf>
    <xf numFmtId="167" fontId="13" fillId="6" borderId="0" xfId="67" applyNumberFormat="1" applyFont="1" applyFill="1">
      <alignment vertical="top"/>
    </xf>
    <xf numFmtId="49" fontId="10" fillId="17" borderId="1" xfId="6" applyFont="1">
      <alignment vertical="top"/>
    </xf>
    <xf numFmtId="0" fontId="13" fillId="42" borderId="0" xfId="62" applyNumberFormat="1" applyFont="1">
      <alignment vertical="top"/>
    </xf>
    <xf numFmtId="43" fontId="13" fillId="6" borderId="0" xfId="67" applyFont="1" applyFill="1">
      <alignment vertical="top"/>
    </xf>
    <xf numFmtId="43" fontId="13" fillId="0" borderId="0" xfId="4" applyNumberFormat="1" applyFont="1">
      <alignment vertical="top"/>
    </xf>
    <xf numFmtId="49" fontId="13" fillId="0" borderId="0" xfId="15" applyFont="1">
      <alignment vertical="top"/>
    </xf>
    <xf numFmtId="0" fontId="1" fillId="0" borderId="0" xfId="66" applyFont="1"/>
    <xf numFmtId="164" fontId="5" fillId="0" borderId="0" xfId="68" applyNumberFormat="1" applyFill="1">
      <alignment vertical="top"/>
    </xf>
    <xf numFmtId="49" fontId="20" fillId="0" borderId="2" xfId="61" applyBorder="1" applyAlignment="1">
      <alignment vertical="top"/>
    </xf>
    <xf numFmtId="164" fontId="5" fillId="42" borderId="0" xfId="62" applyNumberFormat="1">
      <alignment vertical="top"/>
    </xf>
    <xf numFmtId="164" fontId="13" fillId="42" borderId="0" xfId="62" applyNumberFormat="1" applyFont="1">
      <alignment vertical="top"/>
    </xf>
    <xf numFmtId="166" fontId="5" fillId="10" borderId="0" xfId="70" applyNumberFormat="1">
      <alignment vertical="top"/>
    </xf>
    <xf numFmtId="166" fontId="5" fillId="9" borderId="0" xfId="68" applyNumberFormat="1">
      <alignment vertical="top"/>
    </xf>
    <xf numFmtId="43" fontId="5" fillId="10" borderId="0" xfId="70">
      <alignment vertical="top"/>
    </xf>
    <xf numFmtId="169" fontId="5" fillId="0" borderId="0" xfId="4" quotePrefix="1" applyNumberFormat="1">
      <alignment vertical="top"/>
    </xf>
    <xf numFmtId="43" fontId="5" fillId="10" borderId="0" xfId="4" applyNumberFormat="1" applyFill="1">
      <alignment vertical="top"/>
    </xf>
    <xf numFmtId="43" fontId="5" fillId="42" borderId="0" xfId="62">
      <alignment vertical="top"/>
    </xf>
    <xf numFmtId="167" fontId="5" fillId="11" borderId="0" xfId="71" applyNumberFormat="1">
      <alignment vertical="top"/>
    </xf>
    <xf numFmtId="10" fontId="5" fillId="11" borderId="0" xfId="71" applyNumberFormat="1">
      <alignment vertical="top"/>
    </xf>
    <xf numFmtId="164" fontId="5" fillId="11" borderId="0" xfId="71" applyNumberFormat="1">
      <alignment vertical="top"/>
    </xf>
    <xf numFmtId="164" fontId="5" fillId="6" borderId="0" xfId="71" applyNumberFormat="1" applyFill="1">
      <alignment vertical="top"/>
    </xf>
    <xf numFmtId="164" fontId="5" fillId="9" borderId="0" xfId="71" applyNumberFormat="1" applyFill="1">
      <alignment vertical="top"/>
    </xf>
    <xf numFmtId="9" fontId="5" fillId="11" borderId="0" xfId="71" applyNumberFormat="1">
      <alignment vertical="top"/>
    </xf>
    <xf numFmtId="0" fontId="14" fillId="0" borderId="0" xfId="66"/>
    <xf numFmtId="171" fontId="14" fillId="0" borderId="0" xfId="66" applyNumberFormat="1"/>
    <xf numFmtId="43" fontId="5" fillId="11" borderId="0" xfId="71">
      <alignment vertical="top"/>
    </xf>
    <xf numFmtId="0" fontId="5" fillId="46" borderId="0" xfId="4" applyFill="1">
      <alignment vertical="top"/>
    </xf>
    <xf numFmtId="166" fontId="5" fillId="11" borderId="0" xfId="71" applyNumberFormat="1">
      <alignment vertical="top"/>
    </xf>
    <xf numFmtId="172" fontId="5" fillId="11" borderId="0" xfId="13" applyNumberFormat="1">
      <alignment vertical="top"/>
    </xf>
    <xf numFmtId="10" fontId="5" fillId="11" borderId="0" xfId="13" applyNumberFormat="1">
      <alignment vertical="top"/>
    </xf>
    <xf numFmtId="173" fontId="5" fillId="11" borderId="0" xfId="13" applyNumberFormat="1">
      <alignment vertical="top"/>
    </xf>
    <xf numFmtId="173" fontId="5" fillId="10" borderId="0" xfId="8" applyNumberFormat="1">
      <alignment vertical="top"/>
    </xf>
    <xf numFmtId="10" fontId="5" fillId="0" borderId="0" xfId="4" applyNumberFormat="1">
      <alignment vertical="top"/>
    </xf>
    <xf numFmtId="43" fontId="5" fillId="42" borderId="0" xfId="62" applyNumberFormat="1">
      <alignment vertical="top"/>
    </xf>
    <xf numFmtId="49" fontId="5" fillId="0" borderId="0" xfId="15" applyFont="1">
      <alignment vertical="top"/>
    </xf>
    <xf numFmtId="49" fontId="5" fillId="42" borderId="0" xfId="62" applyNumberFormat="1">
      <alignment vertical="top"/>
    </xf>
    <xf numFmtId="49" fontId="6" fillId="0" borderId="0" xfId="4" applyNumberFormat="1" applyFont="1">
      <alignment vertical="top"/>
    </xf>
    <xf numFmtId="0" fontId="5" fillId="0" borderId="0" xfId="62" applyNumberFormat="1" applyFill="1">
      <alignment vertical="top"/>
    </xf>
    <xf numFmtId="166" fontId="5" fillId="9" borderId="0" xfId="4" applyNumberFormat="1" applyFill="1">
      <alignment vertical="top"/>
    </xf>
    <xf numFmtId="164" fontId="5" fillId="9" borderId="0" xfId="63" applyNumberFormat="1" applyFill="1">
      <alignment vertical="top"/>
    </xf>
    <xf numFmtId="49" fontId="6" fillId="0" borderId="0" xfId="15" applyFont="1">
      <alignment vertical="top"/>
    </xf>
    <xf numFmtId="173" fontId="5" fillId="9" borderId="0" xfId="9" applyNumberFormat="1">
      <alignment vertical="top"/>
    </xf>
    <xf numFmtId="0" fontId="5" fillId="0" borderId="0" xfId="4" applyFont="1">
      <alignment vertical="top"/>
    </xf>
    <xf numFmtId="41" fontId="5" fillId="42" borderId="0" xfId="62" applyNumberFormat="1">
      <alignment vertical="top"/>
    </xf>
    <xf numFmtId="174" fontId="5" fillId="9" borderId="0" xfId="9" applyNumberFormat="1">
      <alignment vertical="top"/>
    </xf>
    <xf numFmtId="174" fontId="5" fillId="11" borderId="0" xfId="13" applyNumberFormat="1">
      <alignment vertical="top"/>
    </xf>
    <xf numFmtId="174" fontId="5" fillId="10" borderId="0" xfId="8" applyNumberFormat="1">
      <alignment vertical="top"/>
    </xf>
    <xf numFmtId="49" fontId="20" fillId="0" borderId="0" xfId="61" applyAlignment="1">
      <alignment vertical="top"/>
    </xf>
    <xf numFmtId="170" fontId="1" fillId="12" borderId="0" xfId="66" applyNumberFormat="1" applyFont="1" applyFill="1"/>
    <xf numFmtId="0" fontId="1" fillId="0" borderId="5" xfId="66" applyFont="1" applyBorder="1"/>
    <xf numFmtId="0" fontId="1" fillId="0" borderId="6" xfId="66" applyFont="1" applyBorder="1"/>
    <xf numFmtId="0" fontId="1" fillId="0" borderId="7" xfId="66" applyFont="1" applyBorder="1"/>
    <xf numFmtId="49" fontId="6" fillId="17" borderId="3" xfId="6" applyBorder="1">
      <alignment vertical="top"/>
    </xf>
    <xf numFmtId="49" fontId="6" fillId="17" borderId="4" xfId="6" applyBorder="1">
      <alignment vertical="top"/>
    </xf>
    <xf numFmtId="0" fontId="1" fillId="0" borderId="17" xfId="66" applyFont="1" applyBorder="1"/>
    <xf numFmtId="0" fontId="1" fillId="0" borderId="18" xfId="66" applyFont="1" applyBorder="1"/>
    <xf numFmtId="43" fontId="1" fillId="12" borderId="0" xfId="66" applyNumberFormat="1" applyFont="1" applyFill="1"/>
    <xf numFmtId="43" fontId="5" fillId="12" borderId="0" xfId="4" applyNumberFormat="1" applyFill="1">
      <alignment vertical="top"/>
    </xf>
    <xf numFmtId="0" fontId="5" fillId="0" borderId="18" xfId="4" applyBorder="1">
      <alignment vertical="top"/>
    </xf>
    <xf numFmtId="0" fontId="5" fillId="0" borderId="17" xfId="4" applyBorder="1">
      <alignment vertical="top"/>
    </xf>
    <xf numFmtId="0" fontId="1" fillId="0" borderId="19" xfId="66" applyFont="1" applyBorder="1"/>
    <xf numFmtId="0" fontId="5" fillId="0" borderId="20" xfId="4" applyBorder="1">
      <alignment vertical="top"/>
    </xf>
    <xf numFmtId="0" fontId="5" fillId="0" borderId="21" xfId="4" applyBorder="1">
      <alignment vertical="top"/>
    </xf>
    <xf numFmtId="0" fontId="5" fillId="0" borderId="6" xfId="4" applyBorder="1">
      <alignment vertical="top"/>
    </xf>
    <xf numFmtId="0" fontId="5" fillId="0" borderId="7" xfId="4" applyBorder="1">
      <alignment vertical="top"/>
    </xf>
    <xf numFmtId="10" fontId="5" fillId="12" borderId="0" xfId="4" applyNumberFormat="1" applyFill="1">
      <alignment vertical="top"/>
    </xf>
    <xf numFmtId="0" fontId="5" fillId="0" borderId="0" xfId="4" applyAlignment="1">
      <alignment horizontal="center" vertical="center"/>
    </xf>
    <xf numFmtId="0" fontId="6" fillId="0" borderId="0" xfId="4" applyFont="1" applyAlignment="1">
      <alignment horizontal="center" vertical="center" wrapText="1"/>
    </xf>
    <xf numFmtId="164" fontId="5" fillId="12" borderId="0" xfId="63" applyNumberFormat="1" applyFont="1" applyFill="1" applyBorder="1">
      <alignment vertical="top"/>
    </xf>
    <xf numFmtId="164" fontId="1" fillId="0" borderId="0" xfId="66" applyNumberFormat="1" applyFont="1"/>
    <xf numFmtId="165" fontId="5" fillId="12" borderId="0" xfId="63" applyNumberFormat="1" applyFont="1" applyFill="1" applyBorder="1">
      <alignment vertical="top"/>
    </xf>
    <xf numFmtId="0" fontId="26" fillId="0" borderId="0" xfId="66" applyFont="1"/>
    <xf numFmtId="166" fontId="5" fillId="12" borderId="0" xfId="63" applyNumberFormat="1" applyFont="1" applyFill="1" applyBorder="1">
      <alignment vertical="top"/>
    </xf>
    <xf numFmtId="166" fontId="5" fillId="0" borderId="0" xfId="63" applyNumberFormat="1" applyFont="1" applyFill="1" applyBorder="1">
      <alignment vertical="top"/>
    </xf>
    <xf numFmtId="10" fontId="5" fillId="12" borderId="0" xfId="64" applyFont="1" applyFill="1" applyBorder="1">
      <alignment vertical="top"/>
    </xf>
    <xf numFmtId="0" fontId="1" fillId="0" borderId="20" xfId="66" applyFont="1" applyBorder="1"/>
    <xf numFmtId="0" fontId="1" fillId="0" borderId="21" xfId="66" applyFont="1" applyBorder="1"/>
    <xf numFmtId="164" fontId="5" fillId="46" borderId="0" xfId="63" applyNumberFormat="1" applyFont="1" applyFill="1" applyBorder="1">
      <alignment vertical="top"/>
    </xf>
    <xf numFmtId="168" fontId="5" fillId="12" borderId="0" xfId="63" applyNumberFormat="1" applyFont="1" applyFill="1" applyBorder="1">
      <alignment vertical="top"/>
    </xf>
    <xf numFmtId="0" fontId="1" fillId="46" borderId="17" xfId="66" applyFont="1" applyFill="1" applyBorder="1"/>
    <xf numFmtId="168" fontId="5" fillId="46" borderId="0" xfId="63" applyNumberFormat="1" applyFont="1" applyFill="1" applyBorder="1">
      <alignment vertical="top"/>
    </xf>
    <xf numFmtId="0" fontId="1" fillId="46" borderId="0" xfId="66" applyFont="1" applyFill="1"/>
    <xf numFmtId="0" fontId="1" fillId="46" borderId="18" xfId="66" applyFont="1" applyFill="1" applyBorder="1"/>
    <xf numFmtId="43" fontId="5" fillId="12" borderId="0" xfId="63" applyNumberFormat="1" applyFont="1" applyFill="1" applyBorder="1">
      <alignment vertical="top"/>
    </xf>
    <xf numFmtId="9" fontId="5" fillId="44" borderId="0" xfId="11" applyNumberFormat="1">
      <alignment vertical="top"/>
    </xf>
    <xf numFmtId="173" fontId="5" fillId="44" borderId="0" xfId="11" applyNumberFormat="1">
      <alignment vertical="top"/>
    </xf>
    <xf numFmtId="49" fontId="33" fillId="0" borderId="0" xfId="15" applyFont="1">
      <alignment vertical="top"/>
    </xf>
    <xf numFmtId="0" fontId="1" fillId="0" borderId="0" xfId="4" applyFont="1">
      <alignment vertical="top"/>
    </xf>
    <xf numFmtId="173" fontId="5" fillId="8" borderId="0" xfId="10" applyNumberFormat="1">
      <alignment vertical="top"/>
    </xf>
    <xf numFmtId="0" fontId="32" fillId="0" borderId="0" xfId="73">
      <alignment vertical="top"/>
    </xf>
    <xf numFmtId="0" fontId="35" fillId="0" borderId="0" xfId="73" applyFont="1">
      <alignment vertical="top"/>
    </xf>
    <xf numFmtId="175" fontId="5" fillId="11" borderId="0" xfId="13" applyNumberFormat="1">
      <alignment vertical="top"/>
    </xf>
    <xf numFmtId="175" fontId="5" fillId="9" borderId="0" xfId="9" applyNumberFormat="1">
      <alignment vertical="top"/>
    </xf>
    <xf numFmtId="41" fontId="5" fillId="0" borderId="0" xfId="4" applyNumberFormat="1">
      <alignment vertical="top"/>
    </xf>
    <xf numFmtId="2" fontId="5" fillId="10" borderId="0" xfId="4" applyNumberFormat="1" applyFill="1">
      <alignment vertical="top"/>
    </xf>
    <xf numFmtId="165" fontId="5" fillId="10" borderId="0" xfId="70" applyNumberFormat="1">
      <alignment vertical="top"/>
    </xf>
    <xf numFmtId="175" fontId="5" fillId="10" borderId="0" xfId="8" applyNumberFormat="1">
      <alignment vertical="top"/>
    </xf>
    <xf numFmtId="176" fontId="1" fillId="12" borderId="0" xfId="66" applyNumberFormat="1" applyFont="1" applyFill="1"/>
    <xf numFmtId="165" fontId="5" fillId="12" borderId="0" xfId="4" applyNumberFormat="1" applyFill="1">
      <alignment vertical="top"/>
    </xf>
    <xf numFmtId="0" fontId="1" fillId="0" borderId="2" xfId="4" applyFont="1" applyBorder="1">
      <alignment vertical="top"/>
    </xf>
    <xf numFmtId="0" fontId="5" fillId="0" borderId="2" xfId="4" applyFont="1" applyBorder="1">
      <alignment vertical="top"/>
    </xf>
    <xf numFmtId="176" fontId="5" fillId="10" borderId="0" xfId="4" applyNumberFormat="1" applyFill="1">
      <alignment vertical="top"/>
    </xf>
    <xf numFmtId="176" fontId="5" fillId="9" borderId="0" xfId="9" applyNumberFormat="1">
      <alignment vertical="top"/>
    </xf>
    <xf numFmtId="0" fontId="36" fillId="0" borderId="0" xfId="4" applyFont="1">
      <alignment vertical="top"/>
    </xf>
    <xf numFmtId="0" fontId="37" fillId="5" borderId="1" xfId="5" applyNumberFormat="1" applyFont="1">
      <alignment vertical="top"/>
    </xf>
    <xf numFmtId="49" fontId="38" fillId="0" borderId="0" xfId="7" applyFont="1">
      <alignment vertical="top"/>
    </xf>
    <xf numFmtId="10" fontId="5" fillId="44" borderId="0" xfId="11" applyNumberFormat="1" applyFont="1">
      <alignment vertical="top"/>
    </xf>
    <xf numFmtId="10" fontId="5" fillId="9" borderId="0" xfId="68" applyNumberFormat="1" applyFont="1">
      <alignment vertical="top"/>
    </xf>
    <xf numFmtId="49" fontId="10" fillId="0" borderId="0" xfId="14" applyFont="1">
      <alignment vertical="top"/>
    </xf>
    <xf numFmtId="41" fontId="5" fillId="44" borderId="0" xfId="11" applyFont="1">
      <alignment vertical="top"/>
    </xf>
    <xf numFmtId="43" fontId="5" fillId="9" borderId="0" xfId="68" applyFont="1">
      <alignment vertical="top"/>
    </xf>
    <xf numFmtId="173" fontId="5" fillId="44" borderId="0" xfId="11" applyNumberFormat="1" applyFont="1">
      <alignment vertical="top"/>
    </xf>
    <xf numFmtId="164" fontId="5" fillId="9" borderId="0" xfId="67" applyNumberFormat="1" applyFont="1" applyFill="1">
      <alignment vertical="top"/>
    </xf>
    <xf numFmtId="10" fontId="5" fillId="9" borderId="0" xfId="4" applyNumberFormat="1" applyFont="1" applyFill="1">
      <alignment vertical="top"/>
    </xf>
    <xf numFmtId="174" fontId="5" fillId="44" borderId="0" xfId="11" applyNumberFormat="1" applyFont="1">
      <alignment vertical="top"/>
    </xf>
    <xf numFmtId="166" fontId="5" fillId="9" borderId="0" xfId="68" applyNumberFormat="1" applyFont="1">
      <alignment vertical="top"/>
    </xf>
    <xf numFmtId="164" fontId="5" fillId="9" borderId="0" xfId="68" applyNumberFormat="1" applyFont="1">
      <alignment vertical="top"/>
    </xf>
    <xf numFmtId="164" fontId="5" fillId="42" borderId="0" xfId="62" applyNumberFormat="1" applyFont="1">
      <alignment vertical="top"/>
    </xf>
    <xf numFmtId="164" fontId="13" fillId="0" borderId="0" xfId="4" applyNumberFormat="1" applyFont="1">
      <alignment vertical="top"/>
    </xf>
    <xf numFmtId="0" fontId="10" fillId="42" borderId="0" xfId="62" applyNumberFormat="1" applyFont="1">
      <alignment vertical="top"/>
    </xf>
    <xf numFmtId="9" fontId="13" fillId="0" borderId="0" xfId="4" applyNumberFormat="1" applyFont="1">
      <alignment vertical="top"/>
    </xf>
    <xf numFmtId="41" fontId="1" fillId="44" borderId="0" xfId="11" applyFont="1">
      <alignment vertical="top"/>
    </xf>
    <xf numFmtId="10" fontId="1" fillId="44" borderId="0" xfId="11" applyNumberFormat="1" applyFont="1">
      <alignment vertical="top"/>
    </xf>
    <xf numFmtId="164" fontId="1" fillId="9" borderId="0" xfId="68" applyNumberFormat="1" applyFont="1">
      <alignment vertical="top"/>
    </xf>
    <xf numFmtId="9" fontId="1" fillId="9" borderId="0" xfId="68" applyNumberFormat="1" applyFont="1">
      <alignment vertical="top"/>
    </xf>
    <xf numFmtId="10" fontId="1" fillId="9" borderId="0" xfId="64" applyFont="1" applyFill="1">
      <alignment vertical="top"/>
    </xf>
    <xf numFmtId="41" fontId="1" fillId="11" borderId="0" xfId="13" applyFont="1">
      <alignment vertical="top"/>
    </xf>
    <xf numFmtId="0" fontId="1" fillId="42" borderId="0" xfId="62" applyNumberFormat="1" applyFont="1">
      <alignment vertical="top"/>
    </xf>
    <xf numFmtId="165" fontId="1" fillId="9" borderId="0" xfId="67" applyNumberFormat="1" applyFont="1" applyFill="1">
      <alignment vertical="top"/>
    </xf>
    <xf numFmtId="0" fontId="1" fillId="6" borderId="0" xfId="4" applyFont="1" applyFill="1">
      <alignment vertical="top"/>
    </xf>
    <xf numFmtId="0" fontId="1" fillId="6" borderId="0" xfId="4" applyFont="1" applyFill="1" applyAlignment="1">
      <alignment vertical="top" wrapText="1"/>
    </xf>
    <xf numFmtId="43" fontId="1" fillId="9" borderId="0" xfId="68" applyFont="1">
      <alignment vertical="top"/>
    </xf>
    <xf numFmtId="0" fontId="26" fillId="0" borderId="0" xfId="4" applyFont="1">
      <alignment vertical="top"/>
    </xf>
    <xf numFmtId="49" fontId="39" fillId="0" borderId="0" xfId="15" applyFont="1">
      <alignment vertical="top"/>
    </xf>
    <xf numFmtId="41" fontId="1" fillId="10" borderId="0" xfId="8" applyFont="1">
      <alignment vertical="top"/>
    </xf>
    <xf numFmtId="43" fontId="5" fillId="42" borderId="0" xfId="62" applyNumberFormat="1" applyFont="1">
      <alignment vertical="top"/>
    </xf>
    <xf numFmtId="49" fontId="9" fillId="0" borderId="0" xfId="15" applyFont="1">
      <alignment vertical="top"/>
    </xf>
    <xf numFmtId="0" fontId="5" fillId="42" borderId="0" xfId="62" applyNumberFormat="1" applyFont="1">
      <alignment vertical="top"/>
    </xf>
    <xf numFmtId="41" fontId="5" fillId="44" borderId="0" xfId="11" applyNumberFormat="1" applyFont="1">
      <alignment vertical="top"/>
    </xf>
    <xf numFmtId="9" fontId="5" fillId="44" borderId="0" xfId="11" applyNumberFormat="1" applyFont="1">
      <alignment vertical="top"/>
    </xf>
    <xf numFmtId="41" fontId="5" fillId="11" borderId="0" xfId="13" applyFont="1">
      <alignment vertical="top"/>
    </xf>
    <xf numFmtId="41" fontId="5" fillId="11" borderId="0" xfId="13" applyNumberFormat="1" applyFont="1">
      <alignment vertical="top"/>
    </xf>
    <xf numFmtId="41" fontId="5" fillId="9" borderId="0" xfId="9" applyNumberFormat="1" applyFont="1">
      <alignment vertical="top"/>
    </xf>
    <xf numFmtId="173" fontId="5" fillId="42" borderId="0" xfId="62" applyNumberFormat="1" applyFont="1">
      <alignment vertical="top"/>
    </xf>
    <xf numFmtId="41" fontId="5" fillId="42" borderId="0" xfId="62" applyNumberFormat="1" applyFont="1">
      <alignment vertical="top"/>
    </xf>
    <xf numFmtId="175" fontId="5" fillId="44" borderId="0" xfId="11" applyNumberFormat="1" applyFont="1">
      <alignment vertical="top"/>
    </xf>
    <xf numFmtId="175" fontId="5" fillId="42" borderId="0" xfId="62" applyNumberFormat="1" applyFont="1">
      <alignment vertical="top"/>
    </xf>
    <xf numFmtId="173" fontId="5" fillId="11" borderId="0" xfId="11" applyNumberFormat="1" applyFont="1" applyFill="1">
      <alignment vertical="top"/>
    </xf>
    <xf numFmtId="164" fontId="5" fillId="6" borderId="0" xfId="67" applyNumberFormat="1" applyFont="1" applyFill="1">
      <alignment vertical="top"/>
    </xf>
    <xf numFmtId="164" fontId="5" fillId="0" borderId="0" xfId="4" applyNumberFormat="1" applyFont="1">
      <alignment vertical="top"/>
    </xf>
    <xf numFmtId="9" fontId="5" fillId="9" borderId="0" xfId="64" applyNumberFormat="1" applyFont="1" applyFill="1">
      <alignment vertical="top"/>
    </xf>
    <xf numFmtId="9" fontId="5" fillId="8" borderId="0" xfId="10" applyNumberFormat="1" applyFont="1">
      <alignment vertical="top"/>
    </xf>
    <xf numFmtId="9" fontId="5" fillId="9" borderId="0" xfId="9" applyNumberFormat="1" applyFont="1">
      <alignment vertical="top"/>
    </xf>
    <xf numFmtId="49" fontId="6" fillId="17" borderId="1" xfId="6" applyFont="1">
      <alignment vertical="top"/>
    </xf>
    <xf numFmtId="41" fontId="5" fillId="9" borderId="0" xfId="9" applyFont="1">
      <alignment vertical="top"/>
    </xf>
    <xf numFmtId="10" fontId="5" fillId="11" borderId="0" xfId="64" applyFont="1" applyFill="1">
      <alignment vertical="top"/>
    </xf>
    <xf numFmtId="14" fontId="5" fillId="44" borderId="0" xfId="11" applyNumberFormat="1" applyFont="1">
      <alignment vertical="top"/>
    </xf>
    <xf numFmtId="10" fontId="5" fillId="44" borderId="0" xfId="64" applyFont="1" applyFill="1">
      <alignment vertical="top"/>
    </xf>
    <xf numFmtId="173" fontId="5" fillId="9" borderId="0" xfId="9" applyNumberFormat="1" applyFont="1">
      <alignment vertical="top"/>
    </xf>
    <xf numFmtId="41" fontId="5" fillId="0" borderId="0" xfId="4" applyNumberFormat="1" applyFont="1">
      <alignment vertical="top"/>
    </xf>
    <xf numFmtId="165" fontId="5" fillId="10" borderId="0" xfId="4" applyNumberFormat="1" applyFill="1">
      <alignment vertical="top"/>
    </xf>
    <xf numFmtId="0" fontId="5" fillId="0" borderId="0" xfId="4" applyAlignment="1">
      <alignment horizontal="left" vertical="top" wrapText="1"/>
    </xf>
    <xf numFmtId="0" fontId="7" fillId="0" borderId="0" xfId="4" applyFont="1" applyAlignment="1">
      <alignment horizontal="left" vertical="top" wrapText="1"/>
    </xf>
  </cellXfs>
  <cellStyles count="74">
    <cellStyle name="_kop1 Bladtitel" xfId="5" xr:uid="{00000000-0005-0000-0000-000000000000}"/>
    <cellStyle name="_kop2 Bloktitel" xfId="6" xr:uid="{00000000-0005-0000-0000-000001000000}"/>
    <cellStyle name="_kop2 Bloktitel 2" xfId="69" xr:uid="{C2CF9DFB-67CE-432D-A44A-58DF709AB70D}"/>
    <cellStyle name="_kop3 Subkop" xfId="7" xr:uid="{00000000-0005-0000-0000-000002000000}"/>
    <cellStyle name="20% - Accent1" xfId="37" builtinId="30" hidden="1"/>
    <cellStyle name="20% - Accent2" xfId="41" builtinId="34" hidden="1"/>
    <cellStyle name="20% - Accent3" xfId="45" builtinId="38" hidden="1"/>
    <cellStyle name="20% - Accent4" xfId="49" builtinId="42" hidden="1"/>
    <cellStyle name="20% - Accent5" xfId="53" builtinId="46" hidden="1"/>
    <cellStyle name="20% - Accent6" xfId="57" builtinId="50" hidden="1"/>
    <cellStyle name="40% - Accent1" xfId="38" builtinId="31" hidden="1"/>
    <cellStyle name="40% - Accent2" xfId="42" builtinId="35" hidden="1"/>
    <cellStyle name="40% - Accent3" xfId="46" builtinId="39" hidden="1"/>
    <cellStyle name="40% - Accent4" xfId="50" builtinId="43" hidden="1"/>
    <cellStyle name="40% - Accent5" xfId="54" builtinId="47" hidden="1"/>
    <cellStyle name="40% - Accent6" xfId="58" builtinId="51" hidden="1"/>
    <cellStyle name="60% - Accent1" xfId="39" builtinId="32" hidden="1"/>
    <cellStyle name="60% - Accent2" xfId="43" builtinId="36" hidden="1"/>
    <cellStyle name="60% - Accent3" xfId="47" builtinId="40" hidden="1"/>
    <cellStyle name="60% - Accent4" xfId="51" builtinId="44" hidden="1"/>
    <cellStyle name="60% - Accent5" xfId="55" builtinId="48" hidden="1"/>
    <cellStyle name="60% - Accent6" xfId="59" builtinId="52" hidden="1"/>
    <cellStyle name="Accent1" xfId="36" builtinId="29" hidden="1"/>
    <cellStyle name="Accent2" xfId="40" builtinId="33" hidden="1"/>
    <cellStyle name="Accent3" xfId="44" builtinId="37" hidden="1"/>
    <cellStyle name="Accent4" xfId="48" builtinId="41" hidden="1"/>
    <cellStyle name="Accent5" xfId="52" builtinId="45" hidden="1"/>
    <cellStyle name="Accent6" xfId="56" builtinId="49" hidden="1"/>
    <cellStyle name="Berekening" xfId="18" builtinId="22" hidden="1"/>
    <cellStyle name="Cel (tussen)resultaat" xfId="8" xr:uid="{00000000-0005-0000-0000-00001C000000}"/>
    <cellStyle name="Cel (tussen)resultaat 2" xfId="70" xr:uid="{E0A95D49-8B2C-45C8-B1FA-2B4C69C4FF02}"/>
    <cellStyle name="Cel Berekening" xfId="9" xr:uid="{00000000-0005-0000-0000-00001D000000}"/>
    <cellStyle name="Cel Berekening 2" xfId="68" xr:uid="{E8D6279D-181C-414F-83DA-34F868260BBF}"/>
    <cellStyle name="Cel Bijzonderheid" xfId="10" xr:uid="{00000000-0005-0000-0000-00001E000000}"/>
    <cellStyle name="Cel Bijzonderheid 2" xfId="72" xr:uid="{A4CA7F2A-3248-4CD2-9BC3-8BE650255680}"/>
    <cellStyle name="Cel Dataverzoek" xfId="65" xr:uid="{00000000-0005-0000-0000-00001F000000}"/>
    <cellStyle name="Cel Input" xfId="11" xr:uid="{00000000-0005-0000-0000-000020000000}"/>
    <cellStyle name="Cel Input 2" xfId="67" xr:uid="{BAD5CA1F-8FF7-44D1-8A92-C93D93D2C5B2}"/>
    <cellStyle name="Cel n.v.t. (leeg)" xfId="62" xr:uid="{00000000-0005-0000-0000-000021000000}"/>
    <cellStyle name="Cel PM extern" xfId="12" xr:uid="{00000000-0005-0000-0000-000022000000}"/>
    <cellStyle name="Cel Verwijzing" xfId="13" xr:uid="{00000000-0005-0000-0000-000023000000}"/>
    <cellStyle name="Cel Verwijzing 2" xfId="71" xr:uid="{F9DC1D35-3E39-4B82-B03F-783C38245E56}"/>
    <cellStyle name="Controlecel" xfId="20" builtinId="23" hidden="1"/>
    <cellStyle name="Gekoppelde cel" xfId="19" builtinId="24" hidden="1"/>
    <cellStyle name="Gevolgde hyperlink" xfId="60" builtinId="9" hidden="1"/>
    <cellStyle name="Goed" xfId="1" builtinId="26" hidden="1"/>
    <cellStyle name="Hyperlink" xfId="22" builtinId="8" hidden="1"/>
    <cellStyle name="Hyperlink" xfId="61" builtinId="8" customBuiltin="1"/>
    <cellStyle name="Invoer" xfId="16" builtinId="20" hidden="1"/>
    <cellStyle name="Komma" xfId="23" builtinId="3" hidden="1"/>
    <cellStyle name="Komma" xfId="63" builtinId="3"/>
    <cellStyle name="Komma [0]" xfId="24" builtinId="6" hidden="1"/>
    <cellStyle name="Kop 1" xfId="29" builtinId="16" hidden="1"/>
    <cellStyle name="Kop 2" xfId="30" builtinId="17" hidden="1"/>
    <cellStyle name="Kop 3" xfId="31" builtinId="18" hidden="1"/>
    <cellStyle name="Kop 4" xfId="32" builtinId="19" hidden="1"/>
    <cellStyle name="Neutraal" xfId="3" builtinId="28" hidden="1"/>
    <cellStyle name="Normal 2" xfId="73" xr:uid="{D5AD7B37-1534-4E04-86A9-B17A535F403E}"/>
    <cellStyle name="Notitie" xfId="21" builtinId="10" hidden="1"/>
    <cellStyle name="Ongeldig" xfId="2" builtinId="27" hidden="1"/>
    <cellStyle name="Opm. INTERN" xfId="14" xr:uid="{00000000-0005-0000-0000-000035000000}"/>
    <cellStyle name="Procent" xfId="27" builtinId="5" hidden="1"/>
    <cellStyle name="Procent" xfId="64" builtinId="5"/>
    <cellStyle name="Standaard" xfId="0" builtinId="0" customBuiltin="1"/>
    <cellStyle name="Standaard 2" xfId="66" xr:uid="{0B7B1EE6-8892-4792-AD00-1F8E9DAC9B9E}"/>
    <cellStyle name="Standaard ACM-DE" xfId="4" xr:uid="{00000000-0005-0000-0000-000039000000}"/>
    <cellStyle name="Titel" xfId="28" builtinId="15" hidden="1"/>
    <cellStyle name="Toelichting" xfId="15" xr:uid="{00000000-0005-0000-0000-00003B000000}"/>
    <cellStyle name="Totaal" xfId="35" builtinId="25" hidden="1"/>
    <cellStyle name="Uitvoer" xfId="17" builtinId="21" hidden="1"/>
    <cellStyle name="Valuta" xfId="25" builtinId="4" hidden="1"/>
    <cellStyle name="Valuta [0]" xfId="26" builtinId="7" hidden="1"/>
    <cellStyle name="Verklarende tekst" xfId="34" builtinId="53" hidden="1"/>
    <cellStyle name="Waarschuwingstekst" xfId="33" builtinId="11" hidden="1"/>
  </cellStyles>
  <dxfs count="0"/>
  <tableStyles count="0" defaultTableStyle="TableStyleMedium2" defaultPivotStyle="PivotStyleLight16"/>
  <colors>
    <mruColors>
      <color rgb="FFFFCC99"/>
      <color rgb="FFE1FFE1"/>
      <color rgb="FF99FF99"/>
      <color rgb="FFFFFFCC"/>
      <color rgb="FFCCC8D9"/>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acm.nl/nl/publicaties/wacc-elektriciteit-en-drinkwater-caribisch-nederland-2023-2025" TargetMode="External"/><Relationship Id="rId2" Type="http://schemas.openxmlformats.org/officeDocument/2006/relationships/hyperlink" Target="https://wetten.overheid.nl/BWBR0030649/2011-11-18" TargetMode="External"/><Relationship Id="rId1" Type="http://schemas.openxmlformats.org/officeDocument/2006/relationships/hyperlink" Target="https://opendata.cbs.nl/statline/" TargetMode="External"/><Relationship Id="rId5" Type="http://schemas.openxmlformats.org/officeDocument/2006/relationships/printerSettings" Target="../printerSettings/printerSettings3.bin"/><Relationship Id="rId4" Type="http://schemas.openxmlformats.org/officeDocument/2006/relationships/hyperlink" Target="https://www.acm.nl/nl/publicaties/methodebesluit-elektriciteit-en-drinkwater-caribisch-nederland-2020-2025"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C8D9"/>
  </sheetPr>
  <dimension ref="B2:E43"/>
  <sheetViews>
    <sheetView showGridLines="0" tabSelected="1" zoomScale="80" zoomScaleNormal="80" workbookViewId="0">
      <pane ySplit="3" topLeftCell="A4" activePane="bottomLeft" state="frozen"/>
      <selection activeCell="O39" sqref="O39"/>
      <selection pane="bottomLeft" activeCell="A4" sqref="A4"/>
    </sheetView>
  </sheetViews>
  <sheetFormatPr defaultColWidth="9.140625" defaultRowHeight="12.75" x14ac:dyDescent="0.2"/>
  <cols>
    <col min="1" max="1" width="4.7109375" style="2" customWidth="1"/>
    <col min="2" max="2" width="44.5703125" style="2" customWidth="1"/>
    <col min="3" max="3" width="91.85546875" style="2" customWidth="1"/>
    <col min="4" max="16384" width="9.140625" style="2"/>
  </cols>
  <sheetData>
    <row r="2" spans="2:5" s="7" customFormat="1" ht="18" x14ac:dyDescent="0.2">
      <c r="B2" s="7" t="s">
        <v>41</v>
      </c>
    </row>
    <row r="6" spans="2:5" x14ac:dyDescent="0.2">
      <c r="B6" s="3"/>
    </row>
    <row r="13" spans="2:5" s="8" customFormat="1" x14ac:dyDescent="0.2">
      <c r="B13" s="8" t="s">
        <v>3</v>
      </c>
    </row>
    <row r="15" spans="2:5" x14ac:dyDescent="0.2">
      <c r="B15" s="9" t="s">
        <v>4</v>
      </c>
      <c r="C15" s="9" t="s">
        <v>774</v>
      </c>
      <c r="E15" s="18"/>
    </row>
    <row r="16" spans="2:5" x14ac:dyDescent="0.2">
      <c r="B16" s="9" t="s">
        <v>5</v>
      </c>
      <c r="C16" s="9" t="s">
        <v>773</v>
      </c>
    </row>
    <row r="17" spans="2:3" x14ac:dyDescent="0.2">
      <c r="B17" s="9" t="s">
        <v>6</v>
      </c>
      <c r="C17" s="9"/>
    </row>
    <row r="18" spans="2:3" ht="38.25" x14ac:dyDescent="0.2">
      <c r="B18" s="9" t="s">
        <v>42</v>
      </c>
      <c r="C18" s="9" t="s">
        <v>776</v>
      </c>
    </row>
    <row r="19" spans="2:3" ht="38.25" x14ac:dyDescent="0.2">
      <c r="B19" s="9" t="s">
        <v>43</v>
      </c>
      <c r="C19" s="9" t="s">
        <v>775</v>
      </c>
    </row>
    <row r="20" spans="2:3" x14ac:dyDescent="0.2">
      <c r="B20" s="9" t="s">
        <v>56</v>
      </c>
      <c r="C20" s="9" t="s">
        <v>270</v>
      </c>
    </row>
    <row r="21" spans="2:3" x14ac:dyDescent="0.2">
      <c r="B21" s="9" t="s">
        <v>7</v>
      </c>
      <c r="C21" s="9"/>
    </row>
    <row r="23" spans="2:3" x14ac:dyDescent="0.2">
      <c r="B23" s="20" t="s">
        <v>62</v>
      </c>
    </row>
    <row r="25" spans="2:3" s="8" customFormat="1" x14ac:dyDescent="0.2">
      <c r="B25" s="8" t="s">
        <v>8</v>
      </c>
    </row>
    <row r="27" spans="2:3" x14ac:dyDescent="0.2">
      <c r="B27" s="9" t="s">
        <v>9</v>
      </c>
      <c r="C27" s="9" t="s">
        <v>771</v>
      </c>
    </row>
    <row r="28" spans="2:3" x14ac:dyDescent="0.2">
      <c r="B28" s="9" t="s">
        <v>60</v>
      </c>
      <c r="C28" s="9" t="s">
        <v>771</v>
      </c>
    </row>
    <row r="29" spans="2:3" ht="25.5" x14ac:dyDescent="0.2">
      <c r="B29" s="9" t="s">
        <v>10</v>
      </c>
      <c r="C29" s="9" t="s">
        <v>771</v>
      </c>
    </row>
    <row r="30" spans="2:3" ht="25.5" x14ac:dyDescent="0.2">
      <c r="B30" s="9" t="s">
        <v>61</v>
      </c>
      <c r="C30" s="9" t="s">
        <v>772</v>
      </c>
    </row>
    <row r="31" spans="2:3" x14ac:dyDescent="0.2">
      <c r="B31" s="9" t="s">
        <v>7</v>
      </c>
      <c r="C31" s="9"/>
    </row>
    <row r="33" spans="2:4" x14ac:dyDescent="0.2">
      <c r="B33" s="202" t="s">
        <v>44</v>
      </c>
      <c r="C33" s="203"/>
      <c r="D33" s="5"/>
    </row>
    <row r="34" spans="2:4" x14ac:dyDescent="0.2">
      <c r="B34" s="17"/>
      <c r="C34" s="17"/>
      <c r="D34" s="5"/>
    </row>
    <row r="36" spans="2:4" s="8" customFormat="1" x14ac:dyDescent="0.2">
      <c r="B36" s="8" t="s">
        <v>0</v>
      </c>
    </row>
    <row r="38" spans="2:4" x14ac:dyDescent="0.2">
      <c r="B38" s="2" t="s">
        <v>45</v>
      </c>
    </row>
    <row r="41" spans="2:4" x14ac:dyDescent="0.2">
      <c r="B41" s="4" t="s">
        <v>63</v>
      </c>
    </row>
    <row r="43" spans="2:4" x14ac:dyDescent="0.2">
      <c r="C43" s="28"/>
    </row>
  </sheetData>
  <mergeCells count="1">
    <mergeCell ref="B33:C33"/>
  </mergeCells>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03142-3A0B-42C6-BD9C-88B52044011D}">
  <sheetPr>
    <tabColor rgb="FFE1FFE1"/>
  </sheetPr>
  <dimension ref="B2:T73"/>
  <sheetViews>
    <sheetView showGridLines="0" zoomScale="80" zoomScaleNormal="80" workbookViewId="0">
      <pane xSplit="4" ySplit="11" topLeftCell="E12" activePane="bottomRight" state="frozen"/>
      <selection activeCell="R6" sqref="R6"/>
      <selection pane="topRight" activeCell="R6" sqref="R6"/>
      <selection pane="bottomLeft" activeCell="R6" sqref="R6"/>
      <selection pane="bottomRight" activeCell="V27" sqref="V27"/>
    </sheetView>
  </sheetViews>
  <sheetFormatPr defaultColWidth="9.140625" defaultRowHeight="12.75" x14ac:dyDescent="0.2"/>
  <cols>
    <col min="1" max="1" width="4" style="2" customWidth="1"/>
    <col min="2" max="2" width="48.5703125" style="2" customWidth="1"/>
    <col min="3" max="3" width="4.5703125" style="2" customWidth="1"/>
    <col min="4" max="4" width="13.7109375" style="2" customWidth="1"/>
    <col min="5" max="5" width="2.7109375" style="2" customWidth="1"/>
    <col min="6" max="6" width="13.7109375" style="2" customWidth="1"/>
    <col min="7" max="7" width="2.7109375" style="2" customWidth="1"/>
    <col min="8" max="8" width="13.7109375" style="2" customWidth="1"/>
    <col min="9" max="9" width="2.7109375" style="2" customWidth="1"/>
    <col min="10" max="14" width="21.7109375" style="2" customWidth="1"/>
    <col min="15" max="15" width="2.7109375" style="2" customWidth="1"/>
    <col min="16" max="16" width="43.7109375" style="2" customWidth="1"/>
    <col min="17" max="17" width="2.7109375" style="2" customWidth="1"/>
    <col min="18" max="18" width="13.7109375" style="2" customWidth="1"/>
    <col min="19" max="19" width="2.7109375" style="2" customWidth="1"/>
    <col min="20" max="34" width="13.7109375" style="2" customWidth="1"/>
    <col min="35" max="16384" width="9.140625" style="2"/>
  </cols>
  <sheetData>
    <row r="2" spans="2:20" s="12" customFormat="1" ht="18" x14ac:dyDescent="0.2">
      <c r="B2" s="12" t="s">
        <v>498</v>
      </c>
    </row>
    <row r="4" spans="2:20" x14ac:dyDescent="0.2">
      <c r="B4" s="1" t="s">
        <v>79</v>
      </c>
    </row>
    <row r="5" spans="2:20" x14ac:dyDescent="0.2">
      <c r="B5" s="2" t="s">
        <v>499</v>
      </c>
      <c r="F5" s="13"/>
    </row>
    <row r="6" spans="2:20" x14ac:dyDescent="0.2">
      <c r="B6" s="2" t="s">
        <v>422</v>
      </c>
      <c r="F6" s="13"/>
    </row>
    <row r="7" spans="2:20" x14ac:dyDescent="0.2">
      <c r="B7" s="2" t="s">
        <v>492</v>
      </c>
      <c r="F7" s="13"/>
    </row>
    <row r="8" spans="2:20" x14ac:dyDescent="0.2">
      <c r="F8" s="13"/>
    </row>
    <row r="10" spans="2:20" s="8" customFormat="1" x14ac:dyDescent="0.2">
      <c r="B10" s="8" t="s">
        <v>80</v>
      </c>
      <c r="D10" s="8" t="s">
        <v>81</v>
      </c>
      <c r="F10" s="8" t="s">
        <v>82</v>
      </c>
      <c r="H10" s="8" t="s">
        <v>83</v>
      </c>
      <c r="J10" s="8" t="s">
        <v>68</v>
      </c>
      <c r="K10" s="8" t="s">
        <v>69</v>
      </c>
      <c r="L10" s="8" t="s">
        <v>70</v>
      </c>
      <c r="M10" s="8" t="s">
        <v>71</v>
      </c>
      <c r="N10" s="8" t="s">
        <v>72</v>
      </c>
      <c r="P10" s="8" t="s">
        <v>40</v>
      </c>
      <c r="R10" s="8" t="s">
        <v>39</v>
      </c>
    </row>
    <row r="13" spans="2:20" s="8" customFormat="1" x14ac:dyDescent="0.2">
      <c r="B13" s="8" t="s">
        <v>303</v>
      </c>
    </row>
    <row r="15" spans="2:20" x14ac:dyDescent="0.2">
      <c r="B15" s="81" t="s">
        <v>84</v>
      </c>
    </row>
    <row r="16" spans="2:20" x14ac:dyDescent="0.2">
      <c r="B16" s="2" t="s">
        <v>500</v>
      </c>
      <c r="D16" s="2" t="s">
        <v>130</v>
      </c>
      <c r="H16" s="157">
        <f>SUM(J16:N16)</f>
        <v>4840234.9799999995</v>
      </c>
      <c r="I16" s="13"/>
      <c r="J16" s="152">
        <v>2076797.0070999998</v>
      </c>
      <c r="K16" s="152">
        <v>1376192.1908999998</v>
      </c>
      <c r="L16" s="23">
        <v>652313.87099999993</v>
      </c>
      <c r="M16" s="152">
        <v>734931.91099999985</v>
      </c>
      <c r="N16" s="189"/>
      <c r="O16" s="83"/>
      <c r="P16" s="83" t="s">
        <v>85</v>
      </c>
      <c r="Q16" s="128"/>
      <c r="R16" s="128"/>
      <c r="S16" s="128"/>
      <c r="T16" s="128"/>
    </row>
    <row r="17" spans="2:20" x14ac:dyDescent="0.2">
      <c r="B17" s="2" t="s">
        <v>501</v>
      </c>
      <c r="D17" s="2" t="s">
        <v>130</v>
      </c>
      <c r="H17" s="157">
        <f>SUM(J17:N17)</f>
        <v>162360.31999999998</v>
      </c>
      <c r="I17" s="13"/>
      <c r="J17" s="152">
        <v>886.94235000000003</v>
      </c>
      <c r="K17" s="152">
        <v>128458.43064999998</v>
      </c>
      <c r="L17" s="152">
        <v>422.3535</v>
      </c>
      <c r="M17" s="152">
        <v>32592.593499999999</v>
      </c>
      <c r="N17" s="189"/>
      <c r="O17" s="83"/>
      <c r="P17" s="83" t="s">
        <v>86</v>
      </c>
      <c r="Q17" s="128"/>
      <c r="R17" s="128"/>
      <c r="S17" s="128"/>
      <c r="T17" s="128"/>
    </row>
    <row r="18" spans="2:20" x14ac:dyDescent="0.2">
      <c r="H18" s="13"/>
      <c r="I18" s="13"/>
      <c r="J18" s="83"/>
      <c r="K18" s="83"/>
      <c r="L18" s="83"/>
      <c r="M18" s="83"/>
      <c r="N18" s="83"/>
      <c r="O18" s="83"/>
      <c r="P18" s="83"/>
      <c r="Q18" s="128"/>
      <c r="R18" s="128"/>
      <c r="S18" s="128"/>
      <c r="T18" s="128"/>
    </row>
    <row r="19" spans="2:20" x14ac:dyDescent="0.2">
      <c r="B19" s="2" t="s">
        <v>502</v>
      </c>
      <c r="D19" s="2" t="s">
        <v>130</v>
      </c>
      <c r="H19" s="157">
        <f>SUM(J19:N19)</f>
        <v>4840234.9799999995</v>
      </c>
      <c r="I19" s="83"/>
      <c r="J19" s="152">
        <v>2076797.0070999998</v>
      </c>
      <c r="K19" s="152">
        <v>1376192.1908999998</v>
      </c>
      <c r="L19" s="23">
        <v>652313.87099999993</v>
      </c>
      <c r="M19" s="152">
        <v>734931.91099999985</v>
      </c>
      <c r="N19" s="189"/>
      <c r="O19" s="83"/>
      <c r="P19" s="83" t="s">
        <v>209</v>
      </c>
      <c r="Q19" s="128"/>
      <c r="R19" s="128"/>
      <c r="S19" s="128"/>
      <c r="T19" s="128"/>
    </row>
    <row r="20" spans="2:20" x14ac:dyDescent="0.2">
      <c r="B20" s="2" t="s">
        <v>503</v>
      </c>
      <c r="D20" s="2" t="s">
        <v>130</v>
      </c>
      <c r="H20" s="157">
        <f>SUM(J20:N20)</f>
        <v>162360.31999999998</v>
      </c>
      <c r="I20" s="83"/>
      <c r="J20" s="152">
        <v>886.94235000000003</v>
      </c>
      <c r="K20" s="152">
        <v>128458.43064999998</v>
      </c>
      <c r="L20" s="152">
        <v>422.3535</v>
      </c>
      <c r="M20" s="152">
        <v>32592.593499999999</v>
      </c>
      <c r="N20" s="189"/>
      <c r="O20" s="83"/>
      <c r="P20" s="83" t="s">
        <v>210</v>
      </c>
      <c r="Q20" s="128"/>
      <c r="R20" s="128"/>
      <c r="S20" s="128"/>
      <c r="T20" s="128"/>
    </row>
    <row r="21" spans="2:20" x14ac:dyDescent="0.2">
      <c r="H21" s="13"/>
      <c r="I21" s="13"/>
      <c r="J21" s="83"/>
      <c r="K21" s="83"/>
      <c r="L21" s="83"/>
      <c r="M21" s="83"/>
      <c r="N21" s="83"/>
      <c r="O21" s="83"/>
      <c r="P21" s="83"/>
      <c r="Q21" s="128"/>
      <c r="R21" s="128"/>
      <c r="S21" s="128"/>
      <c r="T21" s="128"/>
    </row>
    <row r="22" spans="2:20" x14ac:dyDescent="0.2">
      <c r="B22" s="81" t="s">
        <v>87</v>
      </c>
      <c r="H22" s="190"/>
      <c r="I22" s="159"/>
      <c r="J22" s="190"/>
      <c r="K22" s="190"/>
      <c r="L22" s="190"/>
      <c r="M22" s="190"/>
      <c r="N22" s="190"/>
      <c r="O22" s="83"/>
      <c r="P22" s="83"/>
      <c r="Q22" s="128"/>
      <c r="R22" s="128"/>
      <c r="S22" s="128"/>
      <c r="T22" s="128"/>
    </row>
    <row r="23" spans="2:20" x14ac:dyDescent="0.2">
      <c r="B23" s="2" t="s">
        <v>504</v>
      </c>
      <c r="D23" s="2" t="s">
        <v>88</v>
      </c>
      <c r="H23" s="157">
        <f>SUM(J23:N23)</f>
        <v>10211594.479806215</v>
      </c>
      <c r="I23" s="13"/>
      <c r="J23" s="152">
        <v>3498800.5176609857</v>
      </c>
      <c r="K23" s="152">
        <v>2018113.325682065</v>
      </c>
      <c r="L23" s="152">
        <v>1340233.1679049861</v>
      </c>
      <c r="M23" s="152">
        <v>3342484.5729151834</v>
      </c>
      <c r="N23" s="152">
        <v>11962.895642993451</v>
      </c>
      <c r="O23" s="83"/>
      <c r="P23" s="83" t="s">
        <v>599</v>
      </c>
      <c r="Q23" s="128"/>
      <c r="R23" s="128" t="s">
        <v>89</v>
      </c>
      <c r="S23" s="128"/>
      <c r="T23" s="128"/>
    </row>
    <row r="24" spans="2:20" x14ac:dyDescent="0.2">
      <c r="B24" s="2" t="s">
        <v>505</v>
      </c>
      <c r="D24" s="2" t="s">
        <v>88</v>
      </c>
      <c r="H24" s="157">
        <f>SUM(J24:N24)</f>
        <v>1071030.3547997535</v>
      </c>
      <c r="I24" s="13"/>
      <c r="J24" s="152">
        <v>458415.40787124331</v>
      </c>
      <c r="K24" s="152">
        <v>238571.9973477961</v>
      </c>
      <c r="L24" s="152">
        <v>137450.84816906904</v>
      </c>
      <c r="M24" s="152">
        <v>235420.0517652886</v>
      </c>
      <c r="N24" s="152">
        <v>1172.0496463563109</v>
      </c>
      <c r="O24" s="83"/>
      <c r="P24" s="83" t="s">
        <v>600</v>
      </c>
      <c r="Q24" s="128"/>
      <c r="R24" s="128" t="s">
        <v>90</v>
      </c>
      <c r="S24" s="128"/>
      <c r="T24" s="128"/>
    </row>
    <row r="25" spans="2:20" x14ac:dyDescent="0.2">
      <c r="H25" s="83"/>
      <c r="I25" s="13"/>
      <c r="J25" s="83"/>
      <c r="K25" s="83"/>
      <c r="L25" s="83"/>
      <c r="M25" s="83"/>
      <c r="N25" s="83"/>
      <c r="O25" s="83"/>
      <c r="P25" s="83"/>
      <c r="Q25" s="128"/>
      <c r="R25" s="128"/>
      <c r="S25" s="128"/>
      <c r="T25" s="128"/>
    </row>
    <row r="26" spans="2:20" x14ac:dyDescent="0.2">
      <c r="B26" s="1" t="s">
        <v>199</v>
      </c>
      <c r="H26" s="83"/>
      <c r="I26" s="13"/>
      <c r="J26" s="83"/>
      <c r="K26" s="83"/>
      <c r="L26" s="83"/>
      <c r="M26" s="83"/>
      <c r="N26" s="83"/>
      <c r="O26" s="83"/>
      <c r="P26" s="83"/>
      <c r="Q26" s="128"/>
      <c r="R26" s="128"/>
      <c r="S26" s="128"/>
      <c r="T26" s="128"/>
    </row>
    <row r="27" spans="2:20" x14ac:dyDescent="0.2">
      <c r="B27" s="2" t="s">
        <v>296</v>
      </c>
      <c r="D27" s="2" t="s">
        <v>73</v>
      </c>
      <c r="H27" s="13"/>
      <c r="I27" s="13"/>
      <c r="J27" s="180">
        <v>0.19410125059831115</v>
      </c>
      <c r="K27" s="180">
        <v>0.27580884597893079</v>
      </c>
      <c r="L27" s="180">
        <v>0.12889013723645187</v>
      </c>
      <c r="M27" s="180">
        <v>0.30232576550308171</v>
      </c>
      <c r="N27" s="180">
        <v>0.30232576550308171</v>
      </c>
      <c r="O27" s="83"/>
      <c r="P27" s="83" t="s">
        <v>493</v>
      </c>
      <c r="R27" s="2" t="s">
        <v>418</v>
      </c>
    </row>
    <row r="28" spans="2:20" x14ac:dyDescent="0.2">
      <c r="B28" s="83" t="s">
        <v>388</v>
      </c>
      <c r="D28" s="2" t="s">
        <v>73</v>
      </c>
      <c r="H28" s="13"/>
      <c r="I28" s="13"/>
      <c r="J28" s="191">
        <f>1-J27</f>
        <v>0.80589874940168882</v>
      </c>
      <c r="K28" s="191">
        <f t="shared" ref="K28:N28" si="0">1-K27</f>
        <v>0.72419115402106926</v>
      </c>
      <c r="L28" s="191">
        <f t="shared" si="0"/>
        <v>0.87110986276354807</v>
      </c>
      <c r="M28" s="191">
        <f t="shared" si="0"/>
        <v>0.69767423449691823</v>
      </c>
      <c r="N28" s="191">
        <f t="shared" si="0"/>
        <v>0.69767423449691823</v>
      </c>
      <c r="O28" s="83"/>
      <c r="P28" s="83"/>
    </row>
    <row r="29" spans="2:20" x14ac:dyDescent="0.2">
      <c r="B29" s="2" t="s">
        <v>78</v>
      </c>
      <c r="D29" s="2" t="s">
        <v>73</v>
      </c>
      <c r="H29" s="13"/>
      <c r="I29" s="13"/>
      <c r="J29" s="180">
        <v>0</v>
      </c>
      <c r="K29" s="180">
        <v>0.5</v>
      </c>
      <c r="L29" s="180">
        <v>0</v>
      </c>
      <c r="M29" s="192">
        <v>0</v>
      </c>
      <c r="N29" s="180">
        <v>0.5</v>
      </c>
      <c r="O29" s="83"/>
      <c r="P29" s="83" t="s">
        <v>494</v>
      </c>
      <c r="R29" s="2" t="s">
        <v>419</v>
      </c>
    </row>
    <row r="30" spans="2:20" x14ac:dyDescent="0.2">
      <c r="B30" s="2" t="s">
        <v>389</v>
      </c>
      <c r="D30" s="2" t="s">
        <v>73</v>
      </c>
      <c r="H30" s="13"/>
      <c r="I30" s="13"/>
      <c r="J30" s="193">
        <f>1-J29</f>
        <v>1</v>
      </c>
      <c r="K30" s="193">
        <f t="shared" ref="K30:N30" si="1">1-K29</f>
        <v>0.5</v>
      </c>
      <c r="L30" s="193">
        <f t="shared" si="1"/>
        <v>1</v>
      </c>
      <c r="M30" s="193">
        <f t="shared" si="1"/>
        <v>1</v>
      </c>
      <c r="N30" s="193">
        <f t="shared" si="1"/>
        <v>0.5</v>
      </c>
      <c r="O30" s="83"/>
      <c r="P30" s="83"/>
    </row>
    <row r="31" spans="2:20" x14ac:dyDescent="0.2">
      <c r="H31" s="13"/>
      <c r="I31" s="13"/>
      <c r="J31" s="83"/>
      <c r="K31" s="83"/>
      <c r="L31" s="83"/>
      <c r="M31" s="83"/>
      <c r="N31" s="83"/>
      <c r="O31" s="83"/>
      <c r="P31" s="83"/>
    </row>
    <row r="32" spans="2:20" s="8" customFormat="1" x14ac:dyDescent="0.2">
      <c r="B32" s="8" t="s">
        <v>304</v>
      </c>
      <c r="H32" s="42"/>
      <c r="I32" s="42"/>
      <c r="J32" s="194"/>
      <c r="K32" s="194"/>
      <c r="L32" s="194"/>
      <c r="M32" s="194"/>
      <c r="N32" s="194"/>
      <c r="O32" s="194"/>
      <c r="P32" s="194"/>
    </row>
    <row r="33" spans="2:16" x14ac:dyDescent="0.2">
      <c r="H33" s="13"/>
      <c r="I33" s="13"/>
      <c r="J33" s="83"/>
      <c r="K33" s="83"/>
      <c r="L33" s="83"/>
      <c r="M33" s="83"/>
      <c r="N33" s="83"/>
      <c r="O33" s="83"/>
      <c r="P33" s="83"/>
    </row>
    <row r="34" spans="2:16" x14ac:dyDescent="0.2">
      <c r="B34" s="1" t="s">
        <v>394</v>
      </c>
      <c r="H34" s="13"/>
      <c r="I34" s="13"/>
      <c r="J34" s="83"/>
      <c r="K34" s="83"/>
      <c r="L34" s="83"/>
      <c r="M34" s="83"/>
      <c r="N34" s="83"/>
      <c r="O34" s="83"/>
      <c r="P34" s="83"/>
    </row>
    <row r="35" spans="2:16" x14ac:dyDescent="0.2">
      <c r="B35" s="2" t="s">
        <v>395</v>
      </c>
      <c r="D35" s="2" t="s">
        <v>88</v>
      </c>
      <c r="H35" s="13"/>
      <c r="I35" s="13"/>
      <c r="J35" s="150">
        <v>50981.919999999998</v>
      </c>
      <c r="K35" s="178"/>
      <c r="L35" s="178"/>
      <c r="M35" s="178"/>
      <c r="N35" s="178"/>
      <c r="O35" s="83"/>
      <c r="P35" s="83" t="s">
        <v>423</v>
      </c>
    </row>
    <row r="36" spans="2:16" x14ac:dyDescent="0.2">
      <c r="H36" s="13"/>
      <c r="I36" s="13"/>
      <c r="J36" s="83"/>
      <c r="K36" s="83"/>
      <c r="L36" s="83"/>
      <c r="M36" s="83"/>
      <c r="N36" s="83"/>
      <c r="O36" s="83"/>
      <c r="P36" s="83"/>
    </row>
    <row r="37" spans="2:16" x14ac:dyDescent="0.2">
      <c r="B37" s="1" t="s">
        <v>435</v>
      </c>
      <c r="H37" s="13"/>
      <c r="I37" s="13"/>
      <c r="J37" s="83"/>
      <c r="K37" s="83"/>
      <c r="L37" s="83"/>
      <c r="M37" s="83"/>
      <c r="N37" s="83"/>
      <c r="O37" s="83"/>
      <c r="P37" s="83"/>
    </row>
    <row r="38" spans="2:16" x14ac:dyDescent="0.2">
      <c r="B38" s="2" t="s">
        <v>202</v>
      </c>
      <c r="D38" s="2" t="s">
        <v>113</v>
      </c>
      <c r="H38" s="13"/>
      <c r="I38" s="13"/>
      <c r="J38" s="178"/>
      <c r="K38" s="178"/>
      <c r="L38" s="178"/>
      <c r="M38" s="181">
        <f>'Data ACM'!M67</f>
        <v>518</v>
      </c>
      <c r="N38" s="178"/>
      <c r="O38" s="83"/>
      <c r="P38" s="83"/>
    </row>
    <row r="39" spans="2:16" x14ac:dyDescent="0.2">
      <c r="B39" s="2" t="s">
        <v>203</v>
      </c>
      <c r="D39" s="2" t="s">
        <v>88</v>
      </c>
      <c r="H39" s="13"/>
      <c r="I39" s="13"/>
      <c r="J39" s="178"/>
      <c r="K39" s="178"/>
      <c r="L39" s="178"/>
      <c r="M39" s="181">
        <f>'Data ACM'!M68</f>
        <v>307847</v>
      </c>
      <c r="N39" s="178"/>
      <c r="O39" s="83"/>
      <c r="P39" s="83"/>
    </row>
    <row r="40" spans="2:16" x14ac:dyDescent="0.2">
      <c r="B40" s="2" t="s">
        <v>204</v>
      </c>
      <c r="D40" s="2" t="s">
        <v>88</v>
      </c>
      <c r="H40" s="13"/>
      <c r="I40" s="13"/>
      <c r="J40" s="178"/>
      <c r="K40" s="178"/>
      <c r="L40" s="178"/>
      <c r="M40" s="181">
        <f>'Data ACM'!M69</f>
        <v>24424</v>
      </c>
      <c r="N40" s="178"/>
      <c r="O40" s="83"/>
      <c r="P40" s="83"/>
    </row>
    <row r="41" spans="2:16" x14ac:dyDescent="0.2">
      <c r="B41" s="2" t="s">
        <v>506</v>
      </c>
      <c r="D41" s="2" t="s">
        <v>113</v>
      </c>
      <c r="H41" s="13"/>
      <c r="I41" s="13"/>
      <c r="J41" s="178"/>
      <c r="K41" s="178"/>
      <c r="L41" s="178"/>
      <c r="M41" s="181">
        <f>'Historical data'!M15</f>
        <v>1178.75</v>
      </c>
      <c r="N41" s="178"/>
      <c r="O41" s="83"/>
      <c r="P41" s="83"/>
    </row>
    <row r="42" spans="2:16" x14ac:dyDescent="0.2">
      <c r="B42" s="2" t="s">
        <v>507</v>
      </c>
      <c r="D42" s="2" t="s">
        <v>88</v>
      </c>
      <c r="H42" s="13"/>
      <c r="I42" s="13"/>
      <c r="J42" s="178"/>
      <c r="K42" s="178"/>
      <c r="L42" s="178"/>
      <c r="M42" s="182">
        <f>'Financial data'!M23</f>
        <v>3342484.5729151834</v>
      </c>
      <c r="N42" s="178"/>
      <c r="O42" s="83"/>
      <c r="P42" s="83"/>
    </row>
    <row r="43" spans="2:16" x14ac:dyDescent="0.2">
      <c r="B43" s="2" t="s">
        <v>508</v>
      </c>
      <c r="D43" s="2" t="s">
        <v>88</v>
      </c>
      <c r="H43" s="13"/>
      <c r="I43" s="13"/>
      <c r="J43" s="178"/>
      <c r="K43" s="178"/>
      <c r="L43" s="178"/>
      <c r="M43" s="182">
        <f>'Financial data'!M24</f>
        <v>235420.0517652886</v>
      </c>
      <c r="N43" s="178"/>
      <c r="O43" s="83"/>
      <c r="P43" s="83"/>
    </row>
    <row r="44" spans="2:16" x14ac:dyDescent="0.2">
      <c r="B44" s="2" t="s">
        <v>307</v>
      </c>
      <c r="D44" s="2" t="s">
        <v>301</v>
      </c>
      <c r="H44" s="13"/>
      <c r="I44" s="13"/>
      <c r="J44" s="178"/>
      <c r="K44" s="178"/>
      <c r="L44" s="178"/>
      <c r="M44" s="183">
        <f>(M42-M39)/(M41-M38)</f>
        <v>4592.7167202651281</v>
      </c>
      <c r="N44" s="178"/>
      <c r="O44" s="83"/>
      <c r="P44" s="83"/>
    </row>
    <row r="45" spans="2:16" x14ac:dyDescent="0.2">
      <c r="B45" s="2" t="s">
        <v>306</v>
      </c>
      <c r="D45" s="2" t="s">
        <v>301</v>
      </c>
      <c r="H45" s="13"/>
      <c r="I45" s="13"/>
      <c r="J45" s="178"/>
      <c r="K45" s="178"/>
      <c r="L45" s="178"/>
      <c r="M45" s="183">
        <f>(M43-M40)/(M41-M38)</f>
        <v>319.32811466559002</v>
      </c>
      <c r="N45" s="178"/>
      <c r="O45" s="83"/>
      <c r="P45" s="83"/>
    </row>
    <row r="46" spans="2:16" x14ac:dyDescent="0.2">
      <c r="H46" s="13"/>
      <c r="I46" s="13"/>
      <c r="J46" s="83"/>
      <c r="K46" s="83"/>
      <c r="L46" s="83"/>
      <c r="M46" s="83"/>
      <c r="N46" s="83"/>
      <c r="O46" s="83"/>
      <c r="P46" s="83"/>
    </row>
    <row r="47" spans="2:16" x14ac:dyDescent="0.2">
      <c r="B47" s="1" t="s">
        <v>396</v>
      </c>
      <c r="H47" s="13"/>
      <c r="I47" s="13"/>
      <c r="J47" s="83"/>
      <c r="K47" s="83"/>
      <c r="L47" s="83"/>
      <c r="M47" s="83"/>
      <c r="N47" s="83"/>
      <c r="O47" s="83"/>
      <c r="P47" s="83"/>
    </row>
    <row r="48" spans="2:16" x14ac:dyDescent="0.2">
      <c r="B48" s="2" t="s">
        <v>397</v>
      </c>
      <c r="D48" s="2" t="s">
        <v>88</v>
      </c>
      <c r="H48" s="13"/>
      <c r="I48" s="13"/>
      <c r="J48" s="150">
        <v>10910300</v>
      </c>
      <c r="K48" s="178"/>
      <c r="L48" s="178"/>
      <c r="M48" s="178"/>
      <c r="N48" s="178"/>
      <c r="O48" s="83"/>
      <c r="P48" s="83" t="s">
        <v>509</v>
      </c>
    </row>
    <row r="49" spans="2:16" x14ac:dyDescent="0.2">
      <c r="B49" s="2" t="s">
        <v>398</v>
      </c>
      <c r="D49" s="2" t="s">
        <v>88</v>
      </c>
      <c r="H49" s="13"/>
      <c r="I49" s="13"/>
      <c r="J49" s="150">
        <v>10100000</v>
      </c>
      <c r="K49" s="178"/>
      <c r="L49" s="178"/>
      <c r="M49" s="178"/>
      <c r="N49" s="178"/>
      <c r="O49" s="83"/>
      <c r="P49" s="83" t="s">
        <v>420</v>
      </c>
    </row>
    <row r="50" spans="2:16" x14ac:dyDescent="0.2">
      <c r="B50" s="2" t="s">
        <v>399</v>
      </c>
      <c r="D50" s="2" t="s">
        <v>88</v>
      </c>
      <c r="H50" s="13"/>
      <c r="I50" s="13"/>
      <c r="J50" s="195">
        <f>J48-J49</f>
        <v>810300</v>
      </c>
      <c r="K50" s="178"/>
      <c r="L50" s="178"/>
      <c r="M50" s="178"/>
      <c r="N50" s="178"/>
      <c r="O50" s="83"/>
      <c r="P50" s="83"/>
    </row>
    <row r="51" spans="2:16" x14ac:dyDescent="0.2">
      <c r="B51" s="2" t="s">
        <v>495</v>
      </c>
      <c r="D51" s="2" t="s">
        <v>73</v>
      </c>
      <c r="H51" s="13"/>
      <c r="I51" s="13"/>
      <c r="J51" s="196">
        <f>Parameters!F31</f>
        <v>8.8900000000000007E-2</v>
      </c>
      <c r="K51" s="178"/>
      <c r="L51" s="178"/>
      <c r="M51" s="178"/>
      <c r="N51" s="178"/>
      <c r="O51" s="83"/>
      <c r="P51" s="83" t="s">
        <v>510</v>
      </c>
    </row>
    <row r="52" spans="2:16" x14ac:dyDescent="0.2">
      <c r="B52" s="2" t="s">
        <v>496</v>
      </c>
      <c r="D52" s="2" t="s">
        <v>88</v>
      </c>
      <c r="H52" s="13"/>
      <c r="I52" s="13"/>
      <c r="J52" s="195">
        <f>J50*J51</f>
        <v>72035.67</v>
      </c>
      <c r="K52" s="178"/>
      <c r="L52" s="178"/>
      <c r="M52" s="178"/>
      <c r="N52" s="178"/>
      <c r="O52" s="83"/>
      <c r="P52" s="83"/>
    </row>
    <row r="53" spans="2:16" x14ac:dyDescent="0.2">
      <c r="B53" s="2" t="s">
        <v>416</v>
      </c>
      <c r="D53" s="2" t="s">
        <v>88</v>
      </c>
      <c r="H53" s="13"/>
      <c r="I53" s="13"/>
      <c r="J53" s="195">
        <f>J50+J52</f>
        <v>882335.67</v>
      </c>
      <c r="K53" s="178"/>
      <c r="L53" s="178"/>
      <c r="M53" s="178"/>
      <c r="N53" s="178"/>
      <c r="O53" s="83"/>
      <c r="P53" s="83"/>
    </row>
    <row r="54" spans="2:16" x14ac:dyDescent="0.2">
      <c r="B54" s="2" t="s">
        <v>400</v>
      </c>
      <c r="H54" s="13"/>
      <c r="I54" s="13"/>
      <c r="J54" s="197">
        <v>46053</v>
      </c>
      <c r="K54" s="178"/>
      <c r="L54" s="178"/>
      <c r="M54" s="178"/>
      <c r="N54" s="178"/>
      <c r="O54" s="83"/>
      <c r="P54" s="83" t="s">
        <v>497</v>
      </c>
    </row>
    <row r="55" spans="2:16" x14ac:dyDescent="0.2">
      <c r="B55" s="2" t="s">
        <v>401</v>
      </c>
      <c r="D55" s="2" t="s">
        <v>73</v>
      </c>
      <c r="H55" s="13"/>
      <c r="I55" s="13"/>
      <c r="J55" s="198">
        <v>7.0000000000000007E-2</v>
      </c>
      <c r="K55" s="178"/>
      <c r="L55" s="178"/>
      <c r="M55" s="178"/>
      <c r="N55" s="178"/>
      <c r="O55" s="83"/>
      <c r="P55" s="83" t="s">
        <v>511</v>
      </c>
    </row>
    <row r="56" spans="2:16" x14ac:dyDescent="0.2">
      <c r="B56" s="2" t="s">
        <v>402</v>
      </c>
      <c r="D56" s="2" t="s">
        <v>88</v>
      </c>
      <c r="H56" s="13"/>
      <c r="I56" s="13"/>
      <c r="J56" s="195">
        <f>J53*J55</f>
        <v>61763.496900000006</v>
      </c>
      <c r="K56" s="178"/>
      <c r="L56" s="178"/>
      <c r="M56" s="178"/>
      <c r="N56" s="178"/>
      <c r="O56" s="83"/>
      <c r="P56" s="83"/>
    </row>
    <row r="57" spans="2:16" x14ac:dyDescent="0.2">
      <c r="B57" s="2" t="s">
        <v>488</v>
      </c>
      <c r="D57" s="2" t="s">
        <v>88</v>
      </c>
      <c r="H57" s="13"/>
      <c r="I57" s="13"/>
      <c r="J57" s="195">
        <f>((DATE(2027,1,1)-J54)/365.25)*J56</f>
        <v>56648.244932238202</v>
      </c>
      <c r="K57" s="178"/>
      <c r="L57" s="178"/>
      <c r="M57" s="178"/>
      <c r="N57" s="178"/>
      <c r="O57" s="83"/>
      <c r="P57" s="83"/>
    </row>
    <row r="58" spans="2:16" x14ac:dyDescent="0.2">
      <c r="B58" s="2" t="s">
        <v>489</v>
      </c>
      <c r="D58" s="2" t="s">
        <v>88</v>
      </c>
      <c r="H58" s="13"/>
      <c r="I58" s="13"/>
      <c r="J58" s="195">
        <f>J53-J57</f>
        <v>825687.4250677618</v>
      </c>
      <c r="K58" s="178"/>
      <c r="L58" s="178"/>
      <c r="M58" s="178"/>
      <c r="N58" s="178"/>
      <c r="O58" s="83"/>
      <c r="P58" s="83"/>
    </row>
    <row r="59" spans="2:16" x14ac:dyDescent="0.2">
      <c r="B59" s="2" t="s">
        <v>490</v>
      </c>
      <c r="D59" s="2" t="s">
        <v>88</v>
      </c>
      <c r="H59" s="13"/>
      <c r="I59" s="13"/>
      <c r="J59" s="183">
        <f>AVERAGE(J53,J58)</f>
        <v>854011.54753388092</v>
      </c>
      <c r="K59" s="178"/>
      <c r="L59" s="178"/>
      <c r="M59" s="178"/>
      <c r="N59" s="178"/>
      <c r="O59" s="83"/>
      <c r="P59" s="83"/>
    </row>
    <row r="60" spans="2:16" x14ac:dyDescent="0.2">
      <c r="B60" s="2" t="s">
        <v>403</v>
      </c>
      <c r="D60" s="2" t="s">
        <v>404</v>
      </c>
      <c r="H60" s="13"/>
      <c r="I60" s="13"/>
      <c r="J60" s="199">
        <f>((DATE(2027,1,1)-J54)/365.25)*12</f>
        <v>11.006160164271048</v>
      </c>
      <c r="K60" s="178"/>
      <c r="L60" s="178"/>
      <c r="M60" s="178"/>
      <c r="N60" s="178"/>
      <c r="O60" s="83"/>
      <c r="P60" s="83"/>
    </row>
    <row r="61" spans="2:16" x14ac:dyDescent="0.2">
      <c r="B61" s="2" t="s">
        <v>491</v>
      </c>
      <c r="D61" s="2" t="s">
        <v>88</v>
      </c>
      <c r="H61" s="13"/>
      <c r="I61" s="13"/>
      <c r="J61" s="195">
        <f>J59*J60/12</f>
        <v>783282.32285790599</v>
      </c>
      <c r="K61" s="178"/>
      <c r="L61" s="178"/>
      <c r="M61" s="178"/>
      <c r="N61" s="178"/>
      <c r="O61" s="83"/>
      <c r="P61" s="83"/>
    </row>
    <row r="62" spans="2:16" x14ac:dyDescent="0.2">
      <c r="J62" s="83"/>
      <c r="K62" s="83"/>
      <c r="L62" s="83"/>
      <c r="M62" s="83"/>
      <c r="N62" s="83"/>
      <c r="O62" s="83"/>
      <c r="P62" s="83"/>
    </row>
    <row r="63" spans="2:16" x14ac:dyDescent="0.2">
      <c r="J63" s="83"/>
      <c r="K63" s="83"/>
      <c r="L63" s="83"/>
      <c r="M63" s="83"/>
      <c r="N63" s="83"/>
      <c r="O63" s="83"/>
      <c r="P63" s="83"/>
    </row>
    <row r="64" spans="2:16" x14ac:dyDescent="0.2">
      <c r="J64" s="200"/>
      <c r="K64" s="83"/>
      <c r="L64" s="83"/>
      <c r="M64" s="83"/>
      <c r="N64" s="83"/>
      <c r="O64" s="83"/>
      <c r="P64" s="83"/>
    </row>
    <row r="65" spans="2:16" x14ac:dyDescent="0.2">
      <c r="J65" s="83"/>
      <c r="K65" s="83"/>
      <c r="L65" s="83"/>
      <c r="M65" s="83"/>
      <c r="N65" s="83"/>
      <c r="O65" s="83"/>
      <c r="P65" s="83"/>
    </row>
    <row r="66" spans="2:16" x14ac:dyDescent="0.2">
      <c r="J66" s="83"/>
      <c r="K66" s="83"/>
      <c r="L66" s="83"/>
      <c r="M66" s="83"/>
      <c r="N66" s="83"/>
      <c r="O66" s="83"/>
      <c r="P66" s="83"/>
    </row>
    <row r="67" spans="2:16" x14ac:dyDescent="0.2">
      <c r="J67" s="83"/>
      <c r="K67" s="83"/>
      <c r="L67" s="83"/>
      <c r="M67" s="83"/>
      <c r="N67" s="83"/>
      <c r="O67" s="83"/>
      <c r="P67" s="83"/>
    </row>
    <row r="73" spans="2:16" x14ac:dyDescent="0.2">
      <c r="B73" s="4" t="s">
        <v>63</v>
      </c>
    </row>
  </sheetData>
  <phoneticPr fontId="31" type="noConversion"/>
  <pageMargins left="0.7" right="0.7"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4.9989318521683403E-2"/>
  </sheetPr>
  <dimension ref="B2:B3"/>
  <sheetViews>
    <sheetView showGridLines="0" zoomScale="85" zoomScaleNormal="85" workbookViewId="0"/>
  </sheetViews>
  <sheetFormatPr defaultColWidth="9.140625" defaultRowHeight="12.75" x14ac:dyDescent="0.2"/>
  <cols>
    <col min="1" max="16384" width="9.140625" style="14"/>
  </cols>
  <sheetData>
    <row r="2" spans="2:2" x14ac:dyDescent="0.2">
      <c r="B2" s="33" t="s">
        <v>128</v>
      </c>
    </row>
    <row r="3" spans="2:2" x14ac:dyDescent="0.2">
      <c r="B3" s="33"/>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2C1CC-6907-46F5-B644-88E933494E51}">
  <sheetPr>
    <tabColor rgb="FFFFFFCC"/>
  </sheetPr>
  <dimension ref="A2:P47"/>
  <sheetViews>
    <sheetView showGridLines="0" zoomScale="80" zoomScaleNormal="80" workbookViewId="0">
      <pane xSplit="4" ySplit="10" topLeftCell="E11" activePane="bottomRight" state="frozen"/>
      <selection activeCell="L52" sqref="L52"/>
      <selection pane="topRight" activeCell="L52" sqref="L52"/>
      <selection pane="bottomLeft" activeCell="L52" sqref="L52"/>
      <selection pane="bottomRight" activeCell="E11" sqref="E11"/>
    </sheetView>
  </sheetViews>
  <sheetFormatPr defaultColWidth="9.140625" defaultRowHeight="12.75" x14ac:dyDescent="0.2"/>
  <cols>
    <col min="1" max="1" width="4.5703125" style="2" customWidth="1"/>
    <col min="2" max="2" width="78.85546875" style="2" customWidth="1"/>
    <col min="3" max="3" width="4.5703125" style="2" customWidth="1"/>
    <col min="4" max="4" width="15.42578125" style="2" customWidth="1"/>
    <col min="5" max="5" width="2.7109375" style="2" customWidth="1"/>
    <col min="6" max="6" width="13.7109375" style="2" customWidth="1"/>
    <col min="7" max="7" width="2.7109375" style="2" customWidth="1"/>
    <col min="8" max="8" width="13.7109375" style="2" customWidth="1"/>
    <col min="9" max="9" width="2.7109375" style="2" customWidth="1"/>
    <col min="10" max="14" width="21.7109375" style="2" customWidth="1"/>
    <col min="15" max="15" width="2.7109375" style="2" customWidth="1"/>
    <col min="16" max="16" width="30.7109375" style="2" customWidth="1"/>
    <col min="17" max="17" width="2.7109375" style="2" customWidth="1"/>
    <col min="18" max="27" width="12.5703125" style="2" customWidth="1"/>
    <col min="28" max="30" width="2.7109375" style="2" customWidth="1"/>
    <col min="31" max="45" width="13.7109375" style="2" customWidth="1"/>
    <col min="46" max="16384" width="9.140625" style="2"/>
  </cols>
  <sheetData>
    <row r="2" spans="1:16" s="12" customFormat="1" ht="18" x14ac:dyDescent="0.2">
      <c r="B2" s="12" t="s">
        <v>610</v>
      </c>
    </row>
    <row r="4" spans="1:16" x14ac:dyDescent="0.2">
      <c r="B4" s="19" t="s">
        <v>79</v>
      </c>
    </row>
    <row r="5" spans="1:16" x14ac:dyDescent="0.2">
      <c r="B5" s="2" t="s">
        <v>611</v>
      </c>
      <c r="F5" s="13"/>
    </row>
    <row r="6" spans="1:16" x14ac:dyDescent="0.2">
      <c r="B6" s="2" t="s">
        <v>612</v>
      </c>
      <c r="F6" s="13"/>
    </row>
    <row r="7" spans="1:16" x14ac:dyDescent="0.2">
      <c r="B7" s="2" t="s">
        <v>433</v>
      </c>
      <c r="F7" s="13"/>
    </row>
    <row r="9" spans="1:16" s="8" customFormat="1" ht="12.75" customHeight="1" x14ac:dyDescent="0.2">
      <c r="B9" s="8" t="s">
        <v>80</v>
      </c>
      <c r="D9" s="8" t="s">
        <v>81</v>
      </c>
      <c r="F9" s="8" t="s">
        <v>37</v>
      </c>
      <c r="H9" s="8" t="s">
        <v>38</v>
      </c>
      <c r="J9" s="8" t="s">
        <v>164</v>
      </c>
      <c r="K9" s="8" t="s">
        <v>69</v>
      </c>
      <c r="L9" s="8" t="s">
        <v>70</v>
      </c>
      <c r="M9" s="8" t="s">
        <v>71</v>
      </c>
      <c r="N9" s="8" t="s">
        <v>72</v>
      </c>
      <c r="P9" s="8" t="s">
        <v>39</v>
      </c>
    </row>
    <row r="12" spans="1:16" s="8" customFormat="1" x14ac:dyDescent="0.2">
      <c r="B12" s="8" t="s">
        <v>171</v>
      </c>
    </row>
    <row r="14" spans="1:16" x14ac:dyDescent="0.2">
      <c r="B14" s="1" t="s">
        <v>167</v>
      </c>
    </row>
    <row r="15" spans="1:16" s="20" customFormat="1" x14ac:dyDescent="0.2">
      <c r="A15" s="2"/>
      <c r="B15" s="20" t="s">
        <v>36</v>
      </c>
      <c r="D15" s="20" t="s">
        <v>92</v>
      </c>
      <c r="J15" s="20" t="s">
        <v>93</v>
      </c>
      <c r="K15" s="20" t="s">
        <v>94</v>
      </c>
      <c r="L15" s="20" t="s">
        <v>95</v>
      </c>
      <c r="M15" s="20" t="s">
        <v>96</v>
      </c>
      <c r="N15" s="20" t="s">
        <v>95</v>
      </c>
    </row>
    <row r="16" spans="1:16" s="20" customFormat="1" x14ac:dyDescent="0.2">
      <c r="A16" s="2"/>
      <c r="B16" s="2" t="s">
        <v>279</v>
      </c>
      <c r="C16" s="2"/>
      <c r="D16" s="20" t="s">
        <v>92</v>
      </c>
      <c r="J16" s="76"/>
      <c r="K16" s="76"/>
      <c r="L16" s="76"/>
      <c r="M16" s="26">
        <f>'Data ACM'!M34</f>
        <v>1036.1666666666667</v>
      </c>
      <c r="N16" s="76"/>
    </row>
    <row r="17" spans="2:14" x14ac:dyDescent="0.2">
      <c r="B17" s="2" t="s">
        <v>454</v>
      </c>
      <c r="D17" s="20" t="s">
        <v>92</v>
      </c>
      <c r="H17" s="20"/>
      <c r="J17" s="60">
        <f>'Historical data'!J17</f>
        <v>17242361.949999999</v>
      </c>
      <c r="K17" s="60">
        <f>'Historical data'!K15</f>
        <v>19062.5075</v>
      </c>
      <c r="L17" s="60">
        <f>'Historical data'!L15</f>
        <v>186919</v>
      </c>
      <c r="M17" s="60">
        <f>'Historical data'!M15</f>
        <v>1178.75</v>
      </c>
      <c r="N17" s="60">
        <f>'Historical data'!N15</f>
        <v>1036.5999999999999</v>
      </c>
    </row>
    <row r="18" spans="2:14" x14ac:dyDescent="0.2">
      <c r="H18" s="20"/>
      <c r="K18"/>
      <c r="M18"/>
      <c r="N18"/>
    </row>
    <row r="19" spans="2:14" x14ac:dyDescent="0.2">
      <c r="B19" s="1" t="s">
        <v>424</v>
      </c>
      <c r="H19" s="20"/>
      <c r="K19"/>
      <c r="M19"/>
      <c r="N19"/>
    </row>
    <row r="20" spans="2:14" x14ac:dyDescent="0.2">
      <c r="B20" s="2" t="s">
        <v>560</v>
      </c>
      <c r="D20" s="2" t="s">
        <v>130</v>
      </c>
      <c r="H20" s="27">
        <f>SUM(J20:N20)</f>
        <v>4326447.031532879</v>
      </c>
      <c r="J20" s="26">
        <f>'Data ACM'!J26</f>
        <v>2397353.4600111921</v>
      </c>
      <c r="K20" s="26">
        <f>'Data ACM'!K26</f>
        <v>489645.4971391334</v>
      </c>
      <c r="L20" s="26">
        <f>'Data ACM'!L26</f>
        <v>755480.47888693179</v>
      </c>
      <c r="M20" s="26">
        <f>'Data ACM'!M26</f>
        <v>674414.50767331733</v>
      </c>
      <c r="N20" s="26">
        <f>'Data ACM'!N26</f>
        <v>9553.0878223043801</v>
      </c>
    </row>
    <row r="21" spans="2:14" x14ac:dyDescent="0.2">
      <c r="B21" s="2" t="s">
        <v>561</v>
      </c>
      <c r="D21" s="2" t="s">
        <v>130</v>
      </c>
      <c r="J21" s="84"/>
      <c r="K21" s="84"/>
      <c r="L21" s="84"/>
      <c r="M21" s="26">
        <f>'Data ACM'!M27</f>
        <v>185029.71464968059</v>
      </c>
      <c r="N21" s="84"/>
    </row>
    <row r="22" spans="2:14" x14ac:dyDescent="0.2">
      <c r="B22" s="2" t="s">
        <v>562</v>
      </c>
      <c r="D22" s="2" t="s">
        <v>563</v>
      </c>
      <c r="J22" s="86">
        <f>'Data ACM'!J28</f>
        <v>2.6161065362456073E-2</v>
      </c>
      <c r="K22" s="26">
        <f>'Data ACM'!K28</f>
        <v>25.310497736553295</v>
      </c>
      <c r="L22" s="86">
        <f>'Data ACM'!L28</f>
        <v>0.4299455916369313</v>
      </c>
      <c r="M22" s="26">
        <f>'Data ACM'!M28</f>
        <v>256.55970581620693</v>
      </c>
      <c r="N22" s="26">
        <f>'Data ACM'!N28</f>
        <v>0.97279191932370968</v>
      </c>
    </row>
    <row r="23" spans="2:14" x14ac:dyDescent="0.2">
      <c r="B23" s="2" t="s">
        <v>564</v>
      </c>
      <c r="D23" s="2" t="s">
        <v>563</v>
      </c>
      <c r="J23" s="84"/>
      <c r="K23" s="84"/>
      <c r="L23" s="84"/>
      <c r="M23" s="26">
        <f>'Data ACM'!M29</f>
        <v>638.40609323957256</v>
      </c>
      <c r="N23" s="84"/>
    </row>
    <row r="25" spans="2:14" x14ac:dyDescent="0.2">
      <c r="B25" s="1" t="s">
        <v>409</v>
      </c>
    </row>
    <row r="26" spans="2:14" x14ac:dyDescent="0.2">
      <c r="B26" s="2" t="s">
        <v>560</v>
      </c>
      <c r="D26" s="2" t="s">
        <v>130</v>
      </c>
      <c r="H26" s="27">
        <f>SUM(J26:N26)</f>
        <v>4506238.3187869452</v>
      </c>
      <c r="J26" s="26">
        <f>'Data ACM'!J18</f>
        <v>2493546.5315789287</v>
      </c>
      <c r="K26" s="26">
        <f>'Data ACM'!K18</f>
        <v>509699.9188410393</v>
      </c>
      <c r="L26" s="26">
        <f>'Data ACM'!L18</f>
        <v>787065.42689036299</v>
      </c>
      <c r="M26" s="26">
        <f>'Data ACM'!M18</f>
        <v>705947.25977256079</v>
      </c>
      <c r="N26" s="26">
        <f>'Data ACM'!N18</f>
        <v>9979.1817040533169</v>
      </c>
    </row>
    <row r="27" spans="2:14" x14ac:dyDescent="0.2">
      <c r="B27" s="2" t="s">
        <v>561</v>
      </c>
      <c r="D27" s="2" t="s">
        <v>130</v>
      </c>
      <c r="J27" s="84"/>
      <c r="K27" s="84"/>
      <c r="L27" s="84"/>
      <c r="M27" s="26">
        <f>'Data ACM'!M19</f>
        <v>211119.35984977329</v>
      </c>
      <c r="N27" s="84"/>
    </row>
    <row r="28" spans="2:14" x14ac:dyDescent="0.2">
      <c r="B28" s="2" t="s">
        <v>562</v>
      </c>
      <c r="D28" s="2" t="s">
        <v>563</v>
      </c>
      <c r="J28" s="86">
        <f>'Data ACM'!J20</f>
        <v>2.6452037778014231E-2</v>
      </c>
      <c r="K28" s="26">
        <f>'Data ACM'!K20</f>
        <v>26.393842632850529</v>
      </c>
      <c r="L28" s="86">
        <f>'Data ACM'!L20</f>
        <v>0.43472759518395482</v>
      </c>
      <c r="M28" s="26">
        <f>'Data ACM'!M20</f>
        <v>259.41325158362685</v>
      </c>
      <c r="N28" s="26">
        <f>'Data ACM'!N20</f>
        <v>1.035642024771027</v>
      </c>
    </row>
    <row r="29" spans="2:14" x14ac:dyDescent="0.2">
      <c r="B29" s="2" t="s">
        <v>564</v>
      </c>
      <c r="D29" s="2" t="s">
        <v>563</v>
      </c>
      <c r="J29" s="84"/>
      <c r="K29" s="84"/>
      <c r="L29" s="84"/>
      <c r="M29" s="26">
        <f>'Data ACM'!M21</f>
        <v>729.3038827968561</v>
      </c>
      <c r="N29" s="84"/>
    </row>
    <row r="31" spans="2:14" s="8" customFormat="1" x14ac:dyDescent="0.2">
      <c r="B31" s="8" t="s">
        <v>23</v>
      </c>
    </row>
    <row r="33" spans="2:14" x14ac:dyDescent="0.2">
      <c r="B33" s="1" t="s">
        <v>410</v>
      </c>
    </row>
    <row r="34" spans="2:14" x14ac:dyDescent="0.2">
      <c r="B34" s="2" t="s">
        <v>613</v>
      </c>
      <c r="D34" s="2" t="s">
        <v>130</v>
      </c>
      <c r="J34" s="27">
        <f>J26-J20</f>
        <v>96193.071567736566</v>
      </c>
      <c r="K34" s="27">
        <f t="shared" ref="K34:N34" si="0">K26-K20</f>
        <v>20054.4217019059</v>
      </c>
      <c r="L34" s="27">
        <f t="shared" si="0"/>
        <v>31584.9480034312</v>
      </c>
      <c r="M34" s="27">
        <f t="shared" si="0"/>
        <v>31532.752099243458</v>
      </c>
      <c r="N34" s="27">
        <f t="shared" si="0"/>
        <v>426.09388174893684</v>
      </c>
    </row>
    <row r="35" spans="2:14" x14ac:dyDescent="0.2">
      <c r="B35" s="2" t="s">
        <v>614</v>
      </c>
      <c r="D35" s="2" t="s">
        <v>130</v>
      </c>
      <c r="J35" s="38"/>
      <c r="K35" s="38"/>
      <c r="L35" s="38"/>
      <c r="M35" s="27">
        <f>M27-M21</f>
        <v>26089.645200092695</v>
      </c>
      <c r="N35" s="38"/>
    </row>
    <row r="36" spans="2:14" x14ac:dyDescent="0.2">
      <c r="B36" s="2" t="s">
        <v>615</v>
      </c>
      <c r="D36" s="2" t="s">
        <v>130</v>
      </c>
      <c r="J36" s="27">
        <f>(J28-J22)*J17</f>
        <v>5017.0517065195672</v>
      </c>
      <c r="K36" s="27">
        <f t="shared" ref="K36:N36" si="1">(K28-K22)*K17</f>
        <v>20651.270210752748</v>
      </c>
      <c r="L36" s="27">
        <f t="shared" si="1"/>
        <v>893.84732100608869</v>
      </c>
      <c r="M36" s="27">
        <f t="shared" si="1"/>
        <v>3363.6170733462268</v>
      </c>
      <c r="N36" s="27">
        <f t="shared" si="1"/>
        <v>65.150419306689088</v>
      </c>
    </row>
    <row r="37" spans="2:14" x14ac:dyDescent="0.2">
      <c r="B37" s="2" t="s">
        <v>616</v>
      </c>
      <c r="D37" s="2" t="s">
        <v>130</v>
      </c>
      <c r="J37" s="38"/>
      <c r="K37" s="38"/>
      <c r="L37" s="38"/>
      <c r="M37" s="27">
        <f>(M29-M23)*(M17-M16)</f>
        <v>12960.509827709338</v>
      </c>
      <c r="N37" s="38"/>
    </row>
    <row r="39" spans="2:14" x14ac:dyDescent="0.2">
      <c r="B39" s="1" t="s">
        <v>411</v>
      </c>
    </row>
    <row r="40" spans="2:14" x14ac:dyDescent="0.2">
      <c r="B40" s="2" t="s">
        <v>610</v>
      </c>
      <c r="D40" s="2" t="s">
        <v>130</v>
      </c>
      <c r="H40" s="27">
        <f>SUM(J40:N40)</f>
        <v>248832.37901279939</v>
      </c>
      <c r="J40" s="21">
        <f>SUM(J34:J37)</f>
        <v>101210.12327425613</v>
      </c>
      <c r="K40" s="21">
        <f t="shared" ref="K40:N40" si="2">SUM(K34:K37)</f>
        <v>40705.691912658644</v>
      </c>
      <c r="L40" s="21">
        <f t="shared" si="2"/>
        <v>32478.795324437287</v>
      </c>
      <c r="M40" s="21">
        <f t="shared" si="2"/>
        <v>73946.524200391723</v>
      </c>
      <c r="N40" s="21">
        <f t="shared" si="2"/>
        <v>491.2443010556259</v>
      </c>
    </row>
    <row r="41" spans="2:14" x14ac:dyDescent="0.2">
      <c r="J41" s="134"/>
      <c r="K41" s="134"/>
      <c r="L41" s="134"/>
      <c r="M41" s="134"/>
      <c r="N41" s="134"/>
    </row>
    <row r="42" spans="2:14" x14ac:dyDescent="0.2">
      <c r="J42" s="134"/>
      <c r="K42" s="134"/>
      <c r="L42" s="134"/>
      <c r="M42" s="134"/>
      <c r="N42" s="134"/>
    </row>
    <row r="43" spans="2:14" x14ac:dyDescent="0.2">
      <c r="B43" s="4" t="s">
        <v>63</v>
      </c>
    </row>
    <row r="47" spans="2:14" x14ac:dyDescent="0.2">
      <c r="J47" s="134"/>
      <c r="K47" s="134"/>
      <c r="L47" s="134"/>
      <c r="M47" s="134"/>
      <c r="N47" s="134"/>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2FAAF-E534-4559-AB39-5CF0F422597A}">
  <sheetPr>
    <tabColor rgb="FFFFFFCC"/>
  </sheetPr>
  <dimension ref="A2:R30"/>
  <sheetViews>
    <sheetView showGridLines="0" zoomScale="80" zoomScaleNormal="80" workbookViewId="0">
      <pane xSplit="6" ySplit="8" topLeftCell="G9" activePane="bottomRight" state="frozen"/>
      <selection activeCell="L52" sqref="L52"/>
      <selection pane="topRight" activeCell="L52" sqref="L52"/>
      <selection pane="bottomLeft" activeCell="L52" sqref="L52"/>
      <selection pane="bottomRight" activeCell="G9" sqref="G9"/>
    </sheetView>
  </sheetViews>
  <sheetFormatPr defaultColWidth="9.140625" defaultRowHeight="12.75" x14ac:dyDescent="0.2"/>
  <cols>
    <col min="1" max="1" width="4.5703125" style="2" customWidth="1"/>
    <col min="2" max="2" width="41.42578125" style="2" customWidth="1"/>
    <col min="3" max="5" width="4.5703125" style="2" customWidth="1"/>
    <col min="6" max="6" width="15.4257812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6" width="21.7109375" style="2" customWidth="1"/>
    <col min="17" max="17" width="2.7109375" style="2" customWidth="1"/>
    <col min="18" max="18" width="30.7109375" style="2" customWidth="1"/>
    <col min="19" max="19" width="2.7109375" style="2" customWidth="1"/>
    <col min="20" max="29" width="12.5703125" style="2" customWidth="1"/>
    <col min="30" max="32" width="2.7109375" style="2" customWidth="1"/>
    <col min="33" max="47" width="13.7109375" style="2" customWidth="1"/>
    <col min="48" max="16384" width="9.140625" style="2"/>
  </cols>
  <sheetData>
    <row r="2" spans="1:18" s="12" customFormat="1" ht="18" x14ac:dyDescent="0.2">
      <c r="B2" s="12" t="s">
        <v>617</v>
      </c>
    </row>
    <row r="4" spans="1:18" x14ac:dyDescent="0.2">
      <c r="B4" s="19" t="s">
        <v>182</v>
      </c>
      <c r="C4" s="1"/>
      <c r="D4" s="1"/>
    </row>
    <row r="5" spans="1:18" x14ac:dyDescent="0.2">
      <c r="B5" s="2" t="s">
        <v>183</v>
      </c>
      <c r="C5" s="3"/>
      <c r="D5" s="3"/>
      <c r="H5" s="13"/>
    </row>
    <row r="7" spans="1:18" s="8" customFormat="1" ht="12.75" customHeight="1" x14ac:dyDescent="0.2">
      <c r="B7" s="8" t="s">
        <v>80</v>
      </c>
      <c r="F7" s="8" t="s">
        <v>81</v>
      </c>
      <c r="H7" s="8" t="s">
        <v>37</v>
      </c>
      <c r="J7" s="8" t="s">
        <v>38</v>
      </c>
      <c r="L7" s="8" t="s">
        <v>164</v>
      </c>
      <c r="M7" s="8" t="s">
        <v>69</v>
      </c>
      <c r="N7" s="8" t="s">
        <v>70</v>
      </c>
      <c r="O7" s="8" t="s">
        <v>71</v>
      </c>
      <c r="P7" s="8" t="s">
        <v>72</v>
      </c>
      <c r="R7" s="8" t="s">
        <v>39</v>
      </c>
    </row>
    <row r="10" spans="1:18" s="8" customFormat="1" x14ac:dyDescent="0.2">
      <c r="B10" s="8" t="s">
        <v>184</v>
      </c>
    </row>
    <row r="11" spans="1:18" x14ac:dyDescent="0.2">
      <c r="H11"/>
      <c r="I11"/>
      <c r="J11"/>
      <c r="K11"/>
    </row>
    <row r="12" spans="1:18" x14ac:dyDescent="0.2">
      <c r="B12" s="19" t="s">
        <v>436</v>
      </c>
      <c r="K12"/>
      <c r="L12"/>
      <c r="M12"/>
      <c r="N12"/>
    </row>
    <row r="13" spans="1:18" x14ac:dyDescent="0.2">
      <c r="B13" s="2" t="s">
        <v>618</v>
      </c>
      <c r="F13" s="2" t="s">
        <v>130</v>
      </c>
      <c r="J13" s="27">
        <f>SUM(L13:P13)</f>
        <v>4326447.031532879</v>
      </c>
      <c r="L13" s="60">
        <f>'Data ACM'!J26</f>
        <v>2397353.4600111921</v>
      </c>
      <c r="M13" s="60">
        <f>'Data ACM'!K26</f>
        <v>489645.4971391334</v>
      </c>
      <c r="N13" s="60">
        <f>'Data ACM'!L26</f>
        <v>755480.47888693179</v>
      </c>
      <c r="O13" s="60">
        <f>'Data ACM'!M26</f>
        <v>674414.50767331733</v>
      </c>
      <c r="P13" s="60">
        <f>'Data ACM'!N26</f>
        <v>9553.0878223043801</v>
      </c>
    </row>
    <row r="14" spans="1:18" x14ac:dyDescent="0.2">
      <c r="M14"/>
      <c r="O14"/>
      <c r="P14"/>
    </row>
    <row r="15" spans="1:18" x14ac:dyDescent="0.2">
      <c r="B15" s="1" t="s">
        <v>167</v>
      </c>
    </row>
    <row r="16" spans="1:18" s="20" customFormat="1" x14ac:dyDescent="0.2">
      <c r="A16" s="2"/>
      <c r="B16" s="20" t="s">
        <v>36</v>
      </c>
      <c r="F16" s="20" t="s">
        <v>92</v>
      </c>
      <c r="L16" s="20" t="s">
        <v>93</v>
      </c>
      <c r="M16" s="20" t="s">
        <v>94</v>
      </c>
      <c r="N16" s="20" t="s">
        <v>95</v>
      </c>
      <c r="O16" s="20" t="s">
        <v>96</v>
      </c>
      <c r="P16" s="20" t="s">
        <v>95</v>
      </c>
    </row>
    <row r="17" spans="2:18" x14ac:dyDescent="0.2">
      <c r="B17" s="2" t="s">
        <v>566</v>
      </c>
      <c r="F17" s="20" t="s">
        <v>92</v>
      </c>
      <c r="J17" s="27">
        <f>SUM(L17:P17)</f>
        <v>16771652.768227758</v>
      </c>
      <c r="L17" s="60">
        <f>'Data ACM'!J33</f>
        <v>16551729.997999959</v>
      </c>
      <c r="M17" s="60">
        <f>'Data ACM'!K33</f>
        <v>18840.837267081202</v>
      </c>
      <c r="N17" s="60">
        <f>'Data ACM'!L33</f>
        <v>197952.55799999996</v>
      </c>
      <c r="O17" s="60">
        <f>'Data ACM'!M33</f>
        <v>1149.8493807187922</v>
      </c>
      <c r="P17" s="60">
        <f>'Data ACM'!N33</f>
        <v>1979.52558</v>
      </c>
    </row>
    <row r="18" spans="2:18" x14ac:dyDescent="0.2">
      <c r="B18" s="2" t="s">
        <v>454</v>
      </c>
      <c r="F18" s="20" t="s">
        <v>92</v>
      </c>
      <c r="J18" s="27">
        <f>SUM(L18:P18)</f>
        <v>17540322.907500003</v>
      </c>
      <c r="L18" s="60">
        <f>'Historical data'!J15</f>
        <v>17332126.050000001</v>
      </c>
      <c r="M18" s="60">
        <f>'Historical data'!K15</f>
        <v>19062.5075</v>
      </c>
      <c r="N18" s="60">
        <f>'Historical data'!L15</f>
        <v>186919</v>
      </c>
      <c r="O18" s="60">
        <f>'Historical data'!M15</f>
        <v>1178.75</v>
      </c>
      <c r="P18" s="60">
        <f>'Historical data'!N15</f>
        <v>1036.5999999999999</v>
      </c>
    </row>
    <row r="19" spans="2:18" x14ac:dyDescent="0.2">
      <c r="M19"/>
      <c r="O19"/>
      <c r="P19"/>
    </row>
    <row r="20" spans="2:18" x14ac:dyDescent="0.2">
      <c r="B20" s="2" t="s">
        <v>619</v>
      </c>
      <c r="F20" s="2" t="s">
        <v>130</v>
      </c>
      <c r="L20" s="38"/>
      <c r="M20" s="60">
        <f>'Data ACM'!K73</f>
        <v>9113.5289719668417</v>
      </c>
      <c r="N20" s="38"/>
      <c r="O20" s="60">
        <f>'Data ACM'!M73</f>
        <v>30286.227099380721</v>
      </c>
      <c r="P20" s="38"/>
    </row>
    <row r="21" spans="2:18" x14ac:dyDescent="0.2">
      <c r="M21"/>
      <c r="O21"/>
      <c r="P21"/>
    </row>
    <row r="22" spans="2:18" s="8" customFormat="1" x14ac:dyDescent="0.2">
      <c r="B22" s="8" t="s">
        <v>185</v>
      </c>
    </row>
    <row r="23" spans="2:18" x14ac:dyDescent="0.2">
      <c r="M23"/>
      <c r="O23"/>
      <c r="P23"/>
    </row>
    <row r="24" spans="2:18" x14ac:dyDescent="0.2">
      <c r="B24" s="19" t="s">
        <v>186</v>
      </c>
      <c r="M24"/>
      <c r="O24"/>
      <c r="P24"/>
    </row>
    <row r="25" spans="2:18" x14ac:dyDescent="0.2">
      <c r="B25" s="2" t="s">
        <v>620</v>
      </c>
      <c r="F25" s="2" t="s">
        <v>130</v>
      </c>
      <c r="J25" s="27">
        <f>SUM(L25:P25)</f>
        <v>4415531.6523427526</v>
      </c>
      <c r="L25" s="36">
        <f>L13/L17*L18</f>
        <v>2510386.0660087187</v>
      </c>
      <c r="M25" s="36">
        <f>M13/M17*M18</f>
        <v>495406.37866790243</v>
      </c>
      <c r="N25" s="36">
        <f>N13/N17*N18</f>
        <v>713371.20904023084</v>
      </c>
      <c r="O25" s="36">
        <f>O13/O17*O18</f>
        <v>691365.42076752242</v>
      </c>
      <c r="P25" s="36">
        <f>P13/P17*P18</f>
        <v>5002.5778583779247</v>
      </c>
    </row>
    <row r="26" spans="2:18" x14ac:dyDescent="0.2">
      <c r="B26" s="32" t="s">
        <v>621</v>
      </c>
      <c r="F26" s="2" t="s">
        <v>130</v>
      </c>
      <c r="J26" s="27">
        <f>SUM(L26:P26)</f>
        <v>-49684.864738525721</v>
      </c>
      <c r="L26" s="21">
        <f>L13-L25</f>
        <v>-113032.60599752655</v>
      </c>
      <c r="M26" s="21">
        <f>M13-M25+M20</f>
        <v>3352.647443197804</v>
      </c>
      <c r="N26" s="21">
        <f>N13-N25</f>
        <v>42109.269846700947</v>
      </c>
      <c r="O26" s="21">
        <f>O13-O25+O20</f>
        <v>13335.314005175638</v>
      </c>
      <c r="P26" s="21">
        <f>P13-P25</f>
        <v>4550.5099639264554</v>
      </c>
      <c r="R26" s="2" t="s">
        <v>195</v>
      </c>
    </row>
    <row r="27" spans="2:18" x14ac:dyDescent="0.2">
      <c r="M27"/>
      <c r="N27"/>
      <c r="O27"/>
      <c r="P27"/>
    </row>
    <row r="30" spans="2:18" x14ac:dyDescent="0.2">
      <c r="B30" s="4" t="s">
        <v>63</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CC"/>
  </sheetPr>
  <dimension ref="A2:P77"/>
  <sheetViews>
    <sheetView showGridLines="0" zoomScale="80" zoomScaleNormal="80" workbookViewId="0">
      <pane xSplit="4" ySplit="8" topLeftCell="E9" activePane="bottomRight" state="frozen"/>
      <selection activeCell="L52" sqref="L52"/>
      <selection pane="topRight" activeCell="L52" sqref="L52"/>
      <selection pane="bottomLeft" activeCell="L52" sqref="L52"/>
      <selection pane="bottomRight" activeCell="E9" sqref="E9"/>
    </sheetView>
  </sheetViews>
  <sheetFormatPr defaultColWidth="9.140625" defaultRowHeight="12.75" x14ac:dyDescent="0.2"/>
  <cols>
    <col min="1" max="1" width="4.5703125" style="2" customWidth="1"/>
    <col min="2" max="2" width="49.140625" style="2" customWidth="1"/>
    <col min="3" max="3" width="4.5703125" style="2" customWidth="1"/>
    <col min="4" max="4" width="15.42578125" style="2" customWidth="1"/>
    <col min="5" max="5" width="2.7109375" style="2" customWidth="1"/>
    <col min="6" max="6" width="13.7109375" style="2" customWidth="1"/>
    <col min="7" max="7" width="2.7109375" style="2" customWidth="1"/>
    <col min="8" max="8" width="13.7109375" style="2" customWidth="1"/>
    <col min="9" max="9" width="2.7109375" style="2" customWidth="1"/>
    <col min="10" max="14" width="21.7109375" style="2" customWidth="1"/>
    <col min="15" max="15" width="2.7109375" style="2" customWidth="1"/>
    <col min="16" max="16" width="30.7109375" style="2" customWidth="1"/>
    <col min="17" max="17" width="2.7109375" style="2" customWidth="1"/>
    <col min="18" max="27" width="12.5703125" style="2" customWidth="1"/>
    <col min="28" max="30" width="2.7109375" style="2" customWidth="1"/>
    <col min="31" max="45" width="13.7109375" style="2" customWidth="1"/>
    <col min="46" max="16384" width="9.140625" style="2"/>
  </cols>
  <sheetData>
    <row r="2" spans="2:16" s="12" customFormat="1" ht="18" x14ac:dyDescent="0.2">
      <c r="B2" s="12" t="s">
        <v>196</v>
      </c>
    </row>
    <row r="4" spans="2:16" x14ac:dyDescent="0.2">
      <c r="B4" s="19" t="s">
        <v>182</v>
      </c>
    </row>
    <row r="5" spans="2:16" x14ac:dyDescent="0.2">
      <c r="B5" s="2" t="s">
        <v>197</v>
      </c>
      <c r="F5" s="13"/>
    </row>
    <row r="7" spans="2:16" s="8" customFormat="1" ht="12.75" customHeight="1" x14ac:dyDescent="0.2">
      <c r="B7" s="8" t="s">
        <v>80</v>
      </c>
      <c r="D7" s="8" t="s">
        <v>81</v>
      </c>
      <c r="F7" s="8" t="s">
        <v>37</v>
      </c>
      <c r="H7" s="8" t="s">
        <v>38</v>
      </c>
      <c r="J7" s="8" t="s">
        <v>164</v>
      </c>
      <c r="K7" s="8" t="s">
        <v>69</v>
      </c>
      <c r="L7" s="8" t="s">
        <v>70</v>
      </c>
      <c r="M7" s="8" t="s">
        <v>71</v>
      </c>
      <c r="N7" s="8" t="s">
        <v>72</v>
      </c>
      <c r="P7" s="8" t="s">
        <v>39</v>
      </c>
    </row>
    <row r="10" spans="2:16" s="8" customFormat="1" x14ac:dyDescent="0.2">
      <c r="B10" s="8" t="s">
        <v>187</v>
      </c>
    </row>
    <row r="11" spans="2:16" x14ac:dyDescent="0.2">
      <c r="B11" s="19"/>
    </row>
    <row r="12" spans="2:16" x14ac:dyDescent="0.2">
      <c r="B12" s="19" t="s">
        <v>64</v>
      </c>
    </row>
    <row r="13" spans="2:16" x14ac:dyDescent="0.2">
      <c r="B13" s="2" t="s">
        <v>449</v>
      </c>
      <c r="D13" s="2" t="s">
        <v>73</v>
      </c>
      <c r="J13" s="70">
        <f>Parameters!F26</f>
        <v>8.3799999999999999E-2</v>
      </c>
      <c r="K13" s="70">
        <f>Parameters!F27</f>
        <v>7.2800000000000004E-2</v>
      </c>
      <c r="L13" s="70">
        <f>Parameters!F28</f>
        <v>8.2500000000000004E-2</v>
      </c>
      <c r="M13" s="70">
        <f>Parameters!F28</f>
        <v>8.2500000000000004E-2</v>
      </c>
      <c r="N13" s="70">
        <f>Parameters!F28</f>
        <v>8.2500000000000004E-2</v>
      </c>
    </row>
    <row r="14" spans="2:16" x14ac:dyDescent="0.2">
      <c r="B14" s="2" t="s">
        <v>177</v>
      </c>
      <c r="D14" s="2" t="s">
        <v>73</v>
      </c>
      <c r="F14" s="63">
        <f>Parameters!F37</f>
        <v>0.5</v>
      </c>
    </row>
    <row r="16" spans="2:16" x14ac:dyDescent="0.2">
      <c r="B16" s="19" t="s">
        <v>412</v>
      </c>
    </row>
    <row r="17" spans="1:14" x14ac:dyDescent="0.2">
      <c r="B17" s="2" t="s">
        <v>622</v>
      </c>
      <c r="D17" s="2" t="s">
        <v>130</v>
      </c>
      <c r="H17" s="27">
        <f>SUM(J17:N17)</f>
        <v>4506238.3187869452</v>
      </c>
      <c r="J17" s="26">
        <f>'Data ACM'!J18</f>
        <v>2493546.5315789287</v>
      </c>
      <c r="K17" s="26">
        <f>'Data ACM'!K18</f>
        <v>509699.9188410393</v>
      </c>
      <c r="L17" s="26">
        <f>'Data ACM'!L18</f>
        <v>787065.42689036299</v>
      </c>
      <c r="M17" s="26">
        <f>'Data ACM'!M18</f>
        <v>705947.25977256079</v>
      </c>
      <c r="N17" s="26">
        <f>'Data ACM'!N18</f>
        <v>9979.1817040533169</v>
      </c>
    </row>
    <row r="18" spans="1:14" x14ac:dyDescent="0.2">
      <c r="B18" s="2" t="s">
        <v>561</v>
      </c>
      <c r="D18" s="2" t="s">
        <v>130</v>
      </c>
      <c r="J18" s="74"/>
      <c r="K18" s="74"/>
      <c r="L18" s="74"/>
      <c r="M18" s="26">
        <f>'Data ACM'!M19</f>
        <v>211119.35984977329</v>
      </c>
      <c r="N18" s="74"/>
    </row>
    <row r="19" spans="1:14" x14ac:dyDescent="0.2">
      <c r="B19" s="2" t="s">
        <v>623</v>
      </c>
      <c r="D19" s="2" t="s">
        <v>563</v>
      </c>
      <c r="J19" s="66">
        <f>'Data ACM'!J28</f>
        <v>2.6161065362456073E-2</v>
      </c>
      <c r="K19" s="66">
        <f>'Data ACM'!K28</f>
        <v>25.310497736553295</v>
      </c>
      <c r="L19" s="66">
        <f>'Data ACM'!L28</f>
        <v>0.4299455916369313</v>
      </c>
      <c r="M19" s="129">
        <f>'Data ACM'!M20</f>
        <v>259.41325158362685</v>
      </c>
      <c r="N19" s="66">
        <f>'Data ACM'!N28</f>
        <v>0.97279191932370968</v>
      </c>
    </row>
    <row r="20" spans="1:14" x14ac:dyDescent="0.2">
      <c r="B20" s="2" t="s">
        <v>564</v>
      </c>
      <c r="D20" s="2" t="s">
        <v>563</v>
      </c>
      <c r="J20" s="74"/>
      <c r="K20" s="74"/>
      <c r="L20" s="74"/>
      <c r="M20" s="66">
        <f>'Data ACM'!M21</f>
        <v>729.3038827968561</v>
      </c>
      <c r="N20" s="74"/>
    </row>
    <row r="22" spans="1:14" x14ac:dyDescent="0.2">
      <c r="B22" s="19" t="s">
        <v>188</v>
      </c>
    </row>
    <row r="23" spans="1:14" x14ac:dyDescent="0.2">
      <c r="B23" s="2" t="s">
        <v>504</v>
      </c>
      <c r="D23" s="2" t="s">
        <v>88</v>
      </c>
      <c r="H23" s="27">
        <f>SUM(J23:N23)</f>
        <v>10211594.479806215</v>
      </c>
      <c r="J23" s="26">
        <f>'Financial data'!J23</f>
        <v>3498800.5176609857</v>
      </c>
      <c r="K23" s="26">
        <f>'Financial data'!K23</f>
        <v>2018113.325682065</v>
      </c>
      <c r="L23" s="26">
        <f>'Financial data'!L23</f>
        <v>1340233.1679049861</v>
      </c>
      <c r="M23" s="26">
        <f>'Financial data'!M23</f>
        <v>3342484.5729151834</v>
      </c>
      <c r="N23" s="26">
        <f>'Financial data'!N23</f>
        <v>11962.895642993451</v>
      </c>
    </row>
    <row r="24" spans="1:14" x14ac:dyDescent="0.2">
      <c r="B24" s="2" t="s">
        <v>505</v>
      </c>
      <c r="D24" s="2" t="s">
        <v>88</v>
      </c>
      <c r="H24" s="27">
        <f>SUM(J24:N24)</f>
        <v>1071030.3547997535</v>
      </c>
      <c r="J24" s="26">
        <f>'Financial data'!J24</f>
        <v>458415.40787124331</v>
      </c>
      <c r="K24" s="26">
        <f>'Financial data'!K24</f>
        <v>238571.9973477961</v>
      </c>
      <c r="L24" s="26">
        <f>'Financial data'!L24</f>
        <v>137450.84816906904</v>
      </c>
      <c r="M24" s="26">
        <f>'Financial data'!M24</f>
        <v>235420.0517652886</v>
      </c>
      <c r="N24" s="26">
        <f>'Financial data'!N24</f>
        <v>1172.0496463563109</v>
      </c>
    </row>
    <row r="25" spans="1:14" x14ac:dyDescent="0.2">
      <c r="B25" s="2" t="s">
        <v>624</v>
      </c>
      <c r="D25" s="2" t="s">
        <v>130</v>
      </c>
      <c r="H25" s="27">
        <f>SUM(J25:N25)</f>
        <v>4840234.9799999995</v>
      </c>
      <c r="J25" s="26">
        <f>'Financial data'!J19</f>
        <v>2076797.0070999998</v>
      </c>
      <c r="K25" s="26">
        <f>'Financial data'!K19</f>
        <v>1376192.1908999998</v>
      </c>
      <c r="L25" s="26">
        <f>'Financial data'!L19</f>
        <v>652313.87099999993</v>
      </c>
      <c r="M25" s="26">
        <f>'Financial data'!M19</f>
        <v>734931.91099999985</v>
      </c>
      <c r="N25" s="26">
        <f>'Financial data'!N19</f>
        <v>0</v>
      </c>
    </row>
    <row r="26" spans="1:14" x14ac:dyDescent="0.2">
      <c r="B26" s="2" t="s">
        <v>501</v>
      </c>
      <c r="D26" s="2" t="s">
        <v>130</v>
      </c>
      <c r="H26" s="27">
        <f>SUM(J26:N26)</f>
        <v>162360.31999999998</v>
      </c>
      <c r="J26" s="26">
        <f>'Financial data'!J20</f>
        <v>886.94235000000003</v>
      </c>
      <c r="K26" s="26">
        <f>'Financial data'!K20</f>
        <v>128458.43064999998</v>
      </c>
      <c r="L26" s="26">
        <f>'Financial data'!L20</f>
        <v>422.3535</v>
      </c>
      <c r="M26" s="26">
        <f>'Financial data'!M20</f>
        <v>32592.593499999999</v>
      </c>
      <c r="N26" s="26">
        <f>'Financial data'!N20</f>
        <v>0</v>
      </c>
    </row>
    <row r="28" spans="1:14" x14ac:dyDescent="0.2">
      <c r="B28" s="1" t="s">
        <v>91</v>
      </c>
    </row>
    <row r="29" spans="1:14" s="20" customFormat="1" x14ac:dyDescent="0.2">
      <c r="A29" s="2"/>
      <c r="B29" s="20" t="s">
        <v>36</v>
      </c>
      <c r="D29" s="20" t="s">
        <v>92</v>
      </c>
      <c r="J29" s="20" t="s">
        <v>93</v>
      </c>
      <c r="K29" s="20" t="s">
        <v>94</v>
      </c>
      <c r="L29" s="20" t="s">
        <v>95</v>
      </c>
      <c r="M29" s="20" t="s">
        <v>96</v>
      </c>
      <c r="N29" s="20" t="s">
        <v>95</v>
      </c>
    </row>
    <row r="30" spans="1:14" s="20" customFormat="1" x14ac:dyDescent="0.2">
      <c r="A30" s="2"/>
      <c r="B30" s="2" t="s">
        <v>576</v>
      </c>
      <c r="D30" s="2" t="s">
        <v>92</v>
      </c>
      <c r="J30" s="76"/>
      <c r="K30" s="76"/>
      <c r="L30" s="76"/>
      <c r="M30" s="66">
        <f>'Data ACM'!M34</f>
        <v>1036.1666666666667</v>
      </c>
      <c r="N30" s="76"/>
    </row>
    <row r="31" spans="1:14" x14ac:dyDescent="0.2">
      <c r="B31" s="2" t="s">
        <v>454</v>
      </c>
      <c r="D31" s="2" t="s">
        <v>92</v>
      </c>
      <c r="J31" s="60">
        <f>'Historical data'!J17</f>
        <v>17242361.949999999</v>
      </c>
      <c r="K31" s="60">
        <f>'Historical data'!K15</f>
        <v>19062.5075</v>
      </c>
      <c r="L31" s="60">
        <f>'Historical data'!L15</f>
        <v>186919</v>
      </c>
      <c r="M31" s="60">
        <f>'Historical data'!M15</f>
        <v>1178.75</v>
      </c>
      <c r="N31" s="60">
        <f>'Historical data'!N15</f>
        <v>1036.5999999999999</v>
      </c>
    </row>
    <row r="32" spans="1:14" x14ac:dyDescent="0.2">
      <c r="B32" s="2" t="s">
        <v>460</v>
      </c>
      <c r="D32" s="2" t="s">
        <v>73</v>
      </c>
      <c r="F32" s="59">
        <f>'Historical data'!N28</f>
        <v>5.6493409492800245E-3</v>
      </c>
    </row>
    <row r="37" spans="2:16" s="8" customFormat="1" x14ac:dyDescent="0.2">
      <c r="B37" s="8" t="s">
        <v>367</v>
      </c>
    </row>
    <row r="38" spans="2:16" s="130" customFormat="1" x14ac:dyDescent="0.2"/>
    <row r="39" spans="2:16" s="130" customFormat="1" x14ac:dyDescent="0.2">
      <c r="B39" s="131" t="s">
        <v>366</v>
      </c>
      <c r="P39" s="2" t="s">
        <v>365</v>
      </c>
    </row>
    <row r="40" spans="2:16" x14ac:dyDescent="0.2">
      <c r="B40" s="2" t="s">
        <v>504</v>
      </c>
      <c r="D40" s="2" t="s">
        <v>88</v>
      </c>
      <c r="H40" s="27">
        <f t="shared" ref="H40:H42" si="0">SUM(J40:N40)</f>
        <v>10211594.479806213</v>
      </c>
      <c r="J40" s="26">
        <f t="shared" ref="J40:L43" si="1">J23</f>
        <v>3498800.5176609857</v>
      </c>
      <c r="K40" s="26">
        <f t="shared" si="1"/>
        <v>2018113.325682065</v>
      </c>
      <c r="L40" s="26">
        <f t="shared" si="1"/>
        <v>1340233.1679049861</v>
      </c>
      <c r="M40" s="27">
        <f>M23*(1-$F$32)</f>
        <v>3323601.737945077</v>
      </c>
      <c r="N40" s="27">
        <f>M23*$F$32+N23</f>
        <v>30845.73061309995</v>
      </c>
    </row>
    <row r="41" spans="2:16" x14ac:dyDescent="0.2">
      <c r="B41" s="2" t="s">
        <v>505</v>
      </c>
      <c r="D41" s="2" t="s">
        <v>88</v>
      </c>
      <c r="H41" s="27">
        <f t="shared" si="0"/>
        <v>1071030.3547997533</v>
      </c>
      <c r="J41" s="26">
        <f t="shared" si="1"/>
        <v>458415.40787124331</v>
      </c>
      <c r="K41" s="26">
        <f t="shared" si="1"/>
        <v>238571.9973477961</v>
      </c>
      <c r="L41" s="26">
        <f t="shared" si="1"/>
        <v>137450.84816906904</v>
      </c>
      <c r="M41" s="27">
        <f>M24*(1-$F$32)</f>
        <v>234090.08362656934</v>
      </c>
      <c r="N41" s="27">
        <f>M24*$F$32+N24</f>
        <v>2502.017785075579</v>
      </c>
    </row>
    <row r="42" spans="2:16" x14ac:dyDescent="0.2">
      <c r="B42" s="2" t="s">
        <v>624</v>
      </c>
      <c r="D42" s="2" t="s">
        <v>130</v>
      </c>
      <c r="H42" s="27">
        <f t="shared" si="0"/>
        <v>4840234.9799999995</v>
      </c>
      <c r="J42" s="26">
        <f t="shared" si="1"/>
        <v>2076797.0070999998</v>
      </c>
      <c r="K42" s="26">
        <f t="shared" si="1"/>
        <v>1376192.1908999998</v>
      </c>
      <c r="L42" s="26">
        <f t="shared" si="1"/>
        <v>652313.87099999993</v>
      </c>
      <c r="M42" s="27">
        <f>M25*(1-$F$32)</f>
        <v>730780.03006025485</v>
      </c>
      <c r="N42" s="27">
        <f>M25*$F$32+N25</f>
        <v>4151.8809397449213</v>
      </c>
    </row>
    <row r="43" spans="2:16" x14ac:dyDescent="0.2">
      <c r="B43" s="2" t="s">
        <v>501</v>
      </c>
      <c r="D43" s="2" t="s">
        <v>130</v>
      </c>
      <c r="H43" s="27"/>
      <c r="J43" s="26">
        <f t="shared" si="1"/>
        <v>886.94235000000003</v>
      </c>
      <c r="K43" s="26">
        <f t="shared" si="1"/>
        <v>128458.43064999998</v>
      </c>
      <c r="L43" s="26">
        <f t="shared" si="1"/>
        <v>422.3535</v>
      </c>
      <c r="M43" s="27">
        <f>M26*(1-$F$32)</f>
        <v>32408.466826897209</v>
      </c>
      <c r="N43" s="27">
        <f>M26*$F$32+N26</f>
        <v>184.12667310278795</v>
      </c>
    </row>
    <row r="45" spans="2:16" s="8" customFormat="1" x14ac:dyDescent="0.2">
      <c r="B45" s="8" t="s">
        <v>338</v>
      </c>
    </row>
    <row r="47" spans="2:16" x14ac:dyDescent="0.2">
      <c r="B47" s="1" t="s">
        <v>327</v>
      </c>
    </row>
    <row r="48" spans="2:16" x14ac:dyDescent="0.2">
      <c r="B48" s="2" t="s">
        <v>625</v>
      </c>
      <c r="D48" s="2" t="s">
        <v>130</v>
      </c>
      <c r="J48" s="27">
        <f>J40*J13+J41</f>
        <v>751614.89125123387</v>
      </c>
      <c r="K48" s="27">
        <f>K40*K13+K41</f>
        <v>385490.64745745045</v>
      </c>
      <c r="L48" s="27">
        <f>L40*L13+L41</f>
        <v>248020.0845212304</v>
      </c>
      <c r="M48" s="27">
        <f>M40*M13+M41</f>
        <v>508287.22700703819</v>
      </c>
      <c r="N48" s="27">
        <f>N40*N13+N41</f>
        <v>5046.7905606563254</v>
      </c>
    </row>
    <row r="49" spans="2:16" x14ac:dyDescent="0.2">
      <c r="B49" s="2" t="s">
        <v>626</v>
      </c>
      <c r="D49" s="2" t="s">
        <v>130</v>
      </c>
      <c r="J49" s="27">
        <f>J42-J43</f>
        <v>2075910.0647499999</v>
      </c>
      <c r="K49" s="27">
        <f>K42-K43</f>
        <v>1247733.7602499998</v>
      </c>
      <c r="L49" s="27">
        <f>L42-L43</f>
        <v>651891.51749999996</v>
      </c>
      <c r="M49" s="27">
        <f>M42-M43</f>
        <v>698371.56323335762</v>
      </c>
      <c r="N49" s="27">
        <f>N42-N43</f>
        <v>3967.7542666421332</v>
      </c>
    </row>
    <row r="51" spans="2:16" x14ac:dyDescent="0.2">
      <c r="B51" s="1" t="s">
        <v>627</v>
      </c>
    </row>
    <row r="52" spans="2:16" x14ac:dyDescent="0.2">
      <c r="B52" s="2" t="s">
        <v>628</v>
      </c>
      <c r="D52" s="2" t="s">
        <v>130</v>
      </c>
      <c r="H52" s="27">
        <f t="shared" ref="H52" si="2">SUM(J52:N52)</f>
        <v>6142061.1346186465</v>
      </c>
      <c r="J52" s="36">
        <f>J31*J19+J17</f>
        <v>2944625.0895560044</v>
      </c>
      <c r="K52" s="36">
        <f>K31*K19+K17</f>
        <v>992181.47177281952</v>
      </c>
      <c r="L52" s="36">
        <f>L31*L19+L17</f>
        <v>867430.42693354655</v>
      </c>
      <c r="M52" s="27">
        <f>M17+M18+M31*M19+M20*(M31-M30)</f>
        <v>1326836.5685486526</v>
      </c>
      <c r="N52" s="36">
        <f>N31*N19+N17</f>
        <v>10987.577807624275</v>
      </c>
    </row>
    <row r="53" spans="2:16" x14ac:dyDescent="0.2">
      <c r="B53" s="2" t="s">
        <v>629</v>
      </c>
      <c r="D53" s="2" t="s">
        <v>130</v>
      </c>
      <c r="H53" s="27">
        <f>SUM(J53:N53)</f>
        <v>6576334.3007976087</v>
      </c>
      <c r="J53" s="36">
        <f>J48+J49</f>
        <v>2827524.9560012338</v>
      </c>
      <c r="K53" s="36">
        <f t="shared" ref="K53:N53" si="3">K48+K49</f>
        <v>1633224.4077074502</v>
      </c>
      <c r="L53" s="36">
        <f t="shared" si="3"/>
        <v>899911.60202123038</v>
      </c>
      <c r="M53" s="36">
        <f t="shared" si="3"/>
        <v>1206658.7902403958</v>
      </c>
      <c r="N53" s="36">
        <f t="shared" si="3"/>
        <v>9014.5448272984577</v>
      </c>
    </row>
    <row r="55" spans="2:16" x14ac:dyDescent="0.2">
      <c r="B55" s="1" t="s">
        <v>630</v>
      </c>
    </row>
    <row r="56" spans="2:16" x14ac:dyDescent="0.2">
      <c r="B56" s="2" t="s">
        <v>631</v>
      </c>
      <c r="D56" s="2" t="s">
        <v>130</v>
      </c>
      <c r="H56" s="27">
        <f>SUM(J56:N56)</f>
        <v>-434273.16617896134</v>
      </c>
      <c r="J56" s="36">
        <f>J52-J53</f>
        <v>117100.13355477061</v>
      </c>
      <c r="K56" s="36">
        <f>K52-K53</f>
        <v>-641042.93593463069</v>
      </c>
      <c r="L56" s="36">
        <f>L52-L53</f>
        <v>-32481.175087683834</v>
      </c>
      <c r="M56" s="36">
        <f>M52-M53</f>
        <v>120177.77830825676</v>
      </c>
      <c r="N56" s="36">
        <f>N52-N53</f>
        <v>1973.0329803258173</v>
      </c>
      <c r="P56" s="2" t="s">
        <v>189</v>
      </c>
    </row>
    <row r="57" spans="2:16" x14ac:dyDescent="0.2">
      <c r="B57" s="2" t="s">
        <v>632</v>
      </c>
      <c r="D57" s="2" t="s">
        <v>130</v>
      </c>
      <c r="J57" s="21">
        <f>$F$14*J56*(-1)</f>
        <v>-58550.066777385306</v>
      </c>
      <c r="K57" s="21">
        <f>$F$14*K56*(-1)</f>
        <v>320521.46796731534</v>
      </c>
      <c r="L57" s="21">
        <f>$F$14*L56*(-1)</f>
        <v>16240.587543841917</v>
      </c>
      <c r="M57" s="21">
        <f>$F$14*M56*(-1)</f>
        <v>-60088.889154128381</v>
      </c>
      <c r="N57" s="21">
        <f>$F$14*N56*(-1)</f>
        <v>-986.51649016290867</v>
      </c>
    </row>
    <row r="59" spans="2:16" s="8" customFormat="1" x14ac:dyDescent="0.2">
      <c r="B59" s="8" t="s">
        <v>339</v>
      </c>
    </row>
    <row r="60" spans="2:16" x14ac:dyDescent="0.2">
      <c r="B60" s="1"/>
    </row>
    <row r="61" spans="2:16" x14ac:dyDescent="0.2">
      <c r="B61" s="77" t="s">
        <v>340</v>
      </c>
    </row>
    <row r="62" spans="2:16" x14ac:dyDescent="0.2">
      <c r="B62" s="2" t="s">
        <v>633</v>
      </c>
      <c r="D62" s="2" t="s">
        <v>299</v>
      </c>
      <c r="J62" s="68">
        <f>'Data ACM'!J39</f>
        <v>0.38343581143117444</v>
      </c>
      <c r="K62" s="38"/>
      <c r="L62" s="38"/>
      <c r="M62" s="38"/>
      <c r="N62" s="38"/>
    </row>
    <row r="63" spans="2:16" x14ac:dyDescent="0.2">
      <c r="B63" s="2" t="s">
        <v>634</v>
      </c>
      <c r="D63" s="2" t="s">
        <v>299</v>
      </c>
      <c r="J63" s="68">
        <f>'Data ACM'!J40</f>
        <v>0.35715770033129524</v>
      </c>
      <c r="K63" s="38"/>
      <c r="L63" s="38"/>
      <c r="M63" s="38"/>
      <c r="N63" s="38"/>
    </row>
    <row r="64" spans="2:16" x14ac:dyDescent="0.2">
      <c r="B64" s="2" t="s">
        <v>635</v>
      </c>
      <c r="D64" s="2" t="s">
        <v>299</v>
      </c>
      <c r="J64" s="53">
        <f>(J62+J63)/2</f>
        <v>0.37029675588123484</v>
      </c>
      <c r="K64" s="38"/>
      <c r="L64" s="68">
        <f>'Data ACM'!L41</f>
        <v>5.5023984424735932</v>
      </c>
      <c r="M64" s="38"/>
      <c r="N64" s="38"/>
      <c r="P64" s="2" t="s">
        <v>636</v>
      </c>
    </row>
    <row r="65" spans="2:16" x14ac:dyDescent="0.2">
      <c r="B65" s="2" t="s">
        <v>567</v>
      </c>
      <c r="D65" s="2" t="s">
        <v>73</v>
      </c>
      <c r="J65" s="38"/>
      <c r="K65" s="59">
        <f>'Data ACM'!K36</f>
        <v>0.12</v>
      </c>
      <c r="L65" s="38"/>
      <c r="M65" s="59">
        <f>'Data ACM'!M36</f>
        <v>0.22</v>
      </c>
      <c r="N65" s="38"/>
    </row>
    <row r="66" spans="2:16" x14ac:dyDescent="0.2">
      <c r="B66" s="2" t="s">
        <v>637</v>
      </c>
      <c r="D66" s="2" t="s">
        <v>73</v>
      </c>
      <c r="J66" s="38"/>
      <c r="K66" s="59">
        <f>'Historical data'!K19</f>
        <v>7.6132516822913707E-2</v>
      </c>
      <c r="L66" s="38"/>
      <c r="M66" s="59">
        <f>'Historical data'!M19</f>
        <v>0.33919836934714998</v>
      </c>
      <c r="N66" s="38"/>
    </row>
    <row r="68" spans="2:16" x14ac:dyDescent="0.2">
      <c r="B68" s="1" t="s">
        <v>638</v>
      </c>
    </row>
    <row r="69" spans="2:16" x14ac:dyDescent="0.2">
      <c r="B69" s="2" t="s">
        <v>639</v>
      </c>
      <c r="D69" s="2" t="s">
        <v>130</v>
      </c>
      <c r="J69" s="38"/>
      <c r="K69" s="82">
        <f>J64*J31*K65</f>
        <v>766174.88325780502</v>
      </c>
      <c r="L69" s="38"/>
      <c r="M69" s="82">
        <f>L64*L31*M65</f>
        <v>226270.61918311875</v>
      </c>
      <c r="N69" s="38"/>
    </row>
    <row r="70" spans="2:16" x14ac:dyDescent="0.2">
      <c r="B70" s="2" t="s">
        <v>640</v>
      </c>
      <c r="D70" s="2" t="s">
        <v>130</v>
      </c>
      <c r="J70" s="38"/>
      <c r="K70" s="82">
        <f>J64*J31*K66</f>
        <v>486090.18490765657</v>
      </c>
      <c r="L70" s="38"/>
      <c r="M70" s="82">
        <f>L64*L31*M66</f>
        <v>348866.47753674473</v>
      </c>
      <c r="N70" s="38"/>
    </row>
    <row r="72" spans="2:16" x14ac:dyDescent="0.2">
      <c r="B72" s="1" t="s">
        <v>641</v>
      </c>
    </row>
    <row r="73" spans="2:16" x14ac:dyDescent="0.2">
      <c r="B73" s="2" t="s">
        <v>642</v>
      </c>
      <c r="D73" s="2" t="s">
        <v>130</v>
      </c>
      <c r="J73" s="38"/>
      <c r="K73" s="82">
        <f>K69-K70</f>
        <v>280084.69835014845</v>
      </c>
      <c r="L73" s="38"/>
      <c r="M73" s="82">
        <f>M69-M70</f>
        <v>-122595.85835362598</v>
      </c>
      <c r="N73" s="38"/>
      <c r="P73" s="2" t="s">
        <v>189</v>
      </c>
    </row>
    <row r="74" spans="2:16" x14ac:dyDescent="0.2">
      <c r="B74" s="2" t="s">
        <v>643</v>
      </c>
      <c r="D74" s="2" t="s">
        <v>130</v>
      </c>
      <c r="J74" s="38"/>
      <c r="K74" s="21">
        <f>$F$14*K73*(-1)</f>
        <v>-140042.34917507423</v>
      </c>
      <c r="L74" s="38"/>
      <c r="M74" s="21">
        <f>$F$14*M73*(-1)</f>
        <v>61297.929176812991</v>
      </c>
      <c r="N74" s="38"/>
      <c r="P74" s="2" t="s">
        <v>190</v>
      </c>
    </row>
    <row r="75" spans="2:16" x14ac:dyDescent="0.2">
      <c r="J75" s="78"/>
      <c r="K75" s="48"/>
      <c r="L75" s="78"/>
      <c r="M75" s="48"/>
    </row>
    <row r="77" spans="2:16" x14ac:dyDescent="0.2">
      <c r="B77" s="4" t="s">
        <v>63</v>
      </c>
    </row>
  </sheetData>
  <phoneticPr fontId="31" type="noConversion"/>
  <pageMargins left="0.7" right="0.7" top="0.75" bottom="0.75" header="0.3" footer="0.3"/>
  <pageSetup paperSize="9"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3DD41-07E3-4DF5-96C3-B03E91C1BA99}">
  <sheetPr>
    <tabColor rgb="FFFFFFCC"/>
  </sheetPr>
  <dimension ref="B2:R30"/>
  <sheetViews>
    <sheetView showGridLines="0" zoomScale="80" zoomScaleNormal="80" workbookViewId="0">
      <pane xSplit="6" ySplit="11" topLeftCell="G12" activePane="bottomRight" state="frozen"/>
      <selection activeCell="L52" sqref="L52"/>
      <selection pane="topRight" activeCell="L52" sqref="L52"/>
      <selection pane="bottomLeft" activeCell="L52" sqref="L52"/>
      <selection pane="bottomRight" activeCell="G12" sqref="G12"/>
    </sheetView>
  </sheetViews>
  <sheetFormatPr defaultColWidth="9.140625" defaultRowHeight="12.75" x14ac:dyDescent="0.2"/>
  <cols>
    <col min="1" max="1" width="4.5703125" style="2" customWidth="1"/>
    <col min="2" max="2" width="41.42578125" style="2" customWidth="1"/>
    <col min="3" max="5" width="4.5703125" style="2" customWidth="1"/>
    <col min="6" max="6" width="15.4257812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6" width="21.7109375" style="2" customWidth="1"/>
    <col min="17" max="17" width="2.7109375" style="2" customWidth="1"/>
    <col min="18" max="18" width="30.7109375" style="2" customWidth="1"/>
    <col min="19" max="19" width="2.7109375" style="2" customWidth="1"/>
    <col min="20" max="29" width="12.5703125" style="2" customWidth="1"/>
    <col min="30" max="32" width="2.7109375" style="2" customWidth="1"/>
    <col min="33" max="47" width="13.7109375" style="2" customWidth="1"/>
    <col min="48" max="16384" width="9.140625" style="2"/>
  </cols>
  <sheetData>
    <row r="2" spans="2:18" s="12" customFormat="1" ht="18" x14ac:dyDescent="0.2">
      <c r="B2" s="12" t="s">
        <v>191</v>
      </c>
    </row>
    <row r="4" spans="2:18" x14ac:dyDescent="0.2">
      <c r="B4" s="19" t="s">
        <v>79</v>
      </c>
      <c r="C4" s="1"/>
      <c r="D4" s="1"/>
    </row>
    <row r="5" spans="2:18" x14ac:dyDescent="0.2">
      <c r="B5" s="2" t="s">
        <v>216</v>
      </c>
      <c r="C5" s="3"/>
      <c r="D5" s="3"/>
      <c r="H5" s="13"/>
    </row>
    <row r="6" spans="2:18" x14ac:dyDescent="0.2">
      <c r="B6" s="2" t="s">
        <v>192</v>
      </c>
      <c r="C6" s="3"/>
      <c r="D6" s="3"/>
      <c r="H6" s="13"/>
    </row>
    <row r="7" spans="2:18" x14ac:dyDescent="0.2">
      <c r="B7" s="2" t="s">
        <v>193</v>
      </c>
      <c r="C7" s="3"/>
      <c r="D7" s="3"/>
      <c r="H7" s="13"/>
    </row>
    <row r="8" spans="2:18" x14ac:dyDescent="0.2">
      <c r="B8" s="2" t="s">
        <v>644</v>
      </c>
      <c r="C8" s="3"/>
      <c r="D8" s="3"/>
    </row>
    <row r="9" spans="2:18" x14ac:dyDescent="0.2">
      <c r="B9" s="4"/>
      <c r="C9" s="3"/>
      <c r="D9" s="3"/>
    </row>
    <row r="10" spans="2:18" s="8" customFormat="1" ht="12.75" customHeight="1" x14ac:dyDescent="0.2">
      <c r="B10" s="8" t="s">
        <v>80</v>
      </c>
      <c r="F10" s="8" t="s">
        <v>81</v>
      </c>
      <c r="H10" s="8" t="s">
        <v>37</v>
      </c>
      <c r="J10" s="8" t="s">
        <v>38</v>
      </c>
      <c r="L10" s="8" t="s">
        <v>164</v>
      </c>
      <c r="M10" s="8" t="s">
        <v>69</v>
      </c>
      <c r="N10" s="8" t="s">
        <v>70</v>
      </c>
      <c r="O10" s="8" t="s">
        <v>71</v>
      </c>
      <c r="P10" s="8" t="s">
        <v>72</v>
      </c>
      <c r="R10" s="8" t="s">
        <v>39</v>
      </c>
    </row>
    <row r="13" spans="2:18" s="8" customFormat="1" x14ac:dyDescent="0.2">
      <c r="B13" s="8" t="s">
        <v>180</v>
      </c>
    </row>
    <row r="15" spans="2:18" x14ac:dyDescent="0.2">
      <c r="B15" s="1" t="s">
        <v>181</v>
      </c>
    </row>
    <row r="16" spans="2:18" x14ac:dyDescent="0.2">
      <c r="B16" s="2" t="s">
        <v>645</v>
      </c>
      <c r="F16" s="2" t="s">
        <v>95</v>
      </c>
      <c r="L16" s="10"/>
      <c r="M16" s="10"/>
      <c r="N16" s="60">
        <f>'Data ACM'!L48</f>
        <v>201600</v>
      </c>
      <c r="O16" s="10"/>
      <c r="P16" s="10"/>
    </row>
    <row r="17" spans="2:16" x14ac:dyDescent="0.2">
      <c r="B17" s="2" t="s">
        <v>551</v>
      </c>
      <c r="F17" s="2" t="s">
        <v>646</v>
      </c>
      <c r="L17" s="10"/>
      <c r="M17" s="10"/>
      <c r="N17" s="68">
        <f>'Data ACM'!L49</f>
        <v>0.29609999999999997</v>
      </c>
      <c r="O17" s="10"/>
      <c r="P17" s="10"/>
    </row>
    <row r="18" spans="2:16" x14ac:dyDescent="0.2">
      <c r="B18" s="2" t="s">
        <v>553</v>
      </c>
      <c r="F18" s="2" t="s">
        <v>646</v>
      </c>
      <c r="L18" s="10"/>
      <c r="M18" s="10"/>
      <c r="N18" s="68">
        <f>'Data ACM'!L50</f>
        <v>0.27649987622458405</v>
      </c>
      <c r="O18" s="10"/>
      <c r="P18" s="10"/>
    </row>
    <row r="19" spans="2:16" x14ac:dyDescent="0.2">
      <c r="B19" s="2" t="s">
        <v>647</v>
      </c>
      <c r="F19" s="2" t="s">
        <v>105</v>
      </c>
      <c r="L19" s="10"/>
      <c r="M19" s="10"/>
      <c r="N19" s="66">
        <f>'Data ACM'!L51</f>
        <v>4.5758463390315596</v>
      </c>
      <c r="O19" s="10"/>
      <c r="P19" s="10"/>
    </row>
    <row r="20" spans="2:16" x14ac:dyDescent="0.2">
      <c r="B20" s="2" t="s">
        <v>648</v>
      </c>
      <c r="F20" s="2" t="s">
        <v>73</v>
      </c>
      <c r="L20" s="10"/>
      <c r="M20" s="10"/>
      <c r="N20" s="66">
        <f>'Data ACM'!L52</f>
        <v>0.5</v>
      </c>
      <c r="O20" s="10"/>
      <c r="P20" s="10"/>
    </row>
    <row r="21" spans="2:16" x14ac:dyDescent="0.2">
      <c r="N21" s="22"/>
    </row>
    <row r="22" spans="2:16" s="8" customFormat="1" x14ac:dyDescent="0.2">
      <c r="B22" s="8" t="s">
        <v>194</v>
      </c>
    </row>
    <row r="23" spans="2:16" x14ac:dyDescent="0.2">
      <c r="N23" s="22"/>
    </row>
    <row r="24" spans="2:16" x14ac:dyDescent="0.2">
      <c r="B24" s="2" t="s">
        <v>649</v>
      </c>
      <c r="F24" s="2" t="s">
        <v>646</v>
      </c>
      <c r="L24" s="10"/>
      <c r="M24" s="10"/>
      <c r="N24" s="79">
        <f>N18-N17</f>
        <v>-1.9600123775415923E-2</v>
      </c>
      <c r="O24" s="10"/>
      <c r="P24" s="10"/>
    </row>
    <row r="25" spans="2:16" x14ac:dyDescent="0.2">
      <c r="B25" s="2" t="s">
        <v>650</v>
      </c>
      <c r="F25" s="2" t="s">
        <v>93</v>
      </c>
      <c r="L25" s="10"/>
      <c r="M25" s="10"/>
      <c r="N25" s="80">
        <f>N16*N20*N19</f>
        <v>461245.31097438122</v>
      </c>
      <c r="O25" s="10"/>
      <c r="P25" s="10"/>
    </row>
    <row r="26" spans="2:16" x14ac:dyDescent="0.2">
      <c r="N26" s="22"/>
    </row>
    <row r="27" spans="2:16" x14ac:dyDescent="0.2">
      <c r="B27" s="2" t="s">
        <v>651</v>
      </c>
      <c r="F27" s="2" t="s">
        <v>289</v>
      </c>
      <c r="L27" s="10"/>
      <c r="M27" s="10"/>
      <c r="N27" s="21">
        <f>N25*N24</f>
        <v>-9040.4651859280802</v>
      </c>
      <c r="O27" s="10"/>
      <c r="P27" s="10"/>
    </row>
    <row r="30" spans="2:16" x14ac:dyDescent="0.2">
      <c r="B30" s="4" t="s">
        <v>63</v>
      </c>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9B2FB-5F0B-4E4C-AC54-3EE17F70B400}">
  <sheetPr>
    <tabColor rgb="FFFFFFCC"/>
  </sheetPr>
  <dimension ref="B2:P57"/>
  <sheetViews>
    <sheetView showGridLines="0" zoomScale="80" zoomScaleNormal="80" workbookViewId="0">
      <pane xSplit="4" ySplit="8" topLeftCell="E9" activePane="bottomRight" state="frozen"/>
      <selection activeCell="L52" sqref="L52"/>
      <selection pane="topRight" activeCell="L52" sqref="L52"/>
      <selection pane="bottomLeft" activeCell="L52" sqref="L52"/>
      <selection pane="bottomRight" activeCell="E9" sqref="E9"/>
    </sheetView>
  </sheetViews>
  <sheetFormatPr defaultColWidth="9.140625" defaultRowHeight="12.75" x14ac:dyDescent="0.2"/>
  <cols>
    <col min="1" max="1" width="4.5703125" style="2" customWidth="1"/>
    <col min="2" max="2" width="50" style="2" customWidth="1"/>
    <col min="3" max="3" width="4.5703125" style="2" customWidth="1"/>
    <col min="4" max="4" width="15.42578125" style="2" customWidth="1"/>
    <col min="5" max="5" width="2.7109375" style="2" customWidth="1"/>
    <col min="6" max="6" width="13.7109375" style="2" customWidth="1"/>
    <col min="7" max="7" width="2.7109375" style="2" customWidth="1"/>
    <col min="8" max="8" width="13.7109375" style="2" customWidth="1"/>
    <col min="9" max="9" width="2.7109375" style="2" customWidth="1"/>
    <col min="10" max="14" width="21.7109375" style="2" customWidth="1"/>
    <col min="15" max="15" width="2.7109375" style="2" customWidth="1"/>
    <col min="16" max="16" width="30.7109375" style="2" customWidth="1"/>
    <col min="17" max="17" width="2.7109375" style="2" customWidth="1"/>
    <col min="18" max="27" width="12.5703125" style="2" customWidth="1"/>
    <col min="28" max="30" width="2.7109375" style="2" customWidth="1"/>
    <col min="31" max="45" width="13.7109375" style="2" customWidth="1"/>
    <col min="46" max="16384" width="9.140625" style="2"/>
  </cols>
  <sheetData>
    <row r="2" spans="2:16" s="12" customFormat="1" ht="18" x14ac:dyDescent="0.2">
      <c r="B2" s="12" t="s">
        <v>310</v>
      </c>
    </row>
    <row r="4" spans="2:16" x14ac:dyDescent="0.2">
      <c r="B4" s="19" t="s">
        <v>12</v>
      </c>
    </row>
    <row r="5" spans="2:16" x14ac:dyDescent="0.2">
      <c r="B5" s="2" t="s">
        <v>652</v>
      </c>
      <c r="F5" s="13"/>
    </row>
    <row r="6" spans="2:16" x14ac:dyDescent="0.2">
      <c r="F6" s="13"/>
    </row>
    <row r="7" spans="2:16" s="8" customFormat="1" ht="12.75" customHeight="1" x14ac:dyDescent="0.2">
      <c r="B7" s="8" t="s">
        <v>80</v>
      </c>
      <c r="D7" s="8" t="s">
        <v>81</v>
      </c>
      <c r="F7" s="8" t="s">
        <v>37</v>
      </c>
      <c r="H7" s="8" t="s">
        <v>38</v>
      </c>
      <c r="J7" s="8" t="s">
        <v>164</v>
      </c>
      <c r="K7" s="8" t="s">
        <v>69</v>
      </c>
      <c r="L7" s="8" t="s">
        <v>70</v>
      </c>
      <c r="M7" s="8" t="s">
        <v>71</v>
      </c>
      <c r="N7" s="8" t="s">
        <v>72</v>
      </c>
      <c r="P7" s="8" t="s">
        <v>39</v>
      </c>
    </row>
    <row r="10" spans="2:16" s="8" customFormat="1" x14ac:dyDescent="0.2">
      <c r="B10" s="8" t="s">
        <v>171</v>
      </c>
    </row>
    <row r="12" spans="2:16" x14ac:dyDescent="0.2">
      <c r="B12" s="19" t="s">
        <v>64</v>
      </c>
    </row>
    <row r="13" spans="2:16" x14ac:dyDescent="0.2">
      <c r="B13" s="2" t="s">
        <v>658</v>
      </c>
      <c r="D13" s="2" t="s">
        <v>73</v>
      </c>
      <c r="F13" s="70">
        <f>Parameters!F20</f>
        <v>0.03</v>
      </c>
    </row>
    <row r="14" spans="2:16" x14ac:dyDescent="0.2">
      <c r="B14" s="2" t="s">
        <v>438</v>
      </c>
      <c r="D14" s="2" t="s">
        <v>73</v>
      </c>
      <c r="F14" s="70">
        <f>Parameters!F21</f>
        <v>6.0899999999999954E-2</v>
      </c>
    </row>
    <row r="16" spans="2:16" x14ac:dyDescent="0.2">
      <c r="B16" s="1" t="s">
        <v>313</v>
      </c>
    </row>
    <row r="17" spans="2:14" x14ac:dyDescent="0.2">
      <c r="B17" s="2" t="s">
        <v>463</v>
      </c>
      <c r="D17" s="2" t="s">
        <v>130</v>
      </c>
      <c r="J17" s="26">
        <f>'Historical data'!J42</f>
        <v>476086.88579034316</v>
      </c>
      <c r="K17" s="38"/>
      <c r="L17" s="38"/>
      <c r="M17" s="38"/>
      <c r="N17" s="38"/>
    </row>
    <row r="18" spans="2:14" x14ac:dyDescent="0.2">
      <c r="B18" s="2" t="s">
        <v>763</v>
      </c>
      <c r="D18" s="2" t="s">
        <v>289</v>
      </c>
      <c r="J18" s="26">
        <f>'Historical data'!J43</f>
        <v>138730.18272042111</v>
      </c>
      <c r="K18" s="38"/>
      <c r="L18" s="38"/>
      <c r="M18" s="38"/>
      <c r="N18" s="38"/>
    </row>
    <row r="19" spans="2:14" x14ac:dyDescent="0.2">
      <c r="B19" s="2" t="s">
        <v>451</v>
      </c>
      <c r="D19" s="2" t="s">
        <v>289</v>
      </c>
      <c r="J19" s="38"/>
      <c r="K19" s="26">
        <f>'Historical data'!K44</f>
        <v>34244.222059169144</v>
      </c>
      <c r="L19" s="38"/>
      <c r="M19" s="38"/>
      <c r="N19" s="38"/>
    </row>
    <row r="21" spans="2:14" x14ac:dyDescent="0.2">
      <c r="B21" s="1" t="s">
        <v>312</v>
      </c>
    </row>
    <row r="22" spans="2:14" x14ac:dyDescent="0.2">
      <c r="B22" s="32" t="s">
        <v>621</v>
      </c>
      <c r="D22" s="2" t="s">
        <v>130</v>
      </c>
      <c r="J22" s="26">
        <f>'Volume-effect 2024'!L26</f>
        <v>-113032.60599752655</v>
      </c>
      <c r="K22" s="26">
        <f>'Volume-effect 2024'!M26</f>
        <v>3352.647443197804</v>
      </c>
      <c r="L22" s="26">
        <f>'Volume-effect 2024'!N26</f>
        <v>42109.269846700947</v>
      </c>
      <c r="M22" s="26">
        <f>'Volume-effect 2024'!O26</f>
        <v>13335.314005175638</v>
      </c>
      <c r="N22" s="26">
        <f>'Volume-effect 2024'!P26</f>
        <v>4550.5099639264554</v>
      </c>
    </row>
    <row r="23" spans="2:14" x14ac:dyDescent="0.2">
      <c r="B23" s="2" t="s">
        <v>660</v>
      </c>
      <c r="D23" s="2" t="s">
        <v>130</v>
      </c>
      <c r="J23" s="26">
        <f>'Profit Sharing 2024'!J57</f>
        <v>-58550.066777385306</v>
      </c>
      <c r="K23" s="26">
        <f>'Profit Sharing 2024'!K57</f>
        <v>320521.46796731534</v>
      </c>
      <c r="L23" s="26">
        <f>'Profit Sharing 2024'!L57</f>
        <v>16240.587543841917</v>
      </c>
      <c r="M23" s="26">
        <f>'Profit Sharing 2024'!M57</f>
        <v>-60088.889154128381</v>
      </c>
      <c r="N23" s="26">
        <f>'Profit Sharing 2024'!N57</f>
        <v>-986.51649016290867</v>
      </c>
    </row>
    <row r="24" spans="2:14" x14ac:dyDescent="0.2">
      <c r="B24" s="2" t="s">
        <v>661</v>
      </c>
      <c r="D24" s="2" t="s">
        <v>130</v>
      </c>
      <c r="J24" s="38"/>
      <c r="K24" s="26">
        <f>'Profit Sharing 2024'!K74</f>
        <v>-140042.34917507423</v>
      </c>
      <c r="L24" s="38"/>
      <c r="M24" s="26">
        <f>'Profit Sharing 2024'!M74</f>
        <v>61297.929176812991</v>
      </c>
      <c r="N24" s="38"/>
    </row>
    <row r="25" spans="2:14" x14ac:dyDescent="0.2">
      <c r="B25" s="2" t="s">
        <v>610</v>
      </c>
      <c r="D25" s="2" t="s">
        <v>130</v>
      </c>
      <c r="J25" s="26">
        <f>'WACC correction 2024'!J40</f>
        <v>101210.12327425613</v>
      </c>
      <c r="K25" s="26">
        <f>'WACC correction 2024'!K40</f>
        <v>40705.691912658644</v>
      </c>
      <c r="L25" s="26">
        <f>'WACC correction 2024'!L40</f>
        <v>32478.795324437287</v>
      </c>
      <c r="M25" s="26">
        <f>'WACC correction 2024'!M40</f>
        <v>73946.524200391723</v>
      </c>
      <c r="N25" s="26">
        <f>'WACC correction 2024'!N40</f>
        <v>491.2443010556259</v>
      </c>
    </row>
    <row r="26" spans="2:14" x14ac:dyDescent="0.2">
      <c r="B26" s="2" t="s">
        <v>651</v>
      </c>
      <c r="D26" s="2" t="s">
        <v>289</v>
      </c>
      <c r="J26" s="38"/>
      <c r="K26" s="38"/>
      <c r="L26" s="26">
        <f>'Energy cost correction 2025'!N27</f>
        <v>-9040.4651859280802</v>
      </c>
      <c r="M26" s="38"/>
      <c r="N26" s="38"/>
    </row>
    <row r="27" spans="2:14" x14ac:dyDescent="0.2">
      <c r="B27" s="2" t="s">
        <v>662</v>
      </c>
      <c r="D27" s="2" t="s">
        <v>130</v>
      </c>
      <c r="J27" s="26">
        <f>'Financial data'!J35</f>
        <v>50981.919999999998</v>
      </c>
      <c r="K27" s="84"/>
      <c r="L27" s="84"/>
      <c r="M27" s="84"/>
      <c r="N27" s="84"/>
    </row>
    <row r="29" spans="2:14" x14ac:dyDescent="0.2">
      <c r="B29" s="1" t="s">
        <v>759</v>
      </c>
    </row>
    <row r="30" spans="2:14" x14ac:dyDescent="0.2">
      <c r="B30" s="2" t="s">
        <v>601</v>
      </c>
      <c r="J30" s="188">
        <f>'Data ACM'!J43</f>
        <v>81078.496044311585</v>
      </c>
      <c r="K30" s="178"/>
      <c r="L30" s="178"/>
      <c r="M30" s="178"/>
      <c r="N30" s="178"/>
    </row>
    <row r="32" spans="2:14" x14ac:dyDescent="0.2">
      <c r="B32" s="1" t="s">
        <v>176</v>
      </c>
    </row>
    <row r="33" spans="2:14" x14ac:dyDescent="0.2">
      <c r="B33" s="20" t="s">
        <v>36</v>
      </c>
      <c r="D33" s="20" t="s">
        <v>92</v>
      </c>
      <c r="J33" s="20" t="s">
        <v>93</v>
      </c>
      <c r="K33" s="20"/>
      <c r="L33" s="20" t="s">
        <v>95</v>
      </c>
      <c r="M33" s="20"/>
      <c r="N33" s="20" t="s">
        <v>95</v>
      </c>
    </row>
    <row r="34" spans="2:14" x14ac:dyDescent="0.2">
      <c r="B34" s="2" t="s">
        <v>528</v>
      </c>
      <c r="J34" s="26">
        <f>Estimates!J71</f>
        <v>17885720.400000002</v>
      </c>
      <c r="K34" s="84"/>
      <c r="L34" s="26">
        <f>Estimates!L71</f>
        <v>229530</v>
      </c>
      <c r="M34" s="84"/>
      <c r="N34" s="26">
        <f>Estimates!N71</f>
        <v>2530</v>
      </c>
    </row>
    <row r="35" spans="2:14" x14ac:dyDescent="0.2">
      <c r="B35" s="2" t="s">
        <v>653</v>
      </c>
      <c r="D35" s="2" t="s">
        <v>93</v>
      </c>
      <c r="J35" s="26">
        <f>Estimates!J23</f>
        <v>8406288.2699999996</v>
      </c>
      <c r="K35" s="84"/>
      <c r="L35" s="84"/>
      <c r="M35" s="84"/>
      <c r="N35" s="84"/>
    </row>
    <row r="37" spans="2:14" s="8" customFormat="1" x14ac:dyDescent="0.2">
      <c r="B37" s="8" t="s">
        <v>654</v>
      </c>
    </row>
    <row r="39" spans="2:14" x14ac:dyDescent="0.2">
      <c r="B39" s="19" t="s">
        <v>205</v>
      </c>
    </row>
    <row r="40" spans="2:14" x14ac:dyDescent="0.2">
      <c r="B40" s="2" t="s">
        <v>764</v>
      </c>
      <c r="D40" s="2" t="s">
        <v>655</v>
      </c>
      <c r="H40" s="36">
        <f t="shared" ref="H40:H46" si="0">SUM(J40:N40)</f>
        <v>647972.66533700877</v>
      </c>
      <c r="J40" s="27">
        <f>J17*(1+$F$14)+J18*(1+F13)</f>
        <v>647972.66533700877</v>
      </c>
      <c r="K40" s="38"/>
      <c r="L40" s="38"/>
      <c r="M40" s="38"/>
      <c r="N40" s="38"/>
    </row>
    <row r="41" spans="2:14" x14ac:dyDescent="0.2">
      <c r="B41" s="32" t="s">
        <v>621</v>
      </c>
      <c r="D41" s="2" t="s">
        <v>655</v>
      </c>
      <c r="H41" s="36">
        <f t="shared" si="0"/>
        <v>-52710.67300110191</v>
      </c>
      <c r="J41" s="27">
        <f t="shared" ref="J41:N42" si="1">J22*(1+$F$14)</f>
        <v>-119916.29170277591</v>
      </c>
      <c r="K41" s="27">
        <f t="shared" si="1"/>
        <v>3556.8236724885501</v>
      </c>
      <c r="L41" s="27">
        <f t="shared" si="1"/>
        <v>44673.724380365034</v>
      </c>
      <c r="M41" s="27">
        <f t="shared" si="1"/>
        <v>14147.434628090834</v>
      </c>
      <c r="N41" s="27">
        <f t="shared" si="1"/>
        <v>4827.6360207295766</v>
      </c>
    </row>
    <row r="42" spans="2:14" x14ac:dyDescent="0.2">
      <c r="B42" s="2" t="s">
        <v>660</v>
      </c>
      <c r="D42" s="2" t="s">
        <v>655</v>
      </c>
      <c r="H42" s="36">
        <f t="shared" si="0"/>
        <v>230360.20099963003</v>
      </c>
      <c r="J42" s="27">
        <f t="shared" si="1"/>
        <v>-62115.765844128066</v>
      </c>
      <c r="K42" s="27">
        <f t="shared" si="1"/>
        <v>340041.22536652483</v>
      </c>
      <c r="L42" s="27">
        <f t="shared" si="1"/>
        <v>17229.639325261887</v>
      </c>
      <c r="M42" s="27">
        <f t="shared" si="1"/>
        <v>-63748.302503614796</v>
      </c>
      <c r="N42" s="27">
        <f t="shared" si="1"/>
        <v>-1046.5953444138297</v>
      </c>
    </row>
    <row r="43" spans="2:14" x14ac:dyDescent="0.2">
      <c r="B43" s="2" t="s">
        <v>610</v>
      </c>
      <c r="D43" s="2" t="s">
        <v>655</v>
      </c>
      <c r="H43" s="36">
        <f t="shared" si="0"/>
        <v>263986.27089467889</v>
      </c>
      <c r="J43" s="27">
        <f>J25*(1+$F$14)</f>
        <v>107373.81978165831</v>
      </c>
      <c r="K43" s="27">
        <f t="shared" ref="K43:N43" si="2">K25*(1+$F$14)</f>
        <v>43184.668550139555</v>
      </c>
      <c r="L43" s="27">
        <f t="shared" si="2"/>
        <v>34456.753959695518</v>
      </c>
      <c r="M43" s="27">
        <f t="shared" si="2"/>
        <v>78449.867524195579</v>
      </c>
      <c r="N43" s="27">
        <f t="shared" si="2"/>
        <v>521.16107898991345</v>
      </c>
    </row>
    <row r="44" spans="2:14" x14ac:dyDescent="0.2">
      <c r="B44" s="2" t="s">
        <v>651</v>
      </c>
      <c r="D44" s="2" t="s">
        <v>655</v>
      </c>
      <c r="H44" s="36">
        <f t="shared" si="0"/>
        <v>-9311.6791415059233</v>
      </c>
      <c r="J44" s="38"/>
      <c r="K44" s="38"/>
      <c r="L44" s="27">
        <f>L26*(1+$F$13)</f>
        <v>-9311.6791415059233</v>
      </c>
      <c r="M44" s="38"/>
      <c r="N44" s="38"/>
    </row>
    <row r="45" spans="2:14" x14ac:dyDescent="0.2">
      <c r="B45" s="2" t="s">
        <v>662</v>
      </c>
      <c r="D45" s="2" t="s">
        <v>655</v>
      </c>
      <c r="H45" s="36">
        <f t="shared" si="0"/>
        <v>54086.718927999995</v>
      </c>
      <c r="J45" s="35">
        <f>J27*(1+F14)</f>
        <v>54086.718927999995</v>
      </c>
      <c r="K45" s="38"/>
      <c r="L45" s="38"/>
      <c r="M45" s="38"/>
      <c r="N45" s="38"/>
    </row>
    <row r="46" spans="2:14" x14ac:dyDescent="0.2">
      <c r="B46" s="2" t="s">
        <v>601</v>
      </c>
      <c r="D46" s="2" t="s">
        <v>655</v>
      </c>
      <c r="H46" s="36">
        <f t="shared" si="0"/>
        <v>-86016.176453410153</v>
      </c>
      <c r="J46" s="35">
        <f>-J30*(1+F14)</f>
        <v>-86016.176453410153</v>
      </c>
      <c r="K46" s="38"/>
      <c r="L46" s="38"/>
      <c r="M46" s="38"/>
      <c r="N46" s="38"/>
    </row>
    <row r="48" spans="2:14" x14ac:dyDescent="0.2">
      <c r="B48" s="1" t="s">
        <v>311</v>
      </c>
    </row>
    <row r="49" spans="2:16" x14ac:dyDescent="0.2">
      <c r="B49" s="2" t="s">
        <v>451</v>
      </c>
      <c r="D49" s="2" t="s">
        <v>655</v>
      </c>
      <c r="H49" s="36">
        <f>SUM(J49:N49)</f>
        <v>35271.548720944222</v>
      </c>
      <c r="J49" s="38"/>
      <c r="K49" s="27">
        <f>K19*(1+$F$13)</f>
        <v>35271.548720944222</v>
      </c>
      <c r="L49" s="38"/>
      <c r="M49" s="38"/>
      <c r="N49" s="38"/>
    </row>
    <row r="50" spans="2:16" x14ac:dyDescent="0.2">
      <c r="B50" s="2" t="s">
        <v>661</v>
      </c>
      <c r="D50" s="2" t="s">
        <v>655</v>
      </c>
      <c r="H50" s="36">
        <f>SUM(J50:N50)</f>
        <v>-83539.955176155345</v>
      </c>
      <c r="J50" s="38"/>
      <c r="K50" s="27">
        <f>K24*(1+$F$14)</f>
        <v>-148570.92823983624</v>
      </c>
      <c r="L50" s="38"/>
      <c r="M50" s="27">
        <f>M24*(1+$F$14)</f>
        <v>65030.973063680896</v>
      </c>
      <c r="N50" s="38"/>
    </row>
    <row r="52" spans="2:16" x14ac:dyDescent="0.2">
      <c r="B52" s="1" t="s">
        <v>328</v>
      </c>
    </row>
    <row r="53" spans="2:16" x14ac:dyDescent="0.2">
      <c r="B53" s="2" t="s">
        <v>659</v>
      </c>
      <c r="D53" s="2" t="s">
        <v>656</v>
      </c>
      <c r="J53" s="38"/>
      <c r="K53" s="85">
        <f>K49/J35</f>
        <v>4.1958528649106422E-3</v>
      </c>
      <c r="L53" s="38"/>
      <c r="M53" s="38"/>
      <c r="N53" s="38"/>
      <c r="P53" s="2" t="s">
        <v>335</v>
      </c>
    </row>
    <row r="54" spans="2:16" x14ac:dyDescent="0.2">
      <c r="B54" s="2" t="s">
        <v>663</v>
      </c>
      <c r="D54" s="2" t="s">
        <v>657</v>
      </c>
      <c r="J54" s="38"/>
      <c r="K54" s="85">
        <f>K50/J34</f>
        <v>-8.3066784517014051E-3</v>
      </c>
      <c r="L54" s="38"/>
      <c r="M54" s="85">
        <f>M50/(L34-N34)</f>
        <v>0.28648005754925504</v>
      </c>
      <c r="N54" s="38"/>
    </row>
    <row r="57" spans="2:16" x14ac:dyDescent="0.2">
      <c r="B57" s="4" t="s">
        <v>63</v>
      </c>
    </row>
  </sheetData>
  <phoneticPr fontId="31" type="noConversion"/>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3C7A6-D0CD-4E9A-8AC4-964CA220C839}">
  <sheetPr>
    <tabColor theme="0" tint="-4.9989318521683403E-2"/>
  </sheetPr>
  <dimension ref="B2:B3"/>
  <sheetViews>
    <sheetView showGridLines="0" zoomScale="80" zoomScaleNormal="80" workbookViewId="0"/>
  </sheetViews>
  <sheetFormatPr defaultColWidth="9.140625" defaultRowHeight="12.75" x14ac:dyDescent="0.2"/>
  <cols>
    <col min="1" max="16384" width="9.140625" style="14"/>
  </cols>
  <sheetData>
    <row r="2" spans="2:2" x14ac:dyDescent="0.2">
      <c r="B2" s="33" t="s">
        <v>128</v>
      </c>
    </row>
    <row r="3" spans="2:2" x14ac:dyDescent="0.2">
      <c r="B3" s="33"/>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26FDE-B20B-464F-A124-A312451D0D3D}">
  <sheetPr>
    <tabColor rgb="FFFFFFCC"/>
  </sheetPr>
  <dimension ref="A2:P68"/>
  <sheetViews>
    <sheetView showGridLines="0" zoomScale="80" zoomScaleNormal="80" workbookViewId="0">
      <pane xSplit="4" ySplit="9" topLeftCell="E10" activePane="bottomRight" state="frozen"/>
      <selection pane="topRight" activeCell="G1" sqref="G1"/>
      <selection pane="bottomLeft" activeCell="A10" sqref="A10"/>
      <selection pane="bottomRight" activeCell="E10" sqref="E10"/>
    </sheetView>
  </sheetViews>
  <sheetFormatPr defaultColWidth="9.140625" defaultRowHeight="12.75" x14ac:dyDescent="0.2"/>
  <cols>
    <col min="1" max="1" width="4.5703125" style="2" customWidth="1"/>
    <col min="2" max="2" width="41.42578125" style="2" customWidth="1"/>
    <col min="3" max="3" width="4.5703125" style="2" customWidth="1"/>
    <col min="4" max="4" width="15.42578125" style="2" customWidth="1"/>
    <col min="5" max="5" width="2.7109375" style="2" customWidth="1"/>
    <col min="6" max="6" width="13.7109375" style="2" customWidth="1"/>
    <col min="7" max="7" width="2.7109375" style="2" customWidth="1"/>
    <col min="8" max="8" width="13.7109375" style="2" customWidth="1"/>
    <col min="9" max="9" width="2.7109375" style="2" customWidth="1"/>
    <col min="10" max="14" width="21.7109375" style="2" customWidth="1"/>
    <col min="15" max="15" width="2.7109375" style="2" customWidth="1"/>
    <col min="16" max="16" width="30.7109375" style="2" customWidth="1"/>
    <col min="17" max="17" width="2.7109375" style="2" customWidth="1"/>
    <col min="18" max="27" width="12.5703125" style="2" customWidth="1"/>
    <col min="28" max="30" width="2.7109375" style="2" customWidth="1"/>
    <col min="31" max="45" width="13.7109375" style="2" customWidth="1"/>
    <col min="46" max="16384" width="9.140625" style="2"/>
  </cols>
  <sheetData>
    <row r="2" spans="2:16" s="12" customFormat="1" ht="18" x14ac:dyDescent="0.2">
      <c r="B2" s="12" t="s">
        <v>664</v>
      </c>
    </row>
    <row r="4" spans="2:16" x14ac:dyDescent="0.2">
      <c r="B4" s="19" t="s">
        <v>182</v>
      </c>
    </row>
    <row r="5" spans="2:16" x14ac:dyDescent="0.2">
      <c r="B5" s="2" t="s">
        <v>360</v>
      </c>
      <c r="F5" s="13"/>
    </row>
    <row r="6" spans="2:16" x14ac:dyDescent="0.2">
      <c r="B6" s="2" t="s">
        <v>742</v>
      </c>
      <c r="F6" s="13"/>
    </row>
    <row r="7" spans="2:16" x14ac:dyDescent="0.2">
      <c r="F7" s="13"/>
    </row>
    <row r="8" spans="2:16" s="8" customFormat="1" ht="12.75" customHeight="1" x14ac:dyDescent="0.2">
      <c r="B8" s="8" t="s">
        <v>80</v>
      </c>
      <c r="D8" s="8" t="s">
        <v>81</v>
      </c>
      <c r="F8" s="8" t="s">
        <v>37</v>
      </c>
      <c r="H8" s="8" t="s">
        <v>38</v>
      </c>
      <c r="J8" s="8" t="s">
        <v>164</v>
      </c>
      <c r="K8" s="8" t="s">
        <v>69</v>
      </c>
      <c r="L8" s="8" t="s">
        <v>70</v>
      </c>
      <c r="M8" s="8" t="s">
        <v>71</v>
      </c>
      <c r="N8" s="8" t="s">
        <v>72</v>
      </c>
      <c r="P8" s="8" t="s">
        <v>39</v>
      </c>
    </row>
    <row r="11" spans="2:16" s="8" customFormat="1" ht="12.75" customHeight="1" x14ac:dyDescent="0.2">
      <c r="B11" s="8" t="s">
        <v>165</v>
      </c>
    </row>
    <row r="12" spans="2:16" ht="12.75" customHeight="1" x14ac:dyDescent="0.2"/>
    <row r="13" spans="2:16" ht="12.75" customHeight="1" x14ac:dyDescent="0.2">
      <c r="B13" s="19" t="s">
        <v>64</v>
      </c>
    </row>
    <row r="14" spans="2:16" ht="12.75" customHeight="1" x14ac:dyDescent="0.2">
      <c r="B14" s="2" t="s">
        <v>74</v>
      </c>
      <c r="D14" s="2" t="s">
        <v>73</v>
      </c>
      <c r="F14" s="58">
        <f>Parameters!F16</f>
        <v>3.2000000000000001E-2</v>
      </c>
    </row>
    <row r="15" spans="2:16" ht="12.75" customHeight="1" x14ac:dyDescent="0.2">
      <c r="B15" s="2" t="s">
        <v>437</v>
      </c>
      <c r="D15" s="2" t="s">
        <v>73</v>
      </c>
      <c r="F15" s="58">
        <f>Parameters!F17</f>
        <v>1.9E-2</v>
      </c>
    </row>
    <row r="16" spans="2:16" ht="12.75" customHeight="1" x14ac:dyDescent="0.2">
      <c r="B16" s="2" t="s">
        <v>443</v>
      </c>
      <c r="D16" s="2" t="s">
        <v>73</v>
      </c>
      <c r="J16" s="70">
        <f>Parameters!F31</f>
        <v>8.8900000000000007E-2</v>
      </c>
      <c r="K16" s="70">
        <f>Parameters!F32</f>
        <v>8.0799999999999997E-2</v>
      </c>
      <c r="L16" s="70">
        <f>Parameters!F33</f>
        <v>7.1300000000000002E-2</v>
      </c>
      <c r="M16" s="70">
        <f>Parameters!F33</f>
        <v>7.1300000000000002E-2</v>
      </c>
      <c r="N16" s="70">
        <f>Parameters!F33</f>
        <v>7.1300000000000002E-2</v>
      </c>
    </row>
    <row r="17" spans="1:14" ht="12.75" customHeight="1" x14ac:dyDescent="0.2">
      <c r="B17" s="2" t="s">
        <v>665</v>
      </c>
      <c r="D17" s="2" t="s">
        <v>73</v>
      </c>
      <c r="F17" s="59">
        <f>Estimates!N28</f>
        <v>1.1022524288763996E-2</v>
      </c>
    </row>
    <row r="18" spans="1:14" ht="12.75" customHeight="1" x14ac:dyDescent="0.2"/>
    <row r="19" spans="1:14" ht="12.75" customHeight="1" x14ac:dyDescent="0.2">
      <c r="B19" s="1" t="s">
        <v>167</v>
      </c>
    </row>
    <row r="20" spans="1:14" s="20" customFormat="1" ht="12.75" customHeight="1" x14ac:dyDescent="0.2">
      <c r="A20" s="2"/>
      <c r="B20" s="20" t="s">
        <v>36</v>
      </c>
      <c r="C20" s="2"/>
      <c r="D20" s="20" t="s">
        <v>92</v>
      </c>
      <c r="J20" s="20" t="s">
        <v>93</v>
      </c>
      <c r="K20" s="20" t="s">
        <v>94</v>
      </c>
      <c r="L20" s="20" t="s">
        <v>95</v>
      </c>
      <c r="M20" s="20" t="s">
        <v>96</v>
      </c>
      <c r="N20" s="20" t="s">
        <v>95</v>
      </c>
    </row>
    <row r="21" spans="1:14" ht="12.75" customHeight="1" x14ac:dyDescent="0.2">
      <c r="B21" s="2" t="s">
        <v>454</v>
      </c>
      <c r="D21" s="2" t="s">
        <v>92</v>
      </c>
      <c r="J21" s="60">
        <f>'Historical data'!J17</f>
        <v>17242361.949999999</v>
      </c>
      <c r="K21" s="60">
        <f>'Historical data'!K15</f>
        <v>19062.5075</v>
      </c>
      <c r="L21" s="60">
        <f>'Historical data'!L15</f>
        <v>186919</v>
      </c>
      <c r="M21" s="60">
        <f>'Historical data'!M15</f>
        <v>1178.75</v>
      </c>
      <c r="N21" s="60">
        <f>'Historical data'!N15</f>
        <v>1036.5999999999999</v>
      </c>
    </row>
    <row r="22" spans="1:14" ht="12.75" customHeight="1" x14ac:dyDescent="0.2"/>
    <row r="23" spans="1:14" ht="12.75" customHeight="1" x14ac:dyDescent="0.2">
      <c r="B23" s="1" t="s">
        <v>359</v>
      </c>
    </row>
    <row r="24" spans="1:14" ht="12.75" customHeight="1" x14ac:dyDescent="0.2">
      <c r="B24" s="2" t="s">
        <v>743</v>
      </c>
      <c r="D24" s="2" t="s">
        <v>130</v>
      </c>
      <c r="H24" s="36">
        <f>SUM(J24:N24)</f>
        <v>4840234.9799999995</v>
      </c>
      <c r="J24" s="60">
        <f>'Financial data'!J16</f>
        <v>2076797.0070999998</v>
      </c>
      <c r="K24" s="60">
        <f>'Financial data'!K16</f>
        <v>1376192.1908999998</v>
      </c>
      <c r="L24" s="60">
        <f>'Financial data'!L16</f>
        <v>652313.87099999993</v>
      </c>
      <c r="M24" s="60">
        <f>'Financial data'!M16</f>
        <v>734931.91099999985</v>
      </c>
      <c r="N24" s="57"/>
    </row>
    <row r="25" spans="1:14" ht="12.75" customHeight="1" x14ac:dyDescent="0.2">
      <c r="B25" s="2" t="s">
        <v>744</v>
      </c>
      <c r="D25" s="2" t="s">
        <v>130</v>
      </c>
      <c r="H25" s="36">
        <f>SUM(J25:N25)</f>
        <v>162360.31999999998</v>
      </c>
      <c r="J25" s="60">
        <f>'Financial data'!J17</f>
        <v>886.94235000000003</v>
      </c>
      <c r="K25" s="60">
        <f>'Financial data'!K17</f>
        <v>128458.43064999998</v>
      </c>
      <c r="L25" s="60">
        <f>'Financial data'!L17</f>
        <v>422.3535</v>
      </c>
      <c r="M25" s="60">
        <f>'Financial data'!M17</f>
        <v>32592.593499999999</v>
      </c>
      <c r="N25" s="57"/>
    </row>
    <row r="26" spans="1:14" ht="12.75" customHeight="1" x14ac:dyDescent="0.2">
      <c r="B26" s="2" t="s">
        <v>504</v>
      </c>
      <c r="D26" s="2" t="s">
        <v>88</v>
      </c>
      <c r="H26" s="36">
        <f>SUM(J26:N26)</f>
        <v>10211594.479806215</v>
      </c>
      <c r="J26" s="60">
        <f>'Financial data'!J23</f>
        <v>3498800.5176609857</v>
      </c>
      <c r="K26" s="60">
        <f>'Financial data'!K23</f>
        <v>2018113.325682065</v>
      </c>
      <c r="L26" s="60">
        <f>'Financial data'!L23</f>
        <v>1340233.1679049861</v>
      </c>
      <c r="M26" s="60">
        <f>'Financial data'!M23</f>
        <v>3342484.5729151834</v>
      </c>
      <c r="N26" s="60">
        <f>'Financial data'!N23</f>
        <v>11962.895642993451</v>
      </c>
    </row>
    <row r="27" spans="1:14" ht="12.75" customHeight="1" x14ac:dyDescent="0.2">
      <c r="B27" s="2" t="s">
        <v>745</v>
      </c>
      <c r="D27" s="2" t="s">
        <v>88</v>
      </c>
      <c r="H27" s="36">
        <f>SUM(J27:N27)</f>
        <v>1071030.3547997535</v>
      </c>
      <c r="J27" s="60">
        <f>'Financial data'!J24</f>
        <v>458415.40787124331</v>
      </c>
      <c r="K27" s="60">
        <f>'Financial data'!K24</f>
        <v>238571.9973477961</v>
      </c>
      <c r="L27" s="60">
        <f>'Financial data'!L24</f>
        <v>137450.84816906904</v>
      </c>
      <c r="M27" s="60">
        <f>'Financial data'!M24</f>
        <v>235420.0517652886</v>
      </c>
      <c r="N27" s="60">
        <f>'Financial data'!N24</f>
        <v>1172.0496463563109</v>
      </c>
    </row>
    <row r="28" spans="1:14" ht="12.75" customHeight="1" x14ac:dyDescent="0.2">
      <c r="B28" s="2" t="s">
        <v>166</v>
      </c>
      <c r="D28" s="2" t="s">
        <v>130</v>
      </c>
      <c r="H28" s="36">
        <f>SUM(J28:N28)</f>
        <v>39576.33453334104</v>
      </c>
      <c r="J28" s="61"/>
      <c r="K28" s="61"/>
      <c r="L28" s="61"/>
      <c r="M28" s="60">
        <f>'Historical data'!M24</f>
        <v>39576.33453334104</v>
      </c>
      <c r="N28" s="57"/>
    </row>
    <row r="29" spans="1:14" ht="12.75" customHeight="1" x14ac:dyDescent="0.2">
      <c r="B29" s="2" t="s">
        <v>296</v>
      </c>
      <c r="D29" s="2" t="s">
        <v>73</v>
      </c>
      <c r="J29" s="63">
        <f>'Financial data'!J27</f>
        <v>0.19410125059831115</v>
      </c>
      <c r="K29" s="63">
        <f>'Financial data'!K27</f>
        <v>0.27580884597893079</v>
      </c>
      <c r="L29" s="63">
        <f>'Financial data'!L27</f>
        <v>0.12889013723645187</v>
      </c>
      <c r="M29" s="63">
        <f>'Financial data'!M27</f>
        <v>0.30232576550308171</v>
      </c>
      <c r="N29" s="63">
        <f>'Financial data'!N27</f>
        <v>0.30232576550308171</v>
      </c>
    </row>
    <row r="30" spans="1:14" ht="12.75" customHeight="1" x14ac:dyDescent="0.2">
      <c r="B30" s="2" t="s">
        <v>388</v>
      </c>
      <c r="D30" s="2" t="s">
        <v>73</v>
      </c>
      <c r="J30" s="63">
        <f>'Financial data'!J28</f>
        <v>0.80589874940168882</v>
      </c>
      <c r="K30" s="63">
        <f>'Financial data'!K28</f>
        <v>0.72419115402106926</v>
      </c>
      <c r="L30" s="63">
        <f>'Financial data'!L28</f>
        <v>0.87110986276354807</v>
      </c>
      <c r="M30" s="63">
        <f>'Financial data'!M28</f>
        <v>0.69767423449691823</v>
      </c>
      <c r="N30" s="63">
        <f>'Financial data'!N28</f>
        <v>0.69767423449691823</v>
      </c>
    </row>
    <row r="31" spans="1:14" ht="12.75" customHeight="1" x14ac:dyDescent="0.2">
      <c r="B31" s="2" t="s">
        <v>78</v>
      </c>
      <c r="D31" s="2" t="s">
        <v>73</v>
      </c>
      <c r="J31" s="63">
        <f>'Financial data'!J29</f>
        <v>0</v>
      </c>
      <c r="K31" s="63">
        <f>'Financial data'!K29</f>
        <v>0.5</v>
      </c>
      <c r="L31" s="63">
        <f>'Financial data'!L29</f>
        <v>0</v>
      </c>
      <c r="M31" s="63">
        <f>'Financial data'!M29</f>
        <v>0</v>
      </c>
      <c r="N31" s="63">
        <f>'Financial data'!N29</f>
        <v>0.5</v>
      </c>
    </row>
    <row r="32" spans="1:14" ht="12.75" customHeight="1" x14ac:dyDescent="0.2">
      <c r="B32" s="2" t="s">
        <v>389</v>
      </c>
      <c r="D32" s="2" t="s">
        <v>73</v>
      </c>
      <c r="J32" s="63">
        <f>'Financial data'!J30</f>
        <v>1</v>
      </c>
      <c r="K32" s="63">
        <f>'Financial data'!K30</f>
        <v>0.5</v>
      </c>
      <c r="L32" s="63">
        <f>'Financial data'!L30</f>
        <v>1</v>
      </c>
      <c r="M32" s="63">
        <f>'Financial data'!M30</f>
        <v>1</v>
      </c>
      <c r="N32" s="63">
        <f>'Financial data'!N30</f>
        <v>0.5</v>
      </c>
    </row>
    <row r="34" spans="1:16" ht="12.75" customHeight="1" x14ac:dyDescent="0.2">
      <c r="B34" s="1" t="s">
        <v>304</v>
      </c>
    </row>
    <row r="35" spans="1:16" ht="12.75" customHeight="1" x14ac:dyDescent="0.2">
      <c r="B35" s="2" t="s">
        <v>292</v>
      </c>
      <c r="D35" s="2" t="s">
        <v>291</v>
      </c>
      <c r="J35" s="10"/>
      <c r="K35" s="10"/>
      <c r="L35" s="10"/>
      <c r="M35" s="60">
        <f>'Financial data'!M44</f>
        <v>4592.7167202651281</v>
      </c>
      <c r="N35" s="10"/>
    </row>
    <row r="36" spans="1:16" ht="12.75" customHeight="1" x14ac:dyDescent="0.2">
      <c r="B36" s="2" t="s">
        <v>293</v>
      </c>
      <c r="D36" s="2" t="s">
        <v>291</v>
      </c>
      <c r="J36" s="10"/>
      <c r="K36" s="10"/>
      <c r="L36" s="10"/>
      <c r="M36" s="60">
        <f>'Financial data'!M45</f>
        <v>319.32811466559002</v>
      </c>
      <c r="N36" s="10"/>
    </row>
    <row r="37" spans="1:16" ht="12.75" customHeight="1" x14ac:dyDescent="0.2">
      <c r="B37" s="2" t="s">
        <v>405</v>
      </c>
      <c r="D37" s="2" t="s">
        <v>88</v>
      </c>
      <c r="J37" s="26">
        <f>'Financial data'!J61</f>
        <v>783282.32285790599</v>
      </c>
      <c r="K37" s="10"/>
      <c r="L37" s="10"/>
      <c r="M37" s="10"/>
      <c r="N37" s="10"/>
    </row>
    <row r="38" spans="1:16" ht="12.75" customHeight="1" x14ac:dyDescent="0.2">
      <c r="B38" s="2" t="s">
        <v>406</v>
      </c>
      <c r="D38" s="2" t="s">
        <v>88</v>
      </c>
      <c r="J38" s="26">
        <f>'Financial data'!J57</f>
        <v>56648.244932238202</v>
      </c>
      <c r="K38" s="10"/>
      <c r="L38" s="10"/>
      <c r="M38" s="10"/>
      <c r="N38" s="10"/>
    </row>
    <row r="39" spans="1:16" ht="12.75" customHeight="1" x14ac:dyDescent="0.2">
      <c r="B39" s="2" t="s">
        <v>407</v>
      </c>
      <c r="D39" s="2" t="s">
        <v>88</v>
      </c>
      <c r="J39" s="27">
        <f>J37*J16+J38</f>
        <v>126282.04343430605</v>
      </c>
      <c r="K39" s="50"/>
      <c r="L39" s="50"/>
      <c r="M39" s="50"/>
      <c r="N39" s="50"/>
    </row>
    <row r="40" spans="1:16" ht="12.75" customHeight="1" x14ac:dyDescent="0.2">
      <c r="A40" s="67"/>
    </row>
    <row r="41" spans="1:16" s="8" customFormat="1" ht="12.75" customHeight="1" x14ac:dyDescent="0.2">
      <c r="B41" s="8" t="s">
        <v>295</v>
      </c>
    </row>
    <row r="42" spans="1:16" ht="12.75" customHeight="1" x14ac:dyDescent="0.2">
      <c r="A42" s="67"/>
    </row>
    <row r="43" spans="1:16" ht="12.75" customHeight="1" x14ac:dyDescent="0.2">
      <c r="B43" s="1" t="s">
        <v>297</v>
      </c>
      <c r="P43" s="2" t="s">
        <v>364</v>
      </c>
    </row>
    <row r="44" spans="1:16" ht="12.75" customHeight="1" x14ac:dyDescent="0.2">
      <c r="B44" s="2" t="s">
        <v>746</v>
      </c>
      <c r="D44" s="2" t="s">
        <v>130</v>
      </c>
      <c r="H44" s="36">
        <f>SUM(J44:N44)</f>
        <v>4840234.9799999995</v>
      </c>
      <c r="J44" s="60">
        <f t="shared" ref="J44:L47" si="0">J24</f>
        <v>2076797.0070999998</v>
      </c>
      <c r="K44" s="60">
        <f t="shared" si="0"/>
        <v>1376192.1908999998</v>
      </c>
      <c r="L44" s="60">
        <f t="shared" si="0"/>
        <v>652313.87099999993</v>
      </c>
      <c r="M44" s="62">
        <f>M24*(1-$F$17)</f>
        <v>726831.10616041452</v>
      </c>
      <c r="N44" s="62">
        <f>M24*$F$17</f>
        <v>8100.8048395852375</v>
      </c>
    </row>
    <row r="45" spans="1:16" ht="12.75" customHeight="1" x14ac:dyDescent="0.2">
      <c r="B45" s="2" t="s">
        <v>744</v>
      </c>
      <c r="D45" s="2" t="s">
        <v>130</v>
      </c>
      <c r="H45" s="36">
        <f>SUM(J45:N45)</f>
        <v>162360.31999999995</v>
      </c>
      <c r="J45" s="60">
        <f t="shared" si="0"/>
        <v>886.94235000000003</v>
      </c>
      <c r="K45" s="60">
        <f t="shared" si="0"/>
        <v>128458.43064999998</v>
      </c>
      <c r="L45" s="60">
        <f t="shared" si="0"/>
        <v>422.3535</v>
      </c>
      <c r="M45" s="62">
        <f>M25*(1-$F$17)</f>
        <v>32233.340846512438</v>
      </c>
      <c r="N45" s="62">
        <f>M25*$F$17</f>
        <v>359.25265348756153</v>
      </c>
    </row>
    <row r="46" spans="1:16" ht="12.75" customHeight="1" x14ac:dyDescent="0.2">
      <c r="B46" s="2" t="s">
        <v>504</v>
      </c>
      <c r="D46" s="2" t="s">
        <v>88</v>
      </c>
      <c r="H46" s="36">
        <f>SUM(J46:N46)</f>
        <v>10211594.479806213</v>
      </c>
      <c r="J46" s="60">
        <f t="shared" si="0"/>
        <v>3498800.5176609857</v>
      </c>
      <c r="K46" s="60">
        <f t="shared" si="0"/>
        <v>2018113.325682065</v>
      </c>
      <c r="L46" s="60">
        <f t="shared" si="0"/>
        <v>1340233.1679049861</v>
      </c>
      <c r="M46" s="62">
        <f>M26*(1-$F$17)</f>
        <v>3305641.9555254066</v>
      </c>
      <c r="N46" s="62">
        <f>M26*$F$17+N26</f>
        <v>48805.513032770017</v>
      </c>
    </row>
    <row r="47" spans="1:16" ht="12.75" customHeight="1" x14ac:dyDescent="0.2">
      <c r="B47" s="2" t="s">
        <v>745</v>
      </c>
      <c r="D47" s="2" t="s">
        <v>88</v>
      </c>
      <c r="H47" s="36">
        <f>SUM(J47:N47)</f>
        <v>1071030.3547997533</v>
      </c>
      <c r="J47" s="60">
        <f t="shared" si="0"/>
        <v>458415.40787124331</v>
      </c>
      <c r="K47" s="60">
        <f t="shared" si="0"/>
        <v>238571.9973477961</v>
      </c>
      <c r="L47" s="60">
        <f t="shared" si="0"/>
        <v>137450.84816906904</v>
      </c>
      <c r="M47" s="62">
        <f>M27*(1-$F$17)</f>
        <v>232825.12852664362</v>
      </c>
      <c r="N47" s="62">
        <f>M27*$F$17+N27</f>
        <v>3766.9728850012816</v>
      </c>
    </row>
    <row r="48" spans="1:16" ht="12.75" customHeight="1" x14ac:dyDescent="0.2"/>
    <row r="49" spans="2:16" s="8" customFormat="1" ht="12.75" customHeight="1" x14ac:dyDescent="0.2">
      <c r="B49" s="8" t="s">
        <v>666</v>
      </c>
    </row>
    <row r="50" spans="2:16" ht="12.75" customHeight="1" x14ac:dyDescent="0.25">
      <c r="K50" s="64"/>
      <c r="L50" s="64"/>
      <c r="M50" s="64"/>
      <c r="N50" s="64"/>
    </row>
    <row r="51" spans="2:16" ht="12.75" customHeight="1" x14ac:dyDescent="0.25">
      <c r="B51" s="1" t="s">
        <v>168</v>
      </c>
      <c r="K51" s="64"/>
      <c r="L51" s="64"/>
      <c r="M51" s="64"/>
      <c r="N51" s="64"/>
    </row>
    <row r="52" spans="2:16" ht="12.75" customHeight="1" x14ac:dyDescent="0.2">
      <c r="B52" s="2" t="s">
        <v>667</v>
      </c>
      <c r="D52" s="2" t="s">
        <v>130</v>
      </c>
      <c r="H52" s="36">
        <f>SUM(J52:N52)</f>
        <v>3549357.7721922244</v>
      </c>
      <c r="J52" s="36">
        <f>J44*J30-J45</f>
        <v>1672801.1684330602</v>
      </c>
      <c r="K52" s="36">
        <f>K44*K30-K45</f>
        <v>868167.78023265454</v>
      </c>
      <c r="L52" s="36">
        <f>L44*L30-L45</f>
        <v>567814.69314556872</v>
      </c>
      <c r="M52" s="23">
        <f>M44*M30-M45-M28</f>
        <v>435281.66021916206</v>
      </c>
      <c r="N52" s="36">
        <f>N44*N30-N45</f>
        <v>5292.4701617789997</v>
      </c>
      <c r="P52" s="2" t="s">
        <v>198</v>
      </c>
    </row>
    <row r="53" spans="2:16" ht="12.75" customHeight="1" x14ac:dyDescent="0.2">
      <c r="B53" s="2" t="s">
        <v>668</v>
      </c>
      <c r="D53" s="2" t="s">
        <v>130</v>
      </c>
      <c r="H53" s="36">
        <f>SUM(J53:N53)</f>
        <v>1088940.5532744338</v>
      </c>
      <c r="J53" s="36">
        <f>J44*J29</f>
        <v>403108.89631693967</v>
      </c>
      <c r="K53" s="36">
        <f>K44*K29</f>
        <v>379565.9800173454</v>
      </c>
      <c r="L53" s="36">
        <f>L44*L29</f>
        <v>84076.824354431155</v>
      </c>
      <c r="M53" s="36">
        <f>M44*M29</f>
        <v>219739.77056139897</v>
      </c>
      <c r="N53" s="36">
        <f>N44*N29</f>
        <v>2449.0820243186758</v>
      </c>
    </row>
    <row r="54" spans="2:16" ht="12.75" customHeight="1" x14ac:dyDescent="0.2">
      <c r="B54" s="2" t="s">
        <v>669</v>
      </c>
      <c r="D54" s="2" t="s">
        <v>563</v>
      </c>
      <c r="J54" s="53">
        <f>J53/J21</f>
        <v>2.3378983545635387E-2</v>
      </c>
      <c r="K54" s="35">
        <f>K53/K21</f>
        <v>19.911650134031181</v>
      </c>
      <c r="L54" s="35">
        <f>L53/L21</f>
        <v>0.44980352106758092</v>
      </c>
      <c r="M54" s="35">
        <f>M53/M21</f>
        <v>186.41762083681778</v>
      </c>
      <c r="N54" s="35">
        <f>N53/N21</f>
        <v>2.3626104807241712</v>
      </c>
    </row>
    <row r="55" spans="2:16" ht="12.75" customHeight="1" x14ac:dyDescent="0.25">
      <c r="K55" s="64"/>
      <c r="L55" s="64"/>
      <c r="M55" s="64"/>
      <c r="N55" s="64"/>
    </row>
    <row r="56" spans="2:16" ht="12.75" customHeight="1" x14ac:dyDescent="0.25">
      <c r="B56" s="1" t="s">
        <v>169</v>
      </c>
      <c r="K56" s="64"/>
      <c r="L56" s="65"/>
      <c r="M56" s="64"/>
      <c r="N56" s="64"/>
    </row>
    <row r="57" spans="2:16" ht="12.75" customHeight="1" x14ac:dyDescent="0.2">
      <c r="B57" s="2" t="s">
        <v>290</v>
      </c>
      <c r="D57" s="2" t="s">
        <v>88</v>
      </c>
      <c r="H57" s="36">
        <f>SUM(J57:N57)</f>
        <v>1879868.0069147495</v>
      </c>
      <c r="J57" s="23">
        <f>J16*J46+J47</f>
        <v>769458.77389130497</v>
      </c>
      <c r="K57" s="36">
        <f>K16*K46+K47</f>
        <v>401635.55406290694</v>
      </c>
      <c r="L57" s="36">
        <f>L16*L46+L47</f>
        <v>233009.47304069455</v>
      </c>
      <c r="M57" s="36">
        <f>M16*M46+M47</f>
        <v>468517.39995560516</v>
      </c>
      <c r="N57" s="36">
        <f>N16*N46+N47</f>
        <v>7246.8059642377839</v>
      </c>
    </row>
    <row r="58" spans="2:16" ht="12.75" customHeight="1" x14ac:dyDescent="0.2">
      <c r="B58" s="2" t="s">
        <v>670</v>
      </c>
      <c r="D58" s="2" t="s">
        <v>88</v>
      </c>
      <c r="H58" s="36">
        <f>SUM(J58:N58)</f>
        <v>1801708.8703354832</v>
      </c>
      <c r="J58" s="36">
        <f>J57*J32+J39</f>
        <v>895740.81732561102</v>
      </c>
      <c r="K58" s="36">
        <f>K57*K32</f>
        <v>200817.77703145347</v>
      </c>
      <c r="L58" s="36">
        <f>L57*L32</f>
        <v>233009.47304069455</v>
      </c>
      <c r="M58" s="36">
        <f>M57*M32</f>
        <v>468517.39995560516</v>
      </c>
      <c r="N58" s="36">
        <f>N57*N32</f>
        <v>3623.4029821188919</v>
      </c>
      <c r="P58" s="18"/>
    </row>
    <row r="59" spans="2:16" ht="12.75" customHeight="1" x14ac:dyDescent="0.2">
      <c r="B59" s="2" t="s">
        <v>671</v>
      </c>
      <c r="D59" s="2" t="s">
        <v>88</v>
      </c>
      <c r="H59" s="36">
        <f>SUM(J59:N59)</f>
        <v>204441.18001357236</v>
      </c>
      <c r="J59" s="36">
        <f>J57*J31</f>
        <v>0</v>
      </c>
      <c r="K59" s="36">
        <f>K57*K31</f>
        <v>200817.77703145347</v>
      </c>
      <c r="L59" s="36">
        <f>L57*L31</f>
        <v>0</v>
      </c>
      <c r="M59" s="36">
        <f>M57*M31</f>
        <v>0</v>
      </c>
      <c r="N59" s="36">
        <f>N57*N31</f>
        <v>3623.4029821188919</v>
      </c>
    </row>
    <row r="60" spans="2:16" ht="12.75" customHeight="1" x14ac:dyDescent="0.2">
      <c r="B60" s="2" t="s">
        <v>672</v>
      </c>
      <c r="D60" s="2" t="s">
        <v>170</v>
      </c>
      <c r="J60" s="35">
        <f>J59/J21</f>
        <v>0</v>
      </c>
      <c r="K60" s="35">
        <f>K59/K21</f>
        <v>10.534698912588151</v>
      </c>
      <c r="L60" s="35">
        <f>L59/L21</f>
        <v>0</v>
      </c>
      <c r="M60" s="35">
        <f>M59/M21</f>
        <v>0</v>
      </c>
      <c r="N60" s="35">
        <f>N59/N21</f>
        <v>3.4954688231901332</v>
      </c>
    </row>
    <row r="61" spans="2:16" ht="12.75" customHeight="1" x14ac:dyDescent="0.2"/>
    <row r="62" spans="2:16" ht="12.75" customHeight="1" x14ac:dyDescent="0.25">
      <c r="B62" s="1" t="s">
        <v>294</v>
      </c>
      <c r="K62" s="64"/>
      <c r="L62" s="64"/>
      <c r="M62" s="64"/>
      <c r="N62" s="64"/>
    </row>
    <row r="63" spans="2:16" ht="12.75" customHeight="1" x14ac:dyDescent="0.2">
      <c r="B63" s="2" t="s">
        <v>673</v>
      </c>
      <c r="D63" s="2" t="s">
        <v>655</v>
      </c>
      <c r="H63" s="36">
        <f>SUM(J63:N63)</f>
        <v>5534241.8984350041</v>
      </c>
      <c r="J63" s="21">
        <f>J52*(1+$F$14)*(1+$F$15)+J58</f>
        <v>2654871.9084591647</v>
      </c>
      <c r="K63" s="21">
        <f>K52*(1+$F$14)*(1+$F$15)+K58</f>
        <v>1113789.9600663548</v>
      </c>
      <c r="L63" s="21">
        <f>L52*(1+$F$14)*(1+$F$15)+L58</f>
        <v>830127.94687011978</v>
      </c>
      <c r="M63" s="21">
        <f>M52*(1+$F$14)*(1+$F$15)+M58</f>
        <v>926263.07609535777</v>
      </c>
      <c r="N63" s="21">
        <f>N52*(1+$F$14)*(1+$F$15)+N58</f>
        <v>9189.0069440069819</v>
      </c>
    </row>
    <row r="64" spans="2:16" ht="12.75" customHeight="1" x14ac:dyDescent="0.2">
      <c r="B64" s="2" t="s">
        <v>674</v>
      </c>
      <c r="D64" s="2" t="s">
        <v>657</v>
      </c>
      <c r="J64" s="72">
        <f>J54*(1+$F$14)*(1+$F$15)+J60</f>
        <v>2.4585526128458539E-2</v>
      </c>
      <c r="K64" s="72">
        <f>K54*(1+$F$14)*(1+$F$15)+K60</f>
        <v>31.473949486736412</v>
      </c>
      <c r="L64" s="72">
        <f>L54*(1+$F$14)*(1+$F$15)+L60</f>
        <v>0.47301698118283664</v>
      </c>
      <c r="M64" s="72">
        <f>M54*(1+$F$14)*(1+$F$15)+M60</f>
        <v>196.03826141296426</v>
      </c>
      <c r="N64" s="72">
        <f>N54*(1+$F$14)*(1+$F$15)+N60</f>
        <v>5.9800089056035173</v>
      </c>
    </row>
    <row r="65" spans="2:14" ht="12.75" customHeight="1" x14ac:dyDescent="0.2">
      <c r="B65" s="2" t="s">
        <v>305</v>
      </c>
      <c r="D65" s="2" t="s">
        <v>302</v>
      </c>
      <c r="J65" s="84"/>
      <c r="K65" s="38"/>
      <c r="L65" s="38"/>
      <c r="M65" s="129">
        <f>M36+M35*M16</f>
        <v>646.78881682049359</v>
      </c>
      <c r="N65" s="38"/>
    </row>
    <row r="66" spans="2:14" ht="12.75" customHeight="1" x14ac:dyDescent="0.2"/>
    <row r="68" spans="2:14" x14ac:dyDescent="0.2">
      <c r="B68" s="4" t="s">
        <v>63</v>
      </c>
    </row>
  </sheetData>
  <pageMargins left="0.7" right="0.7" top="0.75" bottom="0.75" header="0.3" footer="0.3"/>
  <pageSetup paperSize="9" orientation="portrait"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70C7C-27E7-4904-A897-12A386B7322B}">
  <sheetPr>
    <tabColor rgb="FFFFFFCC"/>
    <pageSetUpPr autoPageBreaks="0"/>
  </sheetPr>
  <dimension ref="B2:P39"/>
  <sheetViews>
    <sheetView showGridLines="0" zoomScale="80" zoomScaleNormal="80" workbookViewId="0">
      <pane xSplit="4" ySplit="9" topLeftCell="E10" activePane="bottomRight" state="frozen"/>
      <selection activeCell="H13" sqref="H13"/>
      <selection pane="topRight" activeCell="H13" sqref="H13"/>
      <selection pane="bottomLeft" activeCell="H13" sqref="H13"/>
      <selection pane="bottomRight" activeCell="E10" sqref="E10"/>
    </sheetView>
  </sheetViews>
  <sheetFormatPr defaultColWidth="9.140625" defaultRowHeight="12.75" x14ac:dyDescent="0.2"/>
  <cols>
    <col min="1" max="1" width="4.5703125" style="2" customWidth="1"/>
    <col min="2" max="2" width="41.42578125" style="2" customWidth="1"/>
    <col min="3" max="3" width="4.5703125" style="2" customWidth="1"/>
    <col min="4" max="4" width="15.42578125" style="2" customWidth="1"/>
    <col min="5" max="5" width="2.7109375" style="2" customWidth="1"/>
    <col min="6" max="6" width="13.7109375" style="2" customWidth="1"/>
    <col min="7" max="7" width="2.7109375" style="2" customWidth="1"/>
    <col min="8" max="8" width="13.7109375" style="2" customWidth="1"/>
    <col min="9" max="9" width="2.7109375" style="2" customWidth="1"/>
    <col min="10" max="14" width="21.7109375" style="2" customWidth="1"/>
    <col min="15" max="15" width="2.7109375" style="2" customWidth="1"/>
    <col min="16" max="16" width="30.7109375" style="2" customWidth="1"/>
    <col min="17" max="17" width="2.7109375" style="2" customWidth="1"/>
    <col min="18" max="27" width="12.5703125" style="2" customWidth="1"/>
    <col min="28" max="30" width="2.7109375" style="2" customWidth="1"/>
    <col min="31" max="45" width="13.7109375" style="2" customWidth="1"/>
    <col min="46" max="16384" width="9.140625" style="2"/>
  </cols>
  <sheetData>
    <row r="2" spans="2:16" s="12" customFormat="1" ht="18" x14ac:dyDescent="0.2">
      <c r="B2" s="12" t="s">
        <v>675</v>
      </c>
    </row>
    <row r="4" spans="2:16" x14ac:dyDescent="0.2">
      <c r="B4" s="1" t="s">
        <v>182</v>
      </c>
    </row>
    <row r="5" spans="2:16" x14ac:dyDescent="0.2">
      <c r="B5" s="2" t="s">
        <v>676</v>
      </c>
      <c r="F5" s="13"/>
    </row>
    <row r="6" spans="2:16" x14ac:dyDescent="0.2">
      <c r="B6" s="2" t="s">
        <v>677</v>
      </c>
      <c r="F6" s="13"/>
    </row>
    <row r="7" spans="2:16" x14ac:dyDescent="0.2">
      <c r="F7" s="13"/>
    </row>
    <row r="8" spans="2:16" s="8" customFormat="1" ht="12.75" customHeight="1" x14ac:dyDescent="0.2">
      <c r="B8" s="8" t="s">
        <v>80</v>
      </c>
      <c r="D8" s="8" t="s">
        <v>81</v>
      </c>
      <c r="F8" s="8" t="s">
        <v>37</v>
      </c>
      <c r="H8" s="8" t="s">
        <v>38</v>
      </c>
      <c r="J8" s="8" t="s">
        <v>164</v>
      </c>
      <c r="K8" s="8" t="s">
        <v>69</v>
      </c>
      <c r="L8" s="8" t="s">
        <v>70</v>
      </c>
      <c r="M8" s="8" t="s">
        <v>71</v>
      </c>
      <c r="N8" s="8" t="s">
        <v>72</v>
      </c>
      <c r="P8" s="8" t="s">
        <v>39</v>
      </c>
    </row>
    <row r="11" spans="2:16" s="8" customFormat="1" x14ac:dyDescent="0.2">
      <c r="B11" s="8" t="s">
        <v>171</v>
      </c>
    </row>
    <row r="13" spans="2:16" x14ac:dyDescent="0.2">
      <c r="B13" s="1" t="s">
        <v>176</v>
      </c>
    </row>
    <row r="14" spans="2:16" x14ac:dyDescent="0.2">
      <c r="B14" s="20" t="s">
        <v>36</v>
      </c>
      <c r="D14" s="20" t="s">
        <v>92</v>
      </c>
      <c r="E14" s="20"/>
      <c r="F14" s="20"/>
      <c r="G14" s="20"/>
      <c r="H14" s="20"/>
      <c r="I14" s="20"/>
      <c r="J14" s="20" t="s">
        <v>93</v>
      </c>
      <c r="K14" s="20" t="s">
        <v>94</v>
      </c>
      <c r="L14" s="20" t="s">
        <v>95</v>
      </c>
      <c r="M14" s="20" t="s">
        <v>96</v>
      </c>
      <c r="N14" s="20" t="s">
        <v>95</v>
      </c>
    </row>
    <row r="15" spans="2:16" x14ac:dyDescent="0.2">
      <c r="B15" s="2" t="s">
        <v>528</v>
      </c>
      <c r="J15" s="26">
        <f>Estimates!J71</f>
        <v>17885720.400000002</v>
      </c>
      <c r="K15" s="26">
        <f>Estimates!K71</f>
        <v>19445.231167159676</v>
      </c>
      <c r="L15" s="26">
        <f>Estimates!L71</f>
        <v>229530</v>
      </c>
      <c r="M15" s="26">
        <f>Estimates!M71</f>
        <v>1292.073872976589</v>
      </c>
      <c r="N15" s="26">
        <f>Estimates!N71</f>
        <v>2530</v>
      </c>
    </row>
    <row r="16" spans="2:16" x14ac:dyDescent="0.2">
      <c r="B16" s="2" t="s">
        <v>454</v>
      </c>
      <c r="J16" s="84"/>
      <c r="K16" s="84"/>
      <c r="L16" s="84"/>
      <c r="M16" s="26">
        <f>'Fixed-variable costs'!M21</f>
        <v>1178.75</v>
      </c>
      <c r="N16" s="84"/>
    </row>
    <row r="18" spans="2:14" x14ac:dyDescent="0.2">
      <c r="B18" s="1" t="s">
        <v>308</v>
      </c>
    </row>
    <row r="19" spans="2:14" x14ac:dyDescent="0.2">
      <c r="B19" s="2" t="s">
        <v>673</v>
      </c>
      <c r="D19" s="2" t="s">
        <v>655</v>
      </c>
      <c r="J19" s="26">
        <f>'Fixed-variable costs'!J63</f>
        <v>2654871.9084591647</v>
      </c>
      <c r="K19" s="26">
        <f>'Fixed-variable costs'!K63</f>
        <v>1113789.9600663548</v>
      </c>
      <c r="L19" s="26">
        <f>'Fixed-variable costs'!L63</f>
        <v>830127.94687011978</v>
      </c>
      <c r="M19" s="26">
        <f>'Fixed-variable costs'!M63</f>
        <v>926263.07609535777</v>
      </c>
      <c r="N19" s="26">
        <f>'Fixed-variable costs'!N63</f>
        <v>9189.0069440069819</v>
      </c>
    </row>
    <row r="20" spans="2:14" x14ac:dyDescent="0.2">
      <c r="B20" s="2" t="s">
        <v>674</v>
      </c>
      <c r="D20" s="2" t="s">
        <v>657</v>
      </c>
      <c r="J20" s="71">
        <f>'Fixed-variable costs'!J64</f>
        <v>2.4585526128458539E-2</v>
      </c>
      <c r="K20" s="71">
        <f>'Fixed-variable costs'!K64</f>
        <v>31.473949486736412</v>
      </c>
      <c r="L20" s="71">
        <f>'Fixed-variable costs'!L64</f>
        <v>0.47301698118283664</v>
      </c>
      <c r="M20" s="71">
        <f>'Fixed-variable costs'!M64</f>
        <v>196.03826141296426</v>
      </c>
      <c r="N20" s="71">
        <f>'Fixed-variable costs'!N64</f>
        <v>5.9800089056035173</v>
      </c>
    </row>
    <row r="21" spans="2:14" x14ac:dyDescent="0.2">
      <c r="B21" s="2" t="s">
        <v>305</v>
      </c>
      <c r="D21" s="2" t="s">
        <v>302</v>
      </c>
      <c r="J21" s="38"/>
      <c r="K21" s="38"/>
      <c r="L21" s="38"/>
      <c r="M21" s="71">
        <f>'Fixed-variable costs'!M65</f>
        <v>646.78881682049359</v>
      </c>
      <c r="N21" s="38"/>
    </row>
    <row r="23" spans="2:14" x14ac:dyDescent="0.2">
      <c r="B23" s="19" t="s">
        <v>205</v>
      </c>
    </row>
    <row r="24" spans="2:14" x14ac:dyDescent="0.2">
      <c r="B24" s="2" t="s">
        <v>463</v>
      </c>
      <c r="D24" s="2" t="s">
        <v>655</v>
      </c>
      <c r="H24" s="27">
        <f>SUM(J24:N24)</f>
        <v>647972.66533700877</v>
      </c>
      <c r="J24" s="26">
        <f>'Overview corrections'!J40</f>
        <v>647972.66533700877</v>
      </c>
      <c r="K24" s="38"/>
      <c r="L24" s="38"/>
      <c r="M24" s="38"/>
      <c r="N24" s="38"/>
    </row>
    <row r="25" spans="2:14" x14ac:dyDescent="0.2">
      <c r="B25" s="32" t="s">
        <v>621</v>
      </c>
      <c r="D25" s="2" t="s">
        <v>655</v>
      </c>
      <c r="H25" s="27">
        <f t="shared" ref="H25:H30" si="0">SUM(J25:N25)</f>
        <v>-52710.67300110191</v>
      </c>
      <c r="J25" s="26">
        <f>'Overview corrections'!J41</f>
        <v>-119916.29170277591</v>
      </c>
      <c r="K25" s="26">
        <f>'Overview corrections'!K41</f>
        <v>3556.8236724885501</v>
      </c>
      <c r="L25" s="26">
        <f>'Overview corrections'!L41</f>
        <v>44673.724380365034</v>
      </c>
      <c r="M25" s="26">
        <f>'Overview corrections'!M41</f>
        <v>14147.434628090834</v>
      </c>
      <c r="N25" s="26">
        <f>'Overview corrections'!N41</f>
        <v>4827.6360207295766</v>
      </c>
    </row>
    <row r="26" spans="2:14" x14ac:dyDescent="0.2">
      <c r="B26" s="2" t="s">
        <v>747</v>
      </c>
      <c r="D26" s="2" t="s">
        <v>655</v>
      </c>
      <c r="H26" s="27">
        <f t="shared" si="0"/>
        <v>230360.20099963003</v>
      </c>
      <c r="J26" s="26">
        <f>'Overview corrections'!J42</f>
        <v>-62115.765844128066</v>
      </c>
      <c r="K26" s="26">
        <f>'Overview corrections'!K42</f>
        <v>340041.22536652483</v>
      </c>
      <c r="L26" s="26">
        <f>'Overview corrections'!L42</f>
        <v>17229.639325261887</v>
      </c>
      <c r="M26" s="26">
        <f>'Overview corrections'!M42</f>
        <v>-63748.302503614796</v>
      </c>
      <c r="N26" s="26">
        <f>'Overview corrections'!N42</f>
        <v>-1046.5953444138297</v>
      </c>
    </row>
    <row r="27" spans="2:14" x14ac:dyDescent="0.2">
      <c r="B27" s="2" t="s">
        <v>678</v>
      </c>
      <c r="D27" s="2" t="s">
        <v>655</v>
      </c>
      <c r="H27" s="27">
        <f t="shared" si="0"/>
        <v>263986.27089467889</v>
      </c>
      <c r="J27" s="26">
        <f>'Overview corrections'!J43</f>
        <v>107373.81978165831</v>
      </c>
      <c r="K27" s="26">
        <f>'Overview corrections'!K43</f>
        <v>43184.668550139555</v>
      </c>
      <c r="L27" s="26">
        <f>'Overview corrections'!L43</f>
        <v>34456.753959695518</v>
      </c>
      <c r="M27" s="26">
        <f>'Overview corrections'!M43</f>
        <v>78449.867524195579</v>
      </c>
      <c r="N27" s="26">
        <f>'Overview corrections'!N43</f>
        <v>521.16107898991345</v>
      </c>
    </row>
    <row r="28" spans="2:14" x14ac:dyDescent="0.2">
      <c r="B28" s="2" t="s">
        <v>298</v>
      </c>
      <c r="D28" s="2" t="s">
        <v>655</v>
      </c>
      <c r="H28" s="27">
        <f t="shared" si="0"/>
        <v>-9311.6791415059233</v>
      </c>
      <c r="J28" s="38"/>
      <c r="K28" s="38"/>
      <c r="L28" s="26">
        <f>'Overview corrections'!L44</f>
        <v>-9311.6791415059233</v>
      </c>
      <c r="M28" s="38"/>
      <c r="N28" s="38"/>
    </row>
    <row r="29" spans="2:14" x14ac:dyDescent="0.2">
      <c r="B29" s="2" t="s">
        <v>662</v>
      </c>
      <c r="D29" s="2" t="s">
        <v>655</v>
      </c>
      <c r="H29" s="27">
        <f t="shared" si="0"/>
        <v>54086.718927999995</v>
      </c>
      <c r="J29" s="26">
        <f>'Overview corrections'!J45</f>
        <v>54086.718927999995</v>
      </c>
      <c r="K29" s="38"/>
      <c r="L29" s="38"/>
      <c r="M29" s="38"/>
      <c r="N29" s="38"/>
    </row>
    <row r="30" spans="2:14" x14ac:dyDescent="0.2">
      <c r="B30" s="2" t="s">
        <v>601</v>
      </c>
      <c r="D30" s="2" t="s">
        <v>655</v>
      </c>
      <c r="H30" s="27">
        <f t="shared" si="0"/>
        <v>-86016.176453410153</v>
      </c>
      <c r="J30" s="26">
        <f>'Overview corrections'!J46</f>
        <v>-86016.176453410153</v>
      </c>
      <c r="K30" s="38"/>
      <c r="L30" s="38"/>
      <c r="M30" s="38"/>
      <c r="N30" s="38"/>
    </row>
    <row r="32" spans="2:14" s="8" customFormat="1" x14ac:dyDescent="0.2">
      <c r="B32" s="8" t="s">
        <v>309</v>
      </c>
    </row>
    <row r="34" spans="2:16" x14ac:dyDescent="0.2">
      <c r="B34" s="1" t="s">
        <v>172</v>
      </c>
    </row>
    <row r="35" spans="2:16" x14ac:dyDescent="0.2">
      <c r="B35" s="83" t="s">
        <v>329</v>
      </c>
      <c r="D35" s="2" t="s">
        <v>655</v>
      </c>
      <c r="J35" s="27">
        <f>J19+J20*J15</f>
        <v>3094601.7546796687</v>
      </c>
      <c r="K35" s="27">
        <f>K19+K20*K15</f>
        <v>1725808.1835794509</v>
      </c>
      <c r="L35" s="27">
        <f>L19+L20*L15</f>
        <v>938699.53456101625</v>
      </c>
      <c r="M35" s="23">
        <f>M19+M20*M15+M21*(M15-M16)</f>
        <v>1252855.6054908473</v>
      </c>
      <c r="N35" s="27">
        <f>N19+N20*N15</f>
        <v>24318.429475183882</v>
      </c>
      <c r="P35" s="2" t="s">
        <v>336</v>
      </c>
    </row>
    <row r="36" spans="2:16" x14ac:dyDescent="0.2">
      <c r="B36" s="2" t="s">
        <v>330</v>
      </c>
      <c r="D36" s="2" t="s">
        <v>655</v>
      </c>
      <c r="J36" s="21">
        <f>J35+SUM(J24:J30)</f>
        <v>3635986.7247260218</v>
      </c>
      <c r="K36" s="21">
        <f t="shared" ref="K36:N36" si="1">K35+SUM(K24:K30)</f>
        <v>2112590.9011686039</v>
      </c>
      <c r="L36" s="21">
        <f t="shared" si="1"/>
        <v>1025747.9730848328</v>
      </c>
      <c r="M36" s="21">
        <f t="shared" si="1"/>
        <v>1281704.6051395189</v>
      </c>
      <c r="N36" s="21">
        <f t="shared" si="1"/>
        <v>28620.631230489544</v>
      </c>
    </row>
    <row r="39" spans="2:16" x14ac:dyDescent="0.2">
      <c r="B39" s="4" t="s">
        <v>63</v>
      </c>
    </row>
  </sheetData>
  <phoneticPr fontId="31" type="noConversion"/>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C8D9"/>
  </sheetPr>
  <dimension ref="B2:H43"/>
  <sheetViews>
    <sheetView showGridLines="0" zoomScale="80" zoomScaleNormal="80" workbookViewId="0">
      <pane ySplit="3" topLeftCell="A4" activePane="bottomLeft" state="frozen"/>
      <selection activeCell="O39" sqref="O39"/>
      <selection pane="bottomLeft" activeCell="A4" sqref="A4"/>
    </sheetView>
  </sheetViews>
  <sheetFormatPr defaultColWidth="9.140625" defaultRowHeight="12.75" x14ac:dyDescent="0.2"/>
  <cols>
    <col min="1" max="1" width="4.7109375" style="2" customWidth="1"/>
    <col min="2" max="2" width="27.85546875" style="2" customWidth="1"/>
    <col min="3" max="3" width="7.140625" style="2" customWidth="1"/>
    <col min="4" max="4" width="56.85546875" style="2" customWidth="1"/>
    <col min="5" max="5" width="29.85546875" style="2" customWidth="1"/>
    <col min="6" max="6" width="24.7109375" style="2" customWidth="1"/>
    <col min="7" max="7" width="37.28515625" style="2" customWidth="1"/>
    <col min="8" max="16384" width="9.140625" style="2"/>
  </cols>
  <sheetData>
    <row r="2" spans="2:8" s="7" customFormat="1" ht="18" x14ac:dyDescent="0.2">
      <c r="B2" s="7" t="s">
        <v>46</v>
      </c>
    </row>
    <row r="3" spans="2:8" x14ac:dyDescent="0.2">
      <c r="B3" s="29"/>
    </row>
    <row r="4" spans="2:8" x14ac:dyDescent="0.2">
      <c r="B4" s="29"/>
    </row>
    <row r="5" spans="2:8" s="8" customFormat="1" x14ac:dyDescent="0.2">
      <c r="B5" s="8" t="s">
        <v>47</v>
      </c>
    </row>
    <row r="7" spans="2:8" x14ac:dyDescent="0.2">
      <c r="B7" s="2" t="s">
        <v>271</v>
      </c>
    </row>
    <row r="8" spans="2:8" x14ac:dyDescent="0.2">
      <c r="B8" s="2" t="s">
        <v>272</v>
      </c>
    </row>
    <row r="9" spans="2:8" x14ac:dyDescent="0.2">
      <c r="B9" s="2" t="s">
        <v>213</v>
      </c>
    </row>
    <row r="10" spans="2:8" x14ac:dyDescent="0.2">
      <c r="H10" s="22"/>
    </row>
    <row r="11" spans="2:8" s="8" customFormat="1" x14ac:dyDescent="0.2">
      <c r="B11" s="8" t="s">
        <v>48</v>
      </c>
    </row>
    <row r="13" spans="2:8" x14ac:dyDescent="0.2">
      <c r="B13" s="19" t="s">
        <v>11</v>
      </c>
      <c r="D13" s="19" t="s">
        <v>12</v>
      </c>
      <c r="F13" s="5"/>
    </row>
    <row r="15" spans="2:8" x14ac:dyDescent="0.2">
      <c r="B15" s="25">
        <v>123</v>
      </c>
      <c r="D15" s="2" t="s">
        <v>13</v>
      </c>
    </row>
    <row r="16" spans="2:8" x14ac:dyDescent="0.2">
      <c r="B16" s="26">
        <f>B15</f>
        <v>123</v>
      </c>
      <c r="D16" s="2" t="s">
        <v>49</v>
      </c>
    </row>
    <row r="17" spans="2:6" x14ac:dyDescent="0.2">
      <c r="B17" s="27">
        <f>B16+B15</f>
        <v>246</v>
      </c>
      <c r="D17" s="2" t="s">
        <v>14</v>
      </c>
    </row>
    <row r="18" spans="2:6" x14ac:dyDescent="0.2">
      <c r="B18" s="21">
        <f>B16+B17</f>
        <v>369</v>
      </c>
      <c r="D18" s="2" t="s">
        <v>50</v>
      </c>
      <c r="E18" s="5"/>
      <c r="F18" s="5"/>
    </row>
    <row r="19" spans="2:6" x14ac:dyDescent="0.2">
      <c r="B19" s="10"/>
      <c r="D19" s="2" t="s">
        <v>15</v>
      </c>
      <c r="E19" s="5"/>
    </row>
    <row r="21" spans="2:6" x14ac:dyDescent="0.2">
      <c r="B21" s="20" t="s">
        <v>26</v>
      </c>
    </row>
    <row r="22" spans="2:6" x14ac:dyDescent="0.2">
      <c r="B22" s="23">
        <f>B18+16</f>
        <v>385</v>
      </c>
      <c r="D22" s="2" t="s">
        <v>16</v>
      </c>
    </row>
    <row r="23" spans="2:6" x14ac:dyDescent="0.2">
      <c r="B23" s="24">
        <f>B16*PI()</f>
        <v>386.41589639154455</v>
      </c>
      <c r="C23" s="11"/>
      <c r="D23" s="2" t="s">
        <v>51</v>
      </c>
    </row>
    <row r="24" spans="2:6" x14ac:dyDescent="0.2">
      <c r="B24" s="11"/>
      <c r="C24" s="11"/>
    </row>
    <row r="25" spans="2:6" x14ac:dyDescent="0.2">
      <c r="B25" s="19" t="s">
        <v>17</v>
      </c>
    </row>
    <row r="26" spans="2:6" x14ac:dyDescent="0.2">
      <c r="B26" s="1"/>
    </row>
    <row r="27" spans="2:6" x14ac:dyDescent="0.2">
      <c r="B27" s="20" t="s">
        <v>21</v>
      </c>
    </row>
    <row r="28" spans="2:6" x14ac:dyDescent="0.2">
      <c r="B28" s="21" t="s">
        <v>22</v>
      </c>
      <c r="D28" s="2" t="s">
        <v>18</v>
      </c>
    </row>
    <row r="29" spans="2:6" x14ac:dyDescent="0.2">
      <c r="B29" s="25" t="s">
        <v>1</v>
      </c>
      <c r="D29" s="2" t="s">
        <v>19</v>
      </c>
    </row>
    <row r="30" spans="2:6" x14ac:dyDescent="0.2">
      <c r="B30" s="27" t="s">
        <v>23</v>
      </c>
      <c r="D30" s="2" t="s">
        <v>20</v>
      </c>
    </row>
    <row r="31" spans="2:6" x14ac:dyDescent="0.2">
      <c r="B31" s="24" t="s">
        <v>23</v>
      </c>
      <c r="D31" s="2" t="s">
        <v>52</v>
      </c>
    </row>
    <row r="32" spans="2:6" x14ac:dyDescent="0.2">
      <c r="D32" s="3"/>
    </row>
    <row r="33" spans="2:4" x14ac:dyDescent="0.2">
      <c r="B33" s="20" t="s">
        <v>24</v>
      </c>
      <c r="D33" s="3"/>
    </row>
    <row r="34" spans="2:4" x14ac:dyDescent="0.2">
      <c r="B34" s="14" t="s">
        <v>2</v>
      </c>
      <c r="D34" s="2" t="s">
        <v>53</v>
      </c>
    </row>
    <row r="35" spans="2:4" x14ac:dyDescent="0.2">
      <c r="B35" s="30" t="s">
        <v>25</v>
      </c>
      <c r="D35" s="2" t="s">
        <v>122</v>
      </c>
    </row>
    <row r="43" spans="2:4" x14ac:dyDescent="0.2">
      <c r="B43" s="4" t="s">
        <v>63</v>
      </c>
    </row>
  </sheetData>
  <pageMargins left="0.75" right="0.75" top="1" bottom="1" header="0.5" footer="0.5"/>
  <pageSetup paperSize="9" orientation="portrait" r:id="rId1"/>
  <headerFooter alignWithMargins="0"/>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7AC79-5CF7-4E35-BCF7-D63E74A0003E}">
  <sheetPr>
    <tabColor rgb="FFFFFFCC"/>
  </sheetPr>
  <dimension ref="B2:H44"/>
  <sheetViews>
    <sheetView showGridLines="0" zoomScale="80" zoomScaleNormal="80" workbookViewId="0">
      <pane xSplit="4" ySplit="10" topLeftCell="E11" activePane="bottomRight" state="frozen"/>
      <selection activeCell="H13" sqref="H13"/>
      <selection pane="topRight" activeCell="H13" sqref="H13"/>
      <selection pane="bottomLeft" activeCell="H13" sqref="H13"/>
      <selection pane="bottomRight" activeCell="E11" sqref="E11"/>
    </sheetView>
  </sheetViews>
  <sheetFormatPr defaultColWidth="9.140625" defaultRowHeight="12.75" x14ac:dyDescent="0.2"/>
  <cols>
    <col min="1" max="1" width="4.5703125" style="2" customWidth="1"/>
    <col min="2" max="2" width="41.42578125" style="2" customWidth="1"/>
    <col min="3" max="3" width="4.5703125" style="2" customWidth="1"/>
    <col min="4" max="4" width="21.7109375" style="2" customWidth="1"/>
    <col min="5" max="5" width="2.7109375" style="2" customWidth="1"/>
    <col min="6" max="6" width="21.7109375" style="2" customWidth="1"/>
    <col min="7" max="7" width="2.7109375" style="2" customWidth="1"/>
    <col min="8" max="8" width="30.7109375" style="2" customWidth="1"/>
    <col min="9" max="9" width="2.7109375" style="2" customWidth="1"/>
    <col min="10" max="19" width="12.5703125" style="2" customWidth="1"/>
    <col min="20" max="22" width="2.7109375" style="2" customWidth="1"/>
    <col min="23" max="37" width="13.7109375" style="2" customWidth="1"/>
    <col min="38" max="16384" width="9.140625" style="2"/>
  </cols>
  <sheetData>
    <row r="2" spans="2:8" s="12" customFormat="1" ht="18" x14ac:dyDescent="0.2">
      <c r="B2" s="12" t="s">
        <v>426</v>
      </c>
    </row>
    <row r="4" spans="2:8" x14ac:dyDescent="0.2">
      <c r="B4" s="19" t="s">
        <v>12</v>
      </c>
    </row>
    <row r="5" spans="2:8" x14ac:dyDescent="0.2">
      <c r="B5" s="2" t="s">
        <v>370</v>
      </c>
      <c r="F5" s="13"/>
    </row>
    <row r="6" spans="2:8" x14ac:dyDescent="0.2">
      <c r="B6" s="2" t="s">
        <v>387</v>
      </c>
      <c r="F6" s="13"/>
    </row>
    <row r="7" spans="2:8" x14ac:dyDescent="0.2">
      <c r="B7" s="2" t="s">
        <v>355</v>
      </c>
      <c r="F7" s="13"/>
    </row>
    <row r="8" spans="2:8" x14ac:dyDescent="0.2">
      <c r="F8" s="13"/>
    </row>
    <row r="9" spans="2:8" s="8" customFormat="1" ht="12.75" customHeight="1" x14ac:dyDescent="0.2">
      <c r="B9" s="8" t="s">
        <v>80</v>
      </c>
      <c r="D9" s="8" t="s">
        <v>81</v>
      </c>
      <c r="F9" s="8" t="s">
        <v>37</v>
      </c>
      <c r="H9" s="8" t="s">
        <v>39</v>
      </c>
    </row>
    <row r="12" spans="2:8" s="8" customFormat="1" x14ac:dyDescent="0.2">
      <c r="B12" s="8" t="s">
        <v>341</v>
      </c>
    </row>
    <row r="14" spans="2:8" x14ac:dyDescent="0.2">
      <c r="B14" s="19" t="s">
        <v>368</v>
      </c>
    </row>
    <row r="15" spans="2:8" x14ac:dyDescent="0.2">
      <c r="B15" s="2" t="s">
        <v>679</v>
      </c>
      <c r="D15" s="2" t="s">
        <v>655</v>
      </c>
      <c r="F15" s="26">
        <f>'Income level'!J36</f>
        <v>3635986.7247260218</v>
      </c>
    </row>
    <row r="16" spans="2:8" x14ac:dyDescent="0.2">
      <c r="B16" s="2" t="s">
        <v>680</v>
      </c>
      <c r="D16" s="2" t="s">
        <v>93</v>
      </c>
      <c r="F16" s="26">
        <f>Estimates!J71</f>
        <v>17885720.400000002</v>
      </c>
    </row>
    <row r="17" spans="2:8" ht="12.75" customHeight="1" x14ac:dyDescent="0.2">
      <c r="B17" s="2" t="s">
        <v>681</v>
      </c>
      <c r="D17" s="2" t="s">
        <v>682</v>
      </c>
      <c r="F17" s="85">
        <f>F15/F16</f>
        <v>0.20328992310122557</v>
      </c>
      <c r="H17" s="2" t="s">
        <v>369</v>
      </c>
    </row>
    <row r="18" spans="2:8" ht="12.75" customHeight="1" x14ac:dyDescent="0.2">
      <c r="B18" s="2" t="s">
        <v>683</v>
      </c>
      <c r="D18" s="2" t="s">
        <v>682</v>
      </c>
      <c r="F18" s="52">
        <f>ROUND(F17,4)</f>
        <v>0.20330000000000001</v>
      </c>
      <c r="H18" s="2" t="s">
        <v>414</v>
      </c>
    </row>
    <row r="20" spans="2:8" x14ac:dyDescent="0.2">
      <c r="B20" s="19" t="s">
        <v>173</v>
      </c>
    </row>
    <row r="21" spans="2:8" ht="12.75" customHeight="1" x14ac:dyDescent="0.2">
      <c r="B21" s="2" t="s">
        <v>524</v>
      </c>
      <c r="D21" s="2" t="s">
        <v>100</v>
      </c>
      <c r="F21" s="68">
        <f>Estimates!J35</f>
        <v>0.262156735518915</v>
      </c>
    </row>
    <row r="22" spans="2:8" ht="12.75" customHeight="1" x14ac:dyDescent="0.2">
      <c r="B22" s="2" t="s">
        <v>684</v>
      </c>
      <c r="D22" s="2" t="s">
        <v>73</v>
      </c>
      <c r="F22" s="63">
        <f>Estimates!J24</f>
        <v>0.46275577471288221</v>
      </c>
    </row>
    <row r="23" spans="2:8" ht="12.75" customHeight="1" x14ac:dyDescent="0.2">
      <c r="B23" s="2" t="s">
        <v>101</v>
      </c>
      <c r="D23" s="2" t="s">
        <v>102</v>
      </c>
      <c r="F23" s="68">
        <f>'Historical data'!F49</f>
        <v>0.78389534243249115</v>
      </c>
    </row>
    <row r="24" spans="2:8" ht="12.75" customHeight="1" x14ac:dyDescent="0.2">
      <c r="B24" s="2" t="s">
        <v>685</v>
      </c>
      <c r="D24" s="2" t="s">
        <v>682</v>
      </c>
      <c r="F24" s="87">
        <f>F21*F22*F23</f>
        <v>9.5097905416145379E-2</v>
      </c>
      <c r="H24" s="2" t="s">
        <v>373</v>
      </c>
    </row>
    <row r="26" spans="2:8" ht="12.75" customHeight="1" x14ac:dyDescent="0.2">
      <c r="B26" s="1" t="s">
        <v>374</v>
      </c>
    </row>
    <row r="27" spans="2:8" ht="12.75" customHeight="1" x14ac:dyDescent="0.2">
      <c r="B27" s="2" t="s">
        <v>686</v>
      </c>
      <c r="D27" s="2" t="s">
        <v>682</v>
      </c>
      <c r="F27" s="85">
        <f>F17+F24</f>
        <v>0.29838782851737095</v>
      </c>
    </row>
    <row r="28" spans="2:8" ht="12.75" customHeight="1" x14ac:dyDescent="0.2">
      <c r="B28" s="2" t="s">
        <v>687</v>
      </c>
      <c r="D28" s="2" t="s">
        <v>682</v>
      </c>
      <c r="F28" s="52">
        <f>ROUND(F27,4)</f>
        <v>0.2984</v>
      </c>
      <c r="H28" s="2" t="s">
        <v>414</v>
      </c>
    </row>
    <row r="29" spans="2:8" ht="12.75" customHeight="1" x14ac:dyDescent="0.2"/>
    <row r="30" spans="2:8" s="8" customFormat="1" x14ac:dyDescent="0.2">
      <c r="B30" s="8" t="s">
        <v>223</v>
      </c>
    </row>
    <row r="32" spans="2:8" x14ac:dyDescent="0.2">
      <c r="B32" s="1" t="s">
        <v>333</v>
      </c>
    </row>
    <row r="33" spans="2:8" x14ac:dyDescent="0.2">
      <c r="B33" s="2" t="s">
        <v>315</v>
      </c>
      <c r="D33" s="2" t="s">
        <v>682</v>
      </c>
      <c r="F33" s="86">
        <f>'Overview corrections'!K53</f>
        <v>4.1958528649106422E-3</v>
      </c>
    </row>
    <row r="34" spans="2:8" x14ac:dyDescent="0.2">
      <c r="B34" s="2" t="s">
        <v>331</v>
      </c>
      <c r="D34" s="2" t="s">
        <v>682</v>
      </c>
      <c r="F34" s="86">
        <f>'Overview corrections'!K54</f>
        <v>-8.3066784517014051E-3</v>
      </c>
    </row>
    <row r="36" spans="2:8" x14ac:dyDescent="0.2">
      <c r="B36" s="1" t="s">
        <v>332</v>
      </c>
    </row>
    <row r="37" spans="2:8" x14ac:dyDescent="0.2">
      <c r="B37" s="83" t="s">
        <v>688</v>
      </c>
      <c r="D37" s="2" t="s">
        <v>73</v>
      </c>
      <c r="F37" s="70">
        <f>Estimates!K17</f>
        <v>9.5000000000000001E-2</v>
      </c>
    </row>
    <row r="39" spans="2:8" x14ac:dyDescent="0.2">
      <c r="B39" s="1" t="s">
        <v>342</v>
      </c>
    </row>
    <row r="40" spans="2:8" x14ac:dyDescent="0.2">
      <c r="B40" s="2" t="s">
        <v>689</v>
      </c>
      <c r="D40" s="2" t="s">
        <v>682</v>
      </c>
      <c r="F40" s="85">
        <f>(F27+F33+F34)/(1-F37)</f>
        <v>0.32516795903931511</v>
      </c>
      <c r="H40" s="2" t="s">
        <v>357</v>
      </c>
    </row>
    <row r="41" spans="2:8" x14ac:dyDescent="0.2">
      <c r="B41" s="2" t="s">
        <v>689</v>
      </c>
      <c r="D41" s="2" t="s">
        <v>682</v>
      </c>
      <c r="F41" s="52">
        <f>ROUND(F40,4)</f>
        <v>0.32519999999999999</v>
      </c>
      <c r="H41" s="2" t="s">
        <v>414</v>
      </c>
    </row>
    <row r="44" spans="2:8" x14ac:dyDescent="0.2">
      <c r="B44" s="4" t="s">
        <v>63</v>
      </c>
    </row>
  </sheetData>
  <phoneticPr fontId="31"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8A523-2628-47FE-AE24-E135BD4ABB65}">
  <sheetPr>
    <tabColor rgb="FFFFFFCC"/>
  </sheetPr>
  <dimension ref="B2:H59"/>
  <sheetViews>
    <sheetView showGridLines="0" zoomScale="80" zoomScaleNormal="80" workbookViewId="0">
      <pane xSplit="4" ySplit="10" topLeftCell="E11" activePane="bottomRight" state="frozen"/>
      <selection activeCell="H13" sqref="H13"/>
      <selection pane="topRight" activeCell="H13" sqref="H13"/>
      <selection pane="bottomLeft" activeCell="H13" sqref="H13"/>
      <selection pane="bottomRight" activeCell="E11" sqref="E11"/>
    </sheetView>
  </sheetViews>
  <sheetFormatPr defaultColWidth="9.140625" defaultRowHeight="12.75" x14ac:dyDescent="0.2"/>
  <cols>
    <col min="1" max="1" width="4.5703125" style="2" customWidth="1"/>
    <col min="2" max="2" width="55.5703125" style="2" customWidth="1"/>
    <col min="3" max="3" width="4.5703125" style="2" customWidth="1"/>
    <col min="4" max="4" width="25.7109375" style="2" customWidth="1"/>
    <col min="5" max="5" width="2.7109375" style="2" customWidth="1"/>
    <col min="6" max="6" width="21.7109375" style="2" customWidth="1"/>
    <col min="7" max="7" width="2.7109375" style="2" customWidth="1"/>
    <col min="8" max="8" width="30.7109375" style="2" customWidth="1"/>
    <col min="9" max="9" width="2.7109375" style="2" customWidth="1"/>
    <col min="10" max="19" width="12.5703125" style="2" customWidth="1"/>
    <col min="20" max="22" width="2.7109375" style="2" customWidth="1"/>
    <col min="23" max="37" width="13.7109375" style="2" customWidth="1"/>
    <col min="38" max="16384" width="9.140625" style="2"/>
  </cols>
  <sheetData>
    <row r="2" spans="2:8" s="12" customFormat="1" ht="18" x14ac:dyDescent="0.2">
      <c r="B2" s="12" t="s">
        <v>427</v>
      </c>
    </row>
    <row r="4" spans="2:8" x14ac:dyDescent="0.2">
      <c r="B4" s="19" t="s">
        <v>12</v>
      </c>
    </row>
    <row r="5" spans="2:8" x14ac:dyDescent="0.2">
      <c r="B5" s="2" t="s">
        <v>425</v>
      </c>
      <c r="F5" s="13"/>
    </row>
    <row r="6" spans="2:8" x14ac:dyDescent="0.2">
      <c r="B6" s="2" t="s">
        <v>386</v>
      </c>
      <c r="F6" s="13"/>
    </row>
    <row r="7" spans="2:8" x14ac:dyDescent="0.2">
      <c r="B7" s="2" t="s">
        <v>355</v>
      </c>
      <c r="F7" s="13"/>
    </row>
    <row r="8" spans="2:8" x14ac:dyDescent="0.2">
      <c r="F8" s="13"/>
    </row>
    <row r="9" spans="2:8" s="8" customFormat="1" ht="12.75" customHeight="1" x14ac:dyDescent="0.2">
      <c r="B9" s="8" t="s">
        <v>80</v>
      </c>
      <c r="D9" s="8" t="s">
        <v>81</v>
      </c>
      <c r="F9" s="8" t="s">
        <v>37</v>
      </c>
      <c r="H9" s="8" t="s">
        <v>39</v>
      </c>
    </row>
    <row r="12" spans="2:8" s="8" customFormat="1" x14ac:dyDescent="0.2">
      <c r="B12" s="8" t="s">
        <v>344</v>
      </c>
    </row>
    <row r="14" spans="2:8" x14ac:dyDescent="0.2">
      <c r="B14" s="1" t="s">
        <v>175</v>
      </c>
    </row>
    <row r="15" spans="2:8" x14ac:dyDescent="0.2">
      <c r="B15" s="2" t="s">
        <v>690</v>
      </c>
      <c r="D15" s="2" t="s">
        <v>655</v>
      </c>
      <c r="F15" s="26">
        <f>'Income level'!K36</f>
        <v>2112590.9011686039</v>
      </c>
    </row>
    <row r="16" spans="2:8" x14ac:dyDescent="0.2">
      <c r="B16" s="2" t="s">
        <v>691</v>
      </c>
      <c r="D16" s="2" t="s">
        <v>94</v>
      </c>
      <c r="F16" s="26">
        <f>Estimates!K71</f>
        <v>19445.231167159676</v>
      </c>
    </row>
    <row r="17" spans="2:8" x14ac:dyDescent="0.2">
      <c r="B17" s="2" t="s">
        <v>692</v>
      </c>
      <c r="D17" s="2" t="s">
        <v>693</v>
      </c>
      <c r="F17" s="72">
        <f>F15/F16/12</f>
        <v>9.0535946963373366</v>
      </c>
      <c r="H17" s="2" t="s">
        <v>351</v>
      </c>
    </row>
    <row r="19" spans="2:8" x14ac:dyDescent="0.2">
      <c r="B19" s="1" t="s">
        <v>314</v>
      </c>
      <c r="H19" s="2" t="s">
        <v>358</v>
      </c>
    </row>
    <row r="20" spans="2:8" x14ac:dyDescent="0.2">
      <c r="B20" s="69">
        <f>Estimates!B45</f>
        <v>3.2</v>
      </c>
      <c r="D20" s="2" t="s">
        <v>694</v>
      </c>
      <c r="F20" s="72">
        <f t="shared" ref="F20:F36" si="0">F$17*B20</f>
        <v>28.971503028279479</v>
      </c>
    </row>
    <row r="21" spans="2:8" x14ac:dyDescent="0.2">
      <c r="B21" s="69">
        <f>Estimates!B46</f>
        <v>7.7</v>
      </c>
      <c r="D21" s="2" t="s">
        <v>694</v>
      </c>
      <c r="F21" s="72">
        <f t="shared" si="0"/>
        <v>69.712679161797496</v>
      </c>
    </row>
    <row r="22" spans="2:8" x14ac:dyDescent="0.2">
      <c r="B22" s="69">
        <f>Estimates!B47</f>
        <v>11</v>
      </c>
      <c r="D22" s="2" t="s">
        <v>694</v>
      </c>
      <c r="F22" s="72">
        <f t="shared" si="0"/>
        <v>99.589541659710704</v>
      </c>
    </row>
    <row r="23" spans="2:8" x14ac:dyDescent="0.2">
      <c r="B23" s="69">
        <f>Estimates!B48</f>
        <v>13.86</v>
      </c>
      <c r="D23" s="2" t="s">
        <v>694</v>
      </c>
      <c r="F23" s="72">
        <f t="shared" si="0"/>
        <v>125.48282249123548</v>
      </c>
    </row>
    <row r="24" spans="2:8" x14ac:dyDescent="0.2">
      <c r="B24" s="69">
        <f>Estimates!B49</f>
        <v>13.3</v>
      </c>
      <c r="D24" s="2" t="s">
        <v>694</v>
      </c>
      <c r="F24" s="72">
        <f t="shared" si="0"/>
        <v>120.41280946128659</v>
      </c>
    </row>
    <row r="25" spans="2:8" x14ac:dyDescent="0.2">
      <c r="B25" s="69">
        <f>Estimates!B50</f>
        <v>19</v>
      </c>
      <c r="D25" s="2" t="s">
        <v>694</v>
      </c>
      <c r="F25" s="72">
        <f t="shared" si="0"/>
        <v>172.01829923040938</v>
      </c>
    </row>
    <row r="26" spans="2:8" x14ac:dyDescent="0.2">
      <c r="B26" s="69">
        <f>Estimates!B51</f>
        <v>23.94</v>
      </c>
      <c r="D26" s="2" t="s">
        <v>694</v>
      </c>
      <c r="F26" s="72">
        <f t="shared" si="0"/>
        <v>216.74305703031584</v>
      </c>
    </row>
    <row r="27" spans="2:8" x14ac:dyDescent="0.2">
      <c r="B27" s="69">
        <f>Estimates!B52</f>
        <v>30.4</v>
      </c>
      <c r="D27" s="2" t="s">
        <v>694</v>
      </c>
      <c r="F27" s="72">
        <f t="shared" si="0"/>
        <v>275.22927876865504</v>
      </c>
    </row>
    <row r="28" spans="2:8" x14ac:dyDescent="0.2">
      <c r="B28" s="69">
        <f>Estimates!B53</f>
        <v>38</v>
      </c>
      <c r="D28" s="2" t="s">
        <v>694</v>
      </c>
      <c r="F28" s="72">
        <f t="shared" si="0"/>
        <v>344.03659846081877</v>
      </c>
    </row>
    <row r="29" spans="2:8" x14ac:dyDescent="0.2">
      <c r="B29" s="69">
        <f>Estimates!B54</f>
        <v>47.5</v>
      </c>
      <c r="D29" s="2" t="s">
        <v>694</v>
      </c>
      <c r="F29" s="72">
        <f t="shared" si="0"/>
        <v>430.04574807602347</v>
      </c>
    </row>
    <row r="30" spans="2:8" x14ac:dyDescent="0.2">
      <c r="B30" s="69">
        <f>Estimates!B55</f>
        <v>60.8</v>
      </c>
      <c r="D30" s="2" t="s">
        <v>694</v>
      </c>
      <c r="F30" s="72">
        <f t="shared" si="0"/>
        <v>550.45855753731007</v>
      </c>
    </row>
    <row r="31" spans="2:8" x14ac:dyDescent="0.2">
      <c r="B31" s="69">
        <f>Estimates!B56</f>
        <v>76</v>
      </c>
      <c r="D31" s="2" t="s">
        <v>694</v>
      </c>
      <c r="F31" s="72">
        <f t="shared" si="0"/>
        <v>688.07319692163753</v>
      </c>
    </row>
    <row r="32" spans="2:8" x14ac:dyDescent="0.2">
      <c r="B32" s="69">
        <f>Estimates!B57</f>
        <v>85.5</v>
      </c>
      <c r="D32" s="2" t="s">
        <v>694</v>
      </c>
      <c r="F32" s="72">
        <f t="shared" si="0"/>
        <v>774.08234653684224</v>
      </c>
    </row>
    <row r="33" spans="2:6" x14ac:dyDescent="0.2">
      <c r="B33" s="69">
        <f>Estimates!B58</f>
        <v>95</v>
      </c>
      <c r="D33" s="2" t="s">
        <v>694</v>
      </c>
      <c r="F33" s="72">
        <f t="shared" si="0"/>
        <v>860.09149615204694</v>
      </c>
    </row>
    <row r="34" spans="2:6" x14ac:dyDescent="0.2">
      <c r="B34" s="69">
        <f>Estimates!B59</f>
        <v>119.7</v>
      </c>
      <c r="D34" s="2" t="s">
        <v>694</v>
      </c>
      <c r="F34" s="72">
        <f t="shared" si="0"/>
        <v>1083.7152851515791</v>
      </c>
    </row>
    <row r="35" spans="2:6" x14ac:dyDescent="0.2">
      <c r="B35" s="69">
        <f>Estimates!B60</f>
        <v>175</v>
      </c>
      <c r="D35" s="2" t="s">
        <v>694</v>
      </c>
      <c r="F35" s="72">
        <f t="shared" si="0"/>
        <v>1584.379071859034</v>
      </c>
    </row>
    <row r="36" spans="2:6" x14ac:dyDescent="0.2">
      <c r="B36" s="69">
        <f>Estimates!B61</f>
        <v>200</v>
      </c>
      <c r="D36" s="2" t="s">
        <v>694</v>
      </c>
      <c r="F36" s="72">
        <f t="shared" si="0"/>
        <v>1810.7189392674672</v>
      </c>
    </row>
    <row r="38" spans="2:6" s="8" customFormat="1" x14ac:dyDescent="0.2">
      <c r="B38" s="8" t="s">
        <v>371</v>
      </c>
    </row>
    <row r="40" spans="2:6" x14ac:dyDescent="0.2">
      <c r="B40" s="1" t="s">
        <v>64</v>
      </c>
    </row>
    <row r="41" spans="2:6" x14ac:dyDescent="0.2">
      <c r="B41" s="2" t="s">
        <v>437</v>
      </c>
      <c r="D41" s="2" t="s">
        <v>73</v>
      </c>
      <c r="F41" s="59">
        <f>Parameters!F17</f>
        <v>1.9E-2</v>
      </c>
    </row>
    <row r="43" spans="2:6" x14ac:dyDescent="0.2">
      <c r="B43" s="1" t="s">
        <v>372</v>
      </c>
    </row>
    <row r="44" spans="2:6" x14ac:dyDescent="0.2">
      <c r="B44" s="2" t="s">
        <v>383</v>
      </c>
      <c r="D44" s="2" t="s">
        <v>289</v>
      </c>
      <c r="F44" s="71">
        <f>'Data ACM'!K62</f>
        <v>40</v>
      </c>
    </row>
    <row r="45" spans="2:6" x14ac:dyDescent="0.2">
      <c r="B45" s="2" t="s">
        <v>108</v>
      </c>
      <c r="D45" s="2" t="s">
        <v>289</v>
      </c>
      <c r="F45" s="71">
        <f>'Data ACM'!K58</f>
        <v>305.43662127586322</v>
      </c>
    </row>
    <row r="47" spans="2:6" x14ac:dyDescent="0.2">
      <c r="B47" s="2" t="s">
        <v>109</v>
      </c>
      <c r="D47" s="2" t="s">
        <v>289</v>
      </c>
      <c r="F47" s="71">
        <f>'Data ACM'!K59</f>
        <v>189.55349078801981</v>
      </c>
    </row>
    <row r="48" spans="2:6" x14ac:dyDescent="0.2">
      <c r="B48" s="2" t="s">
        <v>110</v>
      </c>
      <c r="D48" s="2" t="s">
        <v>289</v>
      </c>
      <c r="F48" s="71">
        <f>'Data ACM'!K60</f>
        <v>205.78594305755018</v>
      </c>
    </row>
    <row r="50" spans="2:8" x14ac:dyDescent="0.2">
      <c r="B50" s="1" t="s">
        <v>695</v>
      </c>
    </row>
    <row r="51" spans="2:8" x14ac:dyDescent="0.2">
      <c r="B51" s="2" t="s">
        <v>696</v>
      </c>
      <c r="D51" s="2" t="s">
        <v>655</v>
      </c>
      <c r="F51" s="72">
        <f>F44</f>
        <v>40</v>
      </c>
      <c r="H51" s="2" t="s">
        <v>354</v>
      </c>
    </row>
    <row r="52" spans="2:8" x14ac:dyDescent="0.2">
      <c r="B52" s="2" t="s">
        <v>697</v>
      </c>
      <c r="D52" s="2" t="s">
        <v>655</v>
      </c>
      <c r="F52" s="72">
        <f>F45*(1+$F$41)</f>
        <v>311.23991708010459</v>
      </c>
    </row>
    <row r="54" spans="2:8" x14ac:dyDescent="0.2">
      <c r="B54" s="2" t="s">
        <v>698</v>
      </c>
      <c r="D54" s="2" t="s">
        <v>655</v>
      </c>
      <c r="F54" s="72">
        <f>F47*(1+$F$41)</f>
        <v>193.15500711299217</v>
      </c>
    </row>
    <row r="55" spans="2:8" x14ac:dyDescent="0.2">
      <c r="B55" s="2" t="s">
        <v>699</v>
      </c>
      <c r="D55" s="2" t="s">
        <v>655</v>
      </c>
      <c r="F55" s="72">
        <f>F48*(1+$F$41)</f>
        <v>209.69587597564362</v>
      </c>
    </row>
    <row r="59" spans="2:8" x14ac:dyDescent="0.2">
      <c r="B59" s="4" t="s">
        <v>63</v>
      </c>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022EE-A6D3-47C7-9085-5594E8BBDA3A}">
  <sheetPr>
    <tabColor rgb="FFFFFFCC"/>
  </sheetPr>
  <dimension ref="B2:H51"/>
  <sheetViews>
    <sheetView showGridLines="0" zoomScale="80" zoomScaleNormal="80" workbookViewId="0">
      <pane xSplit="4" ySplit="9" topLeftCell="E10" activePane="bottomRight" state="frozen"/>
      <selection activeCell="H13" sqref="H13"/>
      <selection pane="topRight" activeCell="H13" sqref="H13"/>
      <selection pane="bottomLeft" activeCell="H13" sqref="H13"/>
      <selection pane="bottomRight" activeCell="E10" sqref="E10"/>
    </sheetView>
  </sheetViews>
  <sheetFormatPr defaultColWidth="9.140625" defaultRowHeight="12.75" x14ac:dyDescent="0.2"/>
  <cols>
    <col min="1" max="1" width="4.5703125" style="2" customWidth="1"/>
    <col min="2" max="2" width="52.42578125" style="2" customWidth="1"/>
    <col min="3" max="3" width="4.5703125" style="2" customWidth="1"/>
    <col min="4" max="4" width="21.7109375" style="2" customWidth="1"/>
    <col min="5" max="5" width="2.7109375" style="2" customWidth="1"/>
    <col min="6" max="6" width="14.28515625" style="2" customWidth="1"/>
    <col min="7" max="7" width="2.7109375" style="2" customWidth="1"/>
    <col min="8" max="8" width="30.7109375" style="2" customWidth="1"/>
    <col min="9" max="9" width="2.7109375" style="2" customWidth="1"/>
    <col min="10" max="19" width="12.5703125" style="2" customWidth="1"/>
    <col min="20" max="22" width="2.7109375" style="2" customWidth="1"/>
    <col min="23" max="37" width="13.7109375" style="2" customWidth="1"/>
    <col min="38" max="16384" width="9.140625" style="2"/>
  </cols>
  <sheetData>
    <row r="2" spans="2:8" s="12" customFormat="1" ht="18" x14ac:dyDescent="0.2">
      <c r="B2" s="12" t="s">
        <v>428</v>
      </c>
    </row>
    <row r="4" spans="2:8" x14ac:dyDescent="0.2">
      <c r="B4" s="19" t="s">
        <v>12</v>
      </c>
    </row>
    <row r="5" spans="2:8" x14ac:dyDescent="0.2">
      <c r="B5" s="2" t="s">
        <v>430</v>
      </c>
      <c r="F5" s="13"/>
    </row>
    <row r="6" spans="2:8" x14ac:dyDescent="0.2">
      <c r="B6" s="2" t="s">
        <v>355</v>
      </c>
      <c r="F6" s="13"/>
    </row>
    <row r="8" spans="2:8" s="8" customFormat="1" ht="12.75" customHeight="1" x14ac:dyDescent="0.2">
      <c r="B8" s="8" t="s">
        <v>80</v>
      </c>
      <c r="D8" s="8" t="s">
        <v>81</v>
      </c>
      <c r="F8" s="8" t="s">
        <v>37</v>
      </c>
      <c r="H8" s="8" t="s">
        <v>39</v>
      </c>
    </row>
    <row r="11" spans="2:8" s="8" customFormat="1" x14ac:dyDescent="0.2">
      <c r="B11" s="8" t="s">
        <v>255</v>
      </c>
    </row>
    <row r="12" spans="2:8" s="130" customFormat="1" x14ac:dyDescent="0.2"/>
    <row r="13" spans="2:8" x14ac:dyDescent="0.2">
      <c r="B13" s="1" t="s">
        <v>378</v>
      </c>
    </row>
    <row r="14" spans="2:8" x14ac:dyDescent="0.2">
      <c r="B14" s="83" t="s">
        <v>700</v>
      </c>
      <c r="D14" s="2" t="s">
        <v>655</v>
      </c>
      <c r="F14" s="26">
        <f>'Income level'!L36</f>
        <v>1025747.9730848328</v>
      </c>
    </row>
    <row r="15" spans="2:8" x14ac:dyDescent="0.2">
      <c r="B15" s="83" t="s">
        <v>701</v>
      </c>
      <c r="D15" s="2" t="s">
        <v>95</v>
      </c>
      <c r="F15" s="26">
        <f>Estimates!L71</f>
        <v>229530</v>
      </c>
    </row>
    <row r="16" spans="2:8" x14ac:dyDescent="0.2">
      <c r="B16" s="2" t="s">
        <v>702</v>
      </c>
      <c r="D16" s="2" t="s">
        <v>703</v>
      </c>
      <c r="F16" s="133">
        <f>F14/F15</f>
        <v>4.4689059080940741</v>
      </c>
      <c r="H16" s="2" t="s">
        <v>384</v>
      </c>
    </row>
    <row r="17" spans="2:8" x14ac:dyDescent="0.2">
      <c r="B17" s="83"/>
    </row>
    <row r="18" spans="2:8" x14ac:dyDescent="0.2">
      <c r="B18" s="1" t="s">
        <v>375</v>
      </c>
    </row>
    <row r="19" spans="2:8" x14ac:dyDescent="0.2">
      <c r="B19" s="2" t="s">
        <v>689</v>
      </c>
      <c r="D19" s="2" t="s">
        <v>682</v>
      </c>
      <c r="F19" s="86">
        <f>'Variable tariffs electricity'!F40</f>
        <v>0.32516795903931511</v>
      </c>
    </row>
    <row r="20" spans="2:8" x14ac:dyDescent="0.2">
      <c r="B20" s="2" t="s">
        <v>323</v>
      </c>
      <c r="D20" s="2" t="s">
        <v>694</v>
      </c>
      <c r="F20" s="26">
        <f>'Fixed tariffs electricity'!F32</f>
        <v>774.08234653684224</v>
      </c>
    </row>
    <row r="21" spans="2:8" x14ac:dyDescent="0.2">
      <c r="B21" s="2" t="s">
        <v>104</v>
      </c>
      <c r="D21" s="2" t="s">
        <v>105</v>
      </c>
      <c r="F21" s="71">
        <f>Estimates!L40</f>
        <v>5.1956194929354425</v>
      </c>
    </row>
    <row r="22" spans="2:8" x14ac:dyDescent="0.2">
      <c r="B22" s="2" t="s">
        <v>431</v>
      </c>
      <c r="D22" s="2" t="s">
        <v>655</v>
      </c>
      <c r="F22" s="143">
        <f>F20*12</f>
        <v>9288.9881584421073</v>
      </c>
      <c r="H22" s="2" t="s">
        <v>376</v>
      </c>
    </row>
    <row r="23" spans="2:8" x14ac:dyDescent="0.2">
      <c r="B23" s="2" t="s">
        <v>379</v>
      </c>
      <c r="D23" s="2" t="s">
        <v>703</v>
      </c>
      <c r="F23" s="143">
        <f>F19*F21</f>
        <v>1.6894489864626991</v>
      </c>
    </row>
    <row r="24" spans="2:8" x14ac:dyDescent="0.2">
      <c r="B24" s="2" t="s">
        <v>385</v>
      </c>
      <c r="D24" s="2" t="s">
        <v>703</v>
      </c>
      <c r="F24" s="143">
        <f>F23+F22/F15</f>
        <v>1.7299185902549794</v>
      </c>
    </row>
    <row r="26" spans="2:8" x14ac:dyDescent="0.2">
      <c r="B26" s="1" t="s">
        <v>377</v>
      </c>
    </row>
    <row r="27" spans="2:8" x14ac:dyDescent="0.2">
      <c r="B27" s="2" t="s">
        <v>704</v>
      </c>
      <c r="D27" s="2" t="s">
        <v>703</v>
      </c>
      <c r="F27" s="133">
        <f>F16+F24</f>
        <v>6.1988244983490537</v>
      </c>
    </row>
    <row r="28" spans="2:8" x14ac:dyDescent="0.2">
      <c r="B28" s="2" t="s">
        <v>705</v>
      </c>
      <c r="D28" s="2" t="s">
        <v>703</v>
      </c>
      <c r="F28" s="137">
        <f>ROUND(F27,3)</f>
        <v>6.1989999999999998</v>
      </c>
      <c r="H28" s="2" t="s">
        <v>415</v>
      </c>
    </row>
    <row r="30" spans="2:8" s="8" customFormat="1" x14ac:dyDescent="0.2">
      <c r="B30" s="8" t="s">
        <v>345</v>
      </c>
    </row>
    <row r="32" spans="2:8" x14ac:dyDescent="0.2">
      <c r="B32" s="1" t="s">
        <v>343</v>
      </c>
    </row>
    <row r="33" spans="2:8" x14ac:dyDescent="0.2">
      <c r="B33" s="2" t="s">
        <v>316</v>
      </c>
      <c r="D33" s="2" t="s">
        <v>703</v>
      </c>
      <c r="F33" s="132">
        <f>'Overview corrections'!M54</f>
        <v>0.28648005754925504</v>
      </c>
    </row>
    <row r="35" spans="2:8" x14ac:dyDescent="0.2">
      <c r="B35" s="1" t="s">
        <v>317</v>
      </c>
    </row>
    <row r="36" spans="2:8" x14ac:dyDescent="0.2">
      <c r="B36" s="2" t="s">
        <v>515</v>
      </c>
      <c r="D36" s="2" t="s">
        <v>73</v>
      </c>
      <c r="F36" s="70">
        <f>Estimates!M17</f>
        <v>0.45</v>
      </c>
    </row>
    <row r="38" spans="2:8" x14ac:dyDescent="0.2">
      <c r="B38" s="1" t="s">
        <v>346</v>
      </c>
    </row>
    <row r="39" spans="2:8" x14ac:dyDescent="0.2">
      <c r="B39" s="2" t="s">
        <v>706</v>
      </c>
      <c r="D39" s="2" t="s">
        <v>703</v>
      </c>
      <c r="F39" s="133">
        <f>(F27+F33)/(1-F36)</f>
        <v>11.791462828906015</v>
      </c>
      <c r="H39" s="2" t="s">
        <v>356</v>
      </c>
    </row>
    <row r="40" spans="2:8" x14ac:dyDescent="0.2">
      <c r="B40" s="2" t="s">
        <v>707</v>
      </c>
      <c r="D40" s="2" t="s">
        <v>703</v>
      </c>
      <c r="F40" s="137">
        <f>ROUND(F39,3)</f>
        <v>11.791</v>
      </c>
      <c r="H40" s="2" t="s">
        <v>415</v>
      </c>
    </row>
    <row r="42" spans="2:8" s="8" customFormat="1" x14ac:dyDescent="0.2">
      <c r="B42" s="8" t="s">
        <v>349</v>
      </c>
    </row>
    <row r="44" spans="2:8" x14ac:dyDescent="0.2">
      <c r="B44" s="1" t="s">
        <v>350</v>
      </c>
    </row>
    <row r="45" spans="2:8" x14ac:dyDescent="0.2">
      <c r="B45" s="2" t="s">
        <v>380</v>
      </c>
      <c r="D45" s="2" t="s">
        <v>655</v>
      </c>
      <c r="F45" s="26">
        <f>'Income level'!N36</f>
        <v>28620.631230489544</v>
      </c>
    </row>
    <row r="46" spans="2:8" x14ac:dyDescent="0.2">
      <c r="B46" s="2" t="s">
        <v>708</v>
      </c>
      <c r="D46" s="2" t="s">
        <v>95</v>
      </c>
      <c r="F46" s="26">
        <f>Estimates!N71</f>
        <v>2530</v>
      </c>
    </row>
    <row r="47" spans="2:8" x14ac:dyDescent="0.2">
      <c r="B47" s="2" t="s">
        <v>709</v>
      </c>
      <c r="D47" s="2" t="s">
        <v>703</v>
      </c>
      <c r="F47" s="133">
        <f>F27+F45/F46</f>
        <v>17.511326960993141</v>
      </c>
      <c r="H47" s="2" t="s">
        <v>353</v>
      </c>
    </row>
    <row r="48" spans="2:8" x14ac:dyDescent="0.2">
      <c r="B48" s="2" t="s">
        <v>710</v>
      </c>
      <c r="D48" s="2" t="s">
        <v>703</v>
      </c>
      <c r="F48" s="137">
        <f>ROUND(F47,3)</f>
        <v>17.510999999999999</v>
      </c>
      <c r="H48" s="2" t="s">
        <v>415</v>
      </c>
    </row>
    <row r="51" spans="2:2" x14ac:dyDescent="0.2">
      <c r="B51" s="4" t="s">
        <v>63</v>
      </c>
    </row>
  </sheetData>
  <phoneticPr fontId="31" type="noConversion"/>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9949D-46A2-4629-BE28-7F6D7D163838}">
  <sheetPr>
    <tabColor rgb="FFFFFFCC"/>
  </sheetPr>
  <dimension ref="B2:H34"/>
  <sheetViews>
    <sheetView showGridLines="0" zoomScale="80" zoomScaleNormal="80" workbookViewId="0">
      <pane xSplit="4" ySplit="9" topLeftCell="E10" activePane="bottomRight" state="frozen"/>
      <selection activeCell="H13" sqref="H13"/>
      <selection pane="topRight" activeCell="H13" sqref="H13"/>
      <selection pane="bottomLeft" activeCell="H13" sqref="H13"/>
      <selection pane="bottomRight" activeCell="E10" sqref="E10"/>
    </sheetView>
  </sheetViews>
  <sheetFormatPr defaultColWidth="9.140625" defaultRowHeight="12.75" x14ac:dyDescent="0.2"/>
  <cols>
    <col min="1" max="1" width="4.5703125" style="2" customWidth="1"/>
    <col min="2" max="2" width="63.28515625" style="2" customWidth="1"/>
    <col min="3" max="3" width="4.5703125" style="2" customWidth="1"/>
    <col min="4" max="4" width="21.7109375" style="2" customWidth="1"/>
    <col min="5" max="5" width="2.7109375" style="2" customWidth="1"/>
    <col min="6" max="6" width="21.7109375" style="2" customWidth="1"/>
    <col min="7" max="7" width="2.7109375" style="2" customWidth="1"/>
    <col min="8" max="8" width="30.7109375" style="2" customWidth="1"/>
    <col min="9" max="9" width="2.7109375" style="2" customWidth="1"/>
    <col min="10" max="19" width="12.5703125" style="2" customWidth="1"/>
    <col min="20" max="22" width="2.7109375" style="2" customWidth="1"/>
    <col min="23" max="37" width="13.7109375" style="2" customWidth="1"/>
    <col min="38" max="16384" width="9.140625" style="2"/>
  </cols>
  <sheetData>
    <row r="2" spans="2:8" s="12" customFormat="1" ht="18" x14ac:dyDescent="0.2">
      <c r="B2" s="12" t="s">
        <v>429</v>
      </c>
    </row>
    <row r="4" spans="2:8" x14ac:dyDescent="0.2">
      <c r="B4" s="19" t="s">
        <v>12</v>
      </c>
    </row>
    <row r="5" spans="2:8" x14ac:dyDescent="0.2">
      <c r="B5" s="2" t="s">
        <v>432</v>
      </c>
      <c r="F5" s="13"/>
    </row>
    <row r="6" spans="2:8" x14ac:dyDescent="0.2">
      <c r="B6" s="2" t="s">
        <v>355</v>
      </c>
      <c r="F6" s="13"/>
    </row>
    <row r="8" spans="2:8" s="8" customFormat="1" ht="12.75" customHeight="1" x14ac:dyDescent="0.2">
      <c r="B8" s="8" t="s">
        <v>80</v>
      </c>
      <c r="D8" s="8" t="s">
        <v>81</v>
      </c>
      <c r="F8" s="8" t="s">
        <v>37</v>
      </c>
      <c r="H8" s="8" t="s">
        <v>39</v>
      </c>
    </row>
    <row r="11" spans="2:8" s="8" customFormat="1" x14ac:dyDescent="0.2">
      <c r="B11" s="8" t="s">
        <v>347</v>
      </c>
    </row>
    <row r="13" spans="2:8" x14ac:dyDescent="0.2">
      <c r="B13" s="1" t="s">
        <v>348</v>
      </c>
    </row>
    <row r="14" spans="2:8" x14ac:dyDescent="0.2">
      <c r="B14" s="83" t="s">
        <v>711</v>
      </c>
      <c r="D14" s="2" t="s">
        <v>712</v>
      </c>
      <c r="F14" s="26">
        <f>'Income level'!M36</f>
        <v>1281704.6051395189</v>
      </c>
    </row>
    <row r="15" spans="2:8" x14ac:dyDescent="0.2">
      <c r="B15" s="83" t="s">
        <v>713</v>
      </c>
      <c r="D15" s="2" t="s">
        <v>95</v>
      </c>
      <c r="F15" s="26">
        <f>Estimates!M71</f>
        <v>1292.073872976589</v>
      </c>
    </row>
    <row r="16" spans="2:8" x14ac:dyDescent="0.2">
      <c r="B16" s="2" t="s">
        <v>714</v>
      </c>
      <c r="D16" s="2" t="s">
        <v>694</v>
      </c>
      <c r="F16" s="72">
        <f>F14/F15/12</f>
        <v>82.664559146994819</v>
      </c>
      <c r="H16" s="2" t="s">
        <v>352</v>
      </c>
    </row>
    <row r="18" spans="2:8" s="8" customFormat="1" x14ac:dyDescent="0.2">
      <c r="B18" s="8" t="s">
        <v>371</v>
      </c>
    </row>
    <row r="20" spans="2:8" x14ac:dyDescent="0.2">
      <c r="B20" s="1" t="s">
        <v>64</v>
      </c>
    </row>
    <row r="21" spans="2:8" x14ac:dyDescent="0.2">
      <c r="B21" s="2" t="s">
        <v>437</v>
      </c>
      <c r="D21" s="2" t="s">
        <v>73</v>
      </c>
      <c r="F21" s="59">
        <f>Parameters!F17</f>
        <v>1.9E-2</v>
      </c>
    </row>
    <row r="22" spans="2:8" x14ac:dyDescent="0.2">
      <c r="B22" s="4"/>
    </row>
    <row r="23" spans="2:8" x14ac:dyDescent="0.2">
      <c r="B23" s="19" t="s">
        <v>382</v>
      </c>
    </row>
    <row r="24" spans="2:8" x14ac:dyDescent="0.2">
      <c r="B24" s="2" t="s">
        <v>111</v>
      </c>
      <c r="D24" s="2" t="s">
        <v>289</v>
      </c>
      <c r="F24" s="71">
        <f>'Data ACM'!M62</f>
        <v>40</v>
      </c>
    </row>
    <row r="25" spans="2:8" x14ac:dyDescent="0.2">
      <c r="B25" s="2" t="s">
        <v>281</v>
      </c>
      <c r="D25" s="2" t="s">
        <v>289</v>
      </c>
      <c r="F25" s="71">
        <f>'Data ACM'!M55</f>
        <v>281.40138554396282</v>
      </c>
    </row>
    <row r="26" spans="2:8" x14ac:dyDescent="0.2">
      <c r="B26" s="2" t="s">
        <v>381</v>
      </c>
      <c r="D26" s="2" t="s">
        <v>289</v>
      </c>
      <c r="F26" s="71">
        <f>'Data ACM'!M56</f>
        <v>195.4296490024484</v>
      </c>
    </row>
    <row r="28" spans="2:8" x14ac:dyDescent="0.2">
      <c r="B28" s="19" t="s">
        <v>715</v>
      </c>
    </row>
    <row r="29" spans="2:8" x14ac:dyDescent="0.2">
      <c r="B29" s="2" t="s">
        <v>111</v>
      </c>
      <c r="D29" s="2" t="s">
        <v>655</v>
      </c>
      <c r="F29" s="72">
        <f>F24</f>
        <v>40</v>
      </c>
      <c r="H29" s="2" t="s">
        <v>354</v>
      </c>
    </row>
    <row r="30" spans="2:8" x14ac:dyDescent="0.2">
      <c r="B30" s="2" t="s">
        <v>716</v>
      </c>
      <c r="D30" s="2" t="s">
        <v>655</v>
      </c>
      <c r="F30" s="72">
        <f>F25*(1+$F$21)</f>
        <v>286.74801186929807</v>
      </c>
    </row>
    <row r="31" spans="2:8" x14ac:dyDescent="0.2">
      <c r="B31" s="2" t="s">
        <v>717</v>
      </c>
      <c r="D31" s="2" t="s">
        <v>655</v>
      </c>
      <c r="F31" s="72">
        <f>F26*(1+$F$21)</f>
        <v>199.1428123334949</v>
      </c>
    </row>
    <row r="32" spans="2:8" x14ac:dyDescent="0.2">
      <c r="B32" s="1"/>
    </row>
    <row r="34" spans="2:2" x14ac:dyDescent="0.2">
      <c r="B34" s="4" t="s">
        <v>63</v>
      </c>
    </row>
  </sheetData>
  <phoneticPr fontId="31" type="noConversion"/>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33AD3-F2E6-405E-97AE-10DC7D5C3661}">
  <sheetPr>
    <tabColor rgb="FFCCFFFF"/>
  </sheetPr>
  <dimension ref="B2:AB95"/>
  <sheetViews>
    <sheetView showGridLines="0" zoomScale="80" zoomScaleNormal="80" workbookViewId="0"/>
  </sheetViews>
  <sheetFormatPr defaultColWidth="9.140625" defaultRowHeight="12.75" x14ac:dyDescent="0.2"/>
  <cols>
    <col min="1" max="1" width="9.140625" style="47"/>
    <col min="2" max="2" width="4.5703125" style="47" customWidth="1"/>
    <col min="3" max="3" width="52.5703125" style="47" customWidth="1"/>
    <col min="4" max="4" width="19.7109375" style="47" customWidth="1"/>
    <col min="5" max="6" width="14" style="47" customWidth="1"/>
    <col min="7" max="7" width="5.5703125" style="47" customWidth="1"/>
    <col min="8" max="8" width="20.140625" style="47" customWidth="1"/>
    <col min="9" max="9" width="4.5703125" style="47" customWidth="1"/>
    <col min="10" max="10" width="9.140625" style="47"/>
    <col min="11" max="11" width="10.28515625" style="47" bestFit="1" customWidth="1"/>
    <col min="12" max="16384" width="9.140625" style="47"/>
  </cols>
  <sheetData>
    <row r="2" spans="2:7" s="7" customFormat="1" ht="18" x14ac:dyDescent="0.2">
      <c r="C2" s="7" t="s">
        <v>220</v>
      </c>
    </row>
    <row r="3" spans="2:7" x14ac:dyDescent="0.2">
      <c r="B3" s="2"/>
      <c r="C3" s="2"/>
      <c r="D3" s="2"/>
      <c r="E3" s="2"/>
      <c r="F3" s="2"/>
      <c r="G3" s="2"/>
    </row>
    <row r="4" spans="2:7" x14ac:dyDescent="0.2">
      <c r="B4" s="2"/>
      <c r="C4" s="19" t="s">
        <v>80</v>
      </c>
      <c r="D4" s="2"/>
      <c r="E4" s="2"/>
      <c r="F4" s="2"/>
      <c r="G4" s="2"/>
    </row>
    <row r="5" spans="2:7" x14ac:dyDescent="0.2">
      <c r="B5" s="2"/>
      <c r="C5" s="2" t="s">
        <v>718</v>
      </c>
      <c r="D5" s="2"/>
      <c r="E5" s="13"/>
      <c r="F5" s="2"/>
      <c r="G5" s="2"/>
    </row>
    <row r="6" spans="2:7" x14ac:dyDescent="0.2">
      <c r="B6" s="2"/>
      <c r="C6" s="2"/>
      <c r="D6" s="2"/>
      <c r="E6" s="2"/>
      <c r="F6" s="2"/>
      <c r="G6" s="2"/>
    </row>
    <row r="7" spans="2:7" s="8" customFormat="1" x14ac:dyDescent="0.2">
      <c r="C7" s="8" t="s">
        <v>221</v>
      </c>
      <c r="D7" s="8" t="s">
        <v>36</v>
      </c>
    </row>
    <row r="9" spans="2:7" x14ac:dyDescent="0.2">
      <c r="C9" s="1" t="s">
        <v>222</v>
      </c>
      <c r="D9" s="47" t="s">
        <v>656</v>
      </c>
      <c r="E9" s="89">
        <f>Result!F14</f>
        <v>0.20330000000000001</v>
      </c>
    </row>
    <row r="10" spans="2:7" x14ac:dyDescent="0.2">
      <c r="C10" s="1"/>
    </row>
    <row r="11" spans="2:7" x14ac:dyDescent="0.2">
      <c r="B11" s="90"/>
      <c r="C11" s="91"/>
      <c r="D11" s="91"/>
      <c r="E11" s="91"/>
      <c r="F11" s="92"/>
    </row>
    <row r="12" spans="2:7" s="8" customFormat="1" x14ac:dyDescent="0.2">
      <c r="B12" s="93"/>
      <c r="C12" s="8" t="s">
        <v>719</v>
      </c>
      <c r="D12" s="8" t="s">
        <v>36</v>
      </c>
      <c r="F12" s="94"/>
    </row>
    <row r="13" spans="2:7" x14ac:dyDescent="0.2">
      <c r="B13" s="95"/>
      <c r="F13" s="96"/>
    </row>
    <row r="14" spans="2:7" x14ac:dyDescent="0.2">
      <c r="B14" s="95"/>
      <c r="C14" s="1" t="s">
        <v>223</v>
      </c>
      <c r="D14" s="47" t="s">
        <v>656</v>
      </c>
      <c r="E14" s="89">
        <f>Result!F19</f>
        <v>0.32519999999999999</v>
      </c>
      <c r="F14" s="96"/>
    </row>
    <row r="15" spans="2:7" x14ac:dyDescent="0.2">
      <c r="B15" s="95"/>
      <c r="F15" s="96"/>
    </row>
    <row r="16" spans="2:7" x14ac:dyDescent="0.2">
      <c r="B16" s="95"/>
      <c r="C16" s="1" t="s">
        <v>224</v>
      </c>
      <c r="F16" s="96"/>
    </row>
    <row r="17" spans="2:28" x14ac:dyDescent="0.2">
      <c r="B17" s="95"/>
      <c r="C17" s="2" t="s">
        <v>225</v>
      </c>
      <c r="D17" s="2" t="s">
        <v>720</v>
      </c>
      <c r="E17" s="97">
        <f>'Fixed tariffs electricity'!F17</f>
        <v>9.0535946963373366</v>
      </c>
      <c r="F17" s="96"/>
    </row>
    <row r="18" spans="2:28" x14ac:dyDescent="0.2">
      <c r="B18" s="95"/>
      <c r="C18" s="2" t="s">
        <v>226</v>
      </c>
      <c r="F18" s="96"/>
    </row>
    <row r="19" spans="2:28" x14ac:dyDescent="0.2">
      <c r="B19" s="95"/>
      <c r="C19" s="2" t="s">
        <v>227</v>
      </c>
      <c r="D19" s="2" t="s">
        <v>720</v>
      </c>
      <c r="E19" s="98">
        <f>Result!F24</f>
        <v>28.971503028279479</v>
      </c>
      <c r="F19" s="99"/>
      <c r="G19" s="2"/>
      <c r="I19" s="2"/>
      <c r="J19" s="2"/>
      <c r="K19" s="2"/>
      <c r="L19" s="2"/>
      <c r="M19" s="2"/>
      <c r="N19" s="2"/>
      <c r="O19" s="2"/>
      <c r="P19" s="2"/>
      <c r="Q19" s="2"/>
      <c r="R19" s="2"/>
      <c r="S19" s="2"/>
      <c r="T19" s="2"/>
      <c r="U19" s="2"/>
      <c r="V19" s="2"/>
      <c r="W19" s="2"/>
      <c r="X19" s="2"/>
      <c r="Y19" s="2"/>
      <c r="Z19" s="2"/>
      <c r="AA19" s="2"/>
      <c r="AB19" s="2"/>
    </row>
    <row r="20" spans="2:28" x14ac:dyDescent="0.2">
      <c r="B20" s="95"/>
      <c r="C20" s="2" t="s">
        <v>228</v>
      </c>
      <c r="D20" s="2" t="s">
        <v>720</v>
      </c>
      <c r="E20" s="98">
        <f>Result!F25</f>
        <v>69.712679161797496</v>
      </c>
      <c r="F20" s="99"/>
      <c r="G20" s="2"/>
      <c r="I20" s="2"/>
      <c r="J20" s="2"/>
      <c r="K20" s="2"/>
      <c r="L20" s="2"/>
      <c r="M20" s="2"/>
      <c r="N20" s="2"/>
      <c r="O20" s="2"/>
      <c r="P20" s="2"/>
      <c r="Q20" s="2"/>
      <c r="R20" s="2"/>
      <c r="S20" s="2"/>
      <c r="T20" s="2"/>
      <c r="U20" s="2"/>
      <c r="V20" s="2"/>
      <c r="W20" s="2"/>
      <c r="X20" s="2"/>
      <c r="Y20" s="2"/>
      <c r="Z20" s="2"/>
      <c r="AA20" s="2"/>
      <c r="AB20" s="2"/>
    </row>
    <row r="21" spans="2:28" x14ac:dyDescent="0.2">
      <c r="B21" s="95"/>
      <c r="C21" s="2" t="s">
        <v>229</v>
      </c>
      <c r="D21" s="2" t="s">
        <v>720</v>
      </c>
      <c r="E21" s="98">
        <f>Result!F26</f>
        <v>99.589541659710704</v>
      </c>
      <c r="F21" s="99"/>
      <c r="G21" s="2"/>
      <c r="I21" s="2"/>
      <c r="J21" s="2"/>
      <c r="K21" s="2"/>
      <c r="L21" s="2"/>
      <c r="M21" s="2"/>
      <c r="N21" s="2"/>
      <c r="O21" s="2"/>
      <c r="P21" s="2"/>
      <c r="Q21" s="2"/>
      <c r="R21" s="2"/>
      <c r="S21" s="2"/>
      <c r="T21" s="2"/>
      <c r="U21" s="2"/>
      <c r="V21" s="2"/>
      <c r="W21" s="2"/>
      <c r="X21" s="2"/>
      <c r="Y21" s="2"/>
      <c r="Z21" s="2"/>
      <c r="AA21" s="2"/>
      <c r="AB21" s="2"/>
    </row>
    <row r="22" spans="2:28" x14ac:dyDescent="0.2">
      <c r="B22" s="95"/>
      <c r="C22" s="2" t="s">
        <v>230</v>
      </c>
      <c r="D22" s="2" t="s">
        <v>720</v>
      </c>
      <c r="E22" s="98">
        <f>Result!F27</f>
        <v>125.48282249123548</v>
      </c>
      <c r="F22" s="99"/>
      <c r="G22" s="2"/>
      <c r="I22" s="2"/>
      <c r="J22" s="2"/>
      <c r="K22" s="2"/>
      <c r="L22" s="2"/>
      <c r="M22" s="2"/>
      <c r="N22" s="2"/>
      <c r="O22" s="2"/>
      <c r="P22" s="2"/>
      <c r="Q22" s="2"/>
      <c r="R22" s="2"/>
      <c r="S22" s="2"/>
      <c r="T22" s="2"/>
      <c r="U22" s="2"/>
      <c r="V22" s="2"/>
      <c r="W22" s="2"/>
      <c r="X22" s="2"/>
      <c r="Y22" s="2"/>
      <c r="Z22" s="2"/>
      <c r="AA22" s="2"/>
      <c r="AB22" s="2"/>
    </row>
    <row r="23" spans="2:28" x14ac:dyDescent="0.2">
      <c r="B23" s="95"/>
      <c r="C23" s="2" t="s">
        <v>231</v>
      </c>
      <c r="D23" s="2" t="s">
        <v>720</v>
      </c>
      <c r="E23" s="98">
        <f>Result!F28</f>
        <v>120.41280946128659</v>
      </c>
      <c r="F23" s="99"/>
      <c r="G23" s="2"/>
      <c r="I23" s="2"/>
      <c r="J23" s="2"/>
      <c r="K23" s="2"/>
      <c r="L23" s="2"/>
      <c r="M23" s="2"/>
      <c r="N23" s="2"/>
      <c r="O23" s="2"/>
      <c r="P23" s="2"/>
      <c r="Q23" s="2"/>
      <c r="R23" s="2"/>
      <c r="S23" s="2"/>
      <c r="T23" s="2"/>
      <c r="U23" s="2"/>
      <c r="V23" s="2"/>
      <c r="W23" s="2"/>
      <c r="X23" s="2"/>
      <c r="Y23" s="2"/>
      <c r="Z23" s="2"/>
      <c r="AA23" s="2"/>
      <c r="AB23" s="2"/>
    </row>
    <row r="24" spans="2:28" x14ac:dyDescent="0.2">
      <c r="B24" s="95"/>
      <c r="C24" s="2" t="s">
        <v>232</v>
      </c>
      <c r="D24" s="2" t="s">
        <v>720</v>
      </c>
      <c r="E24" s="98">
        <f>Result!F29</f>
        <v>172.01829923040938</v>
      </c>
      <c r="F24" s="99"/>
      <c r="G24" s="2"/>
      <c r="I24" s="2"/>
      <c r="J24" s="2"/>
      <c r="K24" s="2"/>
      <c r="L24" s="2"/>
      <c r="M24" s="2"/>
      <c r="N24" s="2"/>
      <c r="O24" s="2"/>
      <c r="P24" s="2"/>
      <c r="Q24" s="2"/>
      <c r="R24" s="2"/>
      <c r="S24" s="2"/>
      <c r="T24" s="2"/>
      <c r="U24" s="2"/>
      <c r="V24" s="2"/>
      <c r="W24" s="2"/>
      <c r="X24" s="2"/>
      <c r="Y24" s="2"/>
      <c r="Z24" s="2"/>
      <c r="AA24" s="2"/>
      <c r="AB24" s="2"/>
    </row>
    <row r="25" spans="2:28" x14ac:dyDescent="0.2">
      <c r="B25" s="95"/>
      <c r="C25" s="2" t="s">
        <v>233</v>
      </c>
      <c r="D25" s="2" t="s">
        <v>720</v>
      </c>
      <c r="E25" s="98">
        <f>Result!F30</f>
        <v>216.74305703031584</v>
      </c>
      <c r="F25" s="99"/>
      <c r="G25" s="2"/>
      <c r="I25" s="2"/>
      <c r="J25" s="2"/>
      <c r="K25" s="2"/>
      <c r="L25" s="2"/>
      <c r="M25" s="2"/>
      <c r="N25" s="2"/>
      <c r="O25" s="2"/>
      <c r="P25" s="2"/>
      <c r="Q25" s="2"/>
      <c r="R25" s="2"/>
      <c r="S25" s="2"/>
      <c r="T25" s="2"/>
      <c r="U25" s="2"/>
      <c r="V25" s="2"/>
      <c r="W25" s="2"/>
      <c r="X25" s="2"/>
      <c r="Y25" s="2"/>
      <c r="Z25" s="2"/>
      <c r="AA25" s="2"/>
      <c r="AB25" s="2"/>
    </row>
    <row r="26" spans="2:28" x14ac:dyDescent="0.2">
      <c r="B26" s="95"/>
      <c r="C26" s="2" t="s">
        <v>234</v>
      </c>
      <c r="D26" s="2" t="s">
        <v>720</v>
      </c>
      <c r="E26" s="98">
        <f>Result!F31</f>
        <v>275.22927876865504</v>
      </c>
      <c r="F26" s="99"/>
      <c r="G26" s="2"/>
      <c r="I26" s="2"/>
      <c r="J26" s="2"/>
      <c r="K26" s="2"/>
      <c r="L26" s="2"/>
      <c r="M26" s="2"/>
      <c r="N26" s="2"/>
      <c r="O26" s="2"/>
      <c r="P26" s="2"/>
      <c r="Q26" s="2"/>
      <c r="R26" s="2"/>
      <c r="S26" s="2"/>
      <c r="T26" s="2"/>
      <c r="U26" s="2"/>
      <c r="V26" s="2"/>
      <c r="W26" s="2"/>
      <c r="X26" s="2"/>
      <c r="Y26" s="2"/>
      <c r="Z26" s="2"/>
      <c r="AA26" s="2"/>
      <c r="AB26" s="2"/>
    </row>
    <row r="27" spans="2:28" x14ac:dyDescent="0.2">
      <c r="B27" s="95"/>
      <c r="C27" s="2" t="s">
        <v>235</v>
      </c>
      <c r="D27" s="2" t="s">
        <v>720</v>
      </c>
      <c r="E27" s="98">
        <f>Result!F32</f>
        <v>344.03659846081877</v>
      </c>
      <c r="F27" s="99"/>
      <c r="G27" s="2"/>
      <c r="I27" s="2"/>
      <c r="J27" s="2"/>
      <c r="K27" s="2"/>
      <c r="L27" s="2"/>
      <c r="M27" s="2"/>
      <c r="N27" s="2"/>
      <c r="O27" s="2"/>
      <c r="P27" s="2"/>
      <c r="Q27" s="2"/>
      <c r="R27" s="2"/>
      <c r="S27" s="2"/>
      <c r="T27" s="2"/>
      <c r="U27" s="2"/>
      <c r="V27" s="2"/>
      <c r="W27" s="2"/>
      <c r="X27" s="2"/>
      <c r="Y27" s="2"/>
      <c r="Z27" s="2"/>
      <c r="AA27" s="2"/>
      <c r="AB27" s="2"/>
    </row>
    <row r="28" spans="2:28" x14ac:dyDescent="0.2">
      <c r="B28" s="95"/>
      <c r="C28" s="2" t="s">
        <v>236</v>
      </c>
      <c r="D28" s="2" t="s">
        <v>720</v>
      </c>
      <c r="E28" s="98">
        <f>Result!F33</f>
        <v>430.04574807602347</v>
      </c>
      <c r="F28" s="99"/>
      <c r="G28" s="2"/>
      <c r="I28" s="2"/>
      <c r="J28" s="2"/>
      <c r="K28" s="2"/>
      <c r="L28" s="2"/>
      <c r="M28" s="2"/>
      <c r="N28" s="2"/>
      <c r="O28" s="2"/>
      <c r="P28" s="2"/>
      <c r="Q28" s="2"/>
      <c r="R28" s="2"/>
      <c r="S28" s="2"/>
      <c r="T28" s="2"/>
      <c r="U28" s="2"/>
      <c r="V28" s="2"/>
      <c r="W28" s="2"/>
      <c r="X28" s="2"/>
      <c r="Y28" s="2"/>
      <c r="Z28" s="2"/>
      <c r="AA28" s="2"/>
      <c r="AB28" s="2"/>
    </row>
    <row r="29" spans="2:28" x14ac:dyDescent="0.2">
      <c r="B29" s="95"/>
      <c r="C29" s="2" t="s">
        <v>237</v>
      </c>
      <c r="D29" s="2" t="s">
        <v>720</v>
      </c>
      <c r="E29" s="98">
        <f>Result!F34</f>
        <v>550.45855753731007</v>
      </c>
      <c r="F29" s="99"/>
      <c r="G29" s="2"/>
      <c r="I29" s="2"/>
      <c r="J29" s="2"/>
      <c r="K29" s="2"/>
      <c r="L29" s="2"/>
      <c r="M29" s="2"/>
      <c r="N29" s="2"/>
      <c r="O29" s="2"/>
      <c r="P29" s="2"/>
      <c r="Q29" s="2"/>
      <c r="R29" s="2"/>
      <c r="S29" s="2"/>
      <c r="T29" s="2"/>
      <c r="U29" s="2"/>
      <c r="V29" s="2"/>
      <c r="W29" s="2"/>
      <c r="X29" s="2"/>
      <c r="Y29" s="2"/>
      <c r="Z29" s="2"/>
      <c r="AA29" s="2"/>
      <c r="AB29" s="2"/>
    </row>
    <row r="30" spans="2:28" x14ac:dyDescent="0.2">
      <c r="B30" s="95"/>
      <c r="C30" s="2" t="s">
        <v>238</v>
      </c>
      <c r="D30" s="2" t="s">
        <v>720</v>
      </c>
      <c r="E30" s="98">
        <f>Result!F35</f>
        <v>688.07319692163753</v>
      </c>
      <c r="F30" s="99"/>
      <c r="G30" s="2"/>
      <c r="I30" s="2"/>
      <c r="J30" s="2"/>
      <c r="K30" s="2"/>
      <c r="L30" s="2"/>
      <c r="M30" s="2"/>
      <c r="N30" s="2"/>
      <c r="O30" s="2"/>
      <c r="P30" s="2"/>
      <c r="Q30" s="2"/>
      <c r="R30" s="2"/>
      <c r="S30" s="2"/>
      <c r="T30" s="2"/>
      <c r="U30" s="2"/>
      <c r="V30" s="2"/>
      <c r="W30" s="2"/>
      <c r="X30" s="2"/>
      <c r="Y30" s="2"/>
      <c r="Z30" s="2"/>
      <c r="AA30" s="2"/>
      <c r="AB30" s="2"/>
    </row>
    <row r="31" spans="2:28" x14ac:dyDescent="0.2">
      <c r="B31" s="95"/>
      <c r="C31" s="2" t="s">
        <v>239</v>
      </c>
      <c r="D31" s="2" t="s">
        <v>720</v>
      </c>
      <c r="E31" s="98">
        <f>Result!F36</f>
        <v>774.08234653684224</v>
      </c>
      <c r="F31" s="99"/>
      <c r="G31" s="2"/>
      <c r="I31" s="2"/>
      <c r="J31" s="2"/>
      <c r="K31" s="2"/>
      <c r="L31" s="2"/>
      <c r="M31" s="2"/>
      <c r="N31" s="2"/>
      <c r="O31" s="2"/>
      <c r="P31" s="2"/>
      <c r="Q31" s="2"/>
      <c r="R31" s="2"/>
      <c r="S31" s="2"/>
      <c r="T31" s="2"/>
      <c r="U31" s="2"/>
      <c r="V31" s="2"/>
      <c r="W31" s="2"/>
      <c r="X31" s="2"/>
      <c r="Y31" s="2"/>
      <c r="Z31" s="2"/>
      <c r="AA31" s="2"/>
      <c r="AB31" s="2"/>
    </row>
    <row r="32" spans="2:28" x14ac:dyDescent="0.2">
      <c r="B32" s="95"/>
      <c r="C32" s="2" t="s">
        <v>240</v>
      </c>
      <c r="D32" s="2" t="s">
        <v>720</v>
      </c>
      <c r="E32" s="98">
        <f>Result!F37</f>
        <v>860.09149615204694</v>
      </c>
      <c r="F32" s="99"/>
      <c r="G32" s="2"/>
      <c r="I32" s="2"/>
      <c r="J32" s="2"/>
      <c r="K32" s="2"/>
      <c r="L32" s="2"/>
      <c r="M32" s="2"/>
      <c r="N32" s="2"/>
      <c r="O32" s="2"/>
      <c r="P32" s="2"/>
      <c r="Q32" s="2"/>
      <c r="R32" s="2"/>
      <c r="S32" s="2"/>
      <c r="T32" s="2"/>
      <c r="U32" s="2"/>
      <c r="V32" s="2"/>
      <c r="W32" s="2"/>
      <c r="X32" s="2"/>
      <c r="Y32" s="2"/>
      <c r="Z32" s="2"/>
      <c r="AA32" s="2"/>
      <c r="AB32" s="2"/>
    </row>
    <row r="33" spans="2:28" x14ac:dyDescent="0.2">
      <c r="B33" s="95"/>
      <c r="C33" s="2" t="s">
        <v>241</v>
      </c>
      <c r="D33" s="2" t="s">
        <v>720</v>
      </c>
      <c r="E33" s="98">
        <f>Result!F38</f>
        <v>1083.7152851515791</v>
      </c>
      <c r="F33" s="99"/>
      <c r="G33" s="2"/>
      <c r="I33" s="2"/>
      <c r="J33" s="2"/>
      <c r="K33" s="2"/>
      <c r="L33" s="2"/>
      <c r="M33" s="2"/>
      <c r="N33" s="2"/>
      <c r="O33" s="2"/>
      <c r="P33" s="2"/>
      <c r="Q33" s="2"/>
      <c r="R33" s="2"/>
      <c r="S33" s="2"/>
      <c r="T33" s="2"/>
      <c r="U33" s="2"/>
      <c r="V33" s="2"/>
      <c r="W33" s="2"/>
      <c r="X33" s="2"/>
      <c r="Y33" s="2"/>
      <c r="Z33" s="2"/>
      <c r="AA33" s="2"/>
      <c r="AB33" s="2"/>
    </row>
    <row r="34" spans="2:28" x14ac:dyDescent="0.2">
      <c r="B34" s="95"/>
      <c r="C34" s="2" t="s">
        <v>242</v>
      </c>
      <c r="D34" s="2" t="s">
        <v>720</v>
      </c>
      <c r="E34" s="98">
        <f>Result!F39</f>
        <v>1584.379071859034</v>
      </c>
      <c r="F34" s="99"/>
      <c r="G34" s="2"/>
      <c r="I34" s="2"/>
      <c r="J34" s="2"/>
      <c r="K34" s="2"/>
      <c r="L34" s="2"/>
      <c r="M34" s="2"/>
      <c r="N34" s="2"/>
      <c r="O34" s="2"/>
      <c r="P34" s="2"/>
      <c r="Q34" s="2"/>
      <c r="R34" s="2"/>
      <c r="S34" s="2"/>
      <c r="T34" s="2"/>
      <c r="U34" s="2"/>
      <c r="V34" s="2"/>
      <c r="W34" s="2"/>
      <c r="X34" s="2"/>
      <c r="Y34" s="2"/>
      <c r="Z34" s="2"/>
      <c r="AA34" s="2"/>
      <c r="AB34" s="2"/>
    </row>
    <row r="35" spans="2:28" x14ac:dyDescent="0.2">
      <c r="B35" s="95"/>
      <c r="C35" s="2" t="s">
        <v>269</v>
      </c>
      <c r="D35" s="2" t="s">
        <v>720</v>
      </c>
      <c r="E35" s="98">
        <f>Result!F40</f>
        <v>1810.7189392674672</v>
      </c>
      <c r="F35" s="99"/>
      <c r="G35" s="2"/>
      <c r="I35" s="2"/>
      <c r="J35" s="2"/>
      <c r="K35" s="2"/>
      <c r="L35" s="2"/>
      <c r="M35" s="2"/>
      <c r="N35" s="2"/>
      <c r="O35" s="2"/>
      <c r="P35" s="2"/>
      <c r="Q35" s="2"/>
      <c r="R35" s="2"/>
      <c r="S35" s="2"/>
      <c r="T35" s="2"/>
      <c r="U35" s="2"/>
      <c r="V35" s="2"/>
      <c r="W35" s="2"/>
      <c r="X35" s="2"/>
      <c r="Y35" s="2"/>
      <c r="Z35" s="2"/>
      <c r="AA35" s="2"/>
      <c r="AB35" s="2"/>
    </row>
    <row r="36" spans="2:28" x14ac:dyDescent="0.2">
      <c r="B36" s="95"/>
      <c r="C36" s="2"/>
      <c r="D36" s="2"/>
      <c r="E36" s="2"/>
      <c r="F36" s="99"/>
      <c r="G36" s="2"/>
      <c r="I36" s="2"/>
      <c r="J36" s="2"/>
      <c r="K36" s="2"/>
      <c r="L36" s="2"/>
      <c r="M36" s="2"/>
      <c r="N36" s="2"/>
      <c r="O36" s="2"/>
      <c r="P36" s="2"/>
      <c r="Q36" s="2"/>
      <c r="R36" s="2"/>
      <c r="S36" s="2"/>
      <c r="T36" s="2"/>
      <c r="U36" s="2"/>
      <c r="V36" s="2"/>
      <c r="W36" s="2"/>
      <c r="X36" s="2"/>
      <c r="Y36" s="2"/>
      <c r="Z36" s="2"/>
      <c r="AA36" s="2"/>
      <c r="AB36" s="2"/>
    </row>
    <row r="37" spans="2:28" x14ac:dyDescent="0.2">
      <c r="B37" s="95"/>
      <c r="C37" s="1" t="s">
        <v>243</v>
      </c>
      <c r="D37" s="2"/>
      <c r="E37" s="2"/>
      <c r="F37" s="99"/>
      <c r="G37" s="2"/>
      <c r="I37" s="2"/>
      <c r="J37" s="2"/>
      <c r="K37" s="2"/>
      <c r="L37" s="2"/>
      <c r="M37" s="2"/>
      <c r="N37" s="2"/>
      <c r="O37" s="2"/>
      <c r="P37" s="2"/>
      <c r="Q37" s="2"/>
      <c r="R37" s="2"/>
      <c r="S37" s="2"/>
      <c r="T37" s="2"/>
      <c r="U37" s="2"/>
      <c r="V37" s="2"/>
      <c r="W37" s="2"/>
      <c r="X37" s="2"/>
      <c r="Y37" s="2"/>
      <c r="Z37" s="2"/>
      <c r="AA37" s="2"/>
      <c r="AB37" s="2"/>
    </row>
    <row r="38" spans="2:28" x14ac:dyDescent="0.2">
      <c r="B38" s="95"/>
      <c r="C38" s="2" t="s">
        <v>151</v>
      </c>
      <c r="D38" s="2" t="s">
        <v>655</v>
      </c>
      <c r="E38" s="98">
        <f>Result!F43</f>
        <v>40</v>
      </c>
      <c r="F38" s="99"/>
      <c r="G38" s="2"/>
      <c r="I38" s="2"/>
      <c r="J38" s="2"/>
      <c r="K38" s="2"/>
      <c r="L38" s="2"/>
      <c r="M38" s="2"/>
      <c r="N38" s="2"/>
      <c r="O38" s="2"/>
      <c r="P38" s="2"/>
      <c r="Q38" s="2"/>
      <c r="R38" s="2"/>
      <c r="S38" s="2"/>
      <c r="T38" s="2"/>
      <c r="U38" s="2"/>
      <c r="V38" s="2"/>
      <c r="W38" s="2"/>
      <c r="X38" s="2"/>
      <c r="Y38" s="2"/>
      <c r="Z38" s="2"/>
      <c r="AA38" s="2"/>
      <c r="AB38" s="2"/>
    </row>
    <row r="39" spans="2:28" x14ac:dyDescent="0.2">
      <c r="B39" s="95"/>
      <c r="C39" s="2" t="s">
        <v>153</v>
      </c>
      <c r="D39" s="2" t="s">
        <v>655</v>
      </c>
      <c r="E39" s="98">
        <f>Result!F46</f>
        <v>311.23991708010459</v>
      </c>
      <c r="F39" s="99"/>
      <c r="G39" s="2"/>
      <c r="I39" s="2"/>
      <c r="J39" s="2"/>
      <c r="K39" s="2"/>
      <c r="L39" s="2"/>
      <c r="M39" s="2"/>
      <c r="N39" s="2"/>
      <c r="O39" s="2"/>
      <c r="P39" s="2"/>
      <c r="Q39" s="2"/>
      <c r="R39" s="2"/>
      <c r="S39" s="2"/>
      <c r="T39" s="2"/>
      <c r="U39" s="2"/>
      <c r="V39" s="2"/>
      <c r="W39" s="2"/>
      <c r="X39" s="2"/>
      <c r="Y39" s="2"/>
      <c r="Z39" s="2"/>
      <c r="AA39" s="2"/>
      <c r="AB39" s="2"/>
    </row>
    <row r="40" spans="2:28" x14ac:dyDescent="0.2">
      <c r="B40" s="95"/>
      <c r="C40" s="2"/>
      <c r="D40" s="2"/>
      <c r="E40" s="2"/>
      <c r="F40" s="99"/>
      <c r="G40" s="2"/>
      <c r="I40" s="2"/>
      <c r="J40" s="2"/>
      <c r="K40" s="2"/>
      <c r="L40" s="2"/>
      <c r="M40" s="2"/>
      <c r="N40" s="2"/>
      <c r="O40" s="2"/>
      <c r="P40" s="2"/>
      <c r="Q40" s="2"/>
      <c r="R40" s="2"/>
      <c r="S40" s="2"/>
      <c r="T40" s="2"/>
      <c r="U40" s="2"/>
      <c r="V40" s="2"/>
      <c r="W40" s="2"/>
      <c r="X40" s="2"/>
      <c r="Y40" s="2"/>
      <c r="Z40" s="2"/>
      <c r="AA40" s="2"/>
      <c r="AB40" s="2"/>
    </row>
    <row r="41" spans="2:28" s="2" customFormat="1" x14ac:dyDescent="0.2">
      <c r="B41" s="100"/>
      <c r="C41" s="1" t="s">
        <v>244</v>
      </c>
      <c r="F41" s="99"/>
    </row>
    <row r="42" spans="2:28" x14ac:dyDescent="0.2">
      <c r="B42" s="95"/>
      <c r="C42" s="2" t="s">
        <v>109</v>
      </c>
      <c r="D42" s="2" t="s">
        <v>655</v>
      </c>
      <c r="E42" s="98">
        <f>Result!F47</f>
        <v>193.15500711299217</v>
      </c>
      <c r="F42" s="99"/>
      <c r="G42" s="2"/>
      <c r="I42" s="2"/>
      <c r="J42" s="2"/>
      <c r="K42" s="2"/>
      <c r="L42" s="2"/>
      <c r="M42" s="2"/>
      <c r="N42" s="2"/>
      <c r="O42" s="2"/>
      <c r="P42" s="2"/>
      <c r="Q42" s="2"/>
      <c r="R42" s="2"/>
      <c r="S42" s="2"/>
      <c r="T42" s="2"/>
      <c r="U42" s="2"/>
      <c r="V42" s="2"/>
      <c r="W42" s="2"/>
      <c r="X42" s="2"/>
      <c r="Y42" s="2"/>
      <c r="Z42" s="2"/>
      <c r="AA42" s="2"/>
      <c r="AB42" s="2"/>
    </row>
    <row r="43" spans="2:28" x14ac:dyDescent="0.2">
      <c r="B43" s="95"/>
      <c r="C43" s="2" t="s">
        <v>110</v>
      </c>
      <c r="D43" s="2" t="s">
        <v>655</v>
      </c>
      <c r="E43" s="98">
        <f>Result!F48</f>
        <v>209.69587597564362</v>
      </c>
      <c r="F43" s="99"/>
      <c r="G43" s="2"/>
      <c r="I43" s="2"/>
      <c r="J43" s="2"/>
      <c r="K43" s="2"/>
      <c r="L43" s="2"/>
      <c r="M43" s="2"/>
      <c r="N43" s="2"/>
      <c r="O43" s="2"/>
      <c r="P43" s="2"/>
      <c r="Q43" s="2"/>
      <c r="R43" s="2"/>
      <c r="S43" s="2"/>
      <c r="T43" s="2"/>
      <c r="U43" s="2"/>
      <c r="V43" s="2"/>
      <c r="W43" s="2"/>
      <c r="X43" s="2"/>
      <c r="Y43" s="2"/>
      <c r="Z43" s="2"/>
      <c r="AA43" s="2"/>
      <c r="AB43" s="2"/>
    </row>
    <row r="44" spans="2:28" x14ac:dyDescent="0.2">
      <c r="B44" s="101"/>
      <c r="C44" s="102"/>
      <c r="D44" s="102"/>
      <c r="E44" s="102"/>
      <c r="F44" s="103"/>
      <c r="G44" s="2"/>
      <c r="I44" s="2"/>
      <c r="J44" s="2"/>
      <c r="K44" s="2"/>
      <c r="L44" s="2"/>
      <c r="M44" s="2"/>
      <c r="N44" s="2"/>
      <c r="O44" s="2"/>
      <c r="P44" s="2"/>
      <c r="Q44" s="2"/>
      <c r="R44" s="2"/>
      <c r="S44" s="2"/>
      <c r="T44" s="2"/>
      <c r="U44" s="2"/>
      <c r="V44" s="2"/>
      <c r="W44" s="2"/>
      <c r="X44" s="2"/>
      <c r="Y44" s="2"/>
      <c r="Z44" s="2"/>
      <c r="AA44" s="2"/>
      <c r="AB44" s="2"/>
    </row>
    <row r="45" spans="2:28" x14ac:dyDescent="0.2">
      <c r="C45" s="2"/>
      <c r="D45" s="2"/>
      <c r="E45" s="2"/>
      <c r="F45" s="2"/>
      <c r="G45" s="2"/>
      <c r="I45" s="2"/>
      <c r="J45" s="2"/>
      <c r="K45" s="2"/>
      <c r="L45" s="2"/>
      <c r="M45" s="2"/>
      <c r="N45" s="2"/>
      <c r="O45" s="2"/>
      <c r="P45" s="2"/>
      <c r="Q45" s="2"/>
      <c r="R45" s="2"/>
      <c r="S45" s="2"/>
      <c r="T45" s="2"/>
      <c r="U45" s="2"/>
      <c r="V45" s="2"/>
      <c r="W45" s="2"/>
      <c r="X45" s="2"/>
      <c r="Y45" s="2"/>
      <c r="Z45" s="2"/>
      <c r="AA45" s="2"/>
      <c r="AB45" s="2"/>
    </row>
    <row r="46" spans="2:28" x14ac:dyDescent="0.2">
      <c r="B46" s="90"/>
      <c r="C46" s="104"/>
      <c r="D46" s="104"/>
      <c r="E46" s="104"/>
      <c r="F46" s="104"/>
      <c r="G46" s="105"/>
      <c r="I46" s="2"/>
      <c r="J46" s="2"/>
      <c r="K46" s="2"/>
      <c r="L46" s="2"/>
      <c r="M46" s="2"/>
      <c r="N46" s="2"/>
      <c r="O46" s="2"/>
      <c r="P46" s="2"/>
      <c r="Q46" s="2"/>
      <c r="R46" s="2"/>
      <c r="S46" s="2"/>
      <c r="T46" s="2"/>
      <c r="U46" s="2"/>
      <c r="V46" s="2"/>
      <c r="W46" s="2"/>
      <c r="X46" s="2"/>
      <c r="Y46" s="2"/>
      <c r="Z46" s="2"/>
      <c r="AA46" s="2"/>
      <c r="AB46" s="2"/>
    </row>
    <row r="47" spans="2:28" s="8" customFormat="1" x14ac:dyDescent="0.2">
      <c r="B47" s="93"/>
      <c r="C47" s="8" t="s">
        <v>721</v>
      </c>
      <c r="D47" s="8" t="s">
        <v>36</v>
      </c>
      <c r="G47" s="94"/>
    </row>
    <row r="48" spans="2:28" s="2" customFormat="1" x14ac:dyDescent="0.2">
      <c r="B48" s="100"/>
      <c r="G48" s="99"/>
    </row>
    <row r="49" spans="2:28" x14ac:dyDescent="0.2">
      <c r="B49" s="95"/>
      <c r="C49" s="1" t="s">
        <v>64</v>
      </c>
      <c r="D49" s="2"/>
      <c r="E49" s="2"/>
      <c r="F49" s="2"/>
      <c r="G49" s="99"/>
      <c r="I49" s="2"/>
      <c r="J49" s="2"/>
      <c r="K49" s="2"/>
      <c r="L49" s="2"/>
      <c r="M49" s="2"/>
      <c r="N49" s="2"/>
      <c r="O49" s="2"/>
      <c r="P49" s="2"/>
      <c r="Q49" s="2"/>
      <c r="R49" s="2"/>
      <c r="S49" s="2"/>
      <c r="T49" s="2"/>
      <c r="U49" s="2"/>
      <c r="V49" s="2"/>
      <c r="W49" s="2"/>
      <c r="X49" s="2"/>
      <c r="Y49" s="2"/>
      <c r="Z49" s="2"/>
      <c r="AA49" s="2"/>
      <c r="AB49" s="2"/>
    </row>
    <row r="50" spans="2:28" x14ac:dyDescent="0.2">
      <c r="B50" s="95"/>
      <c r="C50" s="83" t="s">
        <v>748</v>
      </c>
      <c r="D50" s="2" t="s">
        <v>73</v>
      </c>
      <c r="E50" s="106">
        <f>Parameters!F26</f>
        <v>8.3799999999999999E-2</v>
      </c>
      <c r="F50" s="2"/>
      <c r="G50" s="99"/>
      <c r="I50" s="2"/>
      <c r="J50" s="2"/>
      <c r="K50" s="2"/>
      <c r="L50" s="2"/>
      <c r="M50" s="2"/>
      <c r="N50" s="2"/>
      <c r="O50" s="2"/>
      <c r="P50" s="2"/>
      <c r="Q50" s="2"/>
      <c r="R50" s="2"/>
      <c r="S50" s="2"/>
      <c r="T50" s="2"/>
      <c r="U50" s="2"/>
      <c r="V50" s="2"/>
      <c r="W50" s="2"/>
      <c r="X50" s="2"/>
      <c r="Y50" s="2"/>
      <c r="Z50" s="2"/>
      <c r="AA50" s="2"/>
      <c r="AB50" s="2"/>
    </row>
    <row r="51" spans="2:28" x14ac:dyDescent="0.2">
      <c r="B51" s="95"/>
      <c r="C51" s="83" t="s">
        <v>749</v>
      </c>
      <c r="D51" s="2" t="s">
        <v>73</v>
      </c>
      <c r="E51" s="106">
        <f>Parameters!F27</f>
        <v>7.2800000000000004E-2</v>
      </c>
      <c r="F51" s="2"/>
      <c r="G51" s="99"/>
      <c r="I51" s="2"/>
      <c r="J51" s="2"/>
      <c r="K51" s="2"/>
      <c r="L51" s="2"/>
      <c r="M51" s="2"/>
      <c r="N51" s="2"/>
      <c r="O51" s="2"/>
      <c r="P51" s="2"/>
      <c r="Q51" s="2"/>
      <c r="R51" s="2"/>
      <c r="S51" s="2"/>
      <c r="T51" s="2"/>
      <c r="U51" s="2"/>
      <c r="V51" s="2"/>
      <c r="W51" s="2"/>
      <c r="X51" s="2"/>
      <c r="Y51" s="2"/>
      <c r="Z51" s="2"/>
      <c r="AA51" s="2"/>
      <c r="AB51" s="2"/>
    </row>
    <row r="52" spans="2:28" x14ac:dyDescent="0.2">
      <c r="B52" s="95"/>
      <c r="C52" s="2" t="s">
        <v>722</v>
      </c>
      <c r="D52" s="2" t="s">
        <v>73</v>
      </c>
      <c r="E52" s="106">
        <f>Parameters!F31</f>
        <v>8.8900000000000007E-2</v>
      </c>
      <c r="F52" s="2"/>
      <c r="G52" s="99"/>
      <c r="I52" s="2"/>
      <c r="J52" s="2"/>
      <c r="K52" s="2"/>
      <c r="L52" s="2"/>
      <c r="M52" s="2"/>
      <c r="N52" s="2"/>
      <c r="O52" s="2"/>
      <c r="P52" s="2"/>
      <c r="Q52" s="2"/>
      <c r="R52" s="2"/>
      <c r="S52" s="2"/>
      <c r="T52" s="2"/>
      <c r="U52" s="2"/>
      <c r="V52" s="2"/>
      <c r="W52" s="2"/>
      <c r="X52" s="2"/>
      <c r="Y52" s="2"/>
      <c r="Z52" s="2"/>
      <c r="AA52" s="2"/>
      <c r="AB52" s="2"/>
    </row>
    <row r="53" spans="2:28" x14ac:dyDescent="0.2">
      <c r="B53" s="95"/>
      <c r="C53" s="2" t="s">
        <v>723</v>
      </c>
      <c r="D53" s="2" t="s">
        <v>73</v>
      </c>
      <c r="E53" s="106">
        <f>Parameters!F32</f>
        <v>8.0799999999999997E-2</v>
      </c>
      <c r="F53" s="2"/>
      <c r="G53" s="99"/>
      <c r="I53" s="2"/>
      <c r="J53" s="2"/>
      <c r="K53" s="2"/>
      <c r="L53" s="2"/>
      <c r="M53" s="2"/>
      <c r="N53" s="2"/>
      <c r="O53" s="2"/>
      <c r="P53" s="2"/>
      <c r="Q53" s="2"/>
      <c r="R53" s="2"/>
      <c r="S53" s="2"/>
      <c r="T53" s="2"/>
      <c r="U53" s="2"/>
      <c r="V53" s="2"/>
      <c r="W53" s="2"/>
      <c r="X53" s="2"/>
      <c r="Y53" s="2"/>
      <c r="Z53" s="2"/>
      <c r="AA53" s="2"/>
      <c r="AB53" s="2"/>
    </row>
    <row r="54" spans="2:28" x14ac:dyDescent="0.2">
      <c r="B54" s="95"/>
      <c r="C54" s="2" t="s">
        <v>74</v>
      </c>
      <c r="D54" s="2" t="s">
        <v>73</v>
      </c>
      <c r="E54" s="106">
        <f>Parameters!F16</f>
        <v>3.2000000000000001E-2</v>
      </c>
      <c r="F54" s="2"/>
      <c r="G54" s="99"/>
      <c r="I54" s="2"/>
      <c r="J54" s="2"/>
      <c r="K54" s="2"/>
      <c r="L54" s="2"/>
      <c r="M54" s="2"/>
      <c r="N54" s="2"/>
      <c r="O54" s="2"/>
      <c r="P54" s="2"/>
      <c r="Q54" s="2"/>
      <c r="R54" s="2"/>
      <c r="S54" s="2"/>
      <c r="T54" s="2"/>
      <c r="U54" s="2"/>
      <c r="V54" s="2"/>
      <c r="W54" s="2"/>
      <c r="X54" s="2"/>
      <c r="Y54" s="2"/>
      <c r="Z54" s="2"/>
      <c r="AA54" s="2"/>
      <c r="AB54" s="2"/>
    </row>
    <row r="55" spans="2:28" x14ac:dyDescent="0.2">
      <c r="B55" s="95"/>
      <c r="C55" s="2" t="s">
        <v>437</v>
      </c>
      <c r="D55" s="2" t="s">
        <v>73</v>
      </c>
      <c r="E55" s="106">
        <f>Parameters!F17</f>
        <v>1.9E-2</v>
      </c>
      <c r="F55" s="2"/>
      <c r="G55" s="99"/>
      <c r="I55" s="2"/>
      <c r="J55" s="2"/>
      <c r="K55" s="2"/>
      <c r="L55" s="2"/>
      <c r="M55" s="2"/>
      <c r="N55" s="2"/>
      <c r="O55" s="2"/>
      <c r="P55" s="2"/>
      <c r="Q55" s="2"/>
      <c r="R55" s="2"/>
      <c r="S55" s="2"/>
      <c r="T55" s="2"/>
      <c r="U55" s="2"/>
      <c r="V55" s="2"/>
      <c r="W55" s="2"/>
      <c r="X55" s="2"/>
      <c r="Y55" s="2"/>
      <c r="Z55" s="2"/>
      <c r="AA55" s="2"/>
      <c r="AB55" s="2"/>
    </row>
    <row r="56" spans="2:28" x14ac:dyDescent="0.2">
      <c r="B56" s="95"/>
      <c r="C56" s="2" t="s">
        <v>245</v>
      </c>
      <c r="D56" s="2" t="s">
        <v>73</v>
      </c>
      <c r="E56" s="106">
        <f>Parameters!F37</f>
        <v>0.5</v>
      </c>
      <c r="F56" s="2"/>
      <c r="G56" s="99"/>
      <c r="I56" s="2"/>
      <c r="J56" s="2"/>
      <c r="K56" s="2"/>
      <c r="L56" s="2"/>
      <c r="M56" s="2"/>
      <c r="N56" s="2"/>
      <c r="O56" s="2"/>
      <c r="P56" s="2"/>
      <c r="Q56" s="2"/>
      <c r="R56" s="2"/>
      <c r="S56" s="2"/>
      <c r="T56" s="2"/>
      <c r="U56" s="2"/>
      <c r="V56" s="2"/>
      <c r="W56" s="2"/>
      <c r="X56" s="2"/>
      <c r="Y56" s="2"/>
      <c r="Z56" s="2"/>
      <c r="AA56" s="2"/>
      <c r="AB56" s="2"/>
    </row>
    <row r="57" spans="2:28" x14ac:dyDescent="0.2">
      <c r="B57" s="95"/>
      <c r="C57" s="2" t="s">
        <v>76</v>
      </c>
      <c r="D57" s="2" t="s">
        <v>73</v>
      </c>
      <c r="E57" s="106">
        <f>Parameters!F20</f>
        <v>0.03</v>
      </c>
      <c r="F57" s="2"/>
      <c r="G57" s="99"/>
      <c r="I57" s="2"/>
      <c r="J57" s="2"/>
      <c r="K57" s="2"/>
      <c r="L57" s="2"/>
      <c r="M57" s="2"/>
      <c r="N57" s="2"/>
      <c r="O57" s="2"/>
      <c r="P57" s="2"/>
      <c r="Q57" s="2"/>
      <c r="R57" s="2"/>
      <c r="S57" s="2"/>
      <c r="T57" s="2"/>
      <c r="U57" s="2"/>
      <c r="V57" s="2"/>
      <c r="W57" s="2"/>
      <c r="X57" s="2"/>
      <c r="Y57" s="2"/>
      <c r="Z57" s="2"/>
      <c r="AA57" s="2"/>
      <c r="AB57" s="2"/>
    </row>
    <row r="58" spans="2:28" ht="12" customHeight="1" x14ac:dyDescent="0.2">
      <c r="B58" s="95"/>
      <c r="D58" s="2"/>
      <c r="G58" s="99"/>
      <c r="I58" s="2"/>
      <c r="J58" s="2"/>
      <c r="K58" s="2"/>
      <c r="L58" s="2"/>
      <c r="M58" s="2"/>
      <c r="N58" s="2"/>
      <c r="O58" s="2"/>
      <c r="P58" s="2"/>
      <c r="Q58" s="2"/>
      <c r="R58" s="2"/>
      <c r="S58" s="2"/>
      <c r="T58" s="2"/>
      <c r="U58" s="2"/>
      <c r="V58" s="2"/>
      <c r="W58" s="2"/>
      <c r="X58" s="2"/>
      <c r="Y58" s="2"/>
      <c r="Z58" s="2"/>
      <c r="AA58" s="2"/>
      <c r="AB58" s="2"/>
    </row>
    <row r="59" spans="2:28" ht="25.5" x14ac:dyDescent="0.2">
      <c r="B59" s="95"/>
      <c r="C59" s="1" t="s">
        <v>750</v>
      </c>
      <c r="D59" s="107"/>
      <c r="E59" s="108" t="s">
        <v>164</v>
      </c>
      <c r="F59" s="108" t="s">
        <v>69</v>
      </c>
      <c r="G59" s="99"/>
      <c r="I59" s="2"/>
      <c r="J59" s="2"/>
      <c r="K59" s="2"/>
      <c r="L59" s="2"/>
      <c r="M59" s="2"/>
      <c r="N59" s="2"/>
      <c r="O59" s="2"/>
      <c r="P59" s="2"/>
      <c r="Q59" s="2"/>
      <c r="R59" s="2"/>
      <c r="S59" s="2"/>
      <c r="T59" s="2"/>
      <c r="U59" s="2"/>
      <c r="V59" s="2"/>
      <c r="W59" s="2"/>
      <c r="X59" s="2"/>
      <c r="Y59" s="2"/>
      <c r="Z59" s="2"/>
      <c r="AA59" s="2"/>
      <c r="AB59" s="2"/>
    </row>
    <row r="60" spans="2:28" x14ac:dyDescent="0.2">
      <c r="B60" s="95"/>
      <c r="C60" s="2" t="s">
        <v>624</v>
      </c>
      <c r="D60" s="2" t="s">
        <v>130</v>
      </c>
      <c r="E60" s="109">
        <f>'Financial data'!J16</f>
        <v>2076797.0070999998</v>
      </c>
      <c r="F60" s="109">
        <f>'Financial data'!K16</f>
        <v>1376192.1908999998</v>
      </c>
      <c r="G60" s="99"/>
      <c r="I60" s="2"/>
      <c r="J60" s="2"/>
      <c r="K60" s="2"/>
      <c r="L60" s="2"/>
      <c r="M60" s="2"/>
      <c r="N60" s="2"/>
      <c r="O60" s="2"/>
      <c r="P60" s="2"/>
      <c r="Q60" s="2"/>
      <c r="R60" s="2"/>
      <c r="S60" s="2"/>
      <c r="T60" s="2"/>
      <c r="U60" s="2"/>
      <c r="V60" s="2"/>
      <c r="W60" s="2"/>
      <c r="X60" s="2"/>
      <c r="Y60" s="2"/>
      <c r="Z60" s="2"/>
      <c r="AA60" s="2"/>
      <c r="AB60" s="2"/>
    </row>
    <row r="61" spans="2:28" x14ac:dyDescent="0.2">
      <c r="B61" s="95"/>
      <c r="C61" s="2" t="s">
        <v>501</v>
      </c>
      <c r="D61" s="2" t="s">
        <v>130</v>
      </c>
      <c r="E61" s="109">
        <f>'Financial data'!J17</f>
        <v>886.94235000000003</v>
      </c>
      <c r="F61" s="109">
        <f>'Financial data'!K17</f>
        <v>128458.43064999998</v>
      </c>
      <c r="G61" s="99"/>
      <c r="I61" s="2"/>
      <c r="J61" s="2"/>
      <c r="K61" s="2"/>
      <c r="L61" s="2"/>
      <c r="M61" s="2"/>
      <c r="N61" s="2"/>
      <c r="O61" s="2"/>
      <c r="P61" s="2"/>
      <c r="Q61" s="2"/>
      <c r="R61" s="2"/>
      <c r="S61" s="2"/>
      <c r="T61" s="2"/>
      <c r="U61" s="2"/>
      <c r="V61" s="2"/>
      <c r="W61" s="2"/>
      <c r="X61" s="2"/>
      <c r="Y61" s="2"/>
      <c r="Z61" s="2"/>
      <c r="AA61" s="2"/>
      <c r="AB61" s="2"/>
    </row>
    <row r="62" spans="2:28" x14ac:dyDescent="0.2">
      <c r="B62" s="95"/>
      <c r="C62" s="2" t="s">
        <v>751</v>
      </c>
      <c r="D62" s="2" t="s">
        <v>88</v>
      </c>
      <c r="E62" s="109">
        <f>'Financial data'!J23</f>
        <v>3498800.5176609857</v>
      </c>
      <c r="F62" s="109">
        <f>'Financial data'!K23</f>
        <v>2018113.325682065</v>
      </c>
      <c r="G62" s="99"/>
      <c r="I62" s="2"/>
      <c r="J62" s="2"/>
      <c r="K62" s="2"/>
      <c r="L62" s="2"/>
      <c r="M62" s="2"/>
      <c r="N62" s="2"/>
      <c r="O62" s="2"/>
      <c r="P62" s="2"/>
      <c r="Q62" s="2"/>
      <c r="R62" s="2"/>
      <c r="S62" s="2"/>
      <c r="T62" s="2"/>
      <c r="U62" s="2"/>
      <c r="V62" s="2"/>
      <c r="W62" s="2"/>
      <c r="X62" s="2"/>
      <c r="Y62" s="2"/>
      <c r="Z62" s="2"/>
      <c r="AA62" s="2"/>
      <c r="AB62" s="2"/>
    </row>
    <row r="63" spans="2:28" x14ac:dyDescent="0.2">
      <c r="B63" s="95"/>
      <c r="C63" s="2" t="s">
        <v>752</v>
      </c>
      <c r="D63" s="2" t="s">
        <v>88</v>
      </c>
      <c r="E63" s="109">
        <f>'Financial data'!J24</f>
        <v>458415.40787124331</v>
      </c>
      <c r="F63" s="109">
        <f>'Financial data'!K24</f>
        <v>238571.9973477961</v>
      </c>
      <c r="G63" s="99"/>
      <c r="I63" s="2"/>
      <c r="J63" s="2"/>
      <c r="K63" s="2"/>
      <c r="L63" s="2"/>
      <c r="M63" s="2"/>
      <c r="N63" s="2"/>
      <c r="O63" s="2"/>
      <c r="P63" s="2"/>
      <c r="Q63" s="2"/>
      <c r="R63" s="2"/>
      <c r="S63" s="2"/>
      <c r="T63" s="2"/>
      <c r="U63" s="2"/>
      <c r="V63" s="2"/>
      <c r="W63" s="2"/>
      <c r="X63" s="2"/>
      <c r="Y63" s="2"/>
      <c r="Z63" s="2"/>
      <c r="AA63" s="2"/>
      <c r="AB63" s="2"/>
    </row>
    <row r="64" spans="2:28" x14ac:dyDescent="0.2">
      <c r="B64" s="95"/>
      <c r="C64" s="2"/>
      <c r="D64" s="2"/>
      <c r="E64" s="2"/>
      <c r="F64" s="2"/>
      <c r="G64" s="99"/>
      <c r="I64" s="2"/>
      <c r="J64" s="2"/>
      <c r="K64" s="2"/>
      <c r="L64" s="2"/>
      <c r="M64" s="2"/>
      <c r="N64" s="2"/>
      <c r="O64" s="2"/>
      <c r="P64" s="2"/>
      <c r="Q64" s="2"/>
      <c r="R64" s="2"/>
      <c r="S64" s="2"/>
      <c r="T64" s="2"/>
      <c r="U64" s="2"/>
      <c r="V64" s="2"/>
      <c r="W64" s="2"/>
      <c r="X64" s="2"/>
      <c r="Y64" s="2"/>
      <c r="Z64" s="2"/>
      <c r="AA64" s="2"/>
      <c r="AB64" s="2"/>
    </row>
    <row r="65" spans="2:28" x14ac:dyDescent="0.2">
      <c r="B65" s="95"/>
      <c r="C65" s="1" t="s">
        <v>263</v>
      </c>
      <c r="D65" s="2"/>
      <c r="E65" s="2"/>
      <c r="F65" s="2"/>
      <c r="G65" s="99"/>
      <c r="I65" s="2"/>
      <c r="J65" s="2"/>
      <c r="K65" s="2"/>
      <c r="L65" s="2"/>
      <c r="M65" s="2"/>
      <c r="N65" s="2"/>
      <c r="O65" s="2"/>
      <c r="P65" s="2"/>
      <c r="Q65" s="2"/>
      <c r="R65" s="2"/>
      <c r="S65" s="2"/>
      <c r="T65" s="2"/>
      <c r="U65" s="2"/>
      <c r="V65" s="2"/>
      <c r="W65" s="2"/>
      <c r="X65" s="2"/>
      <c r="Y65" s="2"/>
      <c r="Z65" s="2"/>
      <c r="AA65" s="2"/>
      <c r="AB65" s="2"/>
    </row>
    <row r="66" spans="2:28" x14ac:dyDescent="0.2">
      <c r="B66" s="95"/>
      <c r="C66" s="47" t="s">
        <v>724</v>
      </c>
      <c r="D66" s="2" t="s">
        <v>88</v>
      </c>
      <c r="E66" s="109">
        <f>'Fixed-variable costs'!J39</f>
        <v>126282.04343430605</v>
      </c>
      <c r="F66" s="2"/>
      <c r="G66" s="99"/>
      <c r="I66" s="2"/>
      <c r="J66" s="2"/>
      <c r="K66" s="2"/>
      <c r="L66" s="2"/>
      <c r="M66" s="2"/>
      <c r="N66" s="2"/>
      <c r="O66" s="2"/>
      <c r="P66" s="2"/>
      <c r="Q66" s="2"/>
      <c r="R66" s="2"/>
      <c r="S66" s="2"/>
      <c r="T66" s="2"/>
      <c r="U66" s="2"/>
      <c r="V66" s="2"/>
      <c r="W66" s="2"/>
      <c r="X66" s="2"/>
      <c r="Y66" s="2"/>
      <c r="Z66" s="2"/>
      <c r="AA66" s="2"/>
      <c r="AB66" s="2"/>
    </row>
    <row r="67" spans="2:28" x14ac:dyDescent="0.2">
      <c r="B67" s="95"/>
      <c r="C67" s="2"/>
      <c r="D67" s="2"/>
      <c r="E67" s="2"/>
      <c r="F67" s="2"/>
      <c r="G67" s="99"/>
      <c r="I67" s="2"/>
      <c r="J67" s="2"/>
      <c r="K67" s="2"/>
      <c r="L67" s="2"/>
      <c r="M67" s="2"/>
      <c r="N67" s="2"/>
      <c r="O67" s="2"/>
      <c r="P67" s="2"/>
      <c r="Q67" s="2"/>
      <c r="R67" s="2"/>
      <c r="S67" s="2"/>
      <c r="T67" s="2"/>
      <c r="U67" s="2"/>
      <c r="V67" s="2"/>
      <c r="W67" s="2"/>
      <c r="X67" s="2"/>
      <c r="Y67" s="2"/>
      <c r="Z67" s="2"/>
      <c r="AA67" s="2"/>
      <c r="AB67" s="2"/>
    </row>
    <row r="68" spans="2:28" x14ac:dyDescent="0.2">
      <c r="B68" s="95"/>
      <c r="C68" s="1" t="s">
        <v>129</v>
      </c>
      <c r="D68" s="2"/>
      <c r="G68" s="96"/>
      <c r="K68" s="110"/>
    </row>
    <row r="69" spans="2:28" x14ac:dyDescent="0.2">
      <c r="B69" s="95"/>
      <c r="C69" s="83" t="s">
        <v>610</v>
      </c>
      <c r="D69" s="2" t="s">
        <v>655</v>
      </c>
      <c r="E69" s="109">
        <f>'Overview corrections'!J43</f>
        <v>107373.81978165831</v>
      </c>
      <c r="F69" s="109">
        <f>'Overview corrections'!K43</f>
        <v>43184.668550139555</v>
      </c>
      <c r="G69" s="96"/>
      <c r="K69" s="110"/>
    </row>
    <row r="70" spans="2:28" x14ac:dyDescent="0.2">
      <c r="B70" s="95"/>
      <c r="C70" s="2" t="s">
        <v>753</v>
      </c>
      <c r="D70" s="2" t="s">
        <v>655</v>
      </c>
      <c r="E70" s="109">
        <f>'Overview corrections'!J41</f>
        <v>-119916.29170277591</v>
      </c>
      <c r="F70" s="109">
        <f>'Overview corrections'!K41</f>
        <v>3556.8236724885501</v>
      </c>
      <c r="G70" s="96"/>
    </row>
    <row r="71" spans="2:28" x14ac:dyDescent="0.2">
      <c r="B71" s="95"/>
      <c r="C71" s="2" t="s">
        <v>754</v>
      </c>
      <c r="D71" s="2" t="s">
        <v>655</v>
      </c>
      <c r="E71" s="109">
        <f>'Overview corrections'!J42</f>
        <v>-62115.765844128066</v>
      </c>
      <c r="F71" s="109">
        <f>'Overview corrections'!K42</f>
        <v>340041.22536652483</v>
      </c>
      <c r="G71" s="96"/>
    </row>
    <row r="72" spans="2:28" x14ac:dyDescent="0.2">
      <c r="B72" s="95"/>
      <c r="C72" s="2" t="s">
        <v>755</v>
      </c>
      <c r="D72" s="2" t="s">
        <v>655</v>
      </c>
      <c r="F72" s="109">
        <f>'Overview corrections'!K50</f>
        <v>-148570.92823983624</v>
      </c>
      <c r="G72" s="96"/>
    </row>
    <row r="73" spans="2:28" x14ac:dyDescent="0.2">
      <c r="B73" s="95"/>
      <c r="C73" s="2" t="s">
        <v>463</v>
      </c>
      <c r="D73" s="2" t="s">
        <v>655</v>
      </c>
      <c r="E73" s="109">
        <f>'Overview corrections'!J40</f>
        <v>647972.66533700877</v>
      </c>
      <c r="G73" s="96"/>
    </row>
    <row r="74" spans="2:28" x14ac:dyDescent="0.2">
      <c r="B74" s="95"/>
      <c r="C74" s="2" t="s">
        <v>320</v>
      </c>
      <c r="D74" s="2" t="s">
        <v>655</v>
      </c>
      <c r="F74" s="109">
        <f>'Overview corrections'!K49</f>
        <v>35271.548720944222</v>
      </c>
      <c r="G74" s="96"/>
    </row>
    <row r="75" spans="2:28" x14ac:dyDescent="0.2">
      <c r="B75" s="95"/>
      <c r="C75" s="83" t="s">
        <v>756</v>
      </c>
      <c r="D75" s="2" t="s">
        <v>655</v>
      </c>
      <c r="E75" s="109">
        <f>'Overview corrections'!J45</f>
        <v>54086.718927999995</v>
      </c>
      <c r="G75" s="96"/>
    </row>
    <row r="76" spans="2:28" x14ac:dyDescent="0.2">
      <c r="B76" s="95"/>
      <c r="C76" s="1"/>
      <c r="D76" s="2"/>
      <c r="E76" s="2"/>
      <c r="F76" s="2"/>
      <c r="G76" s="99"/>
    </row>
    <row r="77" spans="2:28" x14ac:dyDescent="0.2">
      <c r="B77" s="95"/>
      <c r="C77" s="1" t="s">
        <v>725</v>
      </c>
      <c r="D77" s="2"/>
      <c r="E77" s="2"/>
      <c r="F77" s="2"/>
      <c r="G77" s="99"/>
      <c r="I77" s="2"/>
      <c r="J77" s="2"/>
    </row>
    <row r="78" spans="2:28" x14ac:dyDescent="0.2">
      <c r="B78" s="95"/>
      <c r="C78" s="47" t="s">
        <v>726</v>
      </c>
      <c r="D78" s="2" t="s">
        <v>655</v>
      </c>
      <c r="E78" s="109">
        <f>'Income level'!J35</f>
        <v>3094601.7546796687</v>
      </c>
      <c r="F78" s="109">
        <f>'Income level'!K35</f>
        <v>1725808.1835794509</v>
      </c>
      <c r="G78" s="96"/>
    </row>
    <row r="79" spans="2:28" x14ac:dyDescent="0.2">
      <c r="B79" s="95"/>
      <c r="C79" s="47" t="s">
        <v>246</v>
      </c>
      <c r="D79" s="2" t="s">
        <v>657</v>
      </c>
      <c r="E79" s="111">
        <f>'Fixed-variable costs'!J64</f>
        <v>2.4585526128458539E-2</v>
      </c>
      <c r="F79" s="111">
        <f>'Fixed-variable costs'!K64</f>
        <v>31.473949486736412</v>
      </c>
      <c r="G79" s="96"/>
      <c r="J79" s="2"/>
    </row>
    <row r="80" spans="2:28" x14ac:dyDescent="0.2">
      <c r="B80" s="95"/>
      <c r="C80" s="47" t="s">
        <v>727</v>
      </c>
      <c r="D80" s="2" t="s">
        <v>655</v>
      </c>
      <c r="E80" s="109">
        <f>'Income level'!J36</f>
        <v>3635986.7247260218</v>
      </c>
      <c r="F80" s="109">
        <f>'Income level'!K36</f>
        <v>2112590.9011686039</v>
      </c>
      <c r="G80" s="96"/>
    </row>
    <row r="81" spans="2:7" x14ac:dyDescent="0.2">
      <c r="B81" s="95"/>
      <c r="G81" s="96"/>
    </row>
    <row r="82" spans="2:7" x14ac:dyDescent="0.2">
      <c r="B82" s="95"/>
      <c r="C82" s="112" t="s">
        <v>728</v>
      </c>
      <c r="G82" s="96"/>
    </row>
    <row r="83" spans="2:7" x14ac:dyDescent="0.2">
      <c r="B83" s="95"/>
      <c r="C83" s="2" t="s">
        <v>247</v>
      </c>
      <c r="D83" s="2" t="s">
        <v>93</v>
      </c>
      <c r="E83" s="109">
        <f>Estimates!J22</f>
        <v>17885720.400000002</v>
      </c>
      <c r="G83" s="96"/>
    </row>
    <row r="84" spans="2:7" x14ac:dyDescent="0.2">
      <c r="B84" s="95"/>
      <c r="C84" s="2" t="s">
        <v>248</v>
      </c>
      <c r="D84" s="2" t="s">
        <v>93</v>
      </c>
      <c r="E84" s="109">
        <f>Estimates!J20</f>
        <v>9609000</v>
      </c>
      <c r="G84" s="96"/>
    </row>
    <row r="85" spans="2:7" x14ac:dyDescent="0.2">
      <c r="B85" s="95"/>
      <c r="C85" s="2" t="s">
        <v>249</v>
      </c>
      <c r="D85" s="2" t="s">
        <v>93</v>
      </c>
      <c r="E85" s="109">
        <f>Estimates!J21</f>
        <v>8276720.4000000022</v>
      </c>
      <c r="G85" s="96"/>
    </row>
    <row r="86" spans="2:7" x14ac:dyDescent="0.2">
      <c r="B86" s="95"/>
      <c r="C86" s="2" t="s">
        <v>250</v>
      </c>
      <c r="D86" s="2" t="s">
        <v>251</v>
      </c>
      <c r="E86" s="111">
        <f>Estimates!J35</f>
        <v>0.262156735518915</v>
      </c>
      <c r="G86" s="96"/>
    </row>
    <row r="87" spans="2:7" x14ac:dyDescent="0.2">
      <c r="B87" s="95"/>
      <c r="C87" s="2" t="s">
        <v>252</v>
      </c>
      <c r="D87" s="2" t="s">
        <v>102</v>
      </c>
      <c r="E87" s="113">
        <f>'Historical data'!F49</f>
        <v>0.78389534243249115</v>
      </c>
      <c r="G87" s="96"/>
    </row>
    <row r="88" spans="2:7" x14ac:dyDescent="0.2">
      <c r="B88" s="95"/>
      <c r="C88" s="2"/>
      <c r="D88" s="2"/>
      <c r="E88" s="114"/>
      <c r="G88" s="96"/>
    </row>
    <row r="89" spans="2:7" x14ac:dyDescent="0.2">
      <c r="B89" s="95"/>
      <c r="C89" s="2" t="s">
        <v>729</v>
      </c>
      <c r="D89" s="2" t="s">
        <v>73</v>
      </c>
      <c r="F89" s="115">
        <f>Estimates!K17</f>
        <v>9.5000000000000001E-2</v>
      </c>
      <c r="G89" s="96"/>
    </row>
    <row r="90" spans="2:7" x14ac:dyDescent="0.2">
      <c r="B90" s="95"/>
      <c r="C90" s="2" t="s">
        <v>730</v>
      </c>
      <c r="D90" s="2" t="s">
        <v>94</v>
      </c>
      <c r="F90" s="109">
        <f>Estimates!K63</f>
        <v>19445.231167159676</v>
      </c>
      <c r="G90" s="96"/>
    </row>
    <row r="91" spans="2:7" x14ac:dyDescent="0.2">
      <c r="B91" s="95"/>
      <c r="G91" s="96"/>
    </row>
    <row r="92" spans="2:7" x14ac:dyDescent="0.2">
      <c r="B92" s="95"/>
      <c r="G92" s="96"/>
    </row>
    <row r="93" spans="2:7" x14ac:dyDescent="0.2">
      <c r="B93" s="95"/>
      <c r="C93" s="47" t="s">
        <v>253</v>
      </c>
      <c r="G93" s="96"/>
    </row>
    <row r="94" spans="2:7" x14ac:dyDescent="0.2">
      <c r="B94" s="95"/>
      <c r="G94" s="96"/>
    </row>
    <row r="95" spans="2:7" x14ac:dyDescent="0.2">
      <c r="B95" s="101"/>
      <c r="C95" s="116"/>
      <c r="D95" s="116"/>
      <c r="E95" s="116"/>
      <c r="F95" s="116"/>
      <c r="G95" s="117"/>
    </row>
  </sheetData>
  <phoneticPr fontId="31" type="noConversion"/>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468C9-1105-4652-A659-6B0449E3C922}">
  <sheetPr>
    <tabColor rgb="FFCCFFFF"/>
  </sheetPr>
  <dimension ref="B2:AB75"/>
  <sheetViews>
    <sheetView showGridLines="0" zoomScale="80" zoomScaleNormal="80" workbookViewId="0"/>
  </sheetViews>
  <sheetFormatPr defaultColWidth="9.140625" defaultRowHeight="12.75" x14ac:dyDescent="0.2"/>
  <cols>
    <col min="1" max="1" width="9.140625" style="47"/>
    <col min="2" max="2" width="4.85546875" style="47" customWidth="1"/>
    <col min="3" max="3" width="59.140625" style="47" customWidth="1"/>
    <col min="4" max="4" width="20.140625" style="47" customWidth="1"/>
    <col min="5" max="7" width="14.42578125" style="47" customWidth="1"/>
    <col min="8" max="8" width="5" style="47" customWidth="1"/>
    <col min="9" max="16384" width="9.140625" style="47"/>
  </cols>
  <sheetData>
    <row r="2" spans="2:8" s="7" customFormat="1" ht="18" x14ac:dyDescent="0.2">
      <c r="C2" s="7" t="s">
        <v>254</v>
      </c>
    </row>
    <row r="3" spans="2:8" x14ac:dyDescent="0.2">
      <c r="B3" s="2"/>
      <c r="C3" s="2"/>
      <c r="D3" s="2"/>
      <c r="E3" s="2"/>
      <c r="F3" s="2"/>
      <c r="G3" s="2"/>
    </row>
    <row r="4" spans="2:8" x14ac:dyDescent="0.2">
      <c r="C4" s="19" t="s">
        <v>80</v>
      </c>
      <c r="D4" s="2"/>
      <c r="E4" s="2"/>
      <c r="F4" s="2"/>
      <c r="G4" s="2"/>
      <c r="H4" s="2"/>
    </row>
    <row r="5" spans="2:8" x14ac:dyDescent="0.2">
      <c r="C5" s="2" t="s">
        <v>718</v>
      </c>
      <c r="D5" s="2"/>
      <c r="E5" s="13"/>
      <c r="F5" s="2"/>
      <c r="G5" s="2"/>
      <c r="H5" s="2"/>
    </row>
    <row r="6" spans="2:8" x14ac:dyDescent="0.2">
      <c r="B6" s="2"/>
      <c r="C6" s="2"/>
      <c r="D6" s="2"/>
      <c r="E6" s="2"/>
      <c r="F6" s="2"/>
      <c r="G6" s="2"/>
      <c r="H6" s="2"/>
    </row>
    <row r="7" spans="2:8" s="8" customFormat="1" x14ac:dyDescent="0.2">
      <c r="C7" s="8" t="s">
        <v>221</v>
      </c>
      <c r="D7" s="8" t="s">
        <v>36</v>
      </c>
    </row>
    <row r="9" spans="2:8" x14ac:dyDescent="0.2">
      <c r="C9" s="1" t="s">
        <v>255</v>
      </c>
      <c r="D9" s="47" t="s">
        <v>731</v>
      </c>
      <c r="E9" s="138">
        <f>Result!F53</f>
        <v>6.1989999999999998</v>
      </c>
    </row>
    <row r="10" spans="2:8" x14ac:dyDescent="0.2">
      <c r="C10" s="1"/>
    </row>
    <row r="11" spans="2:8" x14ac:dyDescent="0.2">
      <c r="B11" s="90"/>
      <c r="C11" s="91"/>
      <c r="D11" s="91"/>
      <c r="E11" s="91"/>
      <c r="F11" s="92"/>
    </row>
    <row r="12" spans="2:8" s="8" customFormat="1" x14ac:dyDescent="0.2">
      <c r="B12" s="93"/>
      <c r="C12" s="8" t="s">
        <v>719</v>
      </c>
      <c r="D12" s="8" t="s">
        <v>36</v>
      </c>
      <c r="F12" s="94"/>
    </row>
    <row r="13" spans="2:8" x14ac:dyDescent="0.2">
      <c r="B13" s="95"/>
      <c r="F13" s="96"/>
    </row>
    <row r="14" spans="2:8" x14ac:dyDescent="0.2">
      <c r="B14" s="95"/>
      <c r="C14" s="1" t="s">
        <v>256</v>
      </c>
      <c r="D14" s="47" t="s">
        <v>731</v>
      </c>
      <c r="E14" s="138">
        <f>Result!F56</f>
        <v>11.791</v>
      </c>
      <c r="F14" s="96"/>
    </row>
    <row r="15" spans="2:8" x14ac:dyDescent="0.2">
      <c r="B15" s="95"/>
      <c r="F15" s="96"/>
    </row>
    <row r="16" spans="2:8" x14ac:dyDescent="0.2">
      <c r="B16" s="95"/>
      <c r="C16" s="1" t="s">
        <v>257</v>
      </c>
      <c r="D16" s="47" t="s">
        <v>732</v>
      </c>
      <c r="E16" s="97">
        <f>Result!F59</f>
        <v>82.664559146994819</v>
      </c>
      <c r="F16" s="96"/>
    </row>
    <row r="17" spans="2:10" x14ac:dyDescent="0.2">
      <c r="B17" s="95"/>
      <c r="C17" s="2"/>
      <c r="D17" s="2"/>
      <c r="E17" s="2"/>
      <c r="F17" s="99"/>
      <c r="G17" s="2"/>
      <c r="H17" s="2"/>
      <c r="I17" s="2"/>
      <c r="J17" s="2"/>
    </row>
    <row r="18" spans="2:10" x14ac:dyDescent="0.2">
      <c r="B18" s="95"/>
      <c r="C18" s="1" t="s">
        <v>258</v>
      </c>
      <c r="D18" s="2"/>
      <c r="E18" s="2"/>
      <c r="F18" s="99"/>
      <c r="G18" s="2"/>
      <c r="H18" s="2"/>
      <c r="I18" s="2"/>
      <c r="J18" s="2"/>
    </row>
    <row r="19" spans="2:10" x14ac:dyDescent="0.2">
      <c r="B19" s="95"/>
      <c r="C19" s="2" t="s">
        <v>151</v>
      </c>
      <c r="D19" s="2" t="s">
        <v>655</v>
      </c>
      <c r="E19" s="98">
        <f>Result!F62</f>
        <v>40</v>
      </c>
      <c r="F19" s="99"/>
      <c r="G19" s="2"/>
      <c r="H19" s="2"/>
      <c r="I19" s="2"/>
      <c r="J19" s="2"/>
    </row>
    <row r="20" spans="2:10" x14ac:dyDescent="0.2">
      <c r="B20" s="95"/>
      <c r="C20" s="2" t="s">
        <v>160</v>
      </c>
      <c r="D20" s="2" t="s">
        <v>655</v>
      </c>
      <c r="E20" s="98">
        <f>Result!F65</f>
        <v>286.74801186929807</v>
      </c>
      <c r="F20" s="99"/>
      <c r="G20" s="2"/>
      <c r="H20" s="2"/>
      <c r="I20" s="2"/>
      <c r="J20" s="2"/>
    </row>
    <row r="21" spans="2:10" x14ac:dyDescent="0.2">
      <c r="B21" s="95"/>
      <c r="C21" s="2" t="s">
        <v>161</v>
      </c>
      <c r="D21" s="2" t="s">
        <v>655</v>
      </c>
      <c r="E21" s="98">
        <f>Result!F66</f>
        <v>199.1428123334949</v>
      </c>
      <c r="F21" s="99"/>
      <c r="G21" s="2"/>
      <c r="H21" s="2"/>
      <c r="I21" s="2"/>
      <c r="J21" s="2"/>
    </row>
    <row r="22" spans="2:10" x14ac:dyDescent="0.2">
      <c r="B22" s="100"/>
      <c r="C22" s="2"/>
      <c r="D22" s="2"/>
      <c r="E22" s="2"/>
      <c r="F22" s="99"/>
      <c r="G22" s="2"/>
      <c r="H22" s="2"/>
      <c r="I22" s="2"/>
      <c r="J22" s="2"/>
    </row>
    <row r="23" spans="2:10" x14ac:dyDescent="0.2">
      <c r="B23" s="95"/>
      <c r="C23" s="1" t="s">
        <v>162</v>
      </c>
      <c r="D23" s="2"/>
      <c r="E23" s="2"/>
      <c r="F23" s="99"/>
      <c r="G23" s="2"/>
      <c r="H23" s="2"/>
      <c r="I23" s="2"/>
      <c r="J23" s="2"/>
    </row>
    <row r="24" spans="2:10" x14ac:dyDescent="0.2">
      <c r="B24" s="95"/>
      <c r="C24" s="2" t="s">
        <v>259</v>
      </c>
      <c r="D24" s="47" t="s">
        <v>731</v>
      </c>
      <c r="E24" s="139">
        <f>Result!F69</f>
        <v>17.510999999999999</v>
      </c>
      <c r="F24" s="99"/>
      <c r="G24" s="2"/>
      <c r="H24" s="2"/>
      <c r="I24" s="2"/>
      <c r="J24" s="2"/>
    </row>
    <row r="25" spans="2:10" x14ac:dyDescent="0.2">
      <c r="B25" s="101"/>
      <c r="C25" s="102"/>
      <c r="D25" s="102"/>
      <c r="E25" s="102"/>
      <c r="F25" s="103"/>
      <c r="G25" s="2"/>
      <c r="H25" s="2"/>
      <c r="I25" s="2"/>
      <c r="J25" s="2"/>
    </row>
    <row r="26" spans="2:10" x14ac:dyDescent="0.2">
      <c r="C26" s="2"/>
      <c r="D26" s="2"/>
      <c r="E26" s="2"/>
      <c r="F26" s="2"/>
      <c r="G26" s="2"/>
      <c r="H26" s="2"/>
      <c r="I26" s="2"/>
      <c r="J26" s="2"/>
    </row>
    <row r="27" spans="2:10" x14ac:dyDescent="0.2">
      <c r="B27" s="90"/>
      <c r="C27" s="104"/>
      <c r="D27" s="104"/>
      <c r="E27" s="104"/>
      <c r="F27" s="104"/>
      <c r="G27" s="104"/>
      <c r="H27" s="105"/>
      <c r="I27" s="2"/>
      <c r="J27" s="2"/>
    </row>
    <row r="28" spans="2:10" s="8" customFormat="1" x14ac:dyDescent="0.2">
      <c r="B28" s="93"/>
      <c r="C28" s="8" t="s">
        <v>733</v>
      </c>
      <c r="D28" s="8" t="s">
        <v>36</v>
      </c>
      <c r="H28" s="94"/>
    </row>
    <row r="29" spans="2:10" x14ac:dyDescent="0.2">
      <c r="B29" s="100"/>
      <c r="C29" s="2"/>
      <c r="D29" s="2"/>
      <c r="E29" s="2"/>
      <c r="F29" s="2"/>
      <c r="G29" s="2"/>
      <c r="H29" s="99"/>
      <c r="I29" s="2"/>
      <c r="J29" s="2"/>
    </row>
    <row r="30" spans="2:10" x14ac:dyDescent="0.2">
      <c r="B30" s="95"/>
      <c r="C30" s="1" t="s">
        <v>64</v>
      </c>
      <c r="D30" s="2"/>
      <c r="E30" s="2"/>
      <c r="F30" s="2"/>
      <c r="G30" s="2"/>
      <c r="H30" s="99"/>
      <c r="I30" s="2"/>
      <c r="J30" s="2"/>
    </row>
    <row r="31" spans="2:10" x14ac:dyDescent="0.2">
      <c r="B31" s="95"/>
      <c r="C31" s="2" t="s">
        <v>757</v>
      </c>
      <c r="D31" s="2" t="s">
        <v>73</v>
      </c>
      <c r="E31" s="106">
        <f>Parameters!F28</f>
        <v>8.2500000000000004E-2</v>
      </c>
      <c r="F31" s="2"/>
      <c r="G31" s="2"/>
      <c r="H31" s="99"/>
      <c r="I31" s="2"/>
      <c r="J31" s="2"/>
    </row>
    <row r="32" spans="2:10" x14ac:dyDescent="0.2">
      <c r="B32" s="95"/>
      <c r="C32" s="2" t="s">
        <v>734</v>
      </c>
      <c r="D32" s="2" t="s">
        <v>73</v>
      </c>
      <c r="E32" s="106">
        <f>Parameters!F33</f>
        <v>7.1300000000000002E-2</v>
      </c>
      <c r="F32" s="2"/>
      <c r="G32" s="2"/>
      <c r="H32" s="99"/>
      <c r="I32" s="2"/>
      <c r="J32" s="2"/>
    </row>
    <row r="33" spans="2:28" x14ac:dyDescent="0.2">
      <c r="B33" s="95"/>
      <c r="C33" s="2" t="s">
        <v>74</v>
      </c>
      <c r="D33" s="2" t="s">
        <v>73</v>
      </c>
      <c r="E33" s="106">
        <f>Parameters!F16</f>
        <v>3.2000000000000001E-2</v>
      </c>
      <c r="F33" s="2"/>
      <c r="G33" s="2"/>
      <c r="H33" s="99"/>
      <c r="I33" s="2"/>
      <c r="J33" s="2"/>
    </row>
    <row r="34" spans="2:28" x14ac:dyDescent="0.2">
      <c r="B34" s="95"/>
      <c r="C34" s="2" t="s">
        <v>437</v>
      </c>
      <c r="D34" s="2" t="s">
        <v>73</v>
      </c>
      <c r="E34" s="106">
        <f>Parameters!F17</f>
        <v>1.9E-2</v>
      </c>
      <c r="F34" s="2"/>
      <c r="G34" s="2"/>
      <c r="H34" s="99"/>
      <c r="I34" s="2"/>
      <c r="J34" s="2"/>
    </row>
    <row r="35" spans="2:28" x14ac:dyDescent="0.2">
      <c r="B35" s="95"/>
      <c r="C35" s="2" t="s">
        <v>76</v>
      </c>
      <c r="D35" s="2" t="s">
        <v>73</v>
      </c>
      <c r="E35" s="106">
        <f>Parameters!F20</f>
        <v>0.03</v>
      </c>
      <c r="F35" s="2"/>
      <c r="G35" s="2"/>
      <c r="H35" s="99"/>
      <c r="I35" s="2"/>
      <c r="J35" s="2"/>
    </row>
    <row r="36" spans="2:28" x14ac:dyDescent="0.2">
      <c r="B36" s="95"/>
      <c r="C36" s="2" t="s">
        <v>735</v>
      </c>
      <c r="D36" s="2" t="s">
        <v>73</v>
      </c>
      <c r="E36" s="106">
        <f>Estimates!N28</f>
        <v>1.1022524288763996E-2</v>
      </c>
      <c r="F36" s="2"/>
      <c r="G36" s="2"/>
      <c r="H36" s="99"/>
      <c r="I36" s="2"/>
      <c r="J36" s="2"/>
    </row>
    <row r="37" spans="2:28" x14ac:dyDescent="0.2">
      <c r="B37" s="95"/>
      <c r="C37" s="2" t="s">
        <v>260</v>
      </c>
      <c r="D37" s="2" t="s">
        <v>73</v>
      </c>
      <c r="E37" s="106">
        <f>Parameters!F37</f>
        <v>0.5</v>
      </c>
      <c r="F37" s="2"/>
      <c r="H37" s="99"/>
      <c r="I37" s="2"/>
      <c r="J37" s="2"/>
      <c r="K37" s="2"/>
      <c r="L37" s="2"/>
      <c r="M37" s="2"/>
      <c r="N37" s="2"/>
      <c r="O37" s="2"/>
      <c r="P37" s="2"/>
      <c r="Q37" s="2"/>
      <c r="R37" s="2"/>
      <c r="S37" s="2"/>
      <c r="T37" s="2"/>
      <c r="U37" s="2"/>
      <c r="V37" s="2"/>
      <c r="W37" s="2"/>
      <c r="X37" s="2"/>
      <c r="Y37" s="2"/>
      <c r="Z37" s="2"/>
      <c r="AA37" s="2"/>
      <c r="AB37" s="2"/>
    </row>
    <row r="38" spans="2:28" x14ac:dyDescent="0.2">
      <c r="B38" s="95"/>
      <c r="D38" s="2"/>
      <c r="H38" s="99"/>
      <c r="I38" s="2"/>
      <c r="J38" s="2"/>
    </row>
    <row r="39" spans="2:28" ht="25.5" customHeight="1" x14ac:dyDescent="0.2">
      <c r="B39" s="95"/>
      <c r="C39" s="1" t="s">
        <v>750</v>
      </c>
      <c r="D39" s="107"/>
      <c r="E39" s="108" t="s">
        <v>261</v>
      </c>
      <c r="F39" s="108" t="s">
        <v>262</v>
      </c>
      <c r="G39" s="108" t="s">
        <v>72</v>
      </c>
      <c r="H39" s="99"/>
      <c r="I39" s="2"/>
      <c r="J39" s="2"/>
    </row>
    <row r="40" spans="2:28" x14ac:dyDescent="0.2">
      <c r="B40" s="95"/>
      <c r="C40" s="2" t="s">
        <v>624</v>
      </c>
      <c r="D40" s="2" t="s">
        <v>130</v>
      </c>
      <c r="E40" s="109">
        <f>'Fixed-variable costs'!L44</f>
        <v>652313.87099999993</v>
      </c>
      <c r="F40" s="109">
        <f>'Fixed-variable costs'!M44</f>
        <v>726831.10616041452</v>
      </c>
      <c r="G40" s="109">
        <f>'Fixed-variable costs'!N44</f>
        <v>8100.8048395852375</v>
      </c>
      <c r="H40" s="99"/>
      <c r="I40" s="2"/>
      <c r="J40" s="2"/>
    </row>
    <row r="41" spans="2:28" x14ac:dyDescent="0.2">
      <c r="B41" s="95"/>
      <c r="C41" s="2" t="s">
        <v>501</v>
      </c>
      <c r="D41" s="2" t="s">
        <v>130</v>
      </c>
      <c r="E41" s="109">
        <f>'Fixed-variable costs'!L45</f>
        <v>422.3535</v>
      </c>
      <c r="F41" s="109">
        <f>'Fixed-variable costs'!M45</f>
        <v>32233.340846512438</v>
      </c>
      <c r="G41" s="109">
        <f>'Fixed-variable costs'!N45</f>
        <v>359.25265348756153</v>
      </c>
      <c r="H41" s="99"/>
      <c r="I41" s="2"/>
      <c r="J41" s="2"/>
    </row>
    <row r="42" spans="2:28" x14ac:dyDescent="0.2">
      <c r="B42" s="95"/>
      <c r="C42" s="2" t="s">
        <v>751</v>
      </c>
      <c r="D42" s="2" t="s">
        <v>88</v>
      </c>
      <c r="E42" s="109">
        <f>'Fixed-variable costs'!L46</f>
        <v>1340233.1679049861</v>
      </c>
      <c r="F42" s="109">
        <f>'Fixed-variable costs'!M46</f>
        <v>3305641.9555254066</v>
      </c>
      <c r="G42" s="109">
        <f>'Fixed-variable costs'!N46</f>
        <v>48805.513032770017</v>
      </c>
      <c r="H42" s="99"/>
      <c r="I42" s="2"/>
      <c r="J42" s="2"/>
    </row>
    <row r="43" spans="2:28" x14ac:dyDescent="0.2">
      <c r="B43" s="95"/>
      <c r="C43" s="2" t="s">
        <v>752</v>
      </c>
      <c r="D43" s="2" t="s">
        <v>88</v>
      </c>
      <c r="E43" s="109">
        <f>'Fixed-variable costs'!L47</f>
        <v>137450.84816906904</v>
      </c>
      <c r="F43" s="109">
        <f>'Fixed-variable costs'!M47</f>
        <v>232825.12852664362</v>
      </c>
      <c r="G43" s="109">
        <f>'Fixed-variable costs'!N47</f>
        <v>3766.9728850012816</v>
      </c>
      <c r="H43" s="99"/>
      <c r="I43" s="2"/>
      <c r="J43" s="2"/>
    </row>
    <row r="44" spans="2:28" x14ac:dyDescent="0.2">
      <c r="B44" s="95"/>
      <c r="C44" s="2"/>
      <c r="D44" s="2"/>
      <c r="E44" s="2"/>
      <c r="F44" s="2"/>
      <c r="G44" s="2"/>
      <c r="H44" s="99"/>
      <c r="I44" s="2"/>
      <c r="J44" s="2"/>
    </row>
    <row r="45" spans="2:28" x14ac:dyDescent="0.2">
      <c r="B45" s="95"/>
      <c r="C45" s="1" t="s">
        <v>263</v>
      </c>
      <c r="D45" s="2"/>
      <c r="E45" s="2"/>
      <c r="F45" s="2"/>
      <c r="H45" s="99"/>
      <c r="I45" s="2"/>
      <c r="J45" s="2"/>
    </row>
    <row r="46" spans="2:28" x14ac:dyDescent="0.2">
      <c r="B46" s="95"/>
      <c r="C46" s="47" t="s">
        <v>736</v>
      </c>
      <c r="D46" s="47" t="s">
        <v>737</v>
      </c>
      <c r="E46" s="2"/>
      <c r="F46" s="109">
        <f>'Financial data'!M44</f>
        <v>4592.7167202651281</v>
      </c>
      <c r="H46" s="99"/>
      <c r="I46" s="2"/>
      <c r="J46" s="2"/>
    </row>
    <row r="47" spans="2:28" x14ac:dyDescent="0.2">
      <c r="B47" s="95"/>
      <c r="C47" s="47" t="s">
        <v>738</v>
      </c>
      <c r="D47" s="47" t="s">
        <v>737</v>
      </c>
      <c r="E47" s="2"/>
      <c r="F47" s="109">
        <f>'Financial data'!M45</f>
        <v>319.32811466559002</v>
      </c>
      <c r="H47" s="99"/>
      <c r="I47" s="2"/>
      <c r="J47" s="2"/>
    </row>
    <row r="48" spans="2:28" x14ac:dyDescent="0.2">
      <c r="B48" s="95"/>
      <c r="H48" s="99"/>
      <c r="I48" s="2"/>
      <c r="J48" s="2"/>
    </row>
    <row r="49" spans="2:10" x14ac:dyDescent="0.2">
      <c r="B49" s="95"/>
      <c r="C49" s="1" t="s">
        <v>129</v>
      </c>
      <c r="D49" s="2"/>
      <c r="H49" s="96"/>
    </row>
    <row r="50" spans="2:10" x14ac:dyDescent="0.2">
      <c r="B50" s="95"/>
      <c r="C50" s="83" t="s">
        <v>610</v>
      </c>
      <c r="D50" s="47" t="s">
        <v>655</v>
      </c>
      <c r="E50" s="109">
        <f>'Overview corrections'!L43</f>
        <v>34456.753959695518</v>
      </c>
      <c r="F50" s="109">
        <f>'Overview corrections'!M43</f>
        <v>78449.867524195579</v>
      </c>
      <c r="G50" s="109">
        <f>'Overview corrections'!N43</f>
        <v>521.16107898991345</v>
      </c>
      <c r="H50" s="96"/>
    </row>
    <row r="51" spans="2:10" x14ac:dyDescent="0.2">
      <c r="B51" s="95"/>
      <c r="C51" s="2" t="s">
        <v>753</v>
      </c>
      <c r="D51" s="47" t="s">
        <v>655</v>
      </c>
      <c r="E51" s="109">
        <f>'Overview corrections'!L41</f>
        <v>44673.724380365034</v>
      </c>
      <c r="F51" s="109">
        <f>'Overview corrections'!M41</f>
        <v>14147.434628090834</v>
      </c>
      <c r="G51" s="109">
        <f>'Overview corrections'!N41</f>
        <v>4827.6360207295766</v>
      </c>
      <c r="H51" s="96"/>
    </row>
    <row r="52" spans="2:10" x14ac:dyDescent="0.2">
      <c r="B52" s="95"/>
      <c r="C52" s="2" t="s">
        <v>754</v>
      </c>
      <c r="D52" s="47" t="s">
        <v>655</v>
      </c>
      <c r="E52" s="109">
        <f>'Overview corrections'!L42</f>
        <v>17229.639325261887</v>
      </c>
      <c r="F52" s="109">
        <f>'Overview corrections'!M42</f>
        <v>-63748.302503614796</v>
      </c>
      <c r="G52" s="109">
        <f>'Overview corrections'!N42</f>
        <v>-1046.5953444138297</v>
      </c>
      <c r="H52" s="96"/>
    </row>
    <row r="53" spans="2:10" x14ac:dyDescent="0.2">
      <c r="B53" s="95"/>
      <c r="C53" s="2" t="s">
        <v>755</v>
      </c>
      <c r="D53" s="47" t="s">
        <v>655</v>
      </c>
      <c r="F53" s="109">
        <f>'Overview corrections'!M50</f>
        <v>65030.973063680896</v>
      </c>
      <c r="H53" s="96"/>
    </row>
    <row r="54" spans="2:10" x14ac:dyDescent="0.2">
      <c r="B54" s="95"/>
      <c r="C54" s="2" t="s">
        <v>319</v>
      </c>
      <c r="D54" s="47" t="s">
        <v>655</v>
      </c>
      <c r="E54" s="109">
        <f>'Overview corrections'!L44</f>
        <v>-9311.6791415059233</v>
      </c>
      <c r="H54" s="96"/>
    </row>
    <row r="55" spans="2:10" x14ac:dyDescent="0.2">
      <c r="B55" s="95"/>
      <c r="H55" s="96"/>
    </row>
    <row r="56" spans="2:10" x14ac:dyDescent="0.2">
      <c r="B56" s="95"/>
      <c r="C56" s="1" t="s">
        <v>725</v>
      </c>
      <c r="D56" s="2"/>
      <c r="E56" s="2"/>
      <c r="F56" s="2"/>
      <c r="H56" s="99"/>
      <c r="J56" s="2"/>
    </row>
    <row r="57" spans="2:10" x14ac:dyDescent="0.2">
      <c r="B57" s="95"/>
      <c r="C57" s="47" t="s">
        <v>726</v>
      </c>
      <c r="D57" s="2" t="s">
        <v>655</v>
      </c>
      <c r="E57" s="109">
        <f>'Income level'!L35</f>
        <v>938699.53456101625</v>
      </c>
      <c r="F57" s="109">
        <f>'Income level'!M35</f>
        <v>1252855.6054908473</v>
      </c>
      <c r="G57" s="109">
        <f>'Income level'!N35</f>
        <v>24318.429475183882</v>
      </c>
      <c r="H57" s="96"/>
    </row>
    <row r="58" spans="2:10" x14ac:dyDescent="0.2">
      <c r="B58" s="95"/>
      <c r="C58" s="47" t="s">
        <v>246</v>
      </c>
      <c r="D58" s="2" t="s">
        <v>657</v>
      </c>
      <c r="E58" s="124">
        <f>'Fixed-variable costs'!L64</f>
        <v>0.47301698118283664</v>
      </c>
      <c r="F58" s="124">
        <f>'Fixed-variable costs'!M64</f>
        <v>196.03826141296426</v>
      </c>
      <c r="G58" s="124">
        <f>'Fixed-variable costs'!N64</f>
        <v>5.9800089056035173</v>
      </c>
      <c r="H58" s="96"/>
      <c r="J58" s="2"/>
    </row>
    <row r="59" spans="2:10" x14ac:dyDescent="0.2">
      <c r="B59" s="95"/>
      <c r="C59" s="47" t="s">
        <v>264</v>
      </c>
      <c r="D59" s="2" t="s">
        <v>657</v>
      </c>
      <c r="F59" s="124">
        <f>'Fixed-variable costs'!M65</f>
        <v>646.78881682049359</v>
      </c>
      <c r="H59" s="96"/>
    </row>
    <row r="60" spans="2:10" x14ac:dyDescent="0.2">
      <c r="B60" s="95"/>
      <c r="C60" s="47" t="s">
        <v>727</v>
      </c>
      <c r="D60" s="2" t="s">
        <v>655</v>
      </c>
      <c r="E60" s="109">
        <f>'Income level'!L36</f>
        <v>1025747.9730848328</v>
      </c>
      <c r="F60" s="109">
        <f>'Income level'!M36</f>
        <v>1281704.6051395189</v>
      </c>
      <c r="G60" s="109">
        <f>'Income level'!N36</f>
        <v>28620.631230489544</v>
      </c>
      <c r="H60" s="96"/>
    </row>
    <row r="61" spans="2:10" x14ac:dyDescent="0.2">
      <c r="B61" s="95"/>
      <c r="C61" s="2" t="s">
        <v>265</v>
      </c>
      <c r="D61" s="2" t="s">
        <v>655</v>
      </c>
      <c r="E61" s="111">
        <f>'Variable tariffs water'!F24</f>
        <v>1.7299185902549794</v>
      </c>
      <c r="F61" s="2"/>
      <c r="G61" s="2"/>
      <c r="H61" s="99"/>
    </row>
    <row r="62" spans="2:10" x14ac:dyDescent="0.2">
      <c r="B62" s="95"/>
      <c r="H62" s="96"/>
    </row>
    <row r="63" spans="2:10" x14ac:dyDescent="0.2">
      <c r="B63" s="95"/>
      <c r="C63" s="112" t="s">
        <v>739</v>
      </c>
      <c r="H63" s="96"/>
    </row>
    <row r="64" spans="2:10" x14ac:dyDescent="0.2">
      <c r="B64" s="95"/>
      <c r="C64" s="2" t="s">
        <v>247</v>
      </c>
      <c r="D64" s="2" t="s">
        <v>95</v>
      </c>
      <c r="E64" s="109">
        <f>Estimates!L14</f>
        <v>229530</v>
      </c>
      <c r="H64" s="96"/>
    </row>
    <row r="65" spans="2:8" x14ac:dyDescent="0.2">
      <c r="B65" s="95"/>
      <c r="C65" s="2" t="s">
        <v>266</v>
      </c>
      <c r="D65" s="2" t="s">
        <v>95</v>
      </c>
      <c r="E65" s="118"/>
      <c r="G65" s="109">
        <f>Estimates!N27</f>
        <v>2530</v>
      </c>
      <c r="H65" s="96"/>
    </row>
    <row r="66" spans="2:8" x14ac:dyDescent="0.2">
      <c r="B66" s="95"/>
      <c r="C66" s="2" t="s">
        <v>267</v>
      </c>
      <c r="D66" s="2" t="s">
        <v>105</v>
      </c>
      <c r="E66" s="111">
        <f>Estimates!L40</f>
        <v>5.1956194929354425</v>
      </c>
      <c r="G66" s="118"/>
      <c r="H66" s="96"/>
    </row>
    <row r="67" spans="2:8" x14ac:dyDescent="0.2">
      <c r="B67" s="95"/>
      <c r="C67" s="2" t="s">
        <v>268</v>
      </c>
      <c r="D67" s="2" t="s">
        <v>94</v>
      </c>
      <c r="E67" s="119">
        <f>Estimates!B57</f>
        <v>85.5</v>
      </c>
      <c r="G67" s="118"/>
      <c r="H67" s="96"/>
    </row>
    <row r="68" spans="2:8" s="122" customFormat="1" x14ac:dyDescent="0.2">
      <c r="B68" s="120"/>
      <c r="C68" s="67"/>
      <c r="D68" s="67"/>
      <c r="E68" s="121"/>
      <c r="G68" s="118"/>
      <c r="H68" s="123"/>
    </row>
    <row r="69" spans="2:8" x14ac:dyDescent="0.2">
      <c r="B69" s="95"/>
      <c r="C69" s="2" t="s">
        <v>740</v>
      </c>
      <c r="D69" s="2" t="s">
        <v>73</v>
      </c>
      <c r="F69" s="115">
        <f>Estimates!M17</f>
        <v>0.45</v>
      </c>
      <c r="H69" s="96"/>
    </row>
    <row r="70" spans="2:8" x14ac:dyDescent="0.2">
      <c r="B70" s="95"/>
      <c r="C70" s="2" t="s">
        <v>741</v>
      </c>
      <c r="D70" s="2" t="s">
        <v>113</v>
      </c>
      <c r="F70" s="109">
        <f>Estimates!M66</f>
        <v>1292.073872976589</v>
      </c>
      <c r="H70" s="96"/>
    </row>
    <row r="71" spans="2:8" x14ac:dyDescent="0.2">
      <c r="B71" s="95"/>
      <c r="C71" s="2"/>
      <c r="D71" s="2"/>
      <c r="H71" s="96"/>
    </row>
    <row r="72" spans="2:8" x14ac:dyDescent="0.2">
      <c r="B72" s="95"/>
      <c r="H72" s="96"/>
    </row>
    <row r="73" spans="2:8" x14ac:dyDescent="0.2">
      <c r="B73" s="95"/>
      <c r="C73" s="47" t="s">
        <v>253</v>
      </c>
      <c r="H73" s="96"/>
    </row>
    <row r="74" spans="2:8" x14ac:dyDescent="0.2">
      <c r="B74" s="95"/>
      <c r="H74" s="96"/>
    </row>
    <row r="75" spans="2:8" x14ac:dyDescent="0.2">
      <c r="B75" s="101"/>
      <c r="C75" s="116"/>
      <c r="D75" s="116"/>
      <c r="E75" s="116"/>
      <c r="F75" s="116"/>
      <c r="G75" s="116"/>
      <c r="H75" s="117"/>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C8D9"/>
  </sheetPr>
  <dimension ref="B2:H58"/>
  <sheetViews>
    <sheetView showGridLines="0" zoomScale="80" zoomScaleNormal="80" workbookViewId="0">
      <pane ySplit="3" topLeftCell="A4" activePane="bottomLeft" state="frozen"/>
      <selection activeCell="O39" sqref="O39"/>
      <selection pane="bottomLeft" activeCell="A4" sqref="A4"/>
    </sheetView>
  </sheetViews>
  <sheetFormatPr defaultColWidth="9.140625" defaultRowHeight="12.75" x14ac:dyDescent="0.2"/>
  <cols>
    <col min="1" max="1" width="4.7109375" style="2" customWidth="1"/>
    <col min="2" max="2" width="7.5703125" style="2" customWidth="1"/>
    <col min="3" max="3" width="35.140625" style="2" customWidth="1"/>
    <col min="4" max="4" width="110.42578125" style="2" customWidth="1"/>
    <col min="5" max="5" width="39" style="2" customWidth="1"/>
    <col min="6" max="6" width="34.140625" style="2" customWidth="1"/>
    <col min="7" max="7" width="11.85546875" style="2" customWidth="1"/>
    <col min="8" max="8" width="28.7109375" style="2" customWidth="1"/>
    <col min="9" max="9" width="18.42578125" style="2" customWidth="1"/>
    <col min="10" max="11" width="58.42578125" style="2" customWidth="1"/>
    <col min="12" max="16384" width="9.140625" style="2"/>
  </cols>
  <sheetData>
    <row r="2" spans="2:8" s="7" customFormat="1" ht="18" x14ac:dyDescent="0.2">
      <c r="B2" s="7" t="s">
        <v>27</v>
      </c>
    </row>
    <row r="5" spans="2:8" s="8" customFormat="1" x14ac:dyDescent="0.2">
      <c r="B5" s="8" t="s">
        <v>28</v>
      </c>
    </row>
    <row r="7" spans="2:8" x14ac:dyDescent="0.2">
      <c r="B7" s="4" t="s">
        <v>57</v>
      </c>
    </row>
    <row r="8" spans="2:8" x14ac:dyDescent="0.2">
      <c r="B8" s="4" t="s">
        <v>29</v>
      </c>
    </row>
    <row r="9" spans="2:8" x14ac:dyDescent="0.2">
      <c r="B9" s="4"/>
    </row>
    <row r="10" spans="2:8" x14ac:dyDescent="0.2">
      <c r="B10" s="31" t="s">
        <v>30</v>
      </c>
      <c r="C10" s="31" t="s">
        <v>31</v>
      </c>
      <c r="D10" s="31" t="s">
        <v>32</v>
      </c>
      <c r="E10" s="31" t="s">
        <v>54</v>
      </c>
      <c r="F10" s="31" t="s">
        <v>7</v>
      </c>
      <c r="H10" s="18"/>
    </row>
    <row r="11" spans="2:8" x14ac:dyDescent="0.2">
      <c r="B11" s="15"/>
      <c r="C11" s="15" t="s">
        <v>33</v>
      </c>
      <c r="D11" s="15" t="s">
        <v>34</v>
      </c>
      <c r="E11" s="15" t="s">
        <v>35</v>
      </c>
      <c r="F11" s="15"/>
    </row>
    <row r="12" spans="2:8" x14ac:dyDescent="0.2">
      <c r="B12" s="6">
        <v>1</v>
      </c>
      <c r="C12" s="6" t="s">
        <v>123</v>
      </c>
      <c r="D12" s="6"/>
      <c r="E12" s="49" t="s">
        <v>124</v>
      </c>
      <c r="F12" s="6"/>
    </row>
    <row r="13" spans="2:8" x14ac:dyDescent="0.2">
      <c r="B13" s="6">
        <v>2</v>
      </c>
      <c r="C13" s="6" t="s">
        <v>77</v>
      </c>
      <c r="D13" s="6"/>
      <c r="E13" s="49" t="s">
        <v>125</v>
      </c>
      <c r="F13" s="6"/>
    </row>
    <row r="14" spans="2:8" x14ac:dyDescent="0.2">
      <c r="B14" s="6">
        <v>3</v>
      </c>
      <c r="C14" s="6" t="s">
        <v>447</v>
      </c>
      <c r="D14" s="6" t="s">
        <v>126</v>
      </c>
      <c r="E14" s="49" t="s">
        <v>127</v>
      </c>
      <c r="F14" s="6"/>
    </row>
    <row r="15" spans="2:8" x14ac:dyDescent="0.2">
      <c r="B15" s="6">
        <v>4</v>
      </c>
      <c r="C15" s="6" t="s">
        <v>450</v>
      </c>
      <c r="D15" s="6" t="s">
        <v>218</v>
      </c>
      <c r="E15" s="88" t="s">
        <v>217</v>
      </c>
      <c r="F15" s="6"/>
    </row>
    <row r="16" spans="2:8" x14ac:dyDescent="0.2">
      <c r="B16" s="6">
        <v>5</v>
      </c>
      <c r="C16" s="6" t="s">
        <v>464</v>
      </c>
      <c r="D16" s="6" t="s">
        <v>465</v>
      </c>
      <c r="E16" s="88"/>
      <c r="F16" s="6"/>
    </row>
    <row r="17" spans="2:6" x14ac:dyDescent="0.2">
      <c r="B17" s="6">
        <v>6</v>
      </c>
      <c r="C17" s="6" t="s">
        <v>467</v>
      </c>
      <c r="D17" s="6" t="s">
        <v>466</v>
      </c>
      <c r="E17" s="49"/>
      <c r="F17" s="6"/>
    </row>
    <row r="18" spans="2:6" x14ac:dyDescent="0.2">
      <c r="B18" s="6">
        <v>7</v>
      </c>
      <c r="C18" s="6" t="s">
        <v>70</v>
      </c>
      <c r="D18" s="6" t="s">
        <v>468</v>
      </c>
      <c r="E18" s="49"/>
      <c r="F18" s="6"/>
    </row>
    <row r="19" spans="2:6" x14ac:dyDescent="0.2">
      <c r="B19" s="6">
        <v>8</v>
      </c>
      <c r="C19" s="6" t="s">
        <v>470</v>
      </c>
      <c r="D19" s="6" t="s">
        <v>469</v>
      </c>
      <c r="E19" s="49"/>
      <c r="F19" s="6"/>
    </row>
    <row r="20" spans="2:6" x14ac:dyDescent="0.2">
      <c r="B20" s="6">
        <v>9</v>
      </c>
      <c r="C20" s="6" t="s">
        <v>472</v>
      </c>
      <c r="D20" s="6" t="s">
        <v>471</v>
      </c>
      <c r="E20" s="88"/>
      <c r="F20" s="6"/>
    </row>
    <row r="21" spans="2:6" x14ac:dyDescent="0.2">
      <c r="B21" s="6">
        <v>10</v>
      </c>
      <c r="C21" s="6" t="s">
        <v>475</v>
      </c>
      <c r="D21" s="6" t="s">
        <v>473</v>
      </c>
      <c r="E21" s="6"/>
      <c r="F21" s="6"/>
    </row>
    <row r="22" spans="2:6" x14ac:dyDescent="0.2">
      <c r="B22" s="6">
        <v>11</v>
      </c>
      <c r="C22" s="6" t="s">
        <v>476</v>
      </c>
      <c r="D22" s="6" t="s">
        <v>474</v>
      </c>
      <c r="E22" s="6"/>
      <c r="F22" s="6"/>
    </row>
    <row r="23" spans="2:6" x14ac:dyDescent="0.2">
      <c r="B23" s="6">
        <v>12</v>
      </c>
      <c r="C23" s="6" t="s">
        <v>479</v>
      </c>
      <c r="D23" s="9" t="s">
        <v>478</v>
      </c>
      <c r="E23" s="6"/>
      <c r="F23" s="6"/>
    </row>
    <row r="24" spans="2:6" x14ac:dyDescent="0.2">
      <c r="B24" s="6">
        <v>13</v>
      </c>
      <c r="C24" s="6" t="s">
        <v>486</v>
      </c>
      <c r="D24" s="6" t="s">
        <v>485</v>
      </c>
      <c r="E24" s="6"/>
      <c r="F24" s="6"/>
    </row>
    <row r="25" spans="2:6" x14ac:dyDescent="0.2">
      <c r="B25" s="6">
        <v>14</v>
      </c>
      <c r="C25" s="6" t="s">
        <v>534</v>
      </c>
      <c r="D25" s="6" t="s">
        <v>539</v>
      </c>
      <c r="E25" s="6"/>
      <c r="F25" s="6"/>
    </row>
    <row r="26" spans="2:6" x14ac:dyDescent="0.2">
      <c r="B26" s="6">
        <v>15</v>
      </c>
      <c r="C26" s="6" t="s">
        <v>535</v>
      </c>
      <c r="D26" s="6" t="s">
        <v>530</v>
      </c>
      <c r="E26" s="6"/>
      <c r="F26" s="6"/>
    </row>
    <row r="27" spans="2:6" x14ac:dyDescent="0.2">
      <c r="B27" s="6">
        <v>16</v>
      </c>
      <c r="C27" s="6" t="s">
        <v>536</v>
      </c>
      <c r="D27" s="9" t="s">
        <v>417</v>
      </c>
      <c r="E27" s="6"/>
      <c r="F27" s="6"/>
    </row>
    <row r="28" spans="2:6" x14ac:dyDescent="0.2">
      <c r="B28" s="6">
        <v>17</v>
      </c>
      <c r="C28" s="6" t="s">
        <v>537</v>
      </c>
      <c r="D28" s="9" t="s">
        <v>538</v>
      </c>
      <c r="E28" s="6"/>
      <c r="F28" s="6"/>
    </row>
    <row r="29" spans="2:6" x14ac:dyDescent="0.2">
      <c r="B29" s="6">
        <v>18</v>
      </c>
      <c r="C29" s="6" t="s">
        <v>542</v>
      </c>
      <c r="D29" s="9" t="s">
        <v>543</v>
      </c>
      <c r="F29" s="6"/>
    </row>
    <row r="30" spans="2:6" x14ac:dyDescent="0.2">
      <c r="B30" s="6">
        <v>19</v>
      </c>
      <c r="C30" s="6" t="s">
        <v>545</v>
      </c>
      <c r="D30" s="140" t="s">
        <v>546</v>
      </c>
      <c r="E30" s="6"/>
      <c r="F30" s="6"/>
    </row>
    <row r="31" spans="2:6" x14ac:dyDescent="0.2">
      <c r="B31" s="6">
        <v>20</v>
      </c>
      <c r="C31" s="6" t="s">
        <v>574</v>
      </c>
      <c r="D31" s="140" t="s">
        <v>575</v>
      </c>
      <c r="E31" s="6"/>
      <c r="F31" s="6"/>
    </row>
    <row r="32" spans="2:6" x14ac:dyDescent="0.2">
      <c r="B32" s="6">
        <v>21</v>
      </c>
      <c r="C32" s="6" t="s">
        <v>578</v>
      </c>
      <c r="D32" s="140" t="s">
        <v>577</v>
      </c>
      <c r="E32" s="6"/>
      <c r="F32" s="6"/>
    </row>
    <row r="33" spans="2:6" x14ac:dyDescent="0.2">
      <c r="B33" s="6">
        <v>22</v>
      </c>
      <c r="C33" s="6" t="s">
        <v>586</v>
      </c>
      <c r="D33" s="141" t="s">
        <v>587</v>
      </c>
      <c r="E33" s="6"/>
      <c r="F33" s="6"/>
    </row>
    <row r="34" spans="2:6" x14ac:dyDescent="0.2">
      <c r="B34" s="6">
        <v>23</v>
      </c>
      <c r="C34" s="6" t="s">
        <v>596</v>
      </c>
      <c r="D34" s="9" t="s">
        <v>597</v>
      </c>
      <c r="E34" s="6"/>
      <c r="F34" s="6"/>
    </row>
    <row r="35" spans="2:6" x14ac:dyDescent="0.2">
      <c r="B35" s="6">
        <v>24</v>
      </c>
      <c r="C35" s="6"/>
      <c r="D35" s="140"/>
      <c r="E35" s="6"/>
      <c r="F35" s="6"/>
    </row>
    <row r="36" spans="2:6" x14ac:dyDescent="0.2">
      <c r="B36" s="6">
        <v>25</v>
      </c>
      <c r="C36" s="6"/>
      <c r="D36" s="140"/>
      <c r="E36" s="6"/>
      <c r="F36" s="6"/>
    </row>
    <row r="37" spans="2:6" x14ac:dyDescent="0.2">
      <c r="B37" s="6">
        <v>26</v>
      </c>
      <c r="C37" s="6"/>
      <c r="D37" s="140"/>
      <c r="E37" s="6"/>
      <c r="F37" s="6"/>
    </row>
    <row r="38" spans="2:6" x14ac:dyDescent="0.2">
      <c r="B38" s="6">
        <v>27</v>
      </c>
      <c r="C38" s="6"/>
      <c r="D38" s="141"/>
      <c r="E38" s="6"/>
      <c r="F38" s="6"/>
    </row>
    <row r="39" spans="2:6" x14ac:dyDescent="0.2">
      <c r="B39" s="6">
        <v>28</v>
      </c>
      <c r="C39" s="6"/>
      <c r="D39" s="141"/>
      <c r="E39" s="6"/>
      <c r="F39" s="6"/>
    </row>
    <row r="40" spans="2:6" x14ac:dyDescent="0.2">
      <c r="B40" s="6">
        <v>29</v>
      </c>
      <c r="C40" s="6"/>
      <c r="D40" s="141"/>
      <c r="E40" s="6"/>
      <c r="F40" s="6"/>
    </row>
    <row r="41" spans="2:6" x14ac:dyDescent="0.2">
      <c r="B41" s="6">
        <v>30</v>
      </c>
      <c r="C41" s="6"/>
      <c r="D41" s="141"/>
      <c r="E41" s="6"/>
      <c r="F41" s="6"/>
    </row>
    <row r="42" spans="2:6" x14ac:dyDescent="0.2">
      <c r="B42" s="6">
        <v>31</v>
      </c>
      <c r="C42" s="6"/>
      <c r="D42" s="141"/>
      <c r="E42" s="6"/>
      <c r="F42" s="6"/>
    </row>
    <row r="43" spans="2:6" x14ac:dyDescent="0.2">
      <c r="B43" s="6">
        <v>32</v>
      </c>
      <c r="C43" s="6"/>
      <c r="D43" s="140"/>
      <c r="E43" s="6"/>
      <c r="F43" s="6"/>
    </row>
    <row r="44" spans="2:6" x14ac:dyDescent="0.2">
      <c r="B44" s="6">
        <v>33</v>
      </c>
      <c r="C44" s="6"/>
      <c r="D44" s="141"/>
      <c r="E44" s="6"/>
      <c r="F44" s="6"/>
    </row>
    <row r="45" spans="2:6" x14ac:dyDescent="0.2">
      <c r="B45" s="6">
        <v>34</v>
      </c>
      <c r="D45" s="141"/>
      <c r="E45" s="6"/>
      <c r="F45" s="6"/>
    </row>
    <row r="46" spans="2:6" x14ac:dyDescent="0.2">
      <c r="B46" s="6">
        <v>35</v>
      </c>
      <c r="C46" s="6"/>
      <c r="D46" s="141"/>
      <c r="E46" s="6"/>
      <c r="F46" s="6"/>
    </row>
    <row r="49" spans="2:2" s="8" customFormat="1" x14ac:dyDescent="0.2">
      <c r="B49" s="8" t="s">
        <v>58</v>
      </c>
    </row>
    <row r="51" spans="2:2" x14ac:dyDescent="0.2">
      <c r="B51" s="20" t="s">
        <v>59</v>
      </c>
    </row>
    <row r="52" spans="2:2" x14ac:dyDescent="0.2">
      <c r="B52" s="20" t="s">
        <v>55</v>
      </c>
    </row>
    <row r="53" spans="2:2" x14ac:dyDescent="0.2">
      <c r="B53" s="20"/>
    </row>
    <row r="58" spans="2:2" x14ac:dyDescent="0.2">
      <c r="B58" s="4" t="s">
        <v>63</v>
      </c>
    </row>
  </sheetData>
  <hyperlinks>
    <hyperlink ref="E12" r:id="rId1" location="/CBS/nl/dataset/84046NED/table" xr:uid="{B6E013E3-D49D-4230-9F8E-B05E3BE70F5A}"/>
    <hyperlink ref="E13" r:id="rId2" xr:uid="{AC37700C-DD87-479B-BA84-D36F077F5901}"/>
    <hyperlink ref="E14" r:id="rId3" xr:uid="{86A29317-2A05-42E0-8CB5-07FC063BC221}"/>
    <hyperlink ref="E15" r:id="rId4" display="https://www.acm.nl/nl/publicaties/methodebesluit-elektriciteit-en-drinkwater-caribisch-nederland-2020-2025" xr:uid="{DA3071CA-E4D4-41E0-BA34-903F74FDC40D}"/>
  </hyperlinks>
  <pageMargins left="0.75" right="0.75" top="1" bottom="1" header="0.5" footer="0.5"/>
  <pageSetup paperSize="9" orientation="portrait" r:id="rId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FF"/>
  </sheetPr>
  <dimension ref="A1:J69"/>
  <sheetViews>
    <sheetView showGridLines="0" zoomScale="85" zoomScaleNormal="85" workbookViewId="0">
      <pane xSplit="4" ySplit="9" topLeftCell="E10" activePane="bottomRight" state="frozen"/>
      <selection activeCell="O39" sqref="O39"/>
      <selection pane="topRight" activeCell="O39" sqref="O39"/>
      <selection pane="bottomLeft" activeCell="O39" sqref="O39"/>
      <selection pane="bottomRight" activeCell="E10" sqref="E10"/>
    </sheetView>
  </sheetViews>
  <sheetFormatPr defaultColWidth="9.140625" defaultRowHeight="12.75" x14ac:dyDescent="0.2"/>
  <cols>
    <col min="1" max="1" width="5.7109375" style="2" customWidth="1"/>
    <col min="2" max="2" width="37.140625" style="2" customWidth="1"/>
    <col min="3" max="3" width="5.7109375" style="2" customWidth="1"/>
    <col min="4" max="4" width="24.28515625" style="2" customWidth="1"/>
    <col min="5" max="5" width="2.7109375" style="2" customWidth="1"/>
    <col min="6" max="6" width="15.5703125" style="2" customWidth="1"/>
    <col min="7" max="7" width="2.7109375" style="2" customWidth="1"/>
    <col min="8" max="8" width="28.7109375" style="2" customWidth="1"/>
    <col min="9" max="9" width="2.7109375" style="2" customWidth="1"/>
    <col min="10" max="10" width="51.28515625" style="2" customWidth="1"/>
    <col min="11" max="19" width="12.5703125" style="2" customWidth="1"/>
    <col min="20" max="22" width="2.7109375" style="2" customWidth="1"/>
    <col min="23" max="23" width="30.85546875" style="2" customWidth="1"/>
    <col min="24" max="37" width="13.7109375" style="2" customWidth="1"/>
    <col min="38" max="16384" width="9.140625" style="2"/>
  </cols>
  <sheetData>
    <row r="1" spans="1:10" x14ac:dyDescent="0.2">
      <c r="A1" s="144"/>
      <c r="B1" s="144"/>
    </row>
    <row r="2" spans="1:10" s="12" customFormat="1" ht="18" x14ac:dyDescent="0.2">
      <c r="A2" s="145"/>
      <c r="B2" s="7" t="s">
        <v>22</v>
      </c>
    </row>
    <row r="3" spans="1:10" x14ac:dyDescent="0.2">
      <c r="A3" s="144"/>
      <c r="B3" s="144"/>
    </row>
    <row r="4" spans="1:10" x14ac:dyDescent="0.2">
      <c r="A4" s="144"/>
      <c r="B4" s="146" t="s">
        <v>12</v>
      </c>
    </row>
    <row r="5" spans="1:10" x14ac:dyDescent="0.2">
      <c r="B5" s="2" t="s">
        <v>219</v>
      </c>
      <c r="F5" s="13"/>
    </row>
    <row r="6" spans="1:10" x14ac:dyDescent="0.2">
      <c r="F6" s="13"/>
    </row>
    <row r="8" spans="1:10" s="8" customFormat="1" x14ac:dyDescent="0.2">
      <c r="B8" s="8" t="s">
        <v>12</v>
      </c>
      <c r="D8" s="8" t="s">
        <v>36</v>
      </c>
      <c r="F8" s="8" t="s">
        <v>37</v>
      </c>
      <c r="H8" s="8" t="s">
        <v>132</v>
      </c>
      <c r="J8" s="8" t="s">
        <v>39</v>
      </c>
    </row>
    <row r="11" spans="1:10" s="8" customFormat="1" x14ac:dyDescent="0.2">
      <c r="B11" s="8" t="s">
        <v>769</v>
      </c>
    </row>
    <row r="13" spans="1:10" ht="12.75" customHeight="1" x14ac:dyDescent="0.2">
      <c r="B13" s="1" t="s">
        <v>133</v>
      </c>
    </row>
    <row r="14" spans="1:10" ht="12.75" customHeight="1" x14ac:dyDescent="0.2">
      <c r="B14" s="2" t="s">
        <v>134</v>
      </c>
      <c r="D14" s="2" t="s">
        <v>682</v>
      </c>
      <c r="F14" s="52">
        <f>'Variable tariffs electricity'!F18</f>
        <v>0.20330000000000001</v>
      </c>
      <c r="H14" s="2" t="s">
        <v>766</v>
      </c>
    </row>
    <row r="15" spans="1:10" ht="12.75" customHeight="1" x14ac:dyDescent="0.2">
      <c r="B15" s="2" t="s">
        <v>334</v>
      </c>
      <c r="D15" s="2" t="s">
        <v>682</v>
      </c>
      <c r="F15" s="52">
        <f>'Variable tariffs electricity'!F24</f>
        <v>9.5097905416145379E-2</v>
      </c>
      <c r="H15" s="2" t="s">
        <v>767</v>
      </c>
    </row>
    <row r="16" spans="1:10" ht="12.75" customHeight="1" x14ac:dyDescent="0.2">
      <c r="B16" s="2" t="s">
        <v>135</v>
      </c>
      <c r="D16" s="2" t="s">
        <v>682</v>
      </c>
      <c r="F16" s="52">
        <f>'Variable tariffs electricity'!F28</f>
        <v>0.2984</v>
      </c>
      <c r="H16" s="2" t="s">
        <v>766</v>
      </c>
    </row>
    <row r="18" spans="2:8" x14ac:dyDescent="0.2">
      <c r="B18" s="1" t="s">
        <v>136</v>
      </c>
    </row>
    <row r="19" spans="2:8" ht="12.75" customHeight="1" x14ac:dyDescent="0.2">
      <c r="B19" s="2" t="s">
        <v>136</v>
      </c>
      <c r="D19" s="2" t="s">
        <v>682</v>
      </c>
      <c r="F19" s="52">
        <f>'Variable tariffs electricity'!F41</f>
        <v>0.32519999999999999</v>
      </c>
      <c r="H19" s="2" t="s">
        <v>768</v>
      </c>
    </row>
    <row r="20" spans="2:8" x14ac:dyDescent="0.2">
      <c r="B20" s="5"/>
    </row>
    <row r="21" spans="2:8" x14ac:dyDescent="0.2">
      <c r="B21" s="19" t="s">
        <v>137</v>
      </c>
    </row>
    <row r="22" spans="2:8" x14ac:dyDescent="0.2">
      <c r="B22" s="32" t="s">
        <v>413</v>
      </c>
      <c r="F22" s="72">
        <f>'Fixed tariffs electricity'!F17</f>
        <v>9.0535946963373366</v>
      </c>
    </row>
    <row r="23" spans="2:8" x14ac:dyDescent="0.2">
      <c r="B23" s="19"/>
    </row>
    <row r="24" spans="2:8" x14ac:dyDescent="0.2">
      <c r="B24" s="16" t="s">
        <v>138</v>
      </c>
      <c r="D24" s="2" t="s">
        <v>694</v>
      </c>
      <c r="F24" s="54">
        <f>'Fixed tariffs electricity'!F20</f>
        <v>28.971503028279479</v>
      </c>
      <c r="H24" s="2" t="s">
        <v>766</v>
      </c>
    </row>
    <row r="25" spans="2:8" x14ac:dyDescent="0.2">
      <c r="B25" s="16" t="s">
        <v>139</v>
      </c>
      <c r="D25" s="2" t="s">
        <v>694</v>
      </c>
      <c r="F25" s="54">
        <f>'Fixed tariffs electricity'!F21</f>
        <v>69.712679161797496</v>
      </c>
      <c r="H25" s="2" t="s">
        <v>766</v>
      </c>
    </row>
    <row r="26" spans="2:8" x14ac:dyDescent="0.2">
      <c r="B26" s="16" t="s">
        <v>143</v>
      </c>
      <c r="D26" s="2" t="s">
        <v>694</v>
      </c>
      <c r="F26" s="54">
        <f>'Fixed tariffs electricity'!F22</f>
        <v>99.589541659710704</v>
      </c>
      <c r="H26" s="2" t="s">
        <v>766</v>
      </c>
    </row>
    <row r="27" spans="2:8" x14ac:dyDescent="0.2">
      <c r="B27" s="16" t="s">
        <v>146</v>
      </c>
      <c r="D27" s="2" t="s">
        <v>694</v>
      </c>
      <c r="F27" s="54">
        <f>'Fixed tariffs electricity'!F23</f>
        <v>125.48282249123548</v>
      </c>
      <c r="H27" s="2" t="s">
        <v>766</v>
      </c>
    </row>
    <row r="28" spans="2:8" x14ac:dyDescent="0.2">
      <c r="B28" s="16" t="s">
        <v>140</v>
      </c>
      <c r="D28" s="2" t="s">
        <v>694</v>
      </c>
      <c r="F28" s="54">
        <f>'Fixed tariffs electricity'!F24</f>
        <v>120.41280946128659</v>
      </c>
      <c r="H28" s="2" t="s">
        <v>766</v>
      </c>
    </row>
    <row r="29" spans="2:8" x14ac:dyDescent="0.2">
      <c r="B29" s="16" t="s">
        <v>144</v>
      </c>
      <c r="D29" s="2" t="s">
        <v>694</v>
      </c>
      <c r="F29" s="54">
        <f>'Fixed tariffs electricity'!F25</f>
        <v>172.01829923040938</v>
      </c>
      <c r="H29" s="2" t="s">
        <v>766</v>
      </c>
    </row>
    <row r="30" spans="2:8" x14ac:dyDescent="0.2">
      <c r="B30" s="16" t="s">
        <v>147</v>
      </c>
      <c r="D30" s="2" t="s">
        <v>694</v>
      </c>
      <c r="F30" s="54">
        <f>'Fixed tariffs electricity'!F26</f>
        <v>216.74305703031584</v>
      </c>
      <c r="H30" s="2" t="s">
        <v>766</v>
      </c>
    </row>
    <row r="31" spans="2:8" x14ac:dyDescent="0.2">
      <c r="B31" s="16" t="s">
        <v>141</v>
      </c>
      <c r="D31" s="2" t="s">
        <v>694</v>
      </c>
      <c r="F31" s="54">
        <f>'Fixed tariffs electricity'!F27</f>
        <v>275.22927876865504</v>
      </c>
      <c r="H31" s="2" t="s">
        <v>766</v>
      </c>
    </row>
    <row r="32" spans="2:8" x14ac:dyDescent="0.2">
      <c r="B32" s="16" t="s">
        <v>142</v>
      </c>
      <c r="D32" s="2" t="s">
        <v>694</v>
      </c>
      <c r="F32" s="54">
        <f>'Fixed tariffs electricity'!F28</f>
        <v>344.03659846081877</v>
      </c>
      <c r="H32" s="2" t="s">
        <v>766</v>
      </c>
    </row>
    <row r="33" spans="2:10" x14ac:dyDescent="0.2">
      <c r="B33" s="16" t="s">
        <v>145</v>
      </c>
      <c r="D33" s="2" t="s">
        <v>694</v>
      </c>
      <c r="F33" s="54">
        <f>'Fixed tariffs electricity'!F29</f>
        <v>430.04574807602347</v>
      </c>
      <c r="H33" s="2" t="s">
        <v>766</v>
      </c>
    </row>
    <row r="34" spans="2:10" x14ac:dyDescent="0.2">
      <c r="B34" s="55" t="s">
        <v>148</v>
      </c>
      <c r="D34" s="2" t="s">
        <v>694</v>
      </c>
      <c r="F34" s="54">
        <f>'Fixed tariffs electricity'!F30</f>
        <v>550.45855753731007</v>
      </c>
      <c r="H34" s="2" t="s">
        <v>766</v>
      </c>
    </row>
    <row r="35" spans="2:10" x14ac:dyDescent="0.2">
      <c r="B35" s="55" t="s">
        <v>157</v>
      </c>
      <c r="D35" s="2" t="s">
        <v>694</v>
      </c>
      <c r="F35" s="54">
        <f>'Fixed tariffs electricity'!F31</f>
        <v>688.07319692163753</v>
      </c>
      <c r="H35" s="2" t="s">
        <v>766</v>
      </c>
    </row>
    <row r="36" spans="2:10" x14ac:dyDescent="0.2">
      <c r="B36" s="55" t="s">
        <v>149</v>
      </c>
      <c r="D36" s="2" t="s">
        <v>694</v>
      </c>
      <c r="F36" s="54">
        <f>'Fixed tariffs electricity'!F32</f>
        <v>774.08234653684224</v>
      </c>
      <c r="H36" s="2" t="s">
        <v>766</v>
      </c>
    </row>
    <row r="37" spans="2:10" x14ac:dyDescent="0.2">
      <c r="B37" s="55" t="s">
        <v>156</v>
      </c>
      <c r="D37" s="2" t="s">
        <v>694</v>
      </c>
      <c r="F37" s="54">
        <f>'Fixed tariffs electricity'!F33</f>
        <v>860.09149615204694</v>
      </c>
      <c r="H37" s="2" t="s">
        <v>766</v>
      </c>
    </row>
    <row r="38" spans="2:10" x14ac:dyDescent="0.2">
      <c r="B38" s="55" t="s">
        <v>150</v>
      </c>
      <c r="D38" s="2" t="s">
        <v>694</v>
      </c>
      <c r="F38" s="54">
        <f>'Fixed tariffs electricity'!F34</f>
        <v>1083.7152851515791</v>
      </c>
      <c r="H38" s="2" t="s">
        <v>766</v>
      </c>
    </row>
    <row r="39" spans="2:10" x14ac:dyDescent="0.2">
      <c r="B39" s="55" t="s">
        <v>155</v>
      </c>
      <c r="D39" s="2" t="s">
        <v>694</v>
      </c>
      <c r="F39" s="54">
        <f>'Fixed tariffs electricity'!F35</f>
        <v>1584.379071859034</v>
      </c>
      <c r="H39" s="2" t="s">
        <v>766</v>
      </c>
    </row>
    <row r="40" spans="2:10" x14ac:dyDescent="0.2">
      <c r="B40" s="55" t="s">
        <v>434</v>
      </c>
      <c r="D40" s="2" t="s">
        <v>694</v>
      </c>
      <c r="F40" s="54">
        <f>'Fixed tariffs electricity'!F36</f>
        <v>1810.7189392674672</v>
      </c>
      <c r="H40" s="2" t="s">
        <v>766</v>
      </c>
    </row>
    <row r="42" spans="2:10" x14ac:dyDescent="0.2">
      <c r="B42" s="19" t="s">
        <v>151</v>
      </c>
    </row>
    <row r="43" spans="2:10" x14ac:dyDescent="0.2">
      <c r="B43" s="2" t="s">
        <v>151</v>
      </c>
      <c r="D43" s="2" t="s">
        <v>655</v>
      </c>
      <c r="F43" s="54">
        <f>'Fixed tariffs electricity'!F51</f>
        <v>40</v>
      </c>
      <c r="H43" s="2" t="s">
        <v>766</v>
      </c>
      <c r="J43" s="2" t="s">
        <v>154</v>
      </c>
    </row>
    <row r="45" spans="2:10" x14ac:dyDescent="0.2">
      <c r="B45" s="1" t="s">
        <v>152</v>
      </c>
    </row>
    <row r="46" spans="2:10" x14ac:dyDescent="0.2">
      <c r="B46" s="2" t="s">
        <v>153</v>
      </c>
      <c r="D46" s="2" t="s">
        <v>655</v>
      </c>
      <c r="F46" s="54">
        <f>'Fixed tariffs electricity'!F52</f>
        <v>311.23991708010459</v>
      </c>
      <c r="H46" s="2" t="s">
        <v>766</v>
      </c>
    </row>
    <row r="47" spans="2:10" x14ac:dyDescent="0.2">
      <c r="B47" s="2" t="s">
        <v>109</v>
      </c>
      <c r="D47" s="2" t="s">
        <v>655</v>
      </c>
      <c r="F47" s="54">
        <f>'Fixed tariffs electricity'!F54</f>
        <v>193.15500711299217</v>
      </c>
      <c r="H47" s="2" t="s">
        <v>766</v>
      </c>
    </row>
    <row r="48" spans="2:10" x14ac:dyDescent="0.2">
      <c r="B48" s="2" t="s">
        <v>110</v>
      </c>
      <c r="D48" s="2" t="s">
        <v>655</v>
      </c>
      <c r="F48" s="54">
        <f>'Fixed tariffs electricity'!F55</f>
        <v>209.69587597564362</v>
      </c>
      <c r="H48" s="2" t="s">
        <v>766</v>
      </c>
    </row>
    <row r="50" spans="2:10" s="8" customFormat="1" x14ac:dyDescent="0.2">
      <c r="B50" s="8" t="s">
        <v>770</v>
      </c>
    </row>
    <row r="52" spans="2:10" x14ac:dyDescent="0.2">
      <c r="B52" s="1" t="s">
        <v>133</v>
      </c>
    </row>
    <row r="53" spans="2:10" x14ac:dyDescent="0.2">
      <c r="B53" s="2" t="s">
        <v>158</v>
      </c>
      <c r="D53" s="2" t="s">
        <v>703</v>
      </c>
      <c r="F53" s="142">
        <f>'Variable tariffs water'!F28</f>
        <v>6.1989999999999998</v>
      </c>
      <c r="H53" s="2" t="s">
        <v>766</v>
      </c>
    </row>
    <row r="55" spans="2:10" x14ac:dyDescent="0.2">
      <c r="B55" s="1" t="s">
        <v>136</v>
      </c>
    </row>
    <row r="56" spans="2:10" x14ac:dyDescent="0.2">
      <c r="B56" s="2" t="s">
        <v>361</v>
      </c>
      <c r="D56" s="2" t="s">
        <v>703</v>
      </c>
      <c r="F56" s="136">
        <f>'Variable tariffs water'!F40</f>
        <v>11.791</v>
      </c>
      <c r="H56" s="2" t="s">
        <v>766</v>
      </c>
    </row>
    <row r="58" spans="2:10" x14ac:dyDescent="0.2">
      <c r="B58" s="1" t="s">
        <v>159</v>
      </c>
    </row>
    <row r="59" spans="2:10" x14ac:dyDescent="0.2">
      <c r="B59" s="2" t="s">
        <v>159</v>
      </c>
      <c r="D59" s="2" t="s">
        <v>694</v>
      </c>
      <c r="F59" s="135">
        <f>'Fixed tariffs water'!F16</f>
        <v>82.664559146994819</v>
      </c>
      <c r="H59" s="2" t="s">
        <v>766</v>
      </c>
    </row>
    <row r="61" spans="2:10" x14ac:dyDescent="0.2">
      <c r="B61" s="1" t="s">
        <v>362</v>
      </c>
    </row>
    <row r="62" spans="2:10" x14ac:dyDescent="0.2">
      <c r="B62" s="2" t="s">
        <v>151</v>
      </c>
      <c r="D62" s="2" t="s">
        <v>655</v>
      </c>
      <c r="F62" s="56">
        <f>'Fixed tariffs water'!F29</f>
        <v>40</v>
      </c>
      <c r="H62" s="2" t="s">
        <v>766</v>
      </c>
      <c r="J62" s="2" t="s">
        <v>154</v>
      </c>
    </row>
    <row r="64" spans="2:10" x14ac:dyDescent="0.2">
      <c r="B64" s="1" t="s">
        <v>363</v>
      </c>
    </row>
    <row r="65" spans="2:8" x14ac:dyDescent="0.2">
      <c r="B65" s="2" t="s">
        <v>160</v>
      </c>
      <c r="D65" s="2" t="s">
        <v>655</v>
      </c>
      <c r="F65" s="56">
        <f>'Fixed tariffs water'!F30</f>
        <v>286.74801186929807</v>
      </c>
      <c r="H65" s="2" t="s">
        <v>766</v>
      </c>
    </row>
    <row r="66" spans="2:8" x14ac:dyDescent="0.2">
      <c r="B66" s="2" t="s">
        <v>161</v>
      </c>
      <c r="D66" s="2" t="s">
        <v>655</v>
      </c>
      <c r="F66" s="56">
        <f>'Fixed tariffs water'!F31</f>
        <v>199.1428123334949</v>
      </c>
      <c r="H66" s="2" t="s">
        <v>766</v>
      </c>
    </row>
    <row r="68" spans="2:8" x14ac:dyDescent="0.2">
      <c r="B68" s="1" t="s">
        <v>162</v>
      </c>
    </row>
    <row r="69" spans="2:8" x14ac:dyDescent="0.2">
      <c r="B69" s="2" t="s">
        <v>163</v>
      </c>
      <c r="D69" s="2" t="s">
        <v>703</v>
      </c>
      <c r="F69" s="201">
        <f>'Variable tariffs water'!F48</f>
        <v>17.510999999999999</v>
      </c>
      <c r="H69" s="2" t="s">
        <v>766</v>
      </c>
    </row>
  </sheetData>
  <phoneticPr fontId="31" type="noConversion"/>
  <pageMargins left="0.7" right="0.7" top="0.75" bottom="0.75" header="0.3" footer="0.3"/>
  <pageSetup paperSize="9" orientation="portrait" r:id="rId1"/>
  <ignoredErrors>
    <ignoredError sqref="B24:B33 B36 B38 B34 B35 B39 B37"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4.9989318521683403E-2"/>
  </sheetPr>
  <dimension ref="B2:B8"/>
  <sheetViews>
    <sheetView showGridLines="0" zoomScale="85" zoomScaleNormal="85" workbookViewId="0"/>
  </sheetViews>
  <sheetFormatPr defaultColWidth="9.140625" defaultRowHeight="12.75" x14ac:dyDescent="0.2"/>
  <cols>
    <col min="1" max="16384" width="9.140625" style="14"/>
  </cols>
  <sheetData>
    <row r="2" spans="2:2" x14ac:dyDescent="0.2">
      <c r="B2" s="33" t="s">
        <v>128</v>
      </c>
    </row>
    <row r="3" spans="2:2" x14ac:dyDescent="0.2">
      <c r="B3" s="33"/>
    </row>
    <row r="7" spans="2:2" x14ac:dyDescent="0.2">
      <c r="B7" s="33"/>
    </row>
    <row r="8" spans="2:2" x14ac:dyDescent="0.2">
      <c r="B8" s="33"/>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1FFE1"/>
  </sheetPr>
  <dimension ref="B2:L40"/>
  <sheetViews>
    <sheetView showGridLines="0" zoomScale="80" zoomScaleNormal="80" workbookViewId="0">
      <pane xSplit="4" ySplit="11" topLeftCell="E12" activePane="bottomRight" state="frozen"/>
      <selection activeCell="R6" sqref="R6"/>
      <selection pane="topRight" activeCell="R6" sqref="R6"/>
      <selection pane="bottomLeft" activeCell="R6" sqref="R6"/>
      <selection pane="bottomRight" activeCell="E12" sqref="E12"/>
    </sheetView>
  </sheetViews>
  <sheetFormatPr defaultColWidth="9.140625" defaultRowHeight="12.75" x14ac:dyDescent="0.2"/>
  <cols>
    <col min="1" max="1" width="4" style="2" customWidth="1"/>
    <col min="2" max="2" width="53.28515625" style="2" customWidth="1"/>
    <col min="3" max="3" width="4.5703125" style="2" customWidth="1"/>
    <col min="4" max="4" width="13.7109375" style="2" customWidth="1"/>
    <col min="5" max="5" width="2.7109375" style="2" customWidth="1"/>
    <col min="6" max="6" width="13.7109375" style="2" customWidth="1"/>
    <col min="7" max="7" width="2.7109375" style="2" customWidth="1"/>
    <col min="8" max="8" width="13.7109375" style="2" customWidth="1"/>
    <col min="9" max="9" width="2.7109375" style="2" customWidth="1"/>
    <col min="10" max="10" width="59.42578125" style="2" customWidth="1"/>
    <col min="11" max="11" width="2.7109375" style="2" customWidth="1"/>
    <col min="12" max="12" width="47" style="2" customWidth="1"/>
    <col min="13" max="13" width="2.7109375" style="2" customWidth="1"/>
    <col min="14" max="28" width="13.7109375" style="2" customWidth="1"/>
    <col min="29" max="16384" width="9.140625" style="2"/>
  </cols>
  <sheetData>
    <row r="2" spans="2:12" s="12" customFormat="1" ht="18" x14ac:dyDescent="0.2">
      <c r="B2" s="12" t="s">
        <v>64</v>
      </c>
    </row>
    <row r="4" spans="2:12" x14ac:dyDescent="0.2">
      <c r="B4" s="19" t="s">
        <v>65</v>
      </c>
    </row>
    <row r="5" spans="2:12" x14ac:dyDescent="0.2">
      <c r="B5" s="2" t="s">
        <v>277</v>
      </c>
      <c r="F5" s="13"/>
    </row>
    <row r="6" spans="2:12" x14ac:dyDescent="0.2">
      <c r="F6" s="13"/>
    </row>
    <row r="7" spans="2:12" x14ac:dyDescent="0.2">
      <c r="B7" s="20" t="s">
        <v>66</v>
      </c>
      <c r="F7" s="13"/>
    </row>
    <row r="8" spans="2:12" x14ac:dyDescent="0.2">
      <c r="B8" s="2" t="s">
        <v>67</v>
      </c>
    </row>
    <row r="10" spans="2:12" s="8" customFormat="1" x14ac:dyDescent="0.2">
      <c r="B10" s="8" t="s">
        <v>12</v>
      </c>
      <c r="D10" s="8" t="s">
        <v>36</v>
      </c>
      <c r="F10" s="8" t="s">
        <v>37</v>
      </c>
      <c r="H10" s="8" t="s">
        <v>38</v>
      </c>
      <c r="J10" s="8" t="s">
        <v>40</v>
      </c>
      <c r="L10" s="8" t="s">
        <v>39</v>
      </c>
    </row>
    <row r="13" spans="2:12" s="8" customFormat="1" x14ac:dyDescent="0.2">
      <c r="B13" s="8" t="s">
        <v>337</v>
      </c>
    </row>
    <row r="15" spans="2:12" x14ac:dyDescent="0.2">
      <c r="B15" s="1" t="s">
        <v>274</v>
      </c>
    </row>
    <row r="16" spans="2:12" x14ac:dyDescent="0.2">
      <c r="B16" s="2" t="s">
        <v>273</v>
      </c>
      <c r="D16" s="2" t="s">
        <v>73</v>
      </c>
      <c r="F16" s="147">
        <v>3.2000000000000001E-2</v>
      </c>
      <c r="J16" s="2" t="s">
        <v>123</v>
      </c>
      <c r="L16" s="130"/>
    </row>
    <row r="17" spans="2:12" x14ac:dyDescent="0.2">
      <c r="B17" s="2" t="s">
        <v>437</v>
      </c>
      <c r="D17" s="2" t="s">
        <v>73</v>
      </c>
      <c r="F17" s="147">
        <v>1.9E-2</v>
      </c>
      <c r="J17" s="2" t="s">
        <v>123</v>
      </c>
    </row>
    <row r="18" spans="2:12" x14ac:dyDescent="0.2">
      <c r="F18" s="13"/>
    </row>
    <row r="19" spans="2:12" x14ac:dyDescent="0.2">
      <c r="B19" s="1" t="s">
        <v>275</v>
      </c>
      <c r="F19" s="13"/>
    </row>
    <row r="20" spans="2:12" x14ac:dyDescent="0.2">
      <c r="B20" s="2" t="s">
        <v>76</v>
      </c>
      <c r="D20" s="2" t="s">
        <v>73</v>
      </c>
      <c r="F20" s="147">
        <v>0.03</v>
      </c>
      <c r="J20" s="2" t="s">
        <v>77</v>
      </c>
    </row>
    <row r="21" spans="2:12" x14ac:dyDescent="0.2">
      <c r="B21" s="2" t="s">
        <v>438</v>
      </c>
      <c r="D21" s="2" t="s">
        <v>73</v>
      </c>
      <c r="F21" s="148">
        <f>((1+$F$20)^2)-1</f>
        <v>6.0899999999999954E-2</v>
      </c>
    </row>
    <row r="22" spans="2:12" x14ac:dyDescent="0.2">
      <c r="F22" s="13"/>
    </row>
    <row r="23" spans="2:12" s="8" customFormat="1" x14ac:dyDescent="0.2">
      <c r="B23" s="8" t="s">
        <v>75</v>
      </c>
      <c r="F23" s="42"/>
    </row>
    <row r="24" spans="2:12" x14ac:dyDescent="0.2">
      <c r="F24" s="13"/>
    </row>
    <row r="25" spans="2:12" x14ac:dyDescent="0.2">
      <c r="B25" s="1" t="s">
        <v>449</v>
      </c>
      <c r="F25" s="13"/>
      <c r="L25" s="2" t="s">
        <v>408</v>
      </c>
    </row>
    <row r="26" spans="2:12" x14ac:dyDescent="0.2">
      <c r="B26" s="2" t="s">
        <v>439</v>
      </c>
      <c r="F26" s="147">
        <v>8.3799999999999999E-2</v>
      </c>
      <c r="J26" s="2" t="s">
        <v>442</v>
      </c>
    </row>
    <row r="27" spans="2:12" x14ac:dyDescent="0.2">
      <c r="B27" s="2" t="s">
        <v>440</v>
      </c>
      <c r="F27" s="147">
        <v>7.2800000000000004E-2</v>
      </c>
      <c r="J27" s="2" t="s">
        <v>442</v>
      </c>
    </row>
    <row r="28" spans="2:12" x14ac:dyDescent="0.2">
      <c r="B28" s="2" t="s">
        <v>441</v>
      </c>
      <c r="F28" s="147">
        <v>8.2500000000000004E-2</v>
      </c>
      <c r="J28" s="2" t="s">
        <v>442</v>
      </c>
    </row>
    <row r="29" spans="2:12" x14ac:dyDescent="0.2">
      <c r="F29" s="13"/>
    </row>
    <row r="30" spans="2:12" x14ac:dyDescent="0.2">
      <c r="B30" s="1" t="s">
        <v>443</v>
      </c>
      <c r="F30" s="13"/>
      <c r="L30" s="2" t="s">
        <v>324</v>
      </c>
    </row>
    <row r="31" spans="2:12" x14ac:dyDescent="0.2">
      <c r="B31" s="2" t="s">
        <v>444</v>
      </c>
      <c r="D31" s="2" t="s">
        <v>73</v>
      </c>
      <c r="F31" s="147">
        <v>8.8900000000000007E-2</v>
      </c>
      <c r="H31" s="73"/>
      <c r="J31" s="2" t="s">
        <v>447</v>
      </c>
    </row>
    <row r="32" spans="2:12" x14ac:dyDescent="0.2">
      <c r="B32" s="2" t="s">
        <v>445</v>
      </c>
      <c r="D32" s="2" t="s">
        <v>73</v>
      </c>
      <c r="F32" s="147">
        <v>8.0799999999999997E-2</v>
      </c>
      <c r="H32" s="73"/>
      <c r="J32" s="2" t="s">
        <v>447</v>
      </c>
    </row>
    <row r="33" spans="2:12" x14ac:dyDescent="0.2">
      <c r="B33" s="2" t="s">
        <v>446</v>
      </c>
      <c r="D33" s="2" t="s">
        <v>73</v>
      </c>
      <c r="F33" s="147">
        <v>7.1300000000000002E-2</v>
      </c>
      <c r="H33" s="73"/>
      <c r="J33" s="2" t="s">
        <v>447</v>
      </c>
    </row>
    <row r="35" spans="2:12" s="8" customFormat="1" x14ac:dyDescent="0.2">
      <c r="B35" s="8" t="s">
        <v>208</v>
      </c>
    </row>
    <row r="37" spans="2:12" x14ac:dyDescent="0.2">
      <c r="B37" s="2" t="s">
        <v>208</v>
      </c>
      <c r="D37" s="2" t="s">
        <v>73</v>
      </c>
      <c r="F37" s="125">
        <v>0.5</v>
      </c>
      <c r="J37" s="2" t="s">
        <v>448</v>
      </c>
      <c r="L37" s="18"/>
    </row>
    <row r="40" spans="2:12" x14ac:dyDescent="0.2">
      <c r="B40" s="4" t="s">
        <v>63</v>
      </c>
    </row>
  </sheetData>
  <phoneticPr fontId="31"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0E7D0-41A9-48CA-B566-7241761DC35D}">
  <sheetPr>
    <tabColor rgb="FFE1FFE1"/>
  </sheetPr>
  <dimension ref="A2:R52"/>
  <sheetViews>
    <sheetView showGridLines="0" zoomScale="80" zoomScaleNormal="80" workbookViewId="0">
      <pane xSplit="4" ySplit="9" topLeftCell="E10" activePane="bottomRight" state="frozen"/>
      <selection activeCell="R6" sqref="R6"/>
      <selection pane="topRight" activeCell="R6" sqref="R6"/>
      <selection pane="bottomLeft" activeCell="R6" sqref="R6"/>
      <selection pane="bottomRight" activeCell="E10" sqref="E10"/>
    </sheetView>
  </sheetViews>
  <sheetFormatPr defaultColWidth="9.140625" defaultRowHeight="12.75" x14ac:dyDescent="0.2"/>
  <cols>
    <col min="1" max="1" width="4" style="2" customWidth="1"/>
    <col min="2" max="2" width="61.42578125" style="2" customWidth="1"/>
    <col min="3" max="3" width="4.5703125" style="2" customWidth="1"/>
    <col min="4" max="4" width="13.7109375" style="2" customWidth="1"/>
    <col min="5" max="5" width="2.7109375" style="2" customWidth="1"/>
    <col min="6" max="6" width="13.7109375" style="2" customWidth="1"/>
    <col min="7" max="7" width="2.7109375" style="2" customWidth="1"/>
    <col min="8" max="8" width="13.7109375" style="2" customWidth="1"/>
    <col min="9" max="9" width="2.7109375" style="2" customWidth="1"/>
    <col min="10" max="14" width="21.7109375" style="2" customWidth="1"/>
    <col min="15" max="15" width="2.7109375" style="2" customWidth="1"/>
    <col min="16" max="16" width="40.140625" style="2" customWidth="1"/>
    <col min="17" max="17" width="5.5703125" style="2" customWidth="1"/>
    <col min="18" max="18" width="13.7109375" style="2" customWidth="1"/>
    <col min="19" max="19" width="2.7109375" style="2" customWidth="1"/>
    <col min="20" max="34" width="13.7109375" style="2" customWidth="1"/>
    <col min="35" max="16384" width="9.140625" style="2"/>
  </cols>
  <sheetData>
    <row r="2" spans="1:18" s="12" customFormat="1" ht="18" x14ac:dyDescent="0.2">
      <c r="B2" s="12" t="s">
        <v>200</v>
      </c>
    </row>
    <row r="4" spans="1:18" x14ac:dyDescent="0.2">
      <c r="B4" s="1" t="s">
        <v>79</v>
      </c>
    </row>
    <row r="5" spans="1:18" x14ac:dyDescent="0.2">
      <c r="B5" s="2" t="s">
        <v>452</v>
      </c>
      <c r="F5" s="13"/>
    </row>
    <row r="6" spans="1:18" x14ac:dyDescent="0.2">
      <c r="F6" s="13"/>
    </row>
    <row r="8" spans="1:18" s="8" customFormat="1" x14ac:dyDescent="0.2">
      <c r="B8" s="8" t="s">
        <v>80</v>
      </c>
      <c r="D8" s="8" t="s">
        <v>81</v>
      </c>
      <c r="F8" s="8" t="s">
        <v>82</v>
      </c>
      <c r="H8" s="8" t="s">
        <v>83</v>
      </c>
      <c r="J8" s="8" t="s">
        <v>68</v>
      </c>
      <c r="K8" s="8" t="s">
        <v>69</v>
      </c>
      <c r="L8" s="8" t="s">
        <v>70</v>
      </c>
      <c r="M8" s="8" t="s">
        <v>71</v>
      </c>
      <c r="N8" s="8" t="s">
        <v>72</v>
      </c>
      <c r="P8" s="8" t="s">
        <v>40</v>
      </c>
      <c r="R8" s="8" t="s">
        <v>39</v>
      </c>
    </row>
    <row r="11" spans="1:18" s="8" customFormat="1" ht="12.75" customHeight="1" x14ac:dyDescent="0.2">
      <c r="B11" s="8" t="s">
        <v>453</v>
      </c>
    </row>
    <row r="12" spans="1:18" ht="12.75" customHeight="1" x14ac:dyDescent="0.2"/>
    <row r="13" spans="1:18" ht="12.75" customHeight="1" x14ac:dyDescent="0.2">
      <c r="B13" s="19" t="s">
        <v>91</v>
      </c>
    </row>
    <row r="14" spans="1:18" s="20" customFormat="1" ht="12.75" customHeight="1" x14ac:dyDescent="0.2">
      <c r="A14" s="2"/>
      <c r="B14" s="20" t="s">
        <v>36</v>
      </c>
      <c r="D14" s="20" t="s">
        <v>92</v>
      </c>
      <c r="J14" s="20" t="s">
        <v>93</v>
      </c>
      <c r="K14" s="20" t="s">
        <v>94</v>
      </c>
      <c r="L14" s="20" t="s">
        <v>95</v>
      </c>
      <c r="M14" s="20" t="s">
        <v>96</v>
      </c>
      <c r="N14" s="20" t="s">
        <v>95</v>
      </c>
      <c r="P14" s="127"/>
    </row>
    <row r="15" spans="1:18" ht="12.75" customHeight="1" x14ac:dyDescent="0.2">
      <c r="B15" s="2" t="s">
        <v>454</v>
      </c>
      <c r="D15" s="2" t="s">
        <v>92</v>
      </c>
      <c r="F15" s="13"/>
      <c r="G15" s="13"/>
      <c r="H15" s="13"/>
      <c r="I15" s="13"/>
      <c r="J15" s="150">
        <v>17332126.050000001</v>
      </c>
      <c r="K15" s="150">
        <v>19062.5075</v>
      </c>
      <c r="L15" s="150">
        <v>186919</v>
      </c>
      <c r="M15" s="150">
        <v>1178.75</v>
      </c>
      <c r="N15" s="150">
        <v>1036.5999999999999</v>
      </c>
      <c r="P15" s="83" t="s">
        <v>765</v>
      </c>
    </row>
    <row r="16" spans="1:18" ht="12.75" customHeight="1" x14ac:dyDescent="0.2">
      <c r="B16" s="2" t="s">
        <v>392</v>
      </c>
      <c r="D16" s="2" t="s">
        <v>93</v>
      </c>
      <c r="F16" s="13"/>
      <c r="G16" s="13"/>
      <c r="H16" s="13"/>
      <c r="I16" s="13"/>
      <c r="J16" s="150">
        <v>89764.1</v>
      </c>
      <c r="K16" s="43"/>
      <c r="L16" s="43"/>
      <c r="M16" s="43"/>
      <c r="N16" s="43"/>
      <c r="P16" s="83" t="s">
        <v>579</v>
      </c>
    </row>
    <row r="17" spans="2:18" ht="12.75" customHeight="1" x14ac:dyDescent="0.2">
      <c r="B17" s="2" t="s">
        <v>393</v>
      </c>
      <c r="D17" s="2" t="s">
        <v>93</v>
      </c>
      <c r="F17" s="13"/>
      <c r="G17" s="13"/>
      <c r="H17" s="13"/>
      <c r="I17" s="13"/>
      <c r="J17" s="151">
        <f>J15-J16</f>
        <v>17242361.949999999</v>
      </c>
      <c r="K17" s="43"/>
      <c r="L17" s="43"/>
      <c r="M17" s="43"/>
      <c r="N17" s="43"/>
      <c r="P17" s="13"/>
      <c r="R17" s="2" t="s">
        <v>318</v>
      </c>
    </row>
    <row r="18" spans="2:18" ht="12.75" customHeight="1" x14ac:dyDescent="0.2">
      <c r="F18" s="13"/>
      <c r="G18" s="13"/>
      <c r="H18" s="13"/>
      <c r="I18" s="13"/>
      <c r="J18" s="13"/>
      <c r="K18" s="13"/>
      <c r="L18" s="13"/>
      <c r="M18" s="13"/>
      <c r="N18" s="13"/>
      <c r="P18" s="13"/>
    </row>
    <row r="19" spans="2:18" ht="12.75" customHeight="1" x14ac:dyDescent="0.2">
      <c r="B19" s="2" t="s">
        <v>455</v>
      </c>
      <c r="D19" s="2" t="s">
        <v>73</v>
      </c>
      <c r="F19" s="13"/>
      <c r="G19" s="13"/>
      <c r="H19" s="13"/>
      <c r="I19" s="13"/>
      <c r="J19" s="43"/>
      <c r="K19" s="147">
        <v>7.6132516822913707E-2</v>
      </c>
      <c r="L19" s="43"/>
      <c r="M19" s="147">
        <v>0.33919836934714998</v>
      </c>
      <c r="N19" s="43"/>
      <c r="P19" s="83" t="s">
        <v>477</v>
      </c>
    </row>
    <row r="20" spans="2:18" ht="12.75" customHeight="1" x14ac:dyDescent="0.2">
      <c r="F20" s="13"/>
      <c r="G20" s="13"/>
      <c r="H20" s="13"/>
      <c r="I20" s="13"/>
      <c r="J20" s="13"/>
      <c r="K20" s="13"/>
      <c r="L20" s="13"/>
      <c r="M20" s="13"/>
      <c r="N20" s="13"/>
      <c r="P20" s="13"/>
      <c r="R20" s="13"/>
    </row>
    <row r="21" spans="2:18" ht="12.75" customHeight="1" x14ac:dyDescent="0.2">
      <c r="B21" s="1" t="s">
        <v>112</v>
      </c>
      <c r="F21" s="13"/>
      <c r="G21" s="13"/>
      <c r="H21" s="13"/>
      <c r="I21" s="13"/>
      <c r="J21" s="13"/>
      <c r="K21" s="13"/>
      <c r="L21" s="13"/>
      <c r="M21" s="45"/>
      <c r="N21" s="13"/>
      <c r="P21" s="13"/>
      <c r="R21" s="13"/>
    </row>
    <row r="22" spans="2:18" ht="12.75" customHeight="1" x14ac:dyDescent="0.2">
      <c r="B22" s="2" t="s">
        <v>456</v>
      </c>
      <c r="D22" s="2" t="s">
        <v>113</v>
      </c>
      <c r="F22" s="13"/>
      <c r="G22" s="13"/>
      <c r="H22" s="13"/>
      <c r="I22" s="13"/>
      <c r="J22" s="43"/>
      <c r="K22" s="43"/>
      <c r="L22" s="44"/>
      <c r="M22" s="150">
        <v>145</v>
      </c>
      <c r="N22" s="44"/>
      <c r="P22" s="83" t="s">
        <v>480</v>
      </c>
      <c r="R22" s="13"/>
    </row>
    <row r="23" spans="2:18" ht="12.75" customHeight="1" x14ac:dyDescent="0.2">
      <c r="B23" s="2" t="s">
        <v>457</v>
      </c>
      <c r="D23" s="2" t="s">
        <v>130</v>
      </c>
      <c r="F23" s="13"/>
      <c r="G23" s="13"/>
      <c r="H23" s="13"/>
      <c r="I23" s="13"/>
      <c r="J23" s="43"/>
      <c r="K23" s="43"/>
      <c r="L23" s="44"/>
      <c r="M23" s="152">
        <v>272.94023816097268</v>
      </c>
      <c r="N23" s="44"/>
      <c r="P23" s="128" t="s">
        <v>481</v>
      </c>
      <c r="R23" s="2" t="s">
        <v>114</v>
      </c>
    </row>
    <row r="24" spans="2:18" ht="12.75" customHeight="1" x14ac:dyDescent="0.2">
      <c r="B24" s="2" t="s">
        <v>115</v>
      </c>
      <c r="D24" s="2" t="s">
        <v>130</v>
      </c>
      <c r="F24" s="13"/>
      <c r="G24" s="13"/>
      <c r="H24" s="13"/>
      <c r="I24" s="13"/>
      <c r="J24" s="43"/>
      <c r="K24" s="43"/>
      <c r="L24" s="44"/>
      <c r="M24" s="153">
        <f>M23*M22</f>
        <v>39576.33453334104</v>
      </c>
      <c r="N24" s="44"/>
      <c r="P24" s="13"/>
      <c r="R24" s="2" t="s">
        <v>116</v>
      </c>
    </row>
    <row r="25" spans="2:18" x14ac:dyDescent="0.2">
      <c r="F25" s="13"/>
      <c r="G25" s="13"/>
      <c r="H25" s="13"/>
      <c r="I25" s="13"/>
      <c r="J25" s="13"/>
      <c r="K25" s="13"/>
      <c r="L25" s="13"/>
      <c r="M25" s="13"/>
      <c r="N25" s="13"/>
      <c r="P25" s="13"/>
    </row>
    <row r="26" spans="2:18" x14ac:dyDescent="0.2">
      <c r="B26" s="1" t="s">
        <v>458</v>
      </c>
      <c r="F26" s="13"/>
      <c r="G26" s="13"/>
      <c r="H26" s="13"/>
      <c r="I26" s="13"/>
      <c r="J26" s="13"/>
      <c r="K26" s="13"/>
      <c r="L26" s="13"/>
      <c r="M26" s="13"/>
      <c r="N26" s="13"/>
      <c r="P26" s="13"/>
      <c r="R26" s="18"/>
    </row>
    <row r="27" spans="2:18" x14ac:dyDescent="0.2">
      <c r="B27" s="2" t="s">
        <v>459</v>
      </c>
      <c r="D27" s="2" t="s">
        <v>95</v>
      </c>
      <c r="F27" s="13"/>
      <c r="G27" s="13"/>
      <c r="H27" s="13"/>
      <c r="I27" s="13"/>
      <c r="J27" s="13"/>
      <c r="K27" s="13"/>
      <c r="L27" s="13"/>
      <c r="M27" s="152">
        <v>182453.83</v>
      </c>
      <c r="N27" s="43"/>
      <c r="P27" s="83" t="s">
        <v>482</v>
      </c>
      <c r="R27" s="13"/>
    </row>
    <row r="28" spans="2:18" x14ac:dyDescent="0.2">
      <c r="B28" s="2" t="s">
        <v>460</v>
      </c>
      <c r="D28" s="2" t="s">
        <v>73</v>
      </c>
      <c r="F28" s="13"/>
      <c r="G28" s="13"/>
      <c r="H28" s="13"/>
      <c r="I28" s="13"/>
      <c r="J28" s="13"/>
      <c r="K28" s="13"/>
      <c r="L28" s="13"/>
      <c r="M28" s="43"/>
      <c r="N28" s="154">
        <f>N15/(M27+N15)</f>
        <v>5.6493409492800245E-3</v>
      </c>
      <c r="P28" s="13"/>
    </row>
    <row r="29" spans="2:18" x14ac:dyDescent="0.2">
      <c r="F29" s="13"/>
      <c r="G29" s="13"/>
      <c r="H29" s="13"/>
      <c r="I29" s="13"/>
      <c r="J29" s="13"/>
      <c r="K29" s="13"/>
      <c r="L29" s="13"/>
      <c r="M29" s="13"/>
      <c r="N29" s="13"/>
      <c r="P29" s="13"/>
    </row>
    <row r="30" spans="2:18" s="8" customFormat="1" x14ac:dyDescent="0.2">
      <c r="B30" s="8" t="s">
        <v>283</v>
      </c>
      <c r="F30" s="42"/>
      <c r="G30" s="42"/>
      <c r="H30" s="42"/>
      <c r="I30" s="42"/>
      <c r="J30" s="42"/>
      <c r="K30" s="42"/>
      <c r="L30" s="42"/>
      <c r="M30" s="42"/>
      <c r="N30" s="42"/>
    </row>
    <row r="31" spans="2:18" x14ac:dyDescent="0.2">
      <c r="F31" s="13"/>
      <c r="G31" s="13"/>
      <c r="H31" s="13"/>
      <c r="I31" s="13"/>
      <c r="J31" s="13"/>
      <c r="K31" s="13"/>
      <c r="L31" s="13"/>
      <c r="M31" s="13"/>
      <c r="N31" s="13"/>
      <c r="P31" s="13"/>
    </row>
    <row r="32" spans="2:18" x14ac:dyDescent="0.2">
      <c r="B32" s="1" t="s">
        <v>284</v>
      </c>
      <c r="F32" s="13"/>
      <c r="G32" s="13"/>
      <c r="H32" s="13"/>
      <c r="I32" s="13"/>
      <c r="J32" s="13"/>
      <c r="K32" s="13"/>
      <c r="L32" s="13"/>
      <c r="M32" s="13"/>
      <c r="N32" s="13"/>
    </row>
    <row r="33" spans="2:18" ht="12.75" customHeight="1" x14ac:dyDescent="0.2">
      <c r="B33" s="2" t="s">
        <v>461</v>
      </c>
      <c r="D33" s="2" t="s">
        <v>99</v>
      </c>
      <c r="F33" s="13"/>
      <c r="G33" s="13"/>
      <c r="H33" s="13"/>
      <c r="I33" s="13"/>
      <c r="J33" s="150">
        <v>3138853.4527746602</v>
      </c>
      <c r="K33" s="43"/>
      <c r="L33" s="43"/>
      <c r="M33" s="43"/>
      <c r="N33" s="43"/>
      <c r="P33" s="2" t="s">
        <v>483</v>
      </c>
    </row>
    <row r="34" spans="2:18" ht="12.75" customHeight="1" x14ac:dyDescent="0.2">
      <c r="B34" s="2" t="s">
        <v>462</v>
      </c>
      <c r="D34" s="2" t="s">
        <v>98</v>
      </c>
      <c r="F34" s="13"/>
      <c r="G34" s="13"/>
      <c r="H34" s="13"/>
      <c r="I34" s="13"/>
      <c r="J34" s="150">
        <v>11973194</v>
      </c>
      <c r="K34" s="43"/>
      <c r="L34" s="43"/>
      <c r="M34" s="43"/>
      <c r="N34" s="43"/>
      <c r="P34" s="2" t="s">
        <v>484</v>
      </c>
    </row>
    <row r="35" spans="2:18" x14ac:dyDescent="0.2">
      <c r="F35" s="13"/>
      <c r="G35" s="13"/>
      <c r="H35" s="13"/>
      <c r="I35" s="13"/>
      <c r="J35" s="13"/>
      <c r="K35" s="13"/>
      <c r="L35" s="13"/>
      <c r="M35" s="13"/>
      <c r="N35" s="13"/>
    </row>
    <row r="36" spans="2:18" x14ac:dyDescent="0.2">
      <c r="B36" s="1" t="s">
        <v>287</v>
      </c>
      <c r="F36" s="13"/>
      <c r="G36" s="13"/>
      <c r="H36" s="13"/>
      <c r="I36" s="13"/>
      <c r="J36" s="13"/>
      <c r="K36" s="13"/>
      <c r="L36" s="13"/>
      <c r="M36" s="13"/>
      <c r="N36" s="13"/>
    </row>
    <row r="37" spans="2:18" x14ac:dyDescent="0.2">
      <c r="B37" s="2" t="s">
        <v>207</v>
      </c>
      <c r="D37" s="2" t="s">
        <v>93</v>
      </c>
      <c r="F37" s="13"/>
      <c r="G37" s="13"/>
      <c r="H37" s="13"/>
      <c r="I37" s="13"/>
      <c r="J37" s="37"/>
      <c r="K37" s="40"/>
      <c r="L37" s="150">
        <v>971160</v>
      </c>
      <c r="M37" s="37"/>
      <c r="N37" s="37"/>
      <c r="P37" s="2" t="s">
        <v>487</v>
      </c>
      <c r="R37" s="2" t="s">
        <v>214</v>
      </c>
    </row>
    <row r="38" spans="2:18" x14ac:dyDescent="0.2">
      <c r="F38" s="13"/>
      <c r="G38" s="13"/>
      <c r="H38" s="13"/>
      <c r="I38" s="13"/>
      <c r="J38" s="13"/>
      <c r="K38" s="13"/>
      <c r="L38" s="13"/>
      <c r="M38" s="13"/>
      <c r="N38" s="13"/>
    </row>
    <row r="39" spans="2:18" s="8" customFormat="1" x14ac:dyDescent="0.2">
      <c r="B39" s="8" t="s">
        <v>174</v>
      </c>
      <c r="F39" s="42"/>
      <c r="G39" s="42"/>
      <c r="H39" s="42"/>
      <c r="I39" s="42"/>
      <c r="J39" s="42"/>
      <c r="K39" s="42"/>
      <c r="L39" s="42"/>
      <c r="M39" s="42"/>
      <c r="N39" s="42"/>
    </row>
    <row r="40" spans="2:18" x14ac:dyDescent="0.2">
      <c r="F40" s="13"/>
      <c r="G40" s="13"/>
      <c r="H40" s="13"/>
      <c r="I40" s="13"/>
      <c r="J40" s="13"/>
      <c r="K40" s="13"/>
      <c r="L40" s="13"/>
      <c r="M40" s="13"/>
      <c r="N40" s="13"/>
      <c r="O40" s="13"/>
    </row>
    <row r="41" spans="2:18" x14ac:dyDescent="0.2">
      <c r="B41" s="1" t="s">
        <v>131</v>
      </c>
      <c r="F41" s="13"/>
      <c r="G41" s="13"/>
      <c r="H41" s="13"/>
      <c r="I41" s="13"/>
      <c r="J41" s="13"/>
      <c r="K41" s="13"/>
      <c r="L41" s="13"/>
      <c r="M41" s="13"/>
      <c r="N41" s="13"/>
      <c r="O41" s="13"/>
      <c r="P41" s="13"/>
    </row>
    <row r="42" spans="2:18" x14ac:dyDescent="0.2">
      <c r="B42" s="2" t="s">
        <v>463</v>
      </c>
      <c r="D42" s="2" t="s">
        <v>130</v>
      </c>
      <c r="F42" s="13"/>
      <c r="G42" s="13"/>
      <c r="H42" s="157">
        <f>SUM(J42:N42)</f>
        <v>476086.88579034316</v>
      </c>
      <c r="I42" s="83"/>
      <c r="J42" s="150">
        <v>476086.88579034316</v>
      </c>
      <c r="K42" s="158"/>
      <c r="L42" s="51"/>
      <c r="M42" s="51"/>
      <c r="N42" s="51"/>
      <c r="O42" s="13"/>
      <c r="P42" s="128" t="s">
        <v>390</v>
      </c>
    </row>
    <row r="43" spans="2:18" x14ac:dyDescent="0.2">
      <c r="B43" s="2" t="s">
        <v>763</v>
      </c>
      <c r="D43" s="2" t="s">
        <v>289</v>
      </c>
      <c r="F43" s="13"/>
      <c r="G43" s="13"/>
      <c r="H43" s="157">
        <f>SUM(J43:N43)</f>
        <v>138730.18272042111</v>
      </c>
      <c r="I43" s="83"/>
      <c r="J43" s="150">
        <v>138730.18272042111</v>
      </c>
      <c r="K43" s="158"/>
      <c r="L43" s="51"/>
      <c r="M43" s="51"/>
      <c r="N43" s="51"/>
      <c r="O43" s="13"/>
      <c r="P43" s="128"/>
    </row>
    <row r="44" spans="2:18" x14ac:dyDescent="0.2">
      <c r="B44" s="2" t="s">
        <v>451</v>
      </c>
      <c r="D44" s="2" t="s">
        <v>289</v>
      </c>
      <c r="F44" s="13"/>
      <c r="G44" s="13"/>
      <c r="H44" s="157">
        <f>SUM(J44:N44)</f>
        <v>34244.222059169144</v>
      </c>
      <c r="I44" s="83"/>
      <c r="J44" s="158"/>
      <c r="K44" s="150">
        <v>34244.222059169144</v>
      </c>
      <c r="L44" s="51"/>
      <c r="M44" s="51"/>
      <c r="N44" s="51"/>
      <c r="O44" s="13"/>
      <c r="P44" s="128" t="s">
        <v>391</v>
      </c>
    </row>
    <row r="45" spans="2:18" x14ac:dyDescent="0.2">
      <c r="F45" s="13"/>
      <c r="G45" s="13"/>
      <c r="H45" s="13"/>
      <c r="I45" s="13"/>
      <c r="J45" s="13"/>
      <c r="K45" s="13"/>
      <c r="L45" s="13"/>
      <c r="M45" s="13"/>
      <c r="N45" s="13"/>
    </row>
    <row r="46" spans="2:18" x14ac:dyDescent="0.2">
      <c r="B46" s="1" t="s">
        <v>101</v>
      </c>
      <c r="F46" s="13"/>
      <c r="G46" s="13"/>
      <c r="H46" s="13"/>
      <c r="I46" s="13"/>
      <c r="J46" s="13"/>
      <c r="K46" s="13"/>
      <c r="L46" s="13"/>
      <c r="M46" s="13"/>
      <c r="N46" s="13"/>
    </row>
    <row r="47" spans="2:18" x14ac:dyDescent="0.2">
      <c r="B47" s="83" t="s">
        <v>101</v>
      </c>
      <c r="D47" s="2" t="s">
        <v>211</v>
      </c>
      <c r="F47" s="155">
        <v>2.9673666666666669</v>
      </c>
      <c r="G47" s="13"/>
      <c r="H47" s="13"/>
      <c r="I47" s="13"/>
      <c r="J47" s="13"/>
      <c r="K47" s="13"/>
      <c r="L47" s="13"/>
      <c r="M47" s="13"/>
      <c r="N47" s="13"/>
      <c r="P47" s="83" t="s">
        <v>762</v>
      </c>
    </row>
    <row r="48" spans="2:18" x14ac:dyDescent="0.2">
      <c r="B48" s="83" t="s">
        <v>212</v>
      </c>
      <c r="F48" s="155">
        <v>3.7854117839999999</v>
      </c>
      <c r="G48" s="13"/>
      <c r="H48" s="13"/>
      <c r="I48" s="13"/>
      <c r="J48" s="13"/>
      <c r="K48" s="13"/>
      <c r="L48" s="13"/>
      <c r="M48" s="13"/>
      <c r="N48" s="13"/>
    </row>
    <row r="49" spans="2:14" x14ac:dyDescent="0.2">
      <c r="B49" s="2" t="s">
        <v>101</v>
      </c>
      <c r="D49" s="2" t="s">
        <v>102</v>
      </c>
      <c r="F49" s="156">
        <f>F47/F48</f>
        <v>0.78389534243249115</v>
      </c>
      <c r="G49" s="13"/>
      <c r="H49" s="13"/>
      <c r="I49" s="13"/>
      <c r="J49" s="13"/>
      <c r="K49" s="13"/>
      <c r="L49" s="149"/>
      <c r="M49" s="13"/>
      <c r="N49" s="13"/>
    </row>
    <row r="52" spans="2:14" x14ac:dyDescent="0.2">
      <c r="B52" s="4" t="s">
        <v>63</v>
      </c>
    </row>
  </sheetData>
  <phoneticPr fontId="31"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EB561-8F95-4A6A-B3A7-F07857E0C764}">
  <sheetPr>
    <tabColor rgb="FFE1FFE1"/>
  </sheetPr>
  <dimension ref="A2:R77"/>
  <sheetViews>
    <sheetView showGridLines="0" zoomScale="80" zoomScaleNormal="80" workbookViewId="0">
      <pane xSplit="4" ySplit="9" topLeftCell="E10" activePane="bottomRight" state="frozen"/>
      <selection activeCell="R6" sqref="R6"/>
      <selection pane="topRight" activeCell="R6" sqref="R6"/>
      <selection pane="bottomLeft" activeCell="R6" sqref="R6"/>
      <selection pane="bottomRight" activeCell="E10" sqref="E10"/>
    </sheetView>
  </sheetViews>
  <sheetFormatPr defaultColWidth="9.140625" defaultRowHeight="12.75" x14ac:dyDescent="0.2"/>
  <cols>
    <col min="1" max="1" width="4" style="2" customWidth="1"/>
    <col min="2" max="2" width="71.7109375" style="2" customWidth="1"/>
    <col min="3" max="3" width="4.5703125" style="2" customWidth="1"/>
    <col min="4" max="4" width="13.7109375" style="2" customWidth="1"/>
    <col min="5" max="5" width="2.7109375" style="2" customWidth="1"/>
    <col min="6" max="6" width="13.7109375" style="2" customWidth="1"/>
    <col min="7" max="7" width="2.7109375" style="2" customWidth="1"/>
    <col min="8" max="8" width="13.7109375" style="2" customWidth="1"/>
    <col min="9" max="9" width="2.7109375" style="2" customWidth="1"/>
    <col min="10" max="14" width="21.7109375" style="2" customWidth="1"/>
    <col min="15" max="15" width="2.7109375" style="2" customWidth="1"/>
    <col min="16" max="16" width="58.5703125" style="2" customWidth="1"/>
    <col min="17" max="17" width="2.7109375" style="2" customWidth="1"/>
    <col min="18" max="18" width="13.7109375" style="2" customWidth="1"/>
    <col min="19" max="19" width="2.7109375" style="2" customWidth="1"/>
    <col min="20" max="34" width="13.7109375" style="2" customWidth="1"/>
    <col min="35" max="16384" width="9.140625" style="2"/>
  </cols>
  <sheetData>
    <row r="2" spans="2:18" s="12" customFormat="1" ht="18" x14ac:dyDescent="0.2">
      <c r="B2" s="12" t="s">
        <v>512</v>
      </c>
    </row>
    <row r="4" spans="2:18" x14ac:dyDescent="0.2">
      <c r="B4" s="1" t="s">
        <v>79</v>
      </c>
    </row>
    <row r="5" spans="2:18" x14ac:dyDescent="0.2">
      <c r="B5" s="128" t="s">
        <v>513</v>
      </c>
      <c r="F5" s="13"/>
    </row>
    <row r="6" spans="2:18" x14ac:dyDescent="0.2">
      <c r="F6" s="13"/>
    </row>
    <row r="8" spans="2:18" s="8" customFormat="1" x14ac:dyDescent="0.2">
      <c r="B8" s="8" t="s">
        <v>80</v>
      </c>
      <c r="D8" s="8" t="s">
        <v>81</v>
      </c>
      <c r="F8" s="8" t="s">
        <v>82</v>
      </c>
      <c r="H8" s="8" t="s">
        <v>83</v>
      </c>
      <c r="J8" s="8" t="s">
        <v>68</v>
      </c>
      <c r="K8" s="8" t="s">
        <v>69</v>
      </c>
      <c r="L8" s="8" t="s">
        <v>70</v>
      </c>
      <c r="M8" s="8" t="s">
        <v>71</v>
      </c>
      <c r="N8" s="8" t="s">
        <v>72</v>
      </c>
      <c r="P8" s="8" t="s">
        <v>40</v>
      </c>
      <c r="R8" s="8" t="s">
        <v>39</v>
      </c>
    </row>
    <row r="11" spans="2:18" s="8" customFormat="1" x14ac:dyDescent="0.2">
      <c r="B11" s="8" t="s">
        <v>178</v>
      </c>
    </row>
    <row r="13" spans="2:18" ht="12.75" customHeight="1" x14ac:dyDescent="0.2">
      <c r="B13" s="39" t="s">
        <v>103</v>
      </c>
      <c r="C13" s="34"/>
      <c r="J13" s="13"/>
      <c r="K13" s="13"/>
      <c r="L13" s="13"/>
      <c r="M13" s="13"/>
      <c r="N13" s="13"/>
      <c r="P13" s="13"/>
      <c r="R13" s="13"/>
    </row>
    <row r="14" spans="2:18" ht="12.75" customHeight="1" x14ac:dyDescent="0.2">
      <c r="B14" s="2" t="s">
        <v>514</v>
      </c>
      <c r="D14" s="2" t="s">
        <v>95</v>
      </c>
      <c r="J14" s="37"/>
      <c r="K14" s="40"/>
      <c r="L14" s="162">
        <v>229530</v>
      </c>
      <c r="M14" s="37"/>
      <c r="N14" s="37"/>
      <c r="P14" s="2" t="s">
        <v>540</v>
      </c>
      <c r="R14" s="13"/>
    </row>
    <row r="15" spans="2:18" ht="12.75" customHeight="1" x14ac:dyDescent="0.2">
      <c r="B15" s="34"/>
      <c r="C15" s="34"/>
      <c r="D15" s="34"/>
      <c r="E15" s="34"/>
      <c r="J15" s="13"/>
      <c r="K15" s="13"/>
      <c r="L15" s="13"/>
      <c r="M15" s="13"/>
      <c r="N15" s="13"/>
      <c r="P15" s="13"/>
      <c r="R15" s="13"/>
    </row>
    <row r="16" spans="2:18" ht="12.75" customHeight="1" x14ac:dyDescent="0.2">
      <c r="B16" s="1" t="s">
        <v>106</v>
      </c>
      <c r="J16" s="13"/>
      <c r="K16" s="13"/>
      <c r="L16" s="13"/>
      <c r="M16" s="13"/>
      <c r="N16" s="13"/>
      <c r="P16" s="13"/>
      <c r="R16" s="13"/>
    </row>
    <row r="17" spans="1:18" ht="12.75" customHeight="1" x14ac:dyDescent="0.2">
      <c r="B17" s="2" t="s">
        <v>515</v>
      </c>
      <c r="D17" s="2" t="s">
        <v>73</v>
      </c>
      <c r="J17" s="43"/>
      <c r="K17" s="163">
        <v>9.5000000000000001E-2</v>
      </c>
      <c r="L17" s="41"/>
      <c r="M17" s="163">
        <v>0.45</v>
      </c>
      <c r="N17" s="41"/>
      <c r="P17" s="128" t="s">
        <v>760</v>
      </c>
      <c r="R17" s="13"/>
    </row>
    <row r="18" spans="1:18" x14ac:dyDescent="0.2">
      <c r="B18" s="1"/>
      <c r="J18" s="13"/>
      <c r="K18" s="13"/>
      <c r="L18" s="13"/>
      <c r="M18" s="13"/>
      <c r="N18" s="13"/>
    </row>
    <row r="19" spans="1:18" ht="12.75" customHeight="1" x14ac:dyDescent="0.2">
      <c r="B19" s="1" t="s">
        <v>97</v>
      </c>
      <c r="J19" s="13"/>
      <c r="K19" s="13"/>
      <c r="L19" s="13"/>
      <c r="M19" s="13"/>
      <c r="N19" s="13"/>
      <c r="P19" s="13"/>
    </row>
    <row r="20" spans="1:18" ht="12.75" customHeight="1" x14ac:dyDescent="0.2">
      <c r="B20" s="2" t="s">
        <v>516</v>
      </c>
      <c r="D20" s="2" t="s">
        <v>98</v>
      </c>
      <c r="J20" s="162">
        <v>9609000</v>
      </c>
      <c r="K20" s="43"/>
      <c r="L20" s="43"/>
      <c r="M20" s="43"/>
      <c r="N20" s="43"/>
      <c r="P20" s="2" t="s">
        <v>531</v>
      </c>
    </row>
    <row r="21" spans="1:18" ht="12.75" customHeight="1" x14ac:dyDescent="0.2">
      <c r="B21" s="2" t="s">
        <v>517</v>
      </c>
      <c r="D21" s="2" t="s">
        <v>98</v>
      </c>
      <c r="J21" s="162">
        <v>8276720.4000000022</v>
      </c>
      <c r="K21" s="43"/>
      <c r="L21" s="43"/>
      <c r="M21" s="43"/>
      <c r="N21" s="43"/>
      <c r="P21" s="2" t="s">
        <v>532</v>
      </c>
    </row>
    <row r="22" spans="1:18" ht="12.75" customHeight="1" x14ac:dyDescent="0.2">
      <c r="B22" s="2" t="s">
        <v>518</v>
      </c>
      <c r="D22" s="2" t="s">
        <v>98</v>
      </c>
      <c r="J22" s="164">
        <f>J20+J21</f>
        <v>17885720.400000002</v>
      </c>
      <c r="K22" s="43"/>
      <c r="L22" s="43"/>
      <c r="M22" s="43"/>
      <c r="N22" s="43"/>
      <c r="P22" s="13"/>
    </row>
    <row r="23" spans="1:18" ht="12.75" customHeight="1" x14ac:dyDescent="0.2">
      <c r="B23" s="2" t="s">
        <v>519</v>
      </c>
      <c r="D23" s="2" t="s">
        <v>98</v>
      </c>
      <c r="J23" s="162">
        <v>8406288.2699999996</v>
      </c>
      <c r="K23" s="43"/>
      <c r="L23" s="43"/>
      <c r="M23" s="43"/>
      <c r="N23" s="43"/>
      <c r="P23" s="2" t="s">
        <v>533</v>
      </c>
    </row>
    <row r="24" spans="1:18" ht="12.75" customHeight="1" x14ac:dyDescent="0.2">
      <c r="B24" s="2" t="s">
        <v>520</v>
      </c>
      <c r="D24" s="2" t="s">
        <v>73</v>
      </c>
      <c r="J24" s="165">
        <f>J21/J22</f>
        <v>0.46275577471288221</v>
      </c>
      <c r="K24" s="43"/>
      <c r="L24" s="43"/>
      <c r="M24" s="43"/>
      <c r="N24" s="43"/>
      <c r="P24" s="13"/>
    </row>
    <row r="25" spans="1:18" ht="12.75" customHeight="1" x14ac:dyDescent="0.2">
      <c r="J25" s="13"/>
      <c r="K25" s="13"/>
      <c r="L25" s="13"/>
      <c r="M25" s="13"/>
      <c r="N25" s="13"/>
    </row>
    <row r="26" spans="1:18" ht="12.75" customHeight="1" x14ac:dyDescent="0.2">
      <c r="B26" s="1" t="s">
        <v>521</v>
      </c>
      <c r="J26" s="13"/>
      <c r="K26" s="13"/>
      <c r="L26" s="13"/>
      <c r="M26" s="13"/>
      <c r="N26" s="13"/>
      <c r="P26" s="13"/>
      <c r="R26" s="13"/>
    </row>
    <row r="27" spans="1:18" ht="12.75" customHeight="1" x14ac:dyDescent="0.2">
      <c r="B27" s="2" t="s">
        <v>522</v>
      </c>
      <c r="D27" s="2" t="s">
        <v>95</v>
      </c>
      <c r="J27" s="37"/>
      <c r="K27" s="37"/>
      <c r="L27" s="37"/>
      <c r="M27" s="37"/>
      <c r="N27" s="162">
        <v>2530</v>
      </c>
      <c r="P27" s="2" t="s">
        <v>541</v>
      </c>
      <c r="R27" s="13"/>
    </row>
    <row r="28" spans="1:18" s="20" customFormat="1" ht="12.75" customHeight="1" x14ac:dyDescent="0.2">
      <c r="A28" s="2"/>
      <c r="B28" s="2" t="s">
        <v>523</v>
      </c>
      <c r="C28" s="2"/>
      <c r="D28" s="2" t="s">
        <v>73</v>
      </c>
      <c r="J28" s="160"/>
      <c r="K28" s="160"/>
      <c r="L28" s="160"/>
      <c r="M28" s="160"/>
      <c r="N28" s="166">
        <f>N27/L14</f>
        <v>1.1022524288763996E-2</v>
      </c>
      <c r="R28" s="46"/>
    </row>
    <row r="29" spans="1:18" ht="12.75" customHeight="1" x14ac:dyDescent="0.2">
      <c r="J29" s="13"/>
      <c r="K29" s="13"/>
      <c r="L29" s="13"/>
      <c r="M29" s="13"/>
      <c r="N29" s="13"/>
      <c r="P29" s="13"/>
      <c r="R29" s="13"/>
    </row>
    <row r="30" spans="1:18" s="8" customFormat="1" ht="12.75" customHeight="1" x14ac:dyDescent="0.2">
      <c r="B30" s="8" t="s">
        <v>286</v>
      </c>
      <c r="J30" s="42"/>
      <c r="K30" s="42"/>
      <c r="L30" s="42"/>
      <c r="M30" s="42"/>
      <c r="N30" s="42"/>
      <c r="P30" s="42"/>
      <c r="R30" s="42"/>
    </row>
    <row r="31" spans="1:18" ht="12.75" customHeight="1" x14ac:dyDescent="0.2">
      <c r="J31" s="13"/>
      <c r="K31" s="13"/>
      <c r="L31" s="13"/>
      <c r="M31" s="13"/>
      <c r="N31" s="13"/>
      <c r="P31" s="13"/>
      <c r="R31" s="13"/>
    </row>
    <row r="32" spans="1:18" ht="12.75" customHeight="1" x14ac:dyDescent="0.2">
      <c r="B32" s="1" t="s">
        <v>285</v>
      </c>
      <c r="J32" s="13"/>
      <c r="K32" s="13"/>
      <c r="L32" s="13"/>
      <c r="M32" s="13"/>
      <c r="N32" s="13"/>
    </row>
    <row r="33" spans="2:18" ht="12.75" customHeight="1" x14ac:dyDescent="0.2">
      <c r="B33" s="2" t="s">
        <v>461</v>
      </c>
      <c r="D33" s="2" t="s">
        <v>99</v>
      </c>
      <c r="J33" s="167">
        <f>'Historical data'!J33</f>
        <v>3138853.4527746602</v>
      </c>
      <c r="K33" s="168"/>
      <c r="L33" s="168"/>
      <c r="M33" s="43"/>
      <c r="N33" s="43"/>
    </row>
    <row r="34" spans="2:18" ht="12.75" customHeight="1" x14ac:dyDescent="0.2">
      <c r="B34" s="2" t="s">
        <v>462</v>
      </c>
      <c r="D34" s="2" t="s">
        <v>98</v>
      </c>
      <c r="J34" s="167">
        <f>'Historical data'!J34</f>
        <v>11973194</v>
      </c>
      <c r="K34" s="168"/>
      <c r="L34" s="168"/>
      <c r="M34" s="43"/>
      <c r="N34" s="43"/>
    </row>
    <row r="35" spans="2:18" ht="12.75" customHeight="1" x14ac:dyDescent="0.2">
      <c r="B35" s="2" t="s">
        <v>524</v>
      </c>
      <c r="D35" s="2" t="s">
        <v>100</v>
      </c>
      <c r="J35" s="169">
        <f>J33/J34</f>
        <v>0.262156735518915</v>
      </c>
      <c r="K35" s="168"/>
      <c r="L35" s="168"/>
      <c r="M35" s="43"/>
      <c r="N35" s="43"/>
      <c r="P35" s="13"/>
    </row>
    <row r="36" spans="2:18" ht="12.75" customHeight="1" x14ac:dyDescent="0.2">
      <c r="J36" s="128"/>
      <c r="K36" s="128"/>
      <c r="L36" s="128"/>
      <c r="M36" s="13"/>
      <c r="N36" s="13"/>
      <c r="P36" s="13"/>
    </row>
    <row r="37" spans="2:18" ht="12.75" customHeight="1" x14ac:dyDescent="0.2">
      <c r="B37" s="1" t="s">
        <v>206</v>
      </c>
      <c r="J37" s="128"/>
      <c r="K37" s="128"/>
      <c r="L37" s="128"/>
      <c r="M37" s="13"/>
      <c r="N37" s="13"/>
      <c r="P37" s="13"/>
    </row>
    <row r="38" spans="2:18" ht="12.75" customHeight="1" x14ac:dyDescent="0.2">
      <c r="B38" s="2" t="s">
        <v>529</v>
      </c>
      <c r="D38" s="2" t="s">
        <v>95</v>
      </c>
      <c r="J38" s="170"/>
      <c r="K38" s="171"/>
      <c r="L38" s="167">
        <f>'Historical data'!L15</f>
        <v>186919</v>
      </c>
      <c r="M38" s="37"/>
      <c r="N38" s="37"/>
      <c r="P38" s="13"/>
    </row>
    <row r="39" spans="2:18" ht="12.75" customHeight="1" x14ac:dyDescent="0.2">
      <c r="B39" s="2" t="s">
        <v>207</v>
      </c>
      <c r="D39" s="2" t="s">
        <v>93</v>
      </c>
      <c r="J39" s="170"/>
      <c r="K39" s="171"/>
      <c r="L39" s="167">
        <f>'Historical data'!L37</f>
        <v>971160</v>
      </c>
      <c r="M39" s="37"/>
      <c r="N39" s="37"/>
    </row>
    <row r="40" spans="2:18" ht="12.75" customHeight="1" x14ac:dyDescent="0.2">
      <c r="B40" s="2" t="s">
        <v>104</v>
      </c>
      <c r="D40" s="2" t="s">
        <v>105</v>
      </c>
      <c r="J40" s="170"/>
      <c r="K40" s="171"/>
      <c r="L40" s="172">
        <f>L39/L38</f>
        <v>5.1956194929354425</v>
      </c>
      <c r="M40" s="37"/>
      <c r="N40" s="37"/>
      <c r="R40" s="13"/>
    </row>
    <row r="41" spans="2:18" ht="12.75" customHeight="1" x14ac:dyDescent="0.2">
      <c r="B41" s="1"/>
      <c r="J41" s="13"/>
      <c r="K41" s="13"/>
      <c r="L41" s="13"/>
      <c r="M41" s="13"/>
      <c r="N41" s="13"/>
      <c r="P41" s="13"/>
    </row>
    <row r="42" spans="2:18" s="8" customFormat="1" ht="12.75" customHeight="1" x14ac:dyDescent="0.2">
      <c r="B42" s="8" t="s">
        <v>525</v>
      </c>
      <c r="J42" s="42"/>
      <c r="K42" s="42"/>
      <c r="L42" s="42"/>
      <c r="M42" s="42"/>
      <c r="N42" s="42"/>
      <c r="P42" s="42"/>
      <c r="R42" s="42"/>
    </row>
    <row r="43" spans="2:18" ht="12.75" customHeight="1" x14ac:dyDescent="0.2">
      <c r="J43" s="13"/>
      <c r="K43" s="13"/>
      <c r="L43" s="13"/>
      <c r="M43" s="13"/>
      <c r="N43" s="13"/>
      <c r="P43" s="13"/>
      <c r="R43" s="13"/>
    </row>
    <row r="44" spans="2:18" ht="12.75" customHeight="1" x14ac:dyDescent="0.2">
      <c r="B44" s="1" t="s">
        <v>118</v>
      </c>
      <c r="J44" s="13"/>
      <c r="K44" s="173" t="s">
        <v>119</v>
      </c>
      <c r="L44" s="13"/>
      <c r="M44" s="13"/>
      <c r="N44" s="13"/>
      <c r="P44" s="13"/>
      <c r="R44" s="83" t="s">
        <v>117</v>
      </c>
    </row>
    <row r="45" spans="2:18" ht="12.75" customHeight="1" x14ac:dyDescent="0.2">
      <c r="B45" s="126">
        <v>3.2</v>
      </c>
      <c r="D45" s="2" t="s">
        <v>113</v>
      </c>
      <c r="J45" s="160"/>
      <c r="K45" s="162">
        <v>206.33333333333334</v>
      </c>
      <c r="L45" s="160"/>
      <c r="M45" s="160"/>
      <c r="N45" s="160"/>
      <c r="P45" s="2" t="s">
        <v>544</v>
      </c>
      <c r="R45" s="83" t="s">
        <v>215</v>
      </c>
    </row>
    <row r="46" spans="2:18" ht="12.75" customHeight="1" x14ac:dyDescent="0.2">
      <c r="B46" s="126">
        <v>7.7</v>
      </c>
      <c r="D46" s="2" t="s">
        <v>113</v>
      </c>
      <c r="J46" s="160"/>
      <c r="K46" s="162">
        <v>1510.3620563410834</v>
      </c>
      <c r="L46" s="160"/>
      <c r="M46" s="160"/>
      <c r="N46" s="160"/>
      <c r="P46" s="13"/>
    </row>
    <row r="47" spans="2:18" ht="12.75" customHeight="1" x14ac:dyDescent="0.2">
      <c r="B47" s="126">
        <v>11</v>
      </c>
      <c r="D47" s="2" t="s">
        <v>113</v>
      </c>
      <c r="J47" s="160"/>
      <c r="K47" s="162">
        <v>137.33333333333334</v>
      </c>
      <c r="L47" s="160"/>
      <c r="M47" s="160"/>
      <c r="N47" s="160"/>
      <c r="P47" s="13"/>
    </row>
    <row r="48" spans="2:18" ht="12.75" customHeight="1" x14ac:dyDescent="0.2">
      <c r="B48" s="126">
        <v>13.86</v>
      </c>
      <c r="D48" s="2" t="s">
        <v>113</v>
      </c>
      <c r="J48" s="160"/>
      <c r="K48" s="162">
        <v>43.333333333333336</v>
      </c>
      <c r="L48" s="160"/>
      <c r="M48" s="160"/>
      <c r="N48" s="160"/>
      <c r="P48" s="13"/>
    </row>
    <row r="49" spans="2:16" ht="12.75" customHeight="1" x14ac:dyDescent="0.2">
      <c r="B49" s="126">
        <v>13.3</v>
      </c>
      <c r="D49" s="2" t="s">
        <v>113</v>
      </c>
      <c r="J49" s="160"/>
      <c r="K49" s="162">
        <v>34.5</v>
      </c>
      <c r="L49" s="160"/>
      <c r="M49" s="160"/>
      <c r="N49" s="160"/>
      <c r="P49" s="13"/>
    </row>
    <row r="50" spans="2:16" ht="12.75" customHeight="1" x14ac:dyDescent="0.2">
      <c r="B50" s="126">
        <v>19</v>
      </c>
      <c r="D50" s="2" t="s">
        <v>113</v>
      </c>
      <c r="J50" s="160"/>
      <c r="K50" s="162">
        <v>28</v>
      </c>
      <c r="L50" s="160"/>
      <c r="M50" s="160"/>
      <c r="N50" s="160"/>
      <c r="P50" s="13"/>
    </row>
    <row r="51" spans="2:16" ht="12.75" customHeight="1" x14ac:dyDescent="0.2">
      <c r="B51" s="126">
        <v>23.94</v>
      </c>
      <c r="D51" s="2" t="s">
        <v>113</v>
      </c>
      <c r="J51" s="160"/>
      <c r="K51" s="162">
        <v>39</v>
      </c>
      <c r="L51" s="160"/>
      <c r="M51" s="160"/>
      <c r="N51" s="160"/>
      <c r="P51" s="13"/>
    </row>
    <row r="52" spans="2:16" ht="12.75" customHeight="1" x14ac:dyDescent="0.2">
      <c r="B52" s="126">
        <v>30.4</v>
      </c>
      <c r="D52" s="2" t="s">
        <v>113</v>
      </c>
      <c r="J52" s="160"/>
      <c r="K52" s="162">
        <v>13</v>
      </c>
      <c r="L52" s="160"/>
      <c r="M52" s="160"/>
      <c r="N52" s="160"/>
      <c r="P52" s="13"/>
    </row>
    <row r="53" spans="2:16" ht="12.75" customHeight="1" x14ac:dyDescent="0.2">
      <c r="B53" s="126">
        <v>38</v>
      </c>
      <c r="D53" s="2" t="s">
        <v>113</v>
      </c>
      <c r="J53" s="160"/>
      <c r="K53" s="162">
        <v>9</v>
      </c>
      <c r="L53" s="160"/>
      <c r="M53" s="160"/>
      <c r="N53" s="160"/>
      <c r="P53" s="13"/>
    </row>
    <row r="54" spans="2:16" ht="12.75" customHeight="1" x14ac:dyDescent="0.2">
      <c r="B54" s="126">
        <v>47.5</v>
      </c>
      <c r="D54" s="2" t="s">
        <v>113</v>
      </c>
      <c r="J54" s="160"/>
      <c r="K54" s="162">
        <v>13</v>
      </c>
      <c r="L54" s="160"/>
      <c r="M54" s="160"/>
      <c r="N54" s="160"/>
      <c r="P54" s="13"/>
    </row>
    <row r="55" spans="2:16" ht="12.75" customHeight="1" x14ac:dyDescent="0.2">
      <c r="B55" s="126">
        <v>60.8</v>
      </c>
      <c r="D55" s="2" t="s">
        <v>113</v>
      </c>
      <c r="J55" s="160"/>
      <c r="K55" s="162">
        <v>4</v>
      </c>
      <c r="L55" s="160"/>
      <c r="M55" s="160"/>
      <c r="N55" s="160"/>
      <c r="P55" s="13"/>
    </row>
    <row r="56" spans="2:16" ht="12.75" customHeight="1" x14ac:dyDescent="0.2">
      <c r="B56" s="126">
        <v>76</v>
      </c>
      <c r="D56" s="2" t="s">
        <v>113</v>
      </c>
      <c r="J56" s="160"/>
      <c r="K56" s="162">
        <v>5</v>
      </c>
      <c r="L56" s="160"/>
      <c r="M56" s="160"/>
      <c r="N56" s="160"/>
      <c r="P56" s="13"/>
    </row>
    <row r="57" spans="2:16" ht="12.75" customHeight="1" x14ac:dyDescent="0.2">
      <c r="B57" s="126">
        <v>85.5</v>
      </c>
      <c r="D57" s="2" t="s">
        <v>113</v>
      </c>
      <c r="J57" s="160"/>
      <c r="K57" s="162">
        <v>3</v>
      </c>
      <c r="L57" s="160"/>
      <c r="M57" s="160"/>
      <c r="N57" s="160"/>
      <c r="P57" s="13"/>
    </row>
    <row r="58" spans="2:16" ht="12.75" customHeight="1" x14ac:dyDescent="0.2">
      <c r="B58" s="126">
        <v>95</v>
      </c>
      <c r="D58" s="2" t="s">
        <v>113</v>
      </c>
      <c r="J58" s="160"/>
      <c r="K58" s="162">
        <v>3</v>
      </c>
      <c r="L58" s="160"/>
      <c r="M58" s="160"/>
      <c r="N58" s="160"/>
      <c r="P58" s="13"/>
    </row>
    <row r="59" spans="2:16" ht="12.75" customHeight="1" x14ac:dyDescent="0.2">
      <c r="B59" s="126">
        <v>119.7</v>
      </c>
      <c r="D59" s="2" t="s">
        <v>113</v>
      </c>
      <c r="J59" s="160"/>
      <c r="K59" s="162">
        <v>0</v>
      </c>
      <c r="L59" s="160"/>
      <c r="M59" s="160"/>
      <c r="N59" s="160"/>
      <c r="P59" s="13"/>
    </row>
    <row r="60" spans="2:16" ht="12.75" customHeight="1" x14ac:dyDescent="0.2">
      <c r="B60" s="126">
        <v>175</v>
      </c>
      <c r="D60" s="2" t="s">
        <v>113</v>
      </c>
      <c r="J60" s="160"/>
      <c r="K60" s="162">
        <v>0</v>
      </c>
      <c r="L60" s="160"/>
      <c r="M60" s="160"/>
      <c r="N60" s="160"/>
      <c r="P60" s="13"/>
    </row>
    <row r="61" spans="2:16" ht="12.75" customHeight="1" x14ac:dyDescent="0.2">
      <c r="B61" s="126">
        <v>200</v>
      </c>
      <c r="D61" s="2" t="s">
        <v>113</v>
      </c>
      <c r="J61" s="160"/>
      <c r="K61" s="162">
        <v>3</v>
      </c>
      <c r="L61" s="160"/>
      <c r="M61" s="160"/>
      <c r="N61" s="160"/>
      <c r="P61" s="13"/>
    </row>
    <row r="62" spans="2:16" ht="12.75" customHeight="1" x14ac:dyDescent="0.2">
      <c r="J62" s="13"/>
      <c r="K62" s="13"/>
      <c r="L62" s="13"/>
      <c r="M62" s="13"/>
      <c r="N62" s="13"/>
      <c r="P62" s="13"/>
    </row>
    <row r="63" spans="2:16" ht="12.75" customHeight="1" x14ac:dyDescent="0.2">
      <c r="B63" s="2" t="s">
        <v>120</v>
      </c>
      <c r="D63" s="2" t="s">
        <v>94</v>
      </c>
      <c r="J63" s="160"/>
      <c r="K63" s="164">
        <f>SUMPRODUCT(B45:B61,K45:K61)</f>
        <v>19445.231167159676</v>
      </c>
      <c r="L63" s="160"/>
      <c r="M63" s="160"/>
      <c r="N63" s="160"/>
      <c r="P63" s="13"/>
    </row>
    <row r="64" spans="2:16" ht="12.75" customHeight="1" x14ac:dyDescent="0.2">
      <c r="J64" s="13"/>
      <c r="K64" s="13"/>
      <c r="L64" s="13"/>
      <c r="M64" s="13"/>
      <c r="N64" s="13"/>
      <c r="P64" s="13"/>
    </row>
    <row r="65" spans="2:18" ht="12.75" customHeight="1" x14ac:dyDescent="0.2">
      <c r="B65" s="1" t="s">
        <v>121</v>
      </c>
      <c r="J65" s="13"/>
      <c r="K65" s="13"/>
      <c r="L65" s="13"/>
      <c r="M65" s="13"/>
      <c r="N65" s="13"/>
      <c r="P65" s="13"/>
    </row>
    <row r="66" spans="2:18" ht="12.75" customHeight="1" x14ac:dyDescent="0.2">
      <c r="B66" s="2" t="s">
        <v>526</v>
      </c>
      <c r="D66" s="2" t="s">
        <v>113</v>
      </c>
      <c r="J66" s="160"/>
      <c r="K66" s="160"/>
      <c r="L66" s="160"/>
      <c r="M66" s="162">
        <v>1292.073872976589</v>
      </c>
      <c r="N66" s="160"/>
      <c r="P66" s="2" t="s">
        <v>527</v>
      </c>
    </row>
    <row r="67" spans="2:18" ht="11.25" customHeight="1" x14ac:dyDescent="0.2">
      <c r="J67" s="13"/>
      <c r="K67" s="13"/>
      <c r="L67" s="13"/>
      <c r="M67" s="13"/>
      <c r="N67" s="13"/>
    </row>
    <row r="68" spans="2:18" s="8" customFormat="1" x14ac:dyDescent="0.2">
      <c r="B68" s="8" t="s">
        <v>288</v>
      </c>
      <c r="J68" s="42"/>
      <c r="K68" s="42"/>
      <c r="L68" s="42"/>
      <c r="M68" s="42"/>
      <c r="N68" s="42"/>
    </row>
    <row r="69" spans="2:18" x14ac:dyDescent="0.2">
      <c r="J69" s="13"/>
      <c r="K69" s="13"/>
      <c r="L69" s="13"/>
      <c r="M69" s="13"/>
      <c r="N69" s="13"/>
    </row>
    <row r="70" spans="2:18" x14ac:dyDescent="0.2">
      <c r="B70" s="20" t="s">
        <v>36</v>
      </c>
      <c r="D70" s="20" t="s">
        <v>92</v>
      </c>
      <c r="J70" s="174" t="s">
        <v>93</v>
      </c>
      <c r="K70" s="174" t="s">
        <v>94</v>
      </c>
      <c r="L70" s="174" t="s">
        <v>95</v>
      </c>
      <c r="M70" s="174" t="s">
        <v>96</v>
      </c>
      <c r="N70" s="174" t="s">
        <v>95</v>
      </c>
      <c r="O70" s="20"/>
      <c r="P70" s="20"/>
    </row>
    <row r="71" spans="2:18" x14ac:dyDescent="0.2">
      <c r="B71" s="2" t="s">
        <v>528</v>
      </c>
      <c r="D71" s="20" t="s">
        <v>92</v>
      </c>
      <c r="J71" s="175">
        <f>J22</f>
        <v>17885720.400000002</v>
      </c>
      <c r="K71" s="175">
        <f>K63</f>
        <v>19445.231167159676</v>
      </c>
      <c r="L71" s="175">
        <f>L14</f>
        <v>229530</v>
      </c>
      <c r="M71" s="175">
        <f>M66</f>
        <v>1292.073872976589</v>
      </c>
      <c r="N71" s="175">
        <f>N27</f>
        <v>2530</v>
      </c>
    </row>
    <row r="72" spans="2:18" ht="12.75" customHeight="1" x14ac:dyDescent="0.2">
      <c r="P72" s="13"/>
      <c r="R72" s="13"/>
    </row>
    <row r="73" spans="2:18" ht="12.75" customHeight="1" x14ac:dyDescent="0.2">
      <c r="P73" s="13"/>
      <c r="R73" s="13"/>
    </row>
    <row r="74" spans="2:18" ht="12.75" customHeight="1" x14ac:dyDescent="0.2">
      <c r="B74" s="47"/>
      <c r="D74" s="47"/>
      <c r="F74" s="48"/>
      <c r="P74" s="13"/>
      <c r="R74" s="13"/>
    </row>
    <row r="75" spans="2:18" x14ac:dyDescent="0.2">
      <c r="B75" s="4" t="s">
        <v>63</v>
      </c>
    </row>
    <row r="77" spans="2:18" x14ac:dyDescent="0.2">
      <c r="B77" s="1"/>
    </row>
  </sheetData>
  <phoneticPr fontId="31"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B260A-5F4E-4A5E-B633-80380D18E5CD}">
  <sheetPr>
    <tabColor rgb="FFE1FFE1"/>
  </sheetPr>
  <dimension ref="B2:R76"/>
  <sheetViews>
    <sheetView showGridLines="0" zoomScale="80" zoomScaleNormal="80" workbookViewId="0">
      <pane xSplit="4" ySplit="13" topLeftCell="E14" activePane="bottomRight" state="frozen"/>
      <selection activeCell="R6" sqref="R6"/>
      <selection pane="topRight" activeCell="R6" sqref="R6"/>
      <selection pane="bottomLeft" activeCell="R6" sqref="R6"/>
      <selection pane="bottomRight" activeCell="E14" sqref="E14"/>
    </sheetView>
  </sheetViews>
  <sheetFormatPr defaultColWidth="9.140625" defaultRowHeight="12.75" x14ac:dyDescent="0.2"/>
  <cols>
    <col min="1" max="1" width="4" style="2" customWidth="1"/>
    <col min="2" max="2" width="51.7109375" style="2" customWidth="1"/>
    <col min="3" max="3" width="4.5703125" style="2" customWidth="1"/>
    <col min="4" max="4" width="17.28515625" style="2" bestFit="1" customWidth="1"/>
    <col min="5" max="5" width="2.7109375" style="2" customWidth="1"/>
    <col min="6" max="6" width="13.7109375" style="2" customWidth="1"/>
    <col min="7" max="7" width="2.7109375" style="2" customWidth="1"/>
    <col min="8" max="8" width="13.7109375" style="2" customWidth="1"/>
    <col min="9" max="9" width="2.7109375" style="2" customWidth="1"/>
    <col min="10" max="14" width="21.7109375" style="2" customWidth="1"/>
    <col min="15" max="15" width="2.7109375" style="2" customWidth="1"/>
    <col min="16" max="16" width="58.5703125" style="2" customWidth="1"/>
    <col min="17" max="17" width="2.7109375" style="2" customWidth="1"/>
    <col min="18" max="18" width="13.7109375" style="2" customWidth="1"/>
    <col min="19" max="19" width="2.7109375" style="2" customWidth="1"/>
    <col min="20" max="34" width="13.7109375" style="2" customWidth="1"/>
    <col min="35" max="16384" width="9.140625" style="2"/>
  </cols>
  <sheetData>
    <row r="2" spans="2:18" s="12" customFormat="1" ht="18" x14ac:dyDescent="0.2">
      <c r="B2" s="12" t="s">
        <v>276</v>
      </c>
    </row>
    <row r="4" spans="2:18" x14ac:dyDescent="0.2">
      <c r="B4" s="1" t="s">
        <v>79</v>
      </c>
    </row>
    <row r="5" spans="2:18" x14ac:dyDescent="0.2">
      <c r="B5" s="2" t="s">
        <v>278</v>
      </c>
      <c r="F5" s="13"/>
    </row>
    <row r="6" spans="2:18" x14ac:dyDescent="0.2">
      <c r="F6" s="13"/>
    </row>
    <row r="7" spans="2:18" x14ac:dyDescent="0.2">
      <c r="B7" s="20" t="s">
        <v>66</v>
      </c>
      <c r="F7" s="13"/>
    </row>
    <row r="8" spans="2:18" x14ac:dyDescent="0.2">
      <c r="B8" s="2" t="s">
        <v>557</v>
      </c>
      <c r="F8" s="13"/>
    </row>
    <row r="9" spans="2:18" x14ac:dyDescent="0.2">
      <c r="B9" s="2" t="s">
        <v>548</v>
      </c>
      <c r="F9" s="13"/>
    </row>
    <row r="10" spans="2:18" x14ac:dyDescent="0.2">
      <c r="B10" s="2" t="s">
        <v>300</v>
      </c>
      <c r="F10" s="13"/>
    </row>
    <row r="12" spans="2:18" s="8" customFormat="1" x14ac:dyDescent="0.2">
      <c r="B12" s="8" t="s">
        <v>80</v>
      </c>
      <c r="D12" s="8" t="s">
        <v>81</v>
      </c>
      <c r="F12" s="8" t="s">
        <v>82</v>
      </c>
      <c r="H12" s="8" t="s">
        <v>83</v>
      </c>
      <c r="J12" s="8" t="s">
        <v>68</v>
      </c>
      <c r="K12" s="8" t="s">
        <v>69</v>
      </c>
      <c r="L12" s="8" t="s">
        <v>70</v>
      </c>
      <c r="M12" s="8" t="s">
        <v>71</v>
      </c>
      <c r="N12" s="8" t="s">
        <v>72</v>
      </c>
      <c r="P12" s="8" t="s">
        <v>40</v>
      </c>
      <c r="R12" s="8" t="s">
        <v>39</v>
      </c>
    </row>
    <row r="15" spans="2:18" s="8" customFormat="1" x14ac:dyDescent="0.2">
      <c r="B15" s="8" t="s">
        <v>558</v>
      </c>
    </row>
    <row r="17" spans="2:18" x14ac:dyDescent="0.2">
      <c r="B17" s="1" t="s">
        <v>559</v>
      </c>
    </row>
    <row r="18" spans="2:18" x14ac:dyDescent="0.2">
      <c r="B18" s="2" t="s">
        <v>560</v>
      </c>
      <c r="D18" s="2" t="s">
        <v>130</v>
      </c>
      <c r="J18" s="150">
        <v>2493546.5315789287</v>
      </c>
      <c r="K18" s="150">
        <v>509699.9188410393</v>
      </c>
      <c r="L18" s="150">
        <v>787065.42689036299</v>
      </c>
      <c r="M18" s="150">
        <v>705947.25977256079</v>
      </c>
      <c r="N18" s="150">
        <v>9979.1817040533169</v>
      </c>
      <c r="P18" s="2" t="s">
        <v>602</v>
      </c>
      <c r="R18" s="2" t="s">
        <v>761</v>
      </c>
    </row>
    <row r="19" spans="2:18" x14ac:dyDescent="0.2">
      <c r="B19" s="2" t="s">
        <v>561</v>
      </c>
      <c r="D19" s="2" t="s">
        <v>130</v>
      </c>
      <c r="J19" s="184"/>
      <c r="K19" s="185"/>
      <c r="L19" s="184"/>
      <c r="M19" s="150">
        <v>211119.35984977329</v>
      </c>
      <c r="N19" s="185"/>
      <c r="P19" s="2" t="s">
        <v>603</v>
      </c>
      <c r="R19" s="2" t="s">
        <v>761</v>
      </c>
    </row>
    <row r="20" spans="2:18" x14ac:dyDescent="0.2">
      <c r="B20" s="2" t="s">
        <v>562</v>
      </c>
      <c r="D20" s="2" t="s">
        <v>563</v>
      </c>
      <c r="J20" s="186">
        <v>2.6452037778014231E-2</v>
      </c>
      <c r="K20" s="186">
        <v>26.393842632850529</v>
      </c>
      <c r="L20" s="186">
        <v>0.43472759518395482</v>
      </c>
      <c r="M20" s="186">
        <v>259.41325158362685</v>
      </c>
      <c r="N20" s="186">
        <v>1.035642024771027</v>
      </c>
      <c r="P20" s="2" t="s">
        <v>604</v>
      </c>
      <c r="R20" s="2" t="s">
        <v>761</v>
      </c>
    </row>
    <row r="21" spans="2:18" x14ac:dyDescent="0.2">
      <c r="B21" s="2" t="s">
        <v>564</v>
      </c>
      <c r="D21" s="2" t="s">
        <v>563</v>
      </c>
      <c r="J21" s="187"/>
      <c r="K21" s="187"/>
      <c r="L21" s="187"/>
      <c r="M21" s="186">
        <v>729.3038827968561</v>
      </c>
      <c r="N21" s="187"/>
      <c r="P21" s="2" t="s">
        <v>605</v>
      </c>
      <c r="R21" s="2" t="s">
        <v>761</v>
      </c>
    </row>
    <row r="22" spans="2:18" x14ac:dyDescent="0.2">
      <c r="J22" s="83"/>
      <c r="K22" s="83"/>
      <c r="L22" s="83"/>
      <c r="M22" s="83"/>
      <c r="N22" s="83"/>
    </row>
    <row r="23" spans="2:18" s="8" customFormat="1" x14ac:dyDescent="0.2">
      <c r="B23" s="8" t="s">
        <v>282</v>
      </c>
      <c r="J23" s="42"/>
      <c r="K23" s="42"/>
      <c r="L23" s="42"/>
      <c r="M23" s="42"/>
      <c r="N23" s="42"/>
    </row>
    <row r="24" spans="2:18" x14ac:dyDescent="0.2">
      <c r="J24" s="13"/>
      <c r="K24" s="13"/>
      <c r="L24" s="13"/>
      <c r="M24" s="13"/>
      <c r="N24" s="13"/>
    </row>
    <row r="25" spans="2:18" x14ac:dyDescent="0.2">
      <c r="B25" s="1" t="s">
        <v>565</v>
      </c>
      <c r="J25" s="13"/>
      <c r="K25" s="13"/>
      <c r="L25" s="13"/>
      <c r="M25" s="13"/>
      <c r="N25" s="13"/>
    </row>
    <row r="26" spans="2:18" x14ac:dyDescent="0.2">
      <c r="B26" s="2" t="s">
        <v>560</v>
      </c>
      <c r="D26" s="2" t="s">
        <v>130</v>
      </c>
      <c r="J26" s="152">
        <v>2397353.4600111921</v>
      </c>
      <c r="K26" s="152">
        <v>489645.4971391334</v>
      </c>
      <c r="L26" s="152">
        <v>755480.47888693179</v>
      </c>
      <c r="M26" s="152">
        <v>674414.50767331733</v>
      </c>
      <c r="N26" s="152">
        <v>9553.0878223043801</v>
      </c>
      <c r="P26" s="2" t="s">
        <v>606</v>
      </c>
    </row>
    <row r="27" spans="2:18" x14ac:dyDescent="0.2">
      <c r="B27" s="2" t="s">
        <v>561</v>
      </c>
      <c r="D27" s="2" t="s">
        <v>130</v>
      </c>
      <c r="J27" s="176"/>
      <c r="K27" s="176"/>
      <c r="L27" s="176"/>
      <c r="M27" s="152">
        <v>185029.71464968059</v>
      </c>
      <c r="N27" s="176"/>
      <c r="P27" s="2" t="s">
        <v>607</v>
      </c>
    </row>
    <row r="28" spans="2:18" x14ac:dyDescent="0.2">
      <c r="B28" s="2" t="s">
        <v>562</v>
      </c>
      <c r="D28" s="2" t="s">
        <v>563</v>
      </c>
      <c r="J28" s="186">
        <v>2.6161065362456073E-2</v>
      </c>
      <c r="K28" s="186">
        <v>25.310497736553295</v>
      </c>
      <c r="L28" s="186">
        <v>0.4299455916369313</v>
      </c>
      <c r="M28" s="186">
        <v>256.55970581620693</v>
      </c>
      <c r="N28" s="186">
        <v>0.97279191932370968</v>
      </c>
      <c r="P28" s="2" t="s">
        <v>608</v>
      </c>
    </row>
    <row r="29" spans="2:18" x14ac:dyDescent="0.2">
      <c r="B29" s="2" t="s">
        <v>564</v>
      </c>
      <c r="D29" s="2" t="s">
        <v>563</v>
      </c>
      <c r="J29" s="187"/>
      <c r="K29" s="187"/>
      <c r="L29" s="187"/>
      <c r="M29" s="186">
        <v>638.40609323957256</v>
      </c>
      <c r="N29" s="187"/>
      <c r="P29" s="2" t="s">
        <v>609</v>
      </c>
    </row>
    <row r="30" spans="2:18" x14ac:dyDescent="0.2">
      <c r="J30" s="13"/>
      <c r="K30" s="13"/>
      <c r="L30" s="13"/>
      <c r="M30" s="13"/>
      <c r="N30" s="13"/>
    </row>
    <row r="31" spans="2:18" x14ac:dyDescent="0.2">
      <c r="B31" s="1" t="s">
        <v>566</v>
      </c>
      <c r="J31" s="13"/>
      <c r="K31" s="13"/>
      <c r="L31" s="13"/>
      <c r="M31" s="13"/>
      <c r="N31" s="13"/>
    </row>
    <row r="32" spans="2:18" x14ac:dyDescent="0.2">
      <c r="B32" s="20" t="s">
        <v>36</v>
      </c>
      <c r="D32" s="20" t="s">
        <v>92</v>
      </c>
      <c r="J32" s="177" t="s">
        <v>93</v>
      </c>
      <c r="K32" s="177" t="s">
        <v>94</v>
      </c>
      <c r="L32" s="177" t="s">
        <v>95</v>
      </c>
      <c r="M32" s="177" t="s">
        <v>96</v>
      </c>
      <c r="N32" s="177" t="s">
        <v>95</v>
      </c>
      <c r="O32" s="20"/>
      <c r="P32" s="20"/>
    </row>
    <row r="33" spans="2:16" x14ac:dyDescent="0.2">
      <c r="B33" s="2" t="s">
        <v>566</v>
      </c>
      <c r="D33" s="20" t="s">
        <v>92</v>
      </c>
      <c r="J33" s="152">
        <v>16551729.997999959</v>
      </c>
      <c r="K33" s="152">
        <v>18840.837267081202</v>
      </c>
      <c r="L33" s="152">
        <v>197952.55799999996</v>
      </c>
      <c r="M33" s="152">
        <v>1149.8493807187922</v>
      </c>
      <c r="N33" s="152">
        <v>1979.52558</v>
      </c>
      <c r="P33" s="2" t="s">
        <v>580</v>
      </c>
    </row>
    <row r="34" spans="2:16" x14ac:dyDescent="0.2">
      <c r="B34" s="2" t="s">
        <v>576</v>
      </c>
      <c r="D34" s="20" t="s">
        <v>92</v>
      </c>
      <c r="J34" s="43"/>
      <c r="K34" s="43"/>
      <c r="L34" s="43"/>
      <c r="M34" s="152">
        <v>1036.1666666666667</v>
      </c>
      <c r="N34" s="43"/>
      <c r="P34" s="75" t="s">
        <v>581</v>
      </c>
    </row>
    <row r="35" spans="2:16" x14ac:dyDescent="0.2">
      <c r="J35" s="13"/>
      <c r="K35" s="13"/>
      <c r="L35" s="13"/>
      <c r="M35" s="13"/>
      <c r="N35" s="13"/>
    </row>
    <row r="36" spans="2:16" x14ac:dyDescent="0.2">
      <c r="B36" s="2" t="s">
        <v>567</v>
      </c>
      <c r="D36" s="2" t="s">
        <v>73</v>
      </c>
      <c r="J36" s="43"/>
      <c r="K36" s="147">
        <v>0.12</v>
      </c>
      <c r="L36" s="178"/>
      <c r="M36" s="147">
        <v>0.22</v>
      </c>
      <c r="N36" s="43"/>
      <c r="P36" s="2" t="s">
        <v>582</v>
      </c>
    </row>
    <row r="37" spans="2:16" x14ac:dyDescent="0.2">
      <c r="J37" s="13"/>
      <c r="K37" s="13"/>
      <c r="L37" s="13"/>
      <c r="M37" s="13"/>
      <c r="N37" s="13"/>
    </row>
    <row r="38" spans="2:16" x14ac:dyDescent="0.2">
      <c r="B38" s="1" t="s">
        <v>568</v>
      </c>
      <c r="J38" s="13"/>
      <c r="K38" s="13"/>
      <c r="L38" s="13"/>
      <c r="M38" s="13"/>
      <c r="N38" s="13"/>
    </row>
    <row r="39" spans="2:16" x14ac:dyDescent="0.2">
      <c r="B39" s="2" t="s">
        <v>569</v>
      </c>
      <c r="D39" s="2" t="s">
        <v>570</v>
      </c>
      <c r="J39" s="155">
        <v>0.38343581143117444</v>
      </c>
      <c r="K39" s="43"/>
      <c r="L39" s="43"/>
      <c r="M39" s="43"/>
      <c r="N39" s="43"/>
      <c r="P39" s="83" t="s">
        <v>584</v>
      </c>
    </row>
    <row r="40" spans="2:16" x14ac:dyDescent="0.2">
      <c r="B40" s="2" t="s">
        <v>571</v>
      </c>
      <c r="D40" s="2" t="s">
        <v>570</v>
      </c>
      <c r="J40" s="155">
        <v>0.35715770033129524</v>
      </c>
      <c r="K40" s="43"/>
      <c r="L40" s="43"/>
      <c r="M40" s="43"/>
      <c r="N40" s="43"/>
      <c r="P40" s="2" t="s">
        <v>583</v>
      </c>
    </row>
    <row r="41" spans="2:16" x14ac:dyDescent="0.2">
      <c r="B41" s="2" t="s">
        <v>568</v>
      </c>
      <c r="D41" s="2" t="s">
        <v>572</v>
      </c>
      <c r="J41" s="43"/>
      <c r="K41" s="43"/>
      <c r="L41" s="155">
        <v>5.5023984424735932</v>
      </c>
      <c r="M41" s="43"/>
      <c r="N41" s="43"/>
      <c r="P41" s="2" t="s">
        <v>584</v>
      </c>
    </row>
    <row r="42" spans="2:16" x14ac:dyDescent="0.2">
      <c r="J42" s="13"/>
      <c r="K42" s="13"/>
      <c r="L42" s="13"/>
      <c r="M42" s="13"/>
      <c r="N42" s="13"/>
    </row>
    <row r="43" spans="2:16" x14ac:dyDescent="0.2">
      <c r="B43" s="2" t="s">
        <v>601</v>
      </c>
      <c r="D43" s="2" t="s">
        <v>130</v>
      </c>
      <c r="J43" s="152">
        <v>81078.496044311585</v>
      </c>
      <c r="K43" s="178"/>
      <c r="L43" s="178"/>
      <c r="M43" s="178"/>
      <c r="N43" s="178"/>
      <c r="P43" s="2" t="s">
        <v>758</v>
      </c>
    </row>
    <row r="44" spans="2:16" x14ac:dyDescent="0.2">
      <c r="J44" s="13"/>
      <c r="K44" s="13"/>
      <c r="L44" s="13"/>
      <c r="M44" s="13"/>
      <c r="N44" s="13"/>
    </row>
    <row r="45" spans="2:16" s="8" customFormat="1" x14ac:dyDescent="0.2">
      <c r="B45" s="8" t="s">
        <v>549</v>
      </c>
      <c r="J45" s="42"/>
      <c r="K45" s="42"/>
      <c r="L45" s="42"/>
      <c r="M45" s="42"/>
      <c r="N45" s="42"/>
    </row>
    <row r="46" spans="2:16" x14ac:dyDescent="0.2">
      <c r="J46" s="13"/>
      <c r="K46" s="13"/>
      <c r="L46" s="13"/>
      <c r="M46" s="13"/>
      <c r="N46" s="13"/>
    </row>
    <row r="47" spans="2:16" x14ac:dyDescent="0.2">
      <c r="B47" s="1" t="s">
        <v>201</v>
      </c>
      <c r="J47" s="13"/>
      <c r="K47" s="13"/>
      <c r="L47" s="13"/>
      <c r="M47" s="13"/>
      <c r="N47" s="13"/>
    </row>
    <row r="48" spans="2:16" x14ac:dyDescent="0.2">
      <c r="B48" s="2" t="s">
        <v>550</v>
      </c>
      <c r="D48" s="2" t="s">
        <v>95</v>
      </c>
      <c r="J48" s="37"/>
      <c r="K48" s="37"/>
      <c r="L48" s="179">
        <v>201600</v>
      </c>
      <c r="M48" s="37"/>
      <c r="N48" s="37"/>
      <c r="P48" s="2" t="s">
        <v>585</v>
      </c>
    </row>
    <row r="49" spans="2:16" x14ac:dyDescent="0.2">
      <c r="B49" s="2" t="s">
        <v>551</v>
      </c>
      <c r="D49" s="2" t="s">
        <v>552</v>
      </c>
      <c r="J49" s="37"/>
      <c r="K49" s="37"/>
      <c r="L49" s="155">
        <v>0.29609999999999997</v>
      </c>
      <c r="M49" s="37"/>
      <c r="N49" s="37"/>
      <c r="P49" s="2" t="s">
        <v>589</v>
      </c>
    </row>
    <row r="50" spans="2:16" x14ac:dyDescent="0.2">
      <c r="B50" s="2" t="s">
        <v>553</v>
      </c>
      <c r="D50" s="2" t="s">
        <v>552</v>
      </c>
      <c r="J50" s="37"/>
      <c r="K50" s="37"/>
      <c r="L50" s="155">
        <v>0.27649987622458405</v>
      </c>
      <c r="M50" s="37"/>
      <c r="N50" s="37"/>
      <c r="P50" s="2" t="s">
        <v>598</v>
      </c>
    </row>
    <row r="51" spans="2:16" x14ac:dyDescent="0.2">
      <c r="B51" s="2" t="s">
        <v>104</v>
      </c>
      <c r="D51" s="2" t="s">
        <v>105</v>
      </c>
      <c r="J51" s="37"/>
      <c r="K51" s="37"/>
      <c r="L51" s="152">
        <v>4.5758463390315596</v>
      </c>
      <c r="M51" s="37"/>
      <c r="N51" s="37"/>
      <c r="P51" s="2" t="s">
        <v>588</v>
      </c>
    </row>
    <row r="52" spans="2:16" x14ac:dyDescent="0.2">
      <c r="B52" s="2" t="s">
        <v>554</v>
      </c>
      <c r="D52" s="2" t="s">
        <v>73</v>
      </c>
      <c r="J52" s="37"/>
      <c r="K52" s="37"/>
      <c r="L52" s="180">
        <v>0.5</v>
      </c>
      <c r="M52" s="37"/>
      <c r="N52" s="37"/>
      <c r="P52" s="83" t="s">
        <v>555</v>
      </c>
    </row>
    <row r="53" spans="2:16" x14ac:dyDescent="0.2">
      <c r="J53" s="13"/>
      <c r="K53" s="13"/>
      <c r="L53" s="161"/>
      <c r="M53" s="13"/>
      <c r="N53" s="13"/>
      <c r="P53" s="13"/>
    </row>
    <row r="54" spans="2:16" ht="12.75" customHeight="1" x14ac:dyDescent="0.2">
      <c r="B54" s="1" t="s">
        <v>280</v>
      </c>
      <c r="F54" s="13"/>
      <c r="J54" s="13"/>
      <c r="K54" s="13"/>
      <c r="L54" s="13"/>
      <c r="M54" s="13"/>
      <c r="N54" s="13"/>
    </row>
    <row r="55" spans="2:16" ht="12.75" customHeight="1" x14ac:dyDescent="0.2">
      <c r="B55" s="2" t="s">
        <v>556</v>
      </c>
      <c r="D55" s="2" t="s">
        <v>289</v>
      </c>
      <c r="J55" s="43"/>
      <c r="K55" s="43"/>
      <c r="L55" s="43"/>
      <c r="M55" s="152">
        <v>281.40138554396282</v>
      </c>
      <c r="N55" s="43"/>
      <c r="P55" s="2" t="s">
        <v>590</v>
      </c>
    </row>
    <row r="56" spans="2:16" ht="12.75" customHeight="1" x14ac:dyDescent="0.2">
      <c r="B56" s="2" t="s">
        <v>107</v>
      </c>
      <c r="D56" s="2" t="s">
        <v>289</v>
      </c>
      <c r="J56" s="43"/>
      <c r="K56" s="43"/>
      <c r="L56" s="43"/>
      <c r="M56" s="152">
        <v>195.4296490024484</v>
      </c>
      <c r="N56" s="43"/>
      <c r="P56" s="2" t="s">
        <v>591</v>
      </c>
    </row>
    <row r="57" spans="2:16" x14ac:dyDescent="0.2">
      <c r="F57" s="13"/>
      <c r="J57" s="13"/>
      <c r="K57" s="13"/>
      <c r="L57" s="13"/>
      <c r="M57" s="13"/>
      <c r="N57" s="13"/>
    </row>
    <row r="58" spans="2:16" ht="12.75" customHeight="1" x14ac:dyDescent="0.2">
      <c r="B58" s="2" t="s">
        <v>108</v>
      </c>
      <c r="D58" s="2" t="s">
        <v>289</v>
      </c>
      <c r="J58" s="43"/>
      <c r="K58" s="152">
        <v>305.43662127586322</v>
      </c>
      <c r="L58" s="178"/>
      <c r="M58" s="178"/>
      <c r="N58" s="43"/>
      <c r="P58" s="2" t="s">
        <v>592</v>
      </c>
    </row>
    <row r="59" spans="2:16" ht="12.75" customHeight="1" x14ac:dyDescent="0.2">
      <c r="B59" s="2" t="s">
        <v>109</v>
      </c>
      <c r="D59" s="2" t="s">
        <v>289</v>
      </c>
      <c r="J59" s="43"/>
      <c r="K59" s="152">
        <v>189.55349078801981</v>
      </c>
      <c r="L59" s="178"/>
      <c r="M59" s="178"/>
      <c r="N59" s="43"/>
      <c r="P59" s="2" t="s">
        <v>593</v>
      </c>
    </row>
    <row r="60" spans="2:16" ht="12.75" customHeight="1" x14ac:dyDescent="0.2">
      <c r="B60" s="2" t="s">
        <v>110</v>
      </c>
      <c r="D60" s="2" t="s">
        <v>289</v>
      </c>
      <c r="J60" s="43"/>
      <c r="K60" s="152">
        <v>205.78594305755018</v>
      </c>
      <c r="L60" s="178"/>
      <c r="M60" s="178"/>
      <c r="N60" s="43"/>
      <c r="P60" s="2" t="s">
        <v>594</v>
      </c>
    </row>
    <row r="61" spans="2:16" ht="12.75" customHeight="1" x14ac:dyDescent="0.2">
      <c r="J61" s="13"/>
      <c r="K61" s="83"/>
      <c r="L61" s="83"/>
      <c r="M61" s="83"/>
      <c r="N61" s="13"/>
      <c r="P61" s="13"/>
    </row>
    <row r="62" spans="2:16" ht="12.75" customHeight="1" x14ac:dyDescent="0.2">
      <c r="B62" s="2" t="s">
        <v>111</v>
      </c>
      <c r="D62" s="2" t="s">
        <v>289</v>
      </c>
      <c r="J62" s="43"/>
      <c r="K62" s="152">
        <v>40</v>
      </c>
      <c r="L62" s="178"/>
      <c r="M62" s="152">
        <v>40</v>
      </c>
      <c r="N62" s="43"/>
      <c r="P62" s="2" t="s">
        <v>595</v>
      </c>
    </row>
    <row r="63" spans="2:16" x14ac:dyDescent="0.2">
      <c r="J63" s="13"/>
      <c r="K63" s="83"/>
      <c r="L63" s="83"/>
      <c r="M63" s="83"/>
      <c r="N63" s="13"/>
    </row>
    <row r="64" spans="2:16" s="8" customFormat="1" x14ac:dyDescent="0.2">
      <c r="B64" s="8" t="s">
        <v>547</v>
      </c>
      <c r="J64" s="42"/>
      <c r="K64" s="42"/>
      <c r="L64" s="42"/>
      <c r="M64" s="42"/>
      <c r="N64" s="42"/>
    </row>
    <row r="65" spans="2:18" x14ac:dyDescent="0.2">
      <c r="J65" s="13"/>
      <c r="K65" s="13"/>
      <c r="L65" s="13"/>
      <c r="M65" s="13"/>
      <c r="N65" s="13"/>
    </row>
    <row r="66" spans="2:18" x14ac:dyDescent="0.2">
      <c r="B66" s="1" t="s">
        <v>421</v>
      </c>
      <c r="J66" s="13"/>
      <c r="K66" s="13"/>
      <c r="L66" s="13"/>
      <c r="M66" s="13"/>
      <c r="N66" s="13"/>
    </row>
    <row r="67" spans="2:18" x14ac:dyDescent="0.2">
      <c r="B67" s="2" t="s">
        <v>202</v>
      </c>
      <c r="D67" s="2" t="s">
        <v>113</v>
      </c>
      <c r="J67" s="37"/>
      <c r="K67" s="37"/>
      <c r="L67" s="37"/>
      <c r="M67" s="150">
        <v>518</v>
      </c>
      <c r="N67" s="37"/>
      <c r="P67" s="83" t="s">
        <v>321</v>
      </c>
      <c r="R67" s="2" t="s">
        <v>322</v>
      </c>
    </row>
    <row r="68" spans="2:18" x14ac:dyDescent="0.2">
      <c r="B68" s="2" t="s">
        <v>203</v>
      </c>
      <c r="D68" s="2" t="s">
        <v>88</v>
      </c>
      <c r="J68" s="37"/>
      <c r="K68" s="37"/>
      <c r="L68" s="37"/>
      <c r="M68" s="179">
        <v>307847</v>
      </c>
      <c r="N68" s="37"/>
      <c r="P68" s="83" t="s">
        <v>325</v>
      </c>
    </row>
    <row r="69" spans="2:18" x14ac:dyDescent="0.2">
      <c r="B69" s="2" t="s">
        <v>204</v>
      </c>
      <c r="D69" s="2" t="s">
        <v>88</v>
      </c>
      <c r="J69" s="37"/>
      <c r="K69" s="37"/>
      <c r="L69" s="37"/>
      <c r="M69" s="179">
        <v>24424</v>
      </c>
      <c r="N69" s="37"/>
      <c r="P69" s="83" t="s">
        <v>326</v>
      </c>
    </row>
    <row r="70" spans="2:18" x14ac:dyDescent="0.2">
      <c r="J70" s="13"/>
      <c r="K70" s="13"/>
      <c r="L70" s="13"/>
      <c r="M70" s="13"/>
      <c r="N70" s="13"/>
    </row>
    <row r="71" spans="2:18" s="8" customFormat="1" x14ac:dyDescent="0.2">
      <c r="B71" s="8" t="s">
        <v>179</v>
      </c>
      <c r="J71" s="42"/>
      <c r="K71" s="42"/>
      <c r="L71" s="42"/>
      <c r="M71" s="42"/>
      <c r="N71" s="42"/>
    </row>
    <row r="72" spans="2:18" x14ac:dyDescent="0.2">
      <c r="J72" s="13"/>
      <c r="K72" s="13"/>
      <c r="L72" s="13"/>
      <c r="M72" s="13"/>
      <c r="N72" s="13"/>
    </row>
    <row r="73" spans="2:18" x14ac:dyDescent="0.2">
      <c r="B73" s="2" t="s">
        <v>179</v>
      </c>
      <c r="D73" s="2" t="s">
        <v>130</v>
      </c>
      <c r="J73" s="178"/>
      <c r="K73" s="150">
        <v>9113.5289719668417</v>
      </c>
      <c r="L73" s="178"/>
      <c r="M73" s="150">
        <v>30286.227099380721</v>
      </c>
      <c r="N73" s="178"/>
      <c r="P73" s="128" t="s">
        <v>573</v>
      </c>
    </row>
    <row r="74" spans="2:18" x14ac:dyDescent="0.2">
      <c r="J74" s="13"/>
      <c r="K74" s="13"/>
      <c r="L74" s="13"/>
      <c r="M74" s="13"/>
      <c r="N74" s="13"/>
    </row>
    <row r="75" spans="2:18" x14ac:dyDescent="0.2">
      <c r="J75" s="13"/>
      <c r="K75" s="13"/>
      <c r="L75" s="13"/>
      <c r="M75" s="13"/>
      <c r="N75" s="13"/>
    </row>
    <row r="76" spans="2:18" x14ac:dyDescent="0.2">
      <c r="B76" s="4" t="s">
        <v>63</v>
      </c>
      <c r="J76" s="13"/>
      <c r="K76" s="13"/>
      <c r="L76" s="13"/>
      <c r="M76" s="13"/>
      <c r="N76" s="13"/>
    </row>
  </sheetData>
  <phoneticPr fontId="31"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5e7bef76-b888-41a2-a261-5f525b37d47e">ECT67VDXDTCW-640230012-2</_dlc_DocId>
    <_dlc_DocIdUrl xmlns="5e7bef76-b888-41a2-a261-5f525b37d47e">
      <Url>https://intranet.acm.local/project/excellent-in-excel/_layouts/15/DocIdRedir.aspx?ID=ECT67VDXDTCW-640230012-2</Url>
      <Description>ECT67VDXDTCW-640230012-2</Description>
    </_dlc_DocIdUrl>
    <Status xmlns="94b38974-1436-4631-a0be-797faa579778">Actueel</Statu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459BCFB3BA7984093AF6B5FDACCE3FF" ma:contentTypeVersion="3" ma:contentTypeDescription="Een nieuw document maken." ma:contentTypeScope="" ma:versionID="5ca2a2452ccfef2a6add69ec11766239">
  <xsd:schema xmlns:xsd="http://www.w3.org/2001/XMLSchema" xmlns:xs="http://www.w3.org/2001/XMLSchema" xmlns:p="http://schemas.microsoft.com/office/2006/metadata/properties" xmlns:ns2="5e7bef76-b888-41a2-a261-5f525b37d47e" xmlns:ns3="94b38974-1436-4631-a0be-797faa579778" targetNamespace="http://schemas.microsoft.com/office/2006/metadata/properties" ma:root="true" ma:fieldsID="5142b64c9d09e650d70bec54211324f3" ns2:_="" ns3:_="">
    <xsd:import namespace="5e7bef76-b888-41a2-a261-5f525b37d47e"/>
    <xsd:import namespace="94b38974-1436-4631-a0be-797faa579778"/>
    <xsd:element name="properties">
      <xsd:complexType>
        <xsd:sequence>
          <xsd:element name="documentManagement">
            <xsd:complexType>
              <xsd:all>
                <xsd:element ref="ns2:_dlc_DocId" minOccurs="0"/>
                <xsd:element ref="ns2:_dlc_DocIdUrl" minOccurs="0"/>
                <xsd:element ref="ns2:_dlc_DocIdPersistId" minOccurs="0"/>
                <xsd:element ref="ns3: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7bef76-b888-41a2-a261-5f525b37d47e"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4b38974-1436-4631-a0be-797faa579778" elementFormDefault="qualified">
    <xsd:import namespace="http://schemas.microsoft.com/office/2006/documentManagement/types"/>
    <xsd:import namespace="http://schemas.microsoft.com/office/infopath/2007/PartnerControls"/>
    <xsd:element name="Status" ma:index="11" nillable="true" ma:displayName="Status" ma:default="Actueel" ma:format="RadioButtons" ma:internalName="Status">
      <xsd:simpleType>
        <xsd:restriction base="dms:Choice">
          <xsd:enumeration value="Actueel"/>
          <xsd:enumeration value="Archief"/>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7"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CDAB9D1-B815-4B0E-93E7-4496A7FE99F6}">
  <ds:schemaRefs>
    <ds:schemaRef ds:uri="http://schemas.microsoft.com/office/2006/metadata/properties"/>
    <ds:schemaRef ds:uri="http://schemas.microsoft.com/office/infopath/2007/PartnerControls"/>
    <ds:schemaRef ds:uri="5e7bef76-b888-41a2-a261-5f525b37d47e"/>
    <ds:schemaRef ds:uri="94b38974-1436-4631-a0be-797faa579778"/>
  </ds:schemaRefs>
</ds:datastoreItem>
</file>

<file path=customXml/itemProps2.xml><?xml version="1.0" encoding="utf-8"?>
<ds:datastoreItem xmlns:ds="http://schemas.openxmlformats.org/officeDocument/2006/customXml" ds:itemID="{BDF34196-3C60-4FBD-A6D7-F3FCE358BA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7bef76-b888-41a2-a261-5f525b37d47e"/>
    <ds:schemaRef ds:uri="94b38974-1436-4631-a0be-797faa5797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2835401-F49D-4D00-8F07-BF5788AC8903}">
  <ds:schemaRefs>
    <ds:schemaRef ds:uri="http://schemas.microsoft.com/sharepoint/v3/contenttype/forms"/>
  </ds:schemaRefs>
</ds:datastoreItem>
</file>

<file path=customXml/itemProps4.xml><?xml version="1.0" encoding="utf-8"?>
<ds:datastoreItem xmlns:ds="http://schemas.openxmlformats.org/officeDocument/2006/customXml" ds:itemID="{29821432-9D6D-4FB8-B669-75517133F53E}">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25</vt:i4>
      </vt:variant>
    </vt:vector>
  </HeadingPairs>
  <TitlesOfParts>
    <vt:vector size="25" baseType="lpstr">
      <vt:lpstr>Cover sheet</vt:lpstr>
      <vt:lpstr>Explanation</vt:lpstr>
      <vt:lpstr>Sources and specifics</vt:lpstr>
      <vt:lpstr>Result</vt:lpstr>
      <vt:lpstr>Input --&gt;</vt:lpstr>
      <vt:lpstr>Parameters</vt:lpstr>
      <vt:lpstr>Historical data</vt:lpstr>
      <vt:lpstr>Estimates</vt:lpstr>
      <vt:lpstr>Data ACM</vt:lpstr>
      <vt:lpstr>Financial data</vt:lpstr>
      <vt:lpstr>Calculations corrections --&gt;</vt:lpstr>
      <vt:lpstr>WACC correction 2024</vt:lpstr>
      <vt:lpstr>Volume-effect 2024</vt:lpstr>
      <vt:lpstr>Profit Sharing 2024</vt:lpstr>
      <vt:lpstr>Energy cost correction 2025</vt:lpstr>
      <vt:lpstr>Overview corrections</vt:lpstr>
      <vt:lpstr>Calculations tariffs --&gt;</vt:lpstr>
      <vt:lpstr>Fixed-variable costs</vt:lpstr>
      <vt:lpstr>Income level</vt:lpstr>
      <vt:lpstr>Variable tariffs electricity</vt:lpstr>
      <vt:lpstr>Fixed tariffs electricity</vt:lpstr>
      <vt:lpstr>Variable tariffs water</vt:lpstr>
      <vt:lpstr>Fixed tariffs water</vt:lpstr>
      <vt:lpstr>Dictum&amp;Bijlage 1 Electricity EN</vt:lpstr>
      <vt:lpstr>Dictum&amp;Bijlage 1 Water 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2018-05-15T11:27:11Z</dcterms:created>
  <dcterms:modified xsi:type="dcterms:W3CDTF">2026-06-08T11:08:54Z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0x010100F459BCFB3BA7984093AF6B5FDACCE3FF</vt:lpwstr>
  </property>
  <property fmtid="{D5CDD505-2E9C-101B-9397-08002B2CF9AE}" pid="3" name="_dlc_DocIdItemGuid">
    <vt:lpwstr>e0efd16f-45ee-4b9d-aa02-521177c04c12</vt:lpwstr>
  </property>
</Properties>
</file>