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24226"/>
  <xr:revisionPtr revIDLastSave="0" documentId="8_{42BEC48B-0FB5-4DB8-86E0-3687DBBF0F1D}" xr6:coauthVersionLast="47" xr6:coauthVersionMax="47" xr10:uidLastSave="{00000000-0000-0000-0000-000000000000}"/>
  <bookViews>
    <workbookView xWindow="28680" yWindow="-120" windowWidth="29040" windowHeight="17640" tabRatio="840" xr2:uid="{00000000-000D-0000-FFFF-FFFF00000000}"/>
  </bookViews>
  <sheets>
    <sheet name="Titelblad" sheetId="9" r:id="rId1"/>
    <sheet name="Toelichting" sheetId="31" r:id="rId2"/>
    <sheet name="Bronnen en toepassingen" sheetId="11" r:id="rId3"/>
    <sheet name="1. Resultaat" sheetId="21" r:id="rId4"/>
    <sheet name="Input --&gt;" sheetId="13" r:id="rId5"/>
    <sheet name="2. Input uit WACC modellen" sheetId="18" r:id="rId6"/>
    <sheet name="3. Input rente" sheetId="24" r:id="rId7"/>
    <sheet name="Berekeningen --&gt;" sheetId="15" r:id="rId8"/>
    <sheet name="4. Risicovrije rente" sheetId="22" r:id="rId9"/>
    <sheet name="5. Rente schulden" sheetId="26" r:id="rId10"/>
    <sheet name="6. WACC BV " sheetId="28" r:id="rId11"/>
    <sheet name="7. WACC NV" sheetId="30"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[1]ORI!#REF!</definedName>
    <definedName name="afd">'[2]PwC - Afdelingen'!$A$2:$B$109</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#REF!</definedName>
    <definedName name="DF_GRID_3">[1]ORI!#REF!</definedName>
    <definedName name="ee">[1]ORI!#REF!</definedName>
    <definedName name="eeee">'[7]Toegestane Omzet'!#REF!</definedName>
    <definedName name="Eigenaar">[3]Lijsten!$G$2:$G$11</definedName>
    <definedName name="eur">#REF!</definedName>
    <definedName name="factor">#REF!</definedName>
    <definedName name="fik">[8]cockpit!$B$9</definedName>
    <definedName name="Financiering">[3]Lijsten!$P$2:$P$9</definedName>
    <definedName name="Jaar">[3]Lijsten!$A$2:$A$19</definedName>
    <definedName name="Kwartaal">[3]Lijsten!$B$2:$B$5</definedName>
    <definedName name="METHODE">#REF!</definedName>
    <definedName name="Naam">[9]Lijsten!$B$3:$B$10</definedName>
    <definedName name="NAAM_NE">'[7]Toegestane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'[7]Toegestane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4" i="26" l="1"/>
  <c r="T21" i="26" l="1"/>
  <c r="T20" i="26"/>
  <c r="T19" i="26"/>
  <c r="R15" i="26"/>
  <c r="K16" i="26" l="1"/>
  <c r="L16" i="26"/>
  <c r="M16" i="26"/>
  <c r="N16" i="26"/>
  <c r="O16" i="26"/>
  <c r="P16" i="26"/>
  <c r="Q16" i="26"/>
  <c r="R16" i="26"/>
  <c r="J16" i="26"/>
  <c r="J14" i="26"/>
  <c r="J13" i="26"/>
  <c r="B30" i="31"/>
  <c r="T48" i="26" l="1"/>
  <c r="B31" i="31"/>
  <c r="B32" i="31" s="1"/>
  <c r="B36" i="31" s="1"/>
  <c r="J13" i="22" l="1"/>
  <c r="L150" i="30"/>
  <c r="M150" i="30"/>
  <c r="N150" i="30"/>
  <c r="O150" i="30"/>
  <c r="L151" i="30"/>
  <c r="M151" i="30"/>
  <c r="N151" i="30"/>
  <c r="O151" i="30"/>
  <c r="K151" i="30"/>
  <c r="K150" i="30"/>
  <c r="L145" i="30"/>
  <c r="M145" i="30"/>
  <c r="N145" i="30"/>
  <c r="O145" i="30"/>
  <c r="L146" i="30"/>
  <c r="M146" i="30"/>
  <c r="N146" i="30"/>
  <c r="O146" i="30"/>
  <c r="K146" i="30"/>
  <c r="K145" i="30"/>
  <c r="L141" i="30"/>
  <c r="M141" i="30"/>
  <c r="N141" i="30"/>
  <c r="O141" i="30"/>
  <c r="K141" i="30"/>
  <c r="L153" i="28"/>
  <c r="M153" i="28"/>
  <c r="N153" i="28"/>
  <c r="O153" i="28"/>
  <c r="L154" i="28"/>
  <c r="M154" i="28"/>
  <c r="N154" i="28"/>
  <c r="O154" i="28"/>
  <c r="K154" i="28"/>
  <c r="K153" i="28"/>
  <c r="K147" i="28"/>
  <c r="L147" i="28"/>
  <c r="M147" i="28"/>
  <c r="N147" i="28"/>
  <c r="O147" i="28"/>
  <c r="K148" i="28"/>
  <c r="L148" i="28"/>
  <c r="M148" i="28"/>
  <c r="N148" i="28"/>
  <c r="O148" i="28"/>
  <c r="K149" i="28"/>
  <c r="L149" i="28"/>
  <c r="M149" i="28"/>
  <c r="N149" i="28"/>
  <c r="O149" i="28"/>
  <c r="J148" i="28"/>
  <c r="J149" i="28"/>
  <c r="J147" i="28"/>
  <c r="L143" i="28"/>
  <c r="M143" i="28"/>
  <c r="N143" i="28"/>
  <c r="O143" i="28"/>
  <c r="K143" i="28"/>
  <c r="F52" i="30"/>
  <c r="F38" i="30"/>
  <c r="K39" i="30"/>
  <c r="K25" i="30"/>
  <c r="K53" i="30"/>
  <c r="F24" i="30"/>
  <c r="F59" i="30"/>
  <c r="F58" i="30"/>
  <c r="F56" i="30"/>
  <c r="F54" i="30"/>
  <c r="F50" i="30"/>
  <c r="F49" i="30"/>
  <c r="F45" i="30"/>
  <c r="F44" i="30"/>
  <c r="F42" i="30"/>
  <c r="F40" i="30"/>
  <c r="F36" i="30"/>
  <c r="F35" i="30"/>
  <c r="F31" i="30"/>
  <c r="F30" i="30"/>
  <c r="F28" i="30"/>
  <c r="F26" i="30"/>
  <c r="F22" i="30"/>
  <c r="F21" i="30"/>
  <c r="F17" i="30"/>
  <c r="O16" i="30"/>
  <c r="N16" i="30"/>
  <c r="M16" i="30"/>
  <c r="L16" i="30"/>
  <c r="K16" i="30"/>
  <c r="K52" i="28"/>
  <c r="F59" i="28"/>
  <c r="F58" i="28"/>
  <c r="F56" i="28"/>
  <c r="F54" i="28"/>
  <c r="L52" i="28"/>
  <c r="M52" i="28"/>
  <c r="N52" i="28"/>
  <c r="O52" i="28"/>
  <c r="O118" i="28" s="1"/>
  <c r="F50" i="28"/>
  <c r="F49" i="28"/>
  <c r="F45" i="28"/>
  <c r="F44" i="28"/>
  <c r="F42" i="28"/>
  <c r="F40" i="28"/>
  <c r="K38" i="28"/>
  <c r="L38" i="28"/>
  <c r="M38" i="28"/>
  <c r="N38" i="28"/>
  <c r="O38" i="28"/>
  <c r="J38" i="28"/>
  <c r="F36" i="28"/>
  <c r="F35" i="28"/>
  <c r="K16" i="28"/>
  <c r="L16" i="28"/>
  <c r="M16" i="28"/>
  <c r="N16" i="28"/>
  <c r="O16" i="28"/>
  <c r="F17" i="28"/>
  <c r="L63" i="28" s="1"/>
  <c r="J16" i="28"/>
  <c r="L24" i="28"/>
  <c r="M24" i="28"/>
  <c r="N24" i="28"/>
  <c r="O24" i="28"/>
  <c r="F26" i="28"/>
  <c r="K24" i="28"/>
  <c r="F28" i="28"/>
  <c r="F31" i="28"/>
  <c r="F30" i="28"/>
  <c r="S20" i="26"/>
  <c r="U20" i="26"/>
  <c r="V20" i="26"/>
  <c r="W20" i="26"/>
  <c r="X20" i="26"/>
  <c r="U21" i="26"/>
  <c r="V21" i="26"/>
  <c r="W21" i="26"/>
  <c r="X21" i="26"/>
  <c r="U19" i="26"/>
  <c r="V19" i="26"/>
  <c r="W19" i="26"/>
  <c r="X19" i="26"/>
  <c r="F22" i="28"/>
  <c r="F21" i="28"/>
  <c r="T14" i="26"/>
  <c r="U14" i="26"/>
  <c r="V14" i="26"/>
  <c r="W14" i="26"/>
  <c r="X14" i="26"/>
  <c r="X15" i="26"/>
  <c r="S14" i="26"/>
  <c r="R14" i="26"/>
  <c r="K13" i="26"/>
  <c r="L13" i="26"/>
  <c r="M13" i="26"/>
  <c r="N13" i="26"/>
  <c r="O13" i="26"/>
  <c r="P13" i="26"/>
  <c r="Q13" i="26"/>
  <c r="K14" i="26"/>
  <c r="L14" i="26"/>
  <c r="M14" i="26"/>
  <c r="N14" i="26"/>
  <c r="O14" i="26"/>
  <c r="P14" i="26"/>
  <c r="Q14" i="26"/>
  <c r="N15" i="26"/>
  <c r="O15" i="26"/>
  <c r="P15" i="26"/>
  <c r="Q15" i="26"/>
  <c r="S13" i="26"/>
  <c r="T13" i="26"/>
  <c r="U13" i="26"/>
  <c r="V13" i="26"/>
  <c r="W13" i="26"/>
  <c r="X13" i="26"/>
  <c r="R13" i="26"/>
  <c r="S16" i="26"/>
  <c r="T16" i="26"/>
  <c r="T39" i="26" l="1"/>
  <c r="T30" i="26"/>
  <c r="T26" i="26"/>
  <c r="T27" i="26" s="1"/>
  <c r="S39" i="26"/>
  <c r="J39" i="28" s="1"/>
  <c r="J90" i="28" s="1"/>
  <c r="K89" i="30"/>
  <c r="L68" i="30"/>
  <c r="O89" i="28"/>
  <c r="K89" i="28"/>
  <c r="K53" i="28"/>
  <c r="K119" i="28" s="1"/>
  <c r="N116" i="30"/>
  <c r="M89" i="30"/>
  <c r="F93" i="30"/>
  <c r="K94" i="30" s="1"/>
  <c r="K95" i="30" s="1"/>
  <c r="K69" i="30"/>
  <c r="N89" i="30"/>
  <c r="M116" i="30"/>
  <c r="O68" i="30"/>
  <c r="L89" i="30"/>
  <c r="L116" i="30"/>
  <c r="O89" i="30"/>
  <c r="O116" i="30"/>
  <c r="K118" i="28"/>
  <c r="J89" i="28"/>
  <c r="K117" i="30"/>
  <c r="K116" i="30"/>
  <c r="K68" i="30"/>
  <c r="N63" i="30"/>
  <c r="M68" i="30"/>
  <c r="K90" i="30"/>
  <c r="N68" i="30"/>
  <c r="K63" i="30"/>
  <c r="L63" i="30"/>
  <c r="M63" i="30"/>
  <c r="O63" i="30"/>
  <c r="F72" i="30"/>
  <c r="K73" i="30" s="1"/>
  <c r="F120" i="30"/>
  <c r="L118" i="28"/>
  <c r="M118" i="28"/>
  <c r="K68" i="28"/>
  <c r="F93" i="28"/>
  <c r="N94" i="28" s="1"/>
  <c r="N95" i="28" s="1"/>
  <c r="N118" i="28"/>
  <c r="F122" i="28"/>
  <c r="L89" i="28"/>
  <c r="N89" i="28"/>
  <c r="M89" i="28"/>
  <c r="K63" i="28"/>
  <c r="N63" i="28"/>
  <c r="O63" i="28"/>
  <c r="M63" i="28"/>
  <c r="J63" i="28"/>
  <c r="N68" i="28"/>
  <c r="S35" i="26"/>
  <c r="S36" i="26" s="1"/>
  <c r="M68" i="28"/>
  <c r="L68" i="28"/>
  <c r="O68" i="28"/>
  <c r="F72" i="28"/>
  <c r="K73" i="28" s="1"/>
  <c r="U26" i="26"/>
  <c r="U27" i="26" s="1"/>
  <c r="K25" i="28"/>
  <c r="K69" i="28" s="1"/>
  <c r="X45" i="26"/>
  <c r="X35" i="26"/>
  <c r="X36" i="26" s="1"/>
  <c r="T35" i="26"/>
  <c r="T36" i="26" s="1"/>
  <c r="W26" i="26"/>
  <c r="W27" i="26" s="1"/>
  <c r="T44" i="26"/>
  <c r="T45" i="26" s="1"/>
  <c r="W35" i="26"/>
  <c r="W36" i="26" s="1"/>
  <c r="X26" i="26"/>
  <c r="X27" i="26" s="1"/>
  <c r="V26" i="26"/>
  <c r="V27" i="26" s="1"/>
  <c r="V35" i="26"/>
  <c r="V36" i="26" s="1"/>
  <c r="W44" i="26"/>
  <c r="W45" i="26" s="1"/>
  <c r="U44" i="26"/>
  <c r="U45" i="26" s="1"/>
  <c r="K39" i="28"/>
  <c r="K90" i="28" s="1"/>
  <c r="U35" i="26"/>
  <c r="U36" i="26" s="1"/>
  <c r="V44" i="26"/>
  <c r="V45" i="26" s="1"/>
  <c r="K100" i="30" l="1"/>
  <c r="K94" i="28"/>
  <c r="O94" i="30"/>
  <c r="O95" i="30" s="1"/>
  <c r="O100" i="30" s="1"/>
  <c r="O101" i="30" s="1"/>
  <c r="O108" i="30" s="1"/>
  <c r="O35" i="21" s="1"/>
  <c r="L94" i="30"/>
  <c r="L95" i="30" s="1"/>
  <c r="L100" i="30" s="1"/>
  <c r="N94" i="30"/>
  <c r="N95" i="30" s="1"/>
  <c r="N100" i="30" s="1"/>
  <c r="M94" i="30"/>
  <c r="M95" i="30" s="1"/>
  <c r="M100" i="30" s="1"/>
  <c r="M107" i="30" s="1"/>
  <c r="M34" i="21" s="1"/>
  <c r="K101" i="30"/>
  <c r="K147" i="30" s="1"/>
  <c r="L73" i="30"/>
  <c r="L74" i="30" s="1"/>
  <c r="L79" i="30" s="1"/>
  <c r="N121" i="30"/>
  <c r="N122" i="30" s="1"/>
  <c r="N127" i="30" s="1"/>
  <c r="N73" i="30"/>
  <c r="N74" i="30" s="1"/>
  <c r="N79" i="30" s="1"/>
  <c r="L121" i="30"/>
  <c r="L122" i="30" s="1"/>
  <c r="L127" i="30" s="1"/>
  <c r="K107" i="30"/>
  <c r="K34" i="21" s="1"/>
  <c r="M73" i="30"/>
  <c r="M74" i="30" s="1"/>
  <c r="M79" i="30" s="1"/>
  <c r="O107" i="30"/>
  <c r="O34" i="21" s="1"/>
  <c r="O121" i="30"/>
  <c r="O122" i="30" s="1"/>
  <c r="O127" i="30" s="1"/>
  <c r="K121" i="30"/>
  <c r="K122" i="30" s="1"/>
  <c r="K127" i="30" s="1"/>
  <c r="K74" i="30"/>
  <c r="K79" i="30" s="1"/>
  <c r="M121" i="30"/>
  <c r="M122" i="30" s="1"/>
  <c r="M127" i="30" s="1"/>
  <c r="O73" i="30"/>
  <c r="O74" i="30" s="1"/>
  <c r="O79" i="30" s="1"/>
  <c r="M123" i="28"/>
  <c r="M124" i="28" s="1"/>
  <c r="M129" i="28" s="1"/>
  <c r="K123" i="28"/>
  <c r="K124" i="28" s="1"/>
  <c r="J94" i="28"/>
  <c r="J95" i="28" s="1"/>
  <c r="J100" i="28" s="1"/>
  <c r="M94" i="28"/>
  <c r="M95" i="28" s="1"/>
  <c r="M100" i="28" s="1"/>
  <c r="L94" i="28"/>
  <c r="L95" i="28" s="1"/>
  <c r="L100" i="28" s="1"/>
  <c r="L73" i="28"/>
  <c r="L74" i="28" s="1"/>
  <c r="L79" i="28" s="1"/>
  <c r="K74" i="28"/>
  <c r="K79" i="28" s="1"/>
  <c r="K95" i="28"/>
  <c r="K100" i="28" s="1"/>
  <c r="O94" i="28"/>
  <c r="O95" i="28" s="1"/>
  <c r="O100" i="28" s="1"/>
  <c r="O123" i="28"/>
  <c r="O124" i="28" s="1"/>
  <c r="O129" i="28" s="1"/>
  <c r="N123" i="28"/>
  <c r="N124" i="28" s="1"/>
  <c r="N129" i="28" s="1"/>
  <c r="N100" i="28"/>
  <c r="L123" i="28"/>
  <c r="L124" i="28" s="1"/>
  <c r="L129" i="28" s="1"/>
  <c r="O73" i="28"/>
  <c r="O74" i="28" s="1"/>
  <c r="O79" i="28" s="1"/>
  <c r="M73" i="28"/>
  <c r="M74" i="28" s="1"/>
  <c r="M79" i="28" s="1"/>
  <c r="N73" i="28"/>
  <c r="N74" i="28" s="1"/>
  <c r="N79" i="28" s="1"/>
  <c r="N107" i="30" l="1"/>
  <c r="N34" i="21" s="1"/>
  <c r="N101" i="30"/>
  <c r="N108" i="30" s="1"/>
  <c r="N35" i="21" s="1"/>
  <c r="K108" i="30"/>
  <c r="K35" i="21" s="1"/>
  <c r="M101" i="30"/>
  <c r="M108" i="30" s="1"/>
  <c r="M35" i="21" s="1"/>
  <c r="M83" i="28"/>
  <c r="M16" i="21" s="1"/>
  <c r="M144" i="28"/>
  <c r="N135" i="28"/>
  <c r="N43" i="21" s="1"/>
  <c r="K83" i="28"/>
  <c r="K16" i="21" s="1"/>
  <c r="K144" i="28"/>
  <c r="K83" i="30"/>
  <c r="K20" i="21" s="1"/>
  <c r="K142" i="30"/>
  <c r="O83" i="28"/>
  <c r="O16" i="21" s="1"/>
  <c r="O144" i="28"/>
  <c r="O135" i="28"/>
  <c r="O43" i="21" s="1"/>
  <c r="L83" i="28"/>
  <c r="L16" i="21" s="1"/>
  <c r="L144" i="28"/>
  <c r="J108" i="28"/>
  <c r="J26" i="21" s="1"/>
  <c r="M135" i="28"/>
  <c r="M43" i="21" s="1"/>
  <c r="M83" i="30"/>
  <c r="M20" i="21" s="1"/>
  <c r="M142" i="30"/>
  <c r="L108" i="28"/>
  <c r="L26" i="21" s="1"/>
  <c r="O83" i="30"/>
  <c r="O20" i="21" s="1"/>
  <c r="O142" i="30"/>
  <c r="N83" i="30"/>
  <c r="N20" i="21" s="1"/>
  <c r="N142" i="30"/>
  <c r="O147" i="30"/>
  <c r="L83" i="30"/>
  <c r="L20" i="21" s="1"/>
  <c r="L142" i="30"/>
  <c r="L135" i="28"/>
  <c r="L43" i="21" s="1"/>
  <c r="O108" i="28"/>
  <c r="O26" i="21" s="1"/>
  <c r="N83" i="28"/>
  <c r="N16" i="21" s="1"/>
  <c r="N144" i="28"/>
  <c r="N108" i="28"/>
  <c r="N26" i="21" s="1"/>
  <c r="K108" i="28"/>
  <c r="K26" i="21" s="1"/>
  <c r="M108" i="28"/>
  <c r="M26" i="21" s="1"/>
  <c r="N147" i="30"/>
  <c r="L101" i="30"/>
  <c r="L108" i="30" s="1"/>
  <c r="L35" i="21" s="1"/>
  <c r="L107" i="30"/>
  <c r="L34" i="21" s="1"/>
  <c r="N128" i="30"/>
  <c r="N152" i="30" s="1"/>
  <c r="N133" i="30"/>
  <c r="N49" i="21" s="1"/>
  <c r="L128" i="30"/>
  <c r="L152" i="30" s="1"/>
  <c r="L133" i="30"/>
  <c r="L49" i="21" s="1"/>
  <c r="K133" i="30"/>
  <c r="K49" i="21" s="1"/>
  <c r="K128" i="30"/>
  <c r="K134" i="30" s="1"/>
  <c r="K50" i="21" s="1"/>
  <c r="O133" i="30"/>
  <c r="O49" i="21" s="1"/>
  <c r="O128" i="30"/>
  <c r="O152" i="30" s="1"/>
  <c r="M128" i="30"/>
  <c r="M152" i="30" s="1"/>
  <c r="M133" i="30"/>
  <c r="M49" i="21" s="1"/>
  <c r="M130" i="28"/>
  <c r="M136" i="28" s="1"/>
  <c r="M44" i="21" s="1"/>
  <c r="N130" i="28"/>
  <c r="N136" i="28" s="1"/>
  <c r="N44" i="21" s="1"/>
  <c r="O130" i="28"/>
  <c r="O136" i="28" s="1"/>
  <c r="O44" i="21" s="1"/>
  <c r="L130" i="28"/>
  <c r="L136" i="28" s="1"/>
  <c r="L44" i="21" s="1"/>
  <c r="K129" i="28"/>
  <c r="L101" i="28"/>
  <c r="L109" i="28" s="1"/>
  <c r="L27" i="21" s="1"/>
  <c r="L102" i="28"/>
  <c r="L110" i="28" s="1"/>
  <c r="L28" i="21" s="1"/>
  <c r="K101" i="28"/>
  <c r="K109" i="28" s="1"/>
  <c r="K27" i="21" s="1"/>
  <c r="K102" i="28"/>
  <c r="K110" i="28" s="1"/>
  <c r="K28" i="21" s="1"/>
  <c r="M102" i="28"/>
  <c r="M110" i="28" s="1"/>
  <c r="M28" i="21" s="1"/>
  <c r="M101" i="28"/>
  <c r="M109" i="28" s="1"/>
  <c r="M27" i="21" s="1"/>
  <c r="N102" i="28"/>
  <c r="N110" i="28" s="1"/>
  <c r="N28" i="21" s="1"/>
  <c r="N101" i="28"/>
  <c r="N109" i="28" s="1"/>
  <c r="N27" i="21" s="1"/>
  <c r="O101" i="28"/>
  <c r="O109" i="28" s="1"/>
  <c r="O27" i="21" s="1"/>
  <c r="O102" i="28"/>
  <c r="O110" i="28" s="1"/>
  <c r="O28" i="21" s="1"/>
  <c r="J101" i="28"/>
  <c r="J109" i="28" s="1"/>
  <c r="J27" i="21" s="1"/>
  <c r="J102" i="28"/>
  <c r="J110" i="28" s="1"/>
  <c r="J28" i="21" s="1"/>
  <c r="O155" i="28" l="1"/>
  <c r="N155" i="28"/>
  <c r="L150" i="28"/>
  <c r="M147" i="30"/>
  <c r="J150" i="28"/>
  <c r="M150" i="28"/>
  <c r="N150" i="28"/>
  <c r="O150" i="28"/>
  <c r="K152" i="30"/>
  <c r="L147" i="30"/>
  <c r="M155" i="28"/>
  <c r="K150" i="28"/>
  <c r="L155" i="28"/>
  <c r="K130" i="28"/>
  <c r="K136" i="28" s="1"/>
  <c r="K44" i="21" s="1"/>
  <c r="K135" i="28"/>
  <c r="K43" i="21" s="1"/>
  <c r="L134" i="30"/>
  <c r="L50" i="21" s="1"/>
  <c r="O134" i="30"/>
  <c r="O50" i="21" s="1"/>
  <c r="M134" i="30"/>
  <c r="M50" i="21" s="1"/>
  <c r="N134" i="30"/>
  <c r="N50" i="21" s="1"/>
  <c r="K155" i="28" l="1"/>
  <c r="K13" i="22" l="1"/>
  <c r="K14" i="22"/>
  <c r="J14" i="22"/>
  <c r="J19" i="22" s="1"/>
  <c r="K19" i="22" l="1"/>
  <c r="J43" i="28"/>
  <c r="J96" i="28" s="1"/>
  <c r="J97" i="28" s="1"/>
  <c r="J103" i="28" s="1"/>
  <c r="K29" i="28" l="1"/>
  <c r="K75" i="28" s="1"/>
  <c r="K76" i="28" s="1"/>
  <c r="K80" i="28" s="1"/>
  <c r="K84" i="28" s="1"/>
  <c r="K17" i="21" s="1"/>
  <c r="K29" i="30"/>
  <c r="K75" i="30" s="1"/>
  <c r="K76" i="30" s="1"/>
  <c r="K80" i="30" s="1"/>
  <c r="K84" i="30" s="1"/>
  <c r="K21" i="21" s="1"/>
  <c r="K43" i="28"/>
  <c r="K43" i="30"/>
  <c r="K96" i="30" s="1"/>
  <c r="K97" i="30" s="1"/>
  <c r="K102" i="30" s="1"/>
  <c r="K57" i="28"/>
  <c r="K57" i="30"/>
  <c r="K123" i="30" s="1"/>
  <c r="K124" i="30" s="1"/>
  <c r="K129" i="30" s="1"/>
  <c r="J111" i="28"/>
  <c r="J29" i="21" s="1"/>
  <c r="J104" i="28"/>
  <c r="J112" i="28" s="1"/>
  <c r="J30" i="21" s="1"/>
  <c r="J105" i="28"/>
  <c r="J113" i="28" s="1"/>
  <c r="J31" i="21" s="1"/>
  <c r="K96" i="28" l="1"/>
  <c r="K97" i="28" s="1"/>
  <c r="K103" i="28" s="1"/>
  <c r="K125" i="28"/>
  <c r="K126" i="28" s="1"/>
  <c r="K131" i="28" s="1"/>
  <c r="K104" i="30"/>
  <c r="K111" i="30" s="1"/>
  <c r="K38" i="21" s="1"/>
  <c r="K103" i="30"/>
  <c r="K110" i="30" s="1"/>
  <c r="K37" i="21" s="1"/>
  <c r="K109" i="30"/>
  <c r="K36" i="21" s="1"/>
  <c r="K130" i="30"/>
  <c r="K136" i="30" s="1"/>
  <c r="K52" i="21" s="1"/>
  <c r="K135" i="30"/>
  <c r="K51" i="21" s="1"/>
  <c r="K105" i="28" l="1"/>
  <c r="K113" i="28" s="1"/>
  <c r="K31" i="21" s="1"/>
  <c r="K111" i="28"/>
  <c r="K29" i="21" s="1"/>
  <c r="K104" i="28"/>
  <c r="K112" i="28" s="1"/>
  <c r="K30" i="21" s="1"/>
  <c r="K132" i="28"/>
  <c r="K138" i="28" s="1"/>
  <c r="K46" i="21" s="1"/>
  <c r="K137" i="28"/>
  <c r="K45"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6" authorId="0" shapeId="0" xr:uid="{0F52DFE6-A524-498B-B4D1-5D7A9006684C}">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sharedStrings.xml><?xml version="1.0" encoding="utf-8"?>
<sst xmlns="http://schemas.openxmlformats.org/spreadsheetml/2006/main" count="835" uniqueCount="291">
  <si>
    <t>Overige opmerkingen</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</si>
  <si>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</si>
  <si>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</si>
  <si>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</si>
  <si>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</si>
  <si>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</si>
  <si>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</si>
  <si>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</si>
  <si>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</si>
  <si>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</si>
  <si>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</si>
  <si>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</si>
  <si>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</si>
  <si>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</si>
  <si>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</si>
  <si>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</si>
  <si>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</si>
  <si>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</si>
  <si>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</si>
  <si>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</si>
  <si>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</si>
  <si>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</si>
  <si>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</si>
  <si>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</si>
  <si>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</si>
  <si>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</si>
  <si>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</si>
  <si>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</si>
  <si>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</si>
  <si>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</si>
  <si>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</si>
  <si>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</si>
  <si>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</si>
  <si>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</si>
  <si>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</si>
  <si>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</si>
  <si>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</si>
  <si>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</si>
  <si>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</si>
  <si>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</si>
  <si>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</si>
  <si>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</si>
  <si>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</si>
  <si>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Rijtotaal</t>
  </si>
  <si>
    <t>Duiding van specifieke Excel-toepassingen en overige bijzonderheden</t>
  </si>
  <si>
    <t>Nr.</t>
  </si>
  <si>
    <t xml:space="preserve">Verkorte naam </t>
  </si>
  <si>
    <t>Beschrijving berekening</t>
  </si>
  <si>
    <t>Beschrijving resultaat</t>
  </si>
  <si>
    <t xml:space="preserve">Bij inhoudelijke verschillen tussen de berekening in dit bestand en de berekening zoals die volgt uit het bijbehorende besluit, is het besluit leidend. </t>
  </si>
  <si>
    <t>Schematische weergave en/of inhoudsopgave van de werking van dit model</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</si>
  <si>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</si>
  <si>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</si>
  <si>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</si>
  <si>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</si>
  <si>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</si>
  <si>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Mogelijkheden van bezwaar en beroep staan open tegen het besluit waarbij dit bestand hoort (zie kenmerken hierboven)</t>
  </si>
  <si>
    <t>Data en input (bron wordt vermeld)</t>
  </si>
  <si>
    <t>Berekende waarde die wordt opgehaald op een ander tabblad, incl. (eind)resultaat van berekening</t>
  </si>
  <si>
    <t>Gestandaardiseerde tabbladen, omvat tenminste: 'Titelblad', 'Toelichting' en 'Bronnen en toepassingen' (kleur: ACM-lichtpaars)</t>
  </si>
  <si>
    <t>Definitief? (ja/nee)</t>
  </si>
  <si>
    <t>Indien publicatie, datum van dit bestand:</t>
  </si>
  <si>
    <t>Indien definitief, wordt bestand openbaar en/of gepubliceerd? (ja/nee)</t>
  </si>
  <si>
    <t>Juridisch integraal onderdeel van bovenstaande besluit(en) (ja/nee)?</t>
  </si>
  <si>
    <t>Indien publicatie, bevat bedrijfsvertrouwelijke gegevens? (ja/nee)</t>
  </si>
  <si>
    <t>[ EINDE TABBLAD ]</t>
  </si>
  <si>
    <t>Naam bestand</t>
  </si>
  <si>
    <t>Aanvullende gegevens bestand</t>
  </si>
  <si>
    <t>Datum/wijze ontvangst, versie nr., URL, etc.</t>
  </si>
  <si>
    <t>Waarde of berekening die speciale aandacht vraagt (zie toelichting in notitie)</t>
  </si>
  <si>
    <t>Deze berekening is ontwikkeld in het standaardsjabloon van ACM Directie Energie, versie 5 (juni 2021)</t>
  </si>
  <si>
    <t>GTS</t>
  </si>
  <si>
    <t>Gegevens uit methodebesluiten en WACC-modellen bij de methodebesluiten</t>
  </si>
  <si>
    <t>Gearing</t>
  </si>
  <si>
    <t>Belastingvoet</t>
  </si>
  <si>
    <t>Risicovrije rente</t>
  </si>
  <si>
    <t>Marktrisicopremie</t>
  </si>
  <si>
    <t>Inflatiecorrectiefactor</t>
  </si>
  <si>
    <t xml:space="preserve">WACC bestaand vermogen uit methodebesluiten (onafgerond; ter controle) </t>
  </si>
  <si>
    <t xml:space="preserve">WACC nieuw vermogen uit methodebesluiten (onafgerond; ter controle) </t>
  </si>
  <si>
    <t>RNB's en TenneT Land</t>
  </si>
  <si>
    <t>TenneT Net op zee</t>
  </si>
  <si>
    <t>Input risicovrije rente</t>
  </si>
  <si>
    <t>Nederland</t>
  </si>
  <si>
    <t>Duitsland</t>
  </si>
  <si>
    <t xml:space="preserve">Gemiddelde rente </t>
  </si>
  <si>
    <t>Risicovrije rente voor nacalculatie</t>
  </si>
  <si>
    <t>Berekening risicovrije rente</t>
  </si>
  <si>
    <t>Input rente jaarlagen</t>
  </si>
  <si>
    <t>Rente jaarlagen Bloomberg</t>
  </si>
  <si>
    <t>Rente jaarlagen Brattle</t>
  </si>
  <si>
    <t>Gerealiseerde rente</t>
  </si>
  <si>
    <t>Berekening rente trapjesmodel GTS</t>
  </si>
  <si>
    <t>%</t>
  </si>
  <si>
    <t>Rente in jaar met toepassing trapjesmodel</t>
  </si>
  <si>
    <t>Berekening rente schatting in methodebesluit</t>
  </si>
  <si>
    <t>Berekening rente met gerealiseerde rente</t>
  </si>
  <si>
    <t>Voor GTS gebruikt de ACM de 10 meest recente jaarlagen</t>
  </si>
  <si>
    <t>Voor de RNB's en TenneT NoL gebruikt de ACM de 10 meest recente jaarlagen</t>
  </si>
  <si>
    <t>Risicovrije rente - schatting voor methodebesluiten</t>
  </si>
  <si>
    <t>Inflatie</t>
  </si>
  <si>
    <t>Opslag transactiekosten</t>
  </si>
  <si>
    <t>Schattingen rente in methodebesluit</t>
  </si>
  <si>
    <t>WAAR/ONWAAR</t>
  </si>
  <si>
    <t>Algemeen</t>
  </si>
  <si>
    <t>Kostenvoet vreemd vermogen</t>
  </si>
  <si>
    <t>Kostenvoet eigen vermogen</t>
  </si>
  <si>
    <t>Berekening WACC GTS</t>
  </si>
  <si>
    <t>Equity beta</t>
  </si>
  <si>
    <t>RNB's &amp; TenneT NoL</t>
  </si>
  <si>
    <t>TenneT NoZ</t>
  </si>
  <si>
    <t>Berekening WACC RNB's &amp; TenneT NoL</t>
  </si>
  <si>
    <t>Inflatie in de reëel-plus WACC</t>
  </si>
  <si>
    <t>Berekening WACC TenneT NoZ</t>
  </si>
  <si>
    <t>Kostenvoet vreemd vermogen uit MB (nominaal, voor belasting)</t>
  </si>
  <si>
    <t>Kostenvoet eigen vermogen uit MB (nominaal, na belasting)</t>
  </si>
  <si>
    <t>Kostenvoet eigen vermogen uit MB (nominaal, voor belasting)</t>
  </si>
  <si>
    <t>Nominale WACC bestaand vermogen uit MB (voor belasting)</t>
  </si>
  <si>
    <t xml:space="preserve">Berekening WACC </t>
  </si>
  <si>
    <t>Afgeronde WACC</t>
  </si>
  <si>
    <t>Berekenen WACC</t>
  </si>
  <si>
    <t>Reeël-plus WACC bestaand vermogen uit MB (voor belasting)</t>
  </si>
  <si>
    <t>Reële WACC bestaand vermogen uit MB (voor belasting)</t>
  </si>
  <si>
    <t>Nagecalculeerde reële WACC bestaand vermogen  (voor belasting)</t>
  </si>
  <si>
    <t xml:space="preserve">Zie voor meer toelichting op de exacte berekeningen de toelichting in de WACC bijlages bij de respectievelijke methodebesluiten. </t>
  </si>
  <si>
    <t>Check met input uit WACC modellen</t>
  </si>
  <si>
    <t>Nominale WACC bestaand vermogen uit WACC-model bij methodebesluiten</t>
  </si>
  <si>
    <t>Nominale WACC nieuw vermogen uit WACC-model bij methodebesluiten</t>
  </si>
  <si>
    <t>Reëel-plus WACC bestaand vermogen uit methodebesluiten</t>
  </si>
  <si>
    <t>Reële WACC bestaand vermogen uit methodebesluiten</t>
  </si>
  <si>
    <t>Reëel-plus WACC nieuw vermogen uit methodebesluiten</t>
  </si>
  <si>
    <t>waar/onwaar</t>
  </si>
  <si>
    <t>Nominale WACC nieuw vermogen uit MB (voor belasting)</t>
  </si>
  <si>
    <t>Reeël-plus WACC nieuw vermogen uit MB (voor belasting)</t>
  </si>
  <si>
    <t>Check (is dit gelijk aan berekende waardes?)</t>
  </si>
  <si>
    <t>Ophalen resultaat GTS</t>
  </si>
  <si>
    <t>Bestaand vermogen</t>
  </si>
  <si>
    <t>Nieuw vermogen</t>
  </si>
  <si>
    <t>Ophalen resultaat RNB's &amp; TenneT NoL</t>
  </si>
  <si>
    <t>Ophalen resultaat TenneT NoZ</t>
  </si>
  <si>
    <t>Gearing (vreemd vermogen vs totaal vermogen)</t>
  </si>
  <si>
    <t>Asset bèta</t>
  </si>
  <si>
    <t>WACC-model GTS</t>
  </si>
  <si>
    <t>Bijlage 3a - WACC-model methodebesluit GTS 2022-2026 (website)</t>
  </si>
  <si>
    <t>ACM/19/035346, ACM/UIT/547588</t>
  </si>
  <si>
    <t>datum methodebesluit = 28-1-2021</t>
  </si>
  <si>
    <t>WACC-model TenneT en RNB's</t>
  </si>
  <si>
    <t>Bijlage 3a - WACC-model (website)</t>
  </si>
  <si>
    <t>ACM/UIT/560206</t>
  </si>
  <si>
    <t>datum methodebesluiten = 16-9-2021</t>
  </si>
  <si>
    <t>Excel Brattle GTS</t>
  </si>
  <si>
    <t>2020-07-27 WACC for Gas TSO - Report tables July 2020</t>
  </si>
  <si>
    <t>ACM/IN/522201</t>
  </si>
  <si>
    <t>Excel Brattle TenneT en RNBs</t>
  </si>
  <si>
    <t>2021-03-11 WACC for Dutch Energy Networks - Report tables December 2020</t>
  </si>
  <si>
    <t>ACM/IN/593598</t>
  </si>
  <si>
    <t>ACM/INT/461823</t>
  </si>
  <si>
    <t>Toelichting samenhang tabbladen:</t>
  </si>
  <si>
    <t>Inputs</t>
  </si>
  <si>
    <t>Berekeningen</t>
  </si>
  <si>
    <t>Resultaten</t>
  </si>
  <si>
    <t xml:space="preserve">2. Input uit WACC modellen </t>
  </si>
  <si>
    <t>3. Input Rente</t>
  </si>
  <si>
    <t>5. Rente schulden</t>
  </si>
  <si>
    <t>6. WACC BV</t>
  </si>
  <si>
    <t>7. WACC NV</t>
  </si>
  <si>
    <t>1. Resultaten</t>
  </si>
  <si>
    <t>Dit rekenmodel bevat berekeningen voor zowel GTS, de RNB's &amp; TenneT NoL en TenneT NoZ. Om het iets overzichtelijker te maken hebben we groepen opgenomen in dit bestand. Aan de linkerkant van het scherm kan door op het plusje te drukken een groep uitvouwen, en door op het minnetje te klikken een groep invouwen. Zo zie je enkel de gegevens en berekeningen die relevant zijn voor de NB waar je geïnteresseerd in bent.</t>
  </si>
  <si>
    <t>Berekening rente trapjesmodel RNB's &amp; TenneT NoL</t>
  </si>
  <si>
    <t>Berekening rente trapjesmodel NoZ</t>
  </si>
  <si>
    <t>Nee</t>
  </si>
  <si>
    <t>Ja</t>
  </si>
  <si>
    <t>ACM/19/035352 (WACC methodebesluiten 2022-2026)</t>
  </si>
  <si>
    <t>Nacalculatiemodel WACC GTS, TenneT en RNB's elektriciteit en gas</t>
  </si>
  <si>
    <t>N.v.t.</t>
  </si>
  <si>
    <t>WACC-model RNB's en TenneT</t>
  </si>
  <si>
    <t>Rente 10-jaarsobligaties</t>
  </si>
  <si>
    <t xml:space="preserve">Dit tabblad berekent de werkelijke rente op schulden met het trapjesmodel. </t>
  </si>
  <si>
    <t>Voor TenneT NoZ gebruikt de ACM een trapjesmodel met 5 jaarlagen: 2016-2020. Voor 2026 gebruikt de ACM de jaren 2017-2020 en 2026.</t>
  </si>
  <si>
    <t>Rente jaarlagen GTS (verleden werkelijke rente, toekomst schatting)</t>
  </si>
  <si>
    <t>Kostenvoet vreemd vermogen incl. nacalculatie (nominaal, voor belasting)</t>
  </si>
  <si>
    <t>Kostenvoet eigen vermogen incl. nacalculatie (nominaal, na belasting)</t>
  </si>
  <si>
    <t>Kostenvoet eigen vermogen incl. nacalculatie (nominaal, voor belasting)</t>
  </si>
  <si>
    <t>Nominale WACC bestaand vermogen incl. nacalculatie (voor belasting)</t>
  </si>
  <si>
    <t>Reeël-plus WACC bestaand vermogen incl. nacalculatie (voor belasting)</t>
  </si>
  <si>
    <t>Reële WACC bestaand vermogen incl. nacalculatie (voor belasting)</t>
  </si>
  <si>
    <t>Check met input uit WACC-modellen</t>
  </si>
  <si>
    <t>Nominale WACC nieuw vermogen incl. nacalculatie (voor belasting)</t>
  </si>
  <si>
    <t>Reeël-plus WACC nieuw vermogenincl. nacalculatie (voor belasting)</t>
  </si>
  <si>
    <t>Reële WACC nieuw vermogen incl. nacalculatie (voor belasting)</t>
  </si>
  <si>
    <t>Reeël-plus WACC nieuw vermogen incl. nacalculatie (voor belasting)</t>
  </si>
  <si>
    <t>Reëel-plus WACC nieuw vermogen incl. nacalculatie (voor belasting)</t>
  </si>
  <si>
    <t>4. Risicovrije rente</t>
  </si>
  <si>
    <t>Op dit tabblad wordt de gemiddelde risicovrije rente berekend door een gemiddelde te nemen van de rente op staatsobligaties van Nederland en Duitsland.</t>
  </si>
  <si>
    <t>Dit tabblad berekent de WACC nieuw vermogen. De methode is vergelijkbaar met de methode bij de WACC bestaand vermogen. Uitzondering is dat de kostenvoet vreemd vermogen gebruik maakt van de rente voor toekomstige jaarlagen, en niet van het trapjesmodel.</t>
  </si>
  <si>
    <t>Resultaten van dit model worden gebruikt in de rekenmodules die onderdeel zijn van de tarievenbesluiten en het inkomstenbesluit 2024.</t>
  </si>
  <si>
    <t>Documentnummer</t>
  </si>
  <si>
    <t>Voor de tarievenbesluiten en het inkomstenbesluit 2024</t>
  </si>
  <si>
    <t>Dit model bevat de berekening van het redelijk rendement (WACC) op basis van nacalculatie van de risicovrije rente en de rente op schulden voor de netbeheerders voor de tarievenbesluiten en het inkomstenbesluit 2024.</t>
  </si>
  <si>
    <t>WACC-model TenneT en RNB's, Tab 5_Brondata, rij 48</t>
  </si>
  <si>
    <t>WACC-model TenneT en RNB's, Tab 5_Brondata, rij 49</t>
  </si>
  <si>
    <t>WACC-model GTS, Tab 5_Brondata, rij 16</t>
  </si>
  <si>
    <t>WACC-model GTS, Tab 5_Brondata, rij 17</t>
  </si>
  <si>
    <t>WACC-model GTS, Tab 5_Brondata, rij 20</t>
  </si>
  <si>
    <t>WACC-model GTS, Tab 5_Brondata, rij 21</t>
  </si>
  <si>
    <t>WACC-model GTS, Tab 5_Brondata, rij 22</t>
  </si>
  <si>
    <t>WACC-model GTS, Tab 5_Brondata, rij 25</t>
  </si>
  <si>
    <t>WACC-model GTS, Tab 5_Brondata, rij 40</t>
  </si>
  <si>
    <t>WACC-model GTS, Tab 5_Brondata, rij 26</t>
  </si>
  <si>
    <t>WACC-model GTS, Tab 6_Berekening WACC BV, rij 41</t>
  </si>
  <si>
    <t>WACC-model GTS, Tab 7_Berekening WACC NV, rij 41</t>
  </si>
  <si>
    <t>WACC-model TenneT en RNB's, Tab  5_Brondata, rij 16</t>
  </si>
  <si>
    <t>WACC-model TenneT en RNB's, Tab  5_Brondata, rij 17</t>
  </si>
  <si>
    <t>WACC-model TenneT en RNB's, Tab  5_Brondata, rij 25</t>
  </si>
  <si>
    <t xml:space="preserve">WACC-model TenneT en RNB's, Tab  5_Brondata, rij 26 </t>
  </si>
  <si>
    <t>WACC-model TenneT en RNB's, Tab  5_Brondata, rij 27</t>
  </si>
  <si>
    <t>WACC-model TenneT en RNB's, Tab  5_Brondata, rij 20</t>
  </si>
  <si>
    <t>WACC-model TenneT en RNB's, Tab  5_Brondata, rij 37</t>
  </si>
  <si>
    <t>WACC-model TenneT en RNB's, Tab  5_Brondata, rij 22</t>
  </si>
  <si>
    <t>WACC-model TenneT en RNB's, Tab  6_Berekening WACC BV, rij 52</t>
  </si>
  <si>
    <t>WACC-model TenneT en RNB's, Tab  6_Berekening WACC BV, rij 57</t>
  </si>
  <si>
    <t>WACC-model TenneT en RNB's, Tab  6_Berekening WACC BV, rij 62</t>
  </si>
  <si>
    <t>WACC-model TenneT en RNB's, Tab  7_Berekening WACC NV, rij 50</t>
  </si>
  <si>
    <t>WACC-model TenneT en RNB's, Tab  7_Berekening WACC NV, rij 55</t>
  </si>
  <si>
    <t>WACC-model TenneT en RNB's, Tab 5_Brondata, rij 16</t>
  </si>
  <si>
    <t>WACC-model TenneT en RNB's, Tab 5_Brondata, rij 17</t>
  </si>
  <si>
    <t>WACC-model TenneT en RNB's, Tab 5_Brondata, rij 25</t>
  </si>
  <si>
    <t xml:space="preserve">WACC-model TenneT en RNB's, Tab 5_Brondata, rij 26 </t>
  </si>
  <si>
    <t>WACC-model TenneT en RNB's, Tab 5_Brondata, rij 28</t>
  </si>
  <si>
    <t>WACC-model TenneT en RNB's, Tab 5_Brondata, rij 21</t>
  </si>
  <si>
    <t>WACC-model TenneT en RNB's, Tab 5_Brondata, rij 37</t>
  </si>
  <si>
    <t>WACC-model TenneT en RNB's, Tab 5_Brondata, rij 22</t>
  </si>
  <si>
    <t>WACC-model TenneT en RNB's, Tab 6_Berekening WACC BV, rij 79</t>
  </si>
  <si>
    <t>WACC-model TenneT en RNB's, Tab 6_Berekening WACC BV, rij 84</t>
  </si>
  <si>
    <t>WACC-model TenneT en RNB's, Tab 7_Berekening WACC NV, rij 72</t>
  </si>
  <si>
    <t>WACC-model TenneT en RNB's, Tab 7_Berekening WACC NV, rij 77</t>
  </si>
  <si>
    <t>Input rente voor kostenvoet vreemd vermogen</t>
  </si>
  <si>
    <t>Rente jaarlagen RNB's &amp; TenneT NoL (verleden werkelijke rente, toekomst schatting)</t>
  </si>
  <si>
    <t>Rente jaarlagen TenneT NoZ (verleden werkelijke rente, toekomst schatting)</t>
  </si>
  <si>
    <t>Risicovrije rente - werkelijk voor nacalculatie</t>
  </si>
  <si>
    <t>Bloomberg rente voor nacalculatie 2022 - gegevens</t>
  </si>
  <si>
    <t>Gegevens risicovrije rente en rente schulden uit Bloomberg 6-1-2023</t>
  </si>
  <si>
    <t>datum ophalen gegevens = 6-1-2023</t>
  </si>
  <si>
    <t>Vertrouwelijke gegevens uit een betaalde bron</t>
  </si>
  <si>
    <t>Zie website ACM</t>
  </si>
  <si>
    <t>Niet gepubliceerd</t>
  </si>
  <si>
    <t>Bloomberg 6-1-2023</t>
  </si>
  <si>
    <t>Rentegegevens Bloomberg 6-1-2023 met berekeningen</t>
  </si>
  <si>
    <t>ACM/INT/463723</t>
  </si>
  <si>
    <t>Alle WACC's zijn voor belasting.</t>
  </si>
  <si>
    <t>Nominale WACC bestaand vermogen uit MB</t>
  </si>
  <si>
    <t>Nominale WACC bestaand vermogen incl. nacalculatie rente</t>
  </si>
  <si>
    <t>Nominale WACC nieuw vermogen uit MB</t>
  </si>
  <si>
    <t>Nominale WACC nieuw vermogen incl. nacalculatie rente</t>
  </si>
  <si>
    <t>Reeël-plus WACC bestaand vermogen uit MB</t>
  </si>
  <si>
    <t>Reële WACC bestaand vermogen uit MB</t>
  </si>
  <si>
    <t>Reeël-plus WACC bestaand vermogen incl. nacalculatie rente</t>
  </si>
  <si>
    <t>Reële WACC bestaand vermogen incl. nacalculatie rente</t>
  </si>
  <si>
    <t>Reeël-plus WACC nieuw vermogen uit MB</t>
  </si>
  <si>
    <t>Reeël-plus WACC nieuw vermogen incl. nacalculatie rente</t>
  </si>
  <si>
    <t>Reële WACC nieuw vermogen incl. nacalculatie rente</t>
  </si>
  <si>
    <t>Rente schulden WACC bestaand vermogen (met trapjesmodel)</t>
  </si>
  <si>
    <t xml:space="preserve">Rente schulden WACC toekomstige jaarlagen en nieuw vermogen </t>
  </si>
  <si>
    <t>Transactiekosten</t>
  </si>
  <si>
    <t>Dit tabblad haalt de gegevens uit WACC-modellen bij de methodebesluiten van 2021 op.</t>
  </si>
  <si>
    <t>Gemiddelde van de dagelijkse rentes in het jaar</t>
  </si>
  <si>
    <t>Uitkomst van berekening o.b.v. gegevens uit Bloomberg 6-1-2023</t>
  </si>
  <si>
    <t>Excel Brattle TenneT en RNBs, table 14, kolom G</t>
  </si>
  <si>
    <t>Rente schulden</t>
  </si>
  <si>
    <t>Gemiddelde van de dagelijkse rentes in een jaar</t>
  </si>
  <si>
    <t xml:space="preserve">Tot en met 2019 worden hier werkelijke rentes opgehaald uit tabblad 3. Vanaf 2020 worden de geschatte rentes opgehaald uit tabblad 2.  </t>
  </si>
  <si>
    <t xml:space="preserve">Tot en met 2020 worden hier werkelijke rentes opgehaald uit tabblad 3. Vanaf 2021 worden de geschatte rentes opgehaald uit tabblad 2.  </t>
  </si>
  <si>
    <t xml:space="preserve">Tot en met 2020 worden hier werkelijke rentes opgehaald uit tabblad 3. Voor 2026 wordt de geschatte rente opgehaald uit tabblad 2.  </t>
  </si>
  <si>
    <t>Rente schulden WACC GTS bestaand vermogen (met trapjesmodel)</t>
  </si>
  <si>
    <t>Rente schulden WACC RNB's &amp; TenneT NoL bestaand vermogen (met trapjesmodel)</t>
  </si>
  <si>
    <t>Rente schulden WACC TenneT NoZ bestaand vermogen (met trapjesmodel)</t>
  </si>
  <si>
    <t>Dit tabblad berekent WACC bestaand vermogen. Dat doen we per netbeheerder. De ACM berekent eerst de kostenvoet eigen vermogen. Dit gebeurt op basis van de rente op schulden en het trapjesmodel (tab 5), plus een opslag voor transactiekosten. Voor de kostenvoet eigen vermogen tellen we de risicovrije rente op bij de marktrisicopremie vermenigvuldigd met de equity beta. Voor de WACC wegen we de kostenvoet vreemd vermogen en de kostenvoet eigen vermogen met behulp van de gearing. Om de reëel-plus en de reële WACC te krijgen corrigeren we nog (gedeeltelijk) voor inflatie. Uiteindelijk ronden we de percentages af op 1 decimaal.</t>
  </si>
  <si>
    <t>Rente schulden - schatting voor methodebesluiten bestaand vermogen (trapjesmodel)</t>
  </si>
  <si>
    <t>Rente schulden - werkelijk voor nacalculatie bestaand vermogen (trapjesmodel)</t>
  </si>
  <si>
    <t>Inflatiecorrectie voor de reëel-plus WACC</t>
  </si>
  <si>
    <t>Asset beta</t>
  </si>
  <si>
    <t>Rente schulden - werkelijk voor nacalculatie inclusief jaarlaag (voor nieuw vermogen)</t>
  </si>
  <si>
    <t>Rente schulden - schatting voor methodebesluit toekomstige jaarlagen en nieuw vermogen</t>
  </si>
  <si>
    <t xml:space="preserve">Dit tabblad haalt zowel de oorspronkelijke WACC uit de methodebesluiten (op basis van geschatte rentes) als de nagecalculeerde WACC (op basis van de gerealiseerde rentes) op, beiden afgerond op 1 decimaal. </t>
  </si>
  <si>
    <t>ACM/UIT/608680</t>
  </si>
  <si>
    <t>Tarievenbesluiten GTS, RNB's gas, RNB's elektriciteit, TenneT en inkomstenbesluit TenneT 2024</t>
  </si>
  <si>
    <t>Reëel-plus WACC bestaand vermogen uit WACC-model bij methodebesluiten</t>
  </si>
  <si>
    <t>Reële WACC bestaand vermogen uit WACC-model bij methodebesluiten</t>
  </si>
  <si>
    <t>Reëel-plus WACC nieuw vermogen uit WACC-model bij methodebesluiten</t>
  </si>
  <si>
    <t xml:space="preserve">Dit blad bevat de gemiddelde rente per jaar. 
Rente 10-jaarsobligaties o.b.v. index GTNLG10Y Govt Generic Netherlands 10 Year Government Bond (ticker GTNLG10Y) en index GTDEM10Y Govt Generic Germany 10 Year Government Bond (ticker GTDEM10Y) o.b.v. YLD_YTM_MID.
Rente schulden o.b.v. een obligatie-index voor Europese utilities met single A credit rating (BFV EUR Utility (A) 10 Year index, ticker C58310Y, o.b.v. PX_LAST; zie WACC-bijlage TenneT &amp; RNB's voetnoot 79 in hoofdstuk 3).
</t>
  </si>
  <si>
    <t>Tarievenbesluit GTS 2024: ACM/UIT/591247
Tarievenbesluit TenneT 2024: ACM/UIT/608540
Inkomstenbesluit TenneT 2024: ACM/UIT/608548
Tarievenbesluit Coteq Elektriciteit 2024: ACM/UIT/608113
Tarievenbesluit Enexis Elektriciteit 2024: ACM/UIT/608111
Tarievenbesluit Liander Elektriciteit 2024: ACM/UIT/608110
Tarievenbesluit RENDO Elektriciteit 2024: ACM/UIT/608107
Tarievenbesluit Stedin Elektriciteit 2024: ACM/UIT/608106
Tarievenbesluit Westland Elektriciteit 2024: ACM/UIT/608103
Tarievenbesluit Coteq Gas 2024: ACM/UIT/608102
Tarievenbesluit Enexis Gas 2024: ACM/UIT/608101
Tarievenbesluit Liander Gas 2024: ACM/UIT/608100
Tarievenbesluit RENDO Gas 2024: ACM/UIT/608099
Tarievenbesluit Stedin Gas 2024: ACM/UIT/608098
Tarievenbesluit Westland Gas 2024: ACM/UIT/608097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</si>
</sst>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s>
  <fonts count="34"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8"/>
      <name val="Arial"/>
      <family val="2"/>
    </font>
    <font>
      <sz val="11"/>
      <color indexed="8"/>
      <name val="Arial"/>
      <family val="2"/>
    </font>
    <font>
      <sz val="10"/>
      <color indexed="8"/>
      <name val="Arial"/>
      <family val="2"/>
    </font>
    <font>
      <b/>
      <i/>
      <sz val="10"/>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bgColor indexed="64"/>
      </patternFill>
    </fill>
  </fills>
  <borders count="2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72">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10" fillId="0" borderId="0">
      <alignment vertical="top"/>
    </xf>
    <xf numFmtId="49" fontId="9" fillId="0" borderId="0">
      <alignment vertical="top"/>
    </xf>
    <xf numFmtId="0" fontId="16" fillId="12" borderId="3" applyNumberFormat="0" applyAlignment="0" applyProtection="0"/>
    <xf numFmtId="0" fontId="17" fillId="13" borderId="4" applyNumberFormat="0" applyAlignment="0" applyProtection="0"/>
    <xf numFmtId="0" fontId="18" fillId="13" borderId="3" applyNumberFormat="0" applyAlignment="0" applyProtection="0"/>
    <xf numFmtId="0" fontId="19" fillId="0" borderId="5" applyNumberFormat="0" applyFill="0" applyAlignment="0" applyProtection="0"/>
    <xf numFmtId="0" fontId="13" fillId="14" borderId="6" applyNumberFormat="0" applyAlignment="0" applyProtection="0"/>
    <xf numFmtId="0" fontId="15" fillId="15"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8" fillId="40"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xf numFmtId="0" fontId="5" fillId="0" borderId="0"/>
    <xf numFmtId="43" fontId="5" fillId="45" borderId="0">
      <alignment vertical="top"/>
    </xf>
    <xf numFmtId="43" fontId="5" fillId="10" borderId="0">
      <alignment vertical="top"/>
    </xf>
    <xf numFmtId="43" fontId="5" fillId="8" borderId="0">
      <alignment vertical="top"/>
    </xf>
    <xf numFmtId="43" fontId="5" fillId="9" borderId="0">
      <alignment vertical="top"/>
    </xf>
    <xf numFmtId="43" fontId="5" fillId="7" borderId="0">
      <alignment vertical="top"/>
    </xf>
  </cellStyleXfs>
  <cellXfs count="83">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6" borderId="1" xfId="6">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1" fontId="5" fillId="0" borderId="0" xfId="4" applyNumberFormat="1">
      <alignment vertical="top"/>
    </xf>
    <xf numFmtId="49" fontId="7" fillId="16" borderId="2" xfId="6" applyFont="1" applyBorder="1">
      <alignment vertical="top"/>
    </xf>
    <xf numFmtId="0" fontId="8" fillId="5" borderId="1" xfId="5" applyNumberFormat="1">
      <alignment vertical="top"/>
    </xf>
    <xf numFmtId="0" fontId="14" fillId="0" borderId="0" xfId="4" applyFont="1">
      <alignment vertical="top"/>
    </xf>
    <xf numFmtId="49" fontId="13" fillId="5" borderId="2" xfId="5" applyFont="1" applyBorder="1">
      <alignment vertical="top"/>
    </xf>
    <xf numFmtId="0" fontId="5" fillId="11" borderId="0" xfId="4" applyFill="1">
      <alignment vertical="top"/>
    </xf>
    <xf numFmtId="49" fontId="7" fillId="16" borderId="0" xfId="6" applyFont="1" applyBorder="1">
      <alignment vertical="top"/>
    </xf>
    <xf numFmtId="49" fontId="5" fillId="16" borderId="2" xfId="6" applyFont="1" applyBorder="1">
      <alignment vertical="top"/>
    </xf>
    <xf numFmtId="49" fontId="10" fillId="0" borderId="0" xfId="14">
      <alignment vertical="top"/>
    </xf>
    <xf numFmtId="49" fontId="6" fillId="0" borderId="0" xfId="7">
      <alignment vertical="top"/>
    </xf>
    <xf numFmtId="49" fontId="9" fillId="0" borderId="0" xfId="15">
      <alignment vertical="top"/>
    </xf>
    <xf numFmtId="41" fontId="5" fillId="9" borderId="0" xfId="8">
      <alignment vertical="top"/>
    </xf>
    <xf numFmtId="41" fontId="5" fillId="7" borderId="0" xfId="10">
      <alignment vertical="top"/>
    </xf>
    <xf numFmtId="41" fontId="5" fillId="6" borderId="0" xfId="12">
      <alignment vertical="top"/>
    </xf>
    <xf numFmtId="41" fontId="5" fillId="43" borderId="0" xfId="11">
      <alignment vertical="top"/>
    </xf>
    <xf numFmtId="43" fontId="12" fillId="0" borderId="0" xfId="63" applyFont="1" applyFill="1">
      <alignment vertical="top"/>
    </xf>
    <xf numFmtId="41" fontId="5" fillId="10" borderId="0" xfId="13">
      <alignment vertical="top"/>
    </xf>
    <xf numFmtId="41" fontId="5" fillId="8" borderId="0" xfId="9">
      <alignment vertical="top"/>
    </xf>
    <xf numFmtId="0" fontId="9" fillId="11" borderId="0" xfId="4" applyFont="1" applyFill="1">
      <alignment vertical="top"/>
    </xf>
    <xf numFmtId="49" fontId="5" fillId="0" borderId="0" xfId="7" applyFont="1">
      <alignment vertical="top"/>
    </xf>
    <xf numFmtId="0" fontId="5" fillId="41" borderId="0" xfId="62" applyNumberFormat="1">
      <alignment vertical="top"/>
    </xf>
    <xf numFmtId="10" fontId="5" fillId="9" borderId="0" xfId="4" applyNumberFormat="1" applyFill="1">
      <alignment vertical="top"/>
    </xf>
    <xf numFmtId="10" fontId="5" fillId="44" borderId="0" xfId="4" applyNumberFormat="1" applyFill="1">
      <alignment vertical="top"/>
    </xf>
    <xf numFmtId="0" fontId="5" fillId="0" borderId="0" xfId="4" applyAlignment="1">
      <alignment vertical="top" wrapText="1"/>
    </xf>
    <xf numFmtId="0" fontId="1" fillId="0" borderId="0" xfId="0" applyFont="1">
      <alignment vertical="top"/>
    </xf>
    <xf numFmtId="0" fontId="6" fillId="16" borderId="1" xfId="6" applyNumberFormat="1">
      <alignment vertical="top"/>
    </xf>
    <xf numFmtId="0" fontId="27" fillId="0" borderId="0" xfId="0" quotePrefix="1" applyFont="1" applyAlignment="1"/>
    <xf numFmtId="0" fontId="1" fillId="0" borderId="0" xfId="0" quotePrefix="1" applyFont="1" applyAlignment="1"/>
    <xf numFmtId="10" fontId="5" fillId="43" borderId="0" xfId="64" applyFont="1" applyFill="1">
      <alignment vertical="top"/>
    </xf>
    <xf numFmtId="0" fontId="1" fillId="0" borderId="0" xfId="0" applyFont="1" applyAlignment="1"/>
    <xf numFmtId="0" fontId="1" fillId="44" borderId="0" xfId="0" applyFont="1" applyFill="1" applyAlignment="1"/>
    <xf numFmtId="0" fontId="5" fillId="0" borderId="0" xfId="0" quotePrefix="1" applyFont="1" applyAlignment="1"/>
    <xf numFmtId="0" fontId="14" fillId="0" borderId="0" xfId="0" quotePrefix="1" applyFont="1" applyAlignment="1"/>
    <xf numFmtId="10" fontId="1" fillId="43" borderId="0" xfId="64" applyFont="1" applyFill="1" applyAlignment="1"/>
    <xf numFmtId="10" fontId="5" fillId="44" borderId="0" xfId="64" applyFont="1" applyFill="1">
      <alignment vertical="top"/>
    </xf>
    <xf numFmtId="10" fontId="5" fillId="10" borderId="0" xfId="4" applyNumberFormat="1" applyFill="1">
      <alignment vertical="top"/>
    </xf>
    <xf numFmtId="10" fontId="5" fillId="8" borderId="0" xfId="4" applyNumberFormat="1" applyFill="1">
      <alignment vertical="top"/>
    </xf>
    <xf numFmtId="10" fontId="5" fillId="7" borderId="0" xfId="4" applyNumberFormat="1" applyFill="1">
      <alignment vertical="top"/>
    </xf>
    <xf numFmtId="10" fontId="5" fillId="0" borderId="0" xfId="4" applyNumberFormat="1">
      <alignment vertical="top"/>
    </xf>
    <xf numFmtId="10" fontId="12" fillId="0" borderId="0" xfId="63" applyNumberFormat="1" applyFont="1" applyFill="1">
      <alignment vertical="top"/>
    </xf>
    <xf numFmtId="0" fontId="27" fillId="0" borderId="0" xfId="0" applyFont="1" applyAlignment="1"/>
    <xf numFmtId="10" fontId="5" fillId="10" borderId="0" xfId="64" applyFont="1" applyFill="1">
      <alignment vertical="top"/>
    </xf>
    <xf numFmtId="43" fontId="5" fillId="10" borderId="0" xfId="63" applyFont="1" applyFill="1">
      <alignment vertical="top"/>
    </xf>
    <xf numFmtId="10" fontId="5" fillId="10" borderId="0" xfId="63" applyNumberFormat="1" applyFont="1" applyFill="1">
      <alignment vertical="top"/>
    </xf>
    <xf numFmtId="43" fontId="5" fillId="8" borderId="0" xfId="63" applyFont="1" applyFill="1">
      <alignment vertical="top"/>
    </xf>
    <xf numFmtId="43" fontId="5" fillId="43" borderId="0" xfId="63" applyFont="1" applyFill="1">
      <alignment vertical="top"/>
    </xf>
    <xf numFmtId="0" fontId="5" fillId="0" borderId="0" xfId="66"/>
    <xf numFmtId="0" fontId="30" fillId="0" borderId="0" xfId="0" applyFont="1">
      <alignment vertical="top"/>
    </xf>
    <xf numFmtId="0" fontId="30" fillId="0" borderId="0" xfId="0" applyFont="1" applyAlignment="1">
      <alignment horizontal="center" vertical="top"/>
    </xf>
    <xf numFmtId="0" fontId="31" fillId="46" borderId="0" xfId="0" applyFont="1" applyFill="1">
      <alignment vertical="top"/>
    </xf>
    <xf numFmtId="0" fontId="32" fillId="46" borderId="12" xfId="0" applyFont="1" applyFill="1" applyBorder="1">
      <alignment vertical="top"/>
    </xf>
    <xf numFmtId="0" fontId="32" fillId="46" borderId="13" xfId="0" applyFont="1" applyFill="1" applyBorder="1">
      <alignment vertical="top"/>
    </xf>
    <xf numFmtId="0" fontId="32" fillId="46" borderId="14" xfId="0" applyFont="1" applyFill="1" applyBorder="1">
      <alignment vertical="top"/>
    </xf>
    <xf numFmtId="0" fontId="32" fillId="46" borderId="0" xfId="0" applyFont="1" applyFill="1">
      <alignment vertical="top"/>
    </xf>
    <xf numFmtId="0" fontId="32" fillId="46" borderId="15" xfId="0" applyFont="1" applyFill="1" applyBorder="1">
      <alignment vertical="top"/>
    </xf>
    <xf numFmtId="0" fontId="32" fillId="45" borderId="0" xfId="0" applyFont="1" applyFill="1" applyAlignment="1">
      <alignment horizontal="center" vertical="top"/>
    </xf>
    <xf numFmtId="0" fontId="32" fillId="46" borderId="16" xfId="0" applyFont="1" applyFill="1" applyBorder="1">
      <alignment vertical="top"/>
    </xf>
    <xf numFmtId="0" fontId="32" fillId="46" borderId="17" xfId="0" applyFont="1" applyFill="1" applyBorder="1">
      <alignment vertical="top"/>
    </xf>
    <xf numFmtId="0" fontId="32" fillId="46" borderId="18" xfId="0" applyFont="1" applyFill="1" applyBorder="1">
      <alignment vertical="top"/>
    </xf>
    <xf numFmtId="0" fontId="32" fillId="46" borderId="19" xfId="0" applyFont="1" applyFill="1" applyBorder="1">
      <alignment vertical="top"/>
    </xf>
    <xf numFmtId="0" fontId="32" fillId="8" borderId="0" xfId="0" applyFont="1" applyFill="1" applyAlignment="1">
      <alignment horizontal="center" vertical="top"/>
    </xf>
    <xf numFmtId="49" fontId="21" fillId="46" borderId="18" xfId="61" applyFill="1" applyBorder="1" applyAlignment="1">
      <alignment vertical="top"/>
    </xf>
    <xf numFmtId="0" fontId="32" fillId="9" borderId="0" xfId="0" applyFont="1" applyFill="1" applyAlignment="1">
      <alignment horizontal="center" vertical="top"/>
    </xf>
    <xf numFmtId="0" fontId="32" fillId="0" borderId="0" xfId="0" applyFont="1">
      <alignment vertical="top"/>
    </xf>
    <xf numFmtId="49" fontId="5" fillId="0" borderId="0" xfId="6" applyFont="1" applyFill="1" applyBorder="1">
      <alignment vertical="top"/>
    </xf>
    <xf numFmtId="10" fontId="12" fillId="0" borderId="0" xfId="63" applyNumberFormat="1" applyFont="1" applyFill="1" applyAlignment="1">
      <alignment horizontal="right" vertical="top"/>
    </xf>
    <xf numFmtId="0" fontId="33" fillId="0" borderId="0" xfId="4" applyFont="1">
      <alignment vertical="top"/>
    </xf>
    <xf numFmtId="0" fontId="5" fillId="0" borderId="0" xfId="0" applyFont="1" applyAlignment="1"/>
    <xf numFmtId="14" fontId="5" fillId="0" borderId="2" xfId="4" applyNumberFormat="1" applyBorder="1" applyAlignment="1">
      <alignment horizontal="left" vertical="top" wrapText="1"/>
    </xf>
    <xf numFmtId="0" fontId="5" fillId="0" borderId="0" xfId="4" applyAlignment="1">
      <alignment horizontal="left" vertical="top" wrapText="1"/>
    </xf>
    <xf numFmtId="0" fontId="7" fillId="0" borderId="0" xfId="4" applyFont="1" applyAlignment="1">
      <alignment horizontal="left" vertical="top" wrapText="1"/>
    </xf>
    <xf numFmtId="49" fontId="9" fillId="0" borderId="0" xfId="15" applyAlignment="1">
      <alignment horizontal="left" vertical="top" wrapText="1"/>
    </xf>
  </cellXfs>
  <cellStyles count="72">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tussen)resultaat 2" xfId="70" xr:uid="{9ACC58F1-728F-4E6A-87E8-D07E632B3A78}"/>
    <cellStyle name="Cel Berekening" xfId="9" xr:uid="{00000000-0005-0000-0000-00001D000000}"/>
    <cellStyle name="Cel Berekening 2" xfId="69" xr:uid="{D6EACD88-64BF-42C9-AB53-2415BEDCCCFE}"/>
    <cellStyle name="Cel Bijzonderheid" xfId="10" xr:uid="{00000000-0005-0000-0000-00001E000000}"/>
    <cellStyle name="Cel Bijzonderheid 2" xfId="71" xr:uid="{3AB55A8B-3282-4D6C-8E67-76D6AF12D82E}"/>
    <cellStyle name="Cel Dataverzoek" xfId="65" xr:uid="{00000000-0005-0000-0000-00001F000000}"/>
    <cellStyle name="Cel Input" xfId="11" xr:uid="{00000000-0005-0000-0000-000020000000}"/>
    <cellStyle name="Cel Input 2" xfId="67" xr:uid="{F6FEF9DC-6A75-4825-A2D0-1671EF2D8AAD}"/>
    <cellStyle name="Cel n.v.t. (leeg)" xfId="62" xr:uid="{00000000-0005-0000-0000-000021000000}"/>
    <cellStyle name="Cel PM extern" xfId="12" xr:uid="{00000000-0005-0000-0000-000022000000}"/>
    <cellStyle name="Cel Verwijzing" xfId="13" xr:uid="{00000000-0005-0000-0000-000023000000}"/>
    <cellStyle name="Cel Verwijzing 2" xfId="68" xr:uid="{EBC25DA3-FE82-4243-87AA-6020F1F50DC9}"/>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Standaard_NG-TAR(i)-10-08 Concept" xfId="66" xr:uid="{AAB2346E-CF9F-4590-B031-3F90E0486CED}"/>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FFCC99"/>
      <color rgb="FFCCFFCC"/>
      <color rgb="FFFFCCFF"/>
      <color rgb="FFCCFFFF"/>
      <color rgb="FFFFFFCC"/>
      <color rgb="FFE1FFE1"/>
      <color rgb="FF99FF99"/>
      <color rgb="FFCCC8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48558</xdr:colOff>
      <xdr:row>16</xdr:row>
      <xdr:rowOff>74706</xdr:rowOff>
    </xdr:from>
    <xdr:to>
      <xdr:col>5</xdr:col>
      <xdr:colOff>709706</xdr:colOff>
      <xdr:row>20</xdr:row>
      <xdr:rowOff>119529</xdr:rowOff>
    </xdr:to>
    <xdr:cxnSp macro="">
      <xdr:nvCxnSpPr>
        <xdr:cNvPr id="9" name="Rechte verbindingslijn met pijl 96">
          <a:extLst>
            <a:ext uri="{FF2B5EF4-FFF2-40B4-BE49-F238E27FC236}">
              <a16:creationId xmlns:a16="http://schemas.microsoft.com/office/drawing/2014/main" id="{2EA5E317-A92A-409D-96F8-4779FF36F836}"/>
            </a:ext>
          </a:extLst>
        </xdr:cNvPr>
        <xdr:cNvCxnSpPr/>
      </xdr:nvCxnSpPr>
      <xdr:spPr>
        <a:xfrm>
          <a:off x="4463676" y="3496235"/>
          <a:ext cx="661148" cy="7620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19001</xdr:colOff>
      <xdr:row>16</xdr:row>
      <xdr:rowOff>72756</xdr:rowOff>
    </xdr:from>
    <xdr:to>
      <xdr:col>13</xdr:col>
      <xdr:colOff>680968</xdr:colOff>
      <xdr:row>16</xdr:row>
      <xdr:rowOff>72756</xdr:rowOff>
    </xdr:to>
    <xdr:cxnSp macro="">
      <xdr:nvCxnSpPr>
        <xdr:cNvPr id="11" name="Rechte verbindingslijn met pijl 96">
          <a:extLst>
            <a:ext uri="{FF2B5EF4-FFF2-40B4-BE49-F238E27FC236}">
              <a16:creationId xmlns:a16="http://schemas.microsoft.com/office/drawing/2014/main" id="{3B8A9F99-94FD-4BB5-A3B3-89252DE44AD8}"/>
            </a:ext>
          </a:extLst>
        </xdr:cNvPr>
        <xdr:cNvCxnSpPr/>
      </xdr:nvCxnSpPr>
      <xdr:spPr>
        <a:xfrm flipV="1">
          <a:off x="11145305" y="3672930"/>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44075</xdr:colOff>
      <xdr:row>16</xdr:row>
      <xdr:rowOff>74706</xdr:rowOff>
    </xdr:from>
    <xdr:to>
      <xdr:col>5</xdr:col>
      <xdr:colOff>672353</xdr:colOff>
      <xdr:row>20</xdr:row>
      <xdr:rowOff>25400</xdr:rowOff>
    </xdr:to>
    <xdr:cxnSp macro="">
      <xdr:nvCxnSpPr>
        <xdr:cNvPr id="34" name="Rechte verbindingslijn met pijl 96">
          <a:extLst>
            <a:ext uri="{FF2B5EF4-FFF2-40B4-BE49-F238E27FC236}">
              <a16:creationId xmlns:a16="http://schemas.microsoft.com/office/drawing/2014/main" id="{4CA52F3C-551E-49AF-B451-E9192E4CB5DC}"/>
            </a:ext>
          </a:extLst>
        </xdr:cNvPr>
        <xdr:cNvCxnSpPr/>
      </xdr:nvCxnSpPr>
      <xdr:spPr>
        <a:xfrm flipV="1">
          <a:off x="4459193" y="3496235"/>
          <a:ext cx="628278" cy="66787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59764</xdr:colOff>
      <xdr:row>21</xdr:row>
      <xdr:rowOff>52294</xdr:rowOff>
    </xdr:from>
    <xdr:to>
      <xdr:col>5</xdr:col>
      <xdr:colOff>697752</xdr:colOff>
      <xdr:row>21</xdr:row>
      <xdr:rowOff>52294</xdr:rowOff>
    </xdr:to>
    <xdr:cxnSp macro="">
      <xdr:nvCxnSpPr>
        <xdr:cNvPr id="36" name="Rechte verbindingslijn met pijl 96">
          <a:extLst>
            <a:ext uri="{FF2B5EF4-FFF2-40B4-BE49-F238E27FC236}">
              <a16:creationId xmlns:a16="http://schemas.microsoft.com/office/drawing/2014/main" id="{23FF337D-EC70-4DC8-A19E-FA1236261437}"/>
            </a:ext>
          </a:extLst>
        </xdr:cNvPr>
        <xdr:cNvCxnSpPr/>
      </xdr:nvCxnSpPr>
      <xdr:spPr>
        <a:xfrm>
          <a:off x="4474882" y="4370294"/>
          <a:ext cx="637988"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2413000</xdr:colOff>
      <xdr:row>12</xdr:row>
      <xdr:rowOff>164353</xdr:rowOff>
    </xdr:from>
    <xdr:to>
      <xdr:col>3</xdr:col>
      <xdr:colOff>2413000</xdr:colOff>
      <xdr:row>14</xdr:row>
      <xdr:rowOff>171824</xdr:rowOff>
    </xdr:to>
    <xdr:cxnSp macro="">
      <xdr:nvCxnSpPr>
        <xdr:cNvPr id="40" name="Rechte verbindingslijn 39">
          <a:extLst>
            <a:ext uri="{FF2B5EF4-FFF2-40B4-BE49-F238E27FC236}">
              <a16:creationId xmlns:a16="http://schemas.microsoft.com/office/drawing/2014/main" id="{4FFD3B01-9349-4E13-B1CE-2F8CBF95272A}"/>
            </a:ext>
          </a:extLst>
        </xdr:cNvPr>
        <xdr:cNvCxnSpPr/>
      </xdr:nvCxnSpPr>
      <xdr:spPr>
        <a:xfrm flipV="1">
          <a:off x="4138706" y="2868706"/>
          <a:ext cx="0" cy="36605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2405529</xdr:colOff>
      <xdr:row>12</xdr:row>
      <xdr:rowOff>149412</xdr:rowOff>
    </xdr:from>
    <xdr:to>
      <xdr:col>9</xdr:col>
      <xdr:colOff>366059</xdr:colOff>
      <xdr:row>12</xdr:row>
      <xdr:rowOff>149412</xdr:rowOff>
    </xdr:to>
    <xdr:cxnSp macro="">
      <xdr:nvCxnSpPr>
        <xdr:cNvPr id="42" name="Rechte verbindingslijn 41">
          <a:extLst>
            <a:ext uri="{FF2B5EF4-FFF2-40B4-BE49-F238E27FC236}">
              <a16:creationId xmlns:a16="http://schemas.microsoft.com/office/drawing/2014/main" id="{6C2FB481-160D-4C4F-868E-DC5058ECFC8E}"/>
            </a:ext>
          </a:extLst>
        </xdr:cNvPr>
        <xdr:cNvCxnSpPr/>
      </xdr:nvCxnSpPr>
      <xdr:spPr>
        <a:xfrm>
          <a:off x="4131235" y="2853765"/>
          <a:ext cx="443005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362195</xdr:colOff>
      <xdr:row>12</xdr:row>
      <xdr:rowOff>153276</xdr:rowOff>
    </xdr:from>
    <xdr:to>
      <xdr:col>9</xdr:col>
      <xdr:colOff>362195</xdr:colOff>
      <xdr:row>20</xdr:row>
      <xdr:rowOff>63629</xdr:rowOff>
    </xdr:to>
    <xdr:cxnSp macro="">
      <xdr:nvCxnSpPr>
        <xdr:cNvPr id="44" name="Rechte verbindingslijn 43">
          <a:extLst>
            <a:ext uri="{FF2B5EF4-FFF2-40B4-BE49-F238E27FC236}">
              <a16:creationId xmlns:a16="http://schemas.microsoft.com/office/drawing/2014/main" id="{72E9AB52-4079-4478-B483-1B9A5DAF0A25}"/>
            </a:ext>
          </a:extLst>
        </xdr:cNvPr>
        <xdr:cNvCxnSpPr/>
      </xdr:nvCxnSpPr>
      <xdr:spPr>
        <a:xfrm>
          <a:off x="8551505" y="2868448"/>
          <a:ext cx="0" cy="13467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358073</xdr:colOff>
      <xdr:row>20</xdr:row>
      <xdr:rowOff>52552</xdr:rowOff>
    </xdr:from>
    <xdr:to>
      <xdr:col>9</xdr:col>
      <xdr:colOff>722587</xdr:colOff>
      <xdr:row>20</xdr:row>
      <xdr:rowOff>55385</xdr:rowOff>
    </xdr:to>
    <xdr:cxnSp macro="">
      <xdr:nvCxnSpPr>
        <xdr:cNvPr id="46" name="Rechte verbindingslijn met pijl 45">
          <a:extLst>
            <a:ext uri="{FF2B5EF4-FFF2-40B4-BE49-F238E27FC236}">
              <a16:creationId xmlns:a16="http://schemas.microsoft.com/office/drawing/2014/main" id="{3773E902-2F9B-4E13-BBCF-31EDAFA0ADE9}"/>
            </a:ext>
          </a:extLst>
        </xdr:cNvPr>
        <xdr:cNvCxnSpPr/>
      </xdr:nvCxnSpPr>
      <xdr:spPr>
        <a:xfrm flipV="1">
          <a:off x="8547383" y="4204138"/>
          <a:ext cx="364514" cy="283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361576</xdr:colOff>
      <xdr:row>16</xdr:row>
      <xdr:rowOff>64814</xdr:rowOff>
    </xdr:from>
    <xdr:to>
      <xdr:col>9</xdr:col>
      <xdr:colOff>726090</xdr:colOff>
      <xdr:row>16</xdr:row>
      <xdr:rowOff>67647</xdr:rowOff>
    </xdr:to>
    <xdr:cxnSp macro="">
      <xdr:nvCxnSpPr>
        <xdr:cNvPr id="54" name="Rechte verbindingslijn met pijl 53">
          <a:extLst>
            <a:ext uri="{FF2B5EF4-FFF2-40B4-BE49-F238E27FC236}">
              <a16:creationId xmlns:a16="http://schemas.microsoft.com/office/drawing/2014/main" id="{986D4381-6E71-4441-BC0B-E749D0E2585F}"/>
            </a:ext>
          </a:extLst>
        </xdr:cNvPr>
        <xdr:cNvCxnSpPr/>
      </xdr:nvCxnSpPr>
      <xdr:spPr>
        <a:xfrm flipV="1">
          <a:off x="8550886" y="3498193"/>
          <a:ext cx="364514" cy="283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17</xdr:row>
      <xdr:rowOff>27609</xdr:rowOff>
    </xdr:from>
    <xdr:to>
      <xdr:col>9</xdr:col>
      <xdr:colOff>684696</xdr:colOff>
      <xdr:row>17</xdr:row>
      <xdr:rowOff>33130</xdr:rowOff>
    </xdr:to>
    <xdr:cxnSp macro="">
      <xdr:nvCxnSpPr>
        <xdr:cNvPr id="56" name="Rechte verbindingslijn met pijl 55">
          <a:extLst>
            <a:ext uri="{FF2B5EF4-FFF2-40B4-BE49-F238E27FC236}">
              <a16:creationId xmlns:a16="http://schemas.microsoft.com/office/drawing/2014/main" id="{46BD8F9C-221C-4A2E-AFDB-2F7484EFF8FB}"/>
            </a:ext>
          </a:extLst>
        </xdr:cNvPr>
        <xdr:cNvCxnSpPr/>
      </xdr:nvCxnSpPr>
      <xdr:spPr>
        <a:xfrm flipV="1">
          <a:off x="8194261" y="3627783"/>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3314</xdr:colOff>
      <xdr:row>21</xdr:row>
      <xdr:rowOff>86139</xdr:rowOff>
    </xdr:from>
    <xdr:to>
      <xdr:col>9</xdr:col>
      <xdr:colOff>688010</xdr:colOff>
      <xdr:row>21</xdr:row>
      <xdr:rowOff>91660</xdr:rowOff>
    </xdr:to>
    <xdr:cxnSp macro="">
      <xdr:nvCxnSpPr>
        <xdr:cNvPr id="57" name="Rechte verbindingslijn met pijl 56">
          <a:extLst>
            <a:ext uri="{FF2B5EF4-FFF2-40B4-BE49-F238E27FC236}">
              <a16:creationId xmlns:a16="http://schemas.microsoft.com/office/drawing/2014/main" id="{D7FA7CE0-7FA0-4A39-941F-53A4FFC64D23}"/>
            </a:ext>
          </a:extLst>
        </xdr:cNvPr>
        <xdr:cNvCxnSpPr/>
      </xdr:nvCxnSpPr>
      <xdr:spPr>
        <a:xfrm flipV="1">
          <a:off x="8197575" y="4393096"/>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2436</xdr:colOff>
      <xdr:row>17</xdr:row>
      <xdr:rowOff>121478</xdr:rowOff>
    </xdr:from>
    <xdr:to>
      <xdr:col>13</xdr:col>
      <xdr:colOff>739913</xdr:colOff>
      <xdr:row>20</xdr:row>
      <xdr:rowOff>50669</xdr:rowOff>
    </xdr:to>
    <xdr:cxnSp macro="">
      <xdr:nvCxnSpPr>
        <xdr:cNvPr id="58" name="Rechte verbindingslijn met pijl 96">
          <a:extLst>
            <a:ext uri="{FF2B5EF4-FFF2-40B4-BE49-F238E27FC236}">
              <a16:creationId xmlns:a16="http://schemas.microsoft.com/office/drawing/2014/main" id="{BC78202D-12E2-402C-B758-24C052B83226}"/>
            </a:ext>
          </a:extLst>
        </xdr:cNvPr>
        <xdr:cNvCxnSpPr/>
      </xdr:nvCxnSpPr>
      <xdr:spPr>
        <a:xfrm flipV="1">
          <a:off x="11128740" y="3721652"/>
          <a:ext cx="737477" cy="45927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46"/>
  <sheetViews>
    <sheetView showGridLines="0" tabSelected="1"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5.7109375" style="2" customWidth="1"/>
    <col min="2" max="2" width="43.7109375" style="2" customWidth="1"/>
    <col min="3" max="3" width="91.85546875" style="2" customWidth="1"/>
    <col min="4" max="4" width="5.7109375" style="2" customWidth="1"/>
    <col min="5" max="16384" width="9.140625" style="2"/>
  </cols>
  <sheetData>
    <row r="2" spans="2:5" s="7" customFormat="1" ht="18" x14ac:dyDescent="0.2">
      <c r="B2" s="7" t="s">
        <v>173</v>
      </c>
    </row>
    <row r="6" spans="2:5" x14ac:dyDescent="0.2">
      <c r="B6" s="3"/>
    </row>
    <row r="13" spans="2:5" s="8" customFormat="1" x14ac:dyDescent="0.2">
      <c r="B13" s="8" t="s">
        <v>1</v>
      </c>
    </row>
    <row r="15" spans="2:5" x14ac:dyDescent="0.2">
      <c r="B15" s="9" t="s">
        <v>2</v>
      </c>
      <c r="C15" s="10" t="s">
        <v>172</v>
      </c>
      <c r="E15" s="19"/>
    </row>
    <row r="16" spans="2:5" x14ac:dyDescent="0.2">
      <c r="B16" s="10" t="s">
        <v>196</v>
      </c>
      <c r="C16" s="10" t="s">
        <v>284</v>
      </c>
      <c r="E16" s="19"/>
    </row>
    <row r="17" spans="2:3" x14ac:dyDescent="0.2">
      <c r="B17" s="9" t="s">
        <v>3</v>
      </c>
      <c r="C17" s="10" t="s">
        <v>173</v>
      </c>
    </row>
    <row r="18" spans="2:3" x14ac:dyDescent="0.2">
      <c r="B18" s="9" t="s">
        <v>4</v>
      </c>
      <c r="C18" s="10" t="s">
        <v>197</v>
      </c>
    </row>
    <row r="19" spans="2:3" x14ac:dyDescent="0.2">
      <c r="B19" s="9" t="s">
        <v>5</v>
      </c>
      <c r="C19" s="10" t="s">
        <v>285</v>
      </c>
    </row>
    <row r="20" spans="2:3" x14ac:dyDescent="0.2">
      <c r="B20" s="9" t="s">
        <v>6</v>
      </c>
      <c r="C20" s="10" t="s">
        <v>174</v>
      </c>
    </row>
    <row r="21" spans="2:3" ht="191.25" x14ac:dyDescent="0.2">
      <c r="B21" s="9" t="s">
        <v>7</v>
      </c>
      <c r="C21" s="10" t="s">
        <v>290</v>
      </c>
    </row>
    <row r="22" spans="2:3" ht="25.5" x14ac:dyDescent="0.2">
      <c r="B22" s="9" t="s">
        <v>8</v>
      </c>
      <c r="C22" s="10" t="s">
        <v>195</v>
      </c>
    </row>
    <row r="23" spans="2:3" x14ac:dyDescent="0.2">
      <c r="B23" s="9" t="s">
        <v>9</v>
      </c>
      <c r="C23" s="10" t="s">
        <v>174</v>
      </c>
    </row>
    <row r="25" spans="2:3" x14ac:dyDescent="0.2">
      <c r="B25" s="21" t="s">
        <v>70</v>
      </c>
    </row>
    <row r="27" spans="2:3" s="8" customFormat="1" x14ac:dyDescent="0.2">
      <c r="B27" s="8" t="s">
        <v>10</v>
      </c>
    </row>
    <row r="29" spans="2:3" x14ac:dyDescent="0.2">
      <c r="B29" s="10" t="s">
        <v>60</v>
      </c>
      <c r="C29" s="10" t="s">
        <v>171</v>
      </c>
    </row>
    <row r="30" spans="2:3" ht="25.5" x14ac:dyDescent="0.2">
      <c r="B30" s="10" t="s">
        <v>62</v>
      </c>
      <c r="C30" s="10" t="s">
        <v>171</v>
      </c>
    </row>
    <row r="31" spans="2:3" x14ac:dyDescent="0.2">
      <c r="B31" s="10" t="s">
        <v>61</v>
      </c>
      <c r="C31" s="79">
        <v>45260</v>
      </c>
    </row>
    <row r="32" spans="2:3" ht="25.5" x14ac:dyDescent="0.2">
      <c r="B32" s="10" t="s">
        <v>63</v>
      </c>
      <c r="C32" s="10" t="s">
        <v>171</v>
      </c>
    </row>
    <row r="33" spans="2:4" ht="25.5" x14ac:dyDescent="0.2">
      <c r="B33" s="10" t="s">
        <v>64</v>
      </c>
      <c r="C33" s="10" t="s">
        <v>170</v>
      </c>
    </row>
    <row r="34" spans="2:4" x14ac:dyDescent="0.2">
      <c r="B34" s="9" t="s">
        <v>9</v>
      </c>
      <c r="C34" s="10" t="s">
        <v>174</v>
      </c>
    </row>
    <row r="35" spans="2:4" x14ac:dyDescent="0.2">
      <c r="B35" s="19"/>
    </row>
    <row r="36" spans="2:4" x14ac:dyDescent="0.2">
      <c r="B36" s="80" t="s">
        <v>56</v>
      </c>
      <c r="C36" s="81"/>
      <c r="D36" s="5"/>
    </row>
    <row r="38" spans="2:4" s="8" customFormat="1" x14ac:dyDescent="0.2">
      <c r="B38" s="8" t="s">
        <v>11</v>
      </c>
    </row>
    <row r="39" spans="2:4" s="57" customFormat="1" x14ac:dyDescent="0.2"/>
    <row r="40" spans="2:4" x14ac:dyDescent="0.2">
      <c r="B40" s="2" t="s">
        <v>49</v>
      </c>
    </row>
    <row r="45" spans="2:4" x14ac:dyDescent="0.2">
      <c r="B45" s="4"/>
    </row>
    <row r="46" spans="2:4" x14ac:dyDescent="0.2">
      <c r="B46" s="21" t="s">
        <v>65</v>
      </c>
    </row>
  </sheetData>
  <mergeCells count="1">
    <mergeCell ref="B36:C36"/>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34EE-37D8-4FD7-AECA-FD186D5A8B89}">
  <sheetPr>
    <tabColor rgb="FFFFFFCC"/>
  </sheetPr>
  <dimension ref="B2:Z59"/>
  <sheetViews>
    <sheetView showGridLines="0" zoomScale="85" zoomScaleNormal="85" workbookViewId="0">
      <pane xSplit="4" ySplit="8" topLeftCell="E9" activePane="bottomRight" state="frozen"/>
      <selection activeCell="A4" sqref="A4"/>
      <selection pane="topRight" activeCell="A4" sqref="A4"/>
      <selection pane="bottomLeft" activeCell="A4" sqref="A4"/>
      <selection pane="bottomRight" activeCell="A4" sqref="A4"/>
    </sheetView>
  </sheetViews>
  <sheetFormatPr defaultColWidth="9.140625" defaultRowHeight="12.75" outlineLevelRow="1" x14ac:dyDescent="0.2"/>
  <cols>
    <col min="1" max="1" width="5.7109375" style="2" customWidth="1"/>
    <col min="2" max="2" width="89.140625" style="2" bestFit="1" customWidth="1"/>
    <col min="3" max="3" width="2.7109375" style="2" customWidth="1"/>
    <col min="4" max="4" width="14.85546875" style="2" bestFit="1" customWidth="1"/>
    <col min="5" max="5" width="2.7109375" style="2" customWidth="1"/>
    <col min="6" max="6" width="13.7109375" style="2" customWidth="1"/>
    <col min="7" max="7" width="2.7109375" style="2" customWidth="1"/>
    <col min="8" max="8" width="13.7109375" style="2" customWidth="1"/>
    <col min="9" max="9" width="2.7109375" style="2" customWidth="1"/>
    <col min="10" max="24" width="12.5703125" style="2" customWidth="1"/>
    <col min="25" max="25" width="2.7109375" style="2" customWidth="1"/>
    <col min="26" max="16384" width="9.140625" style="2"/>
  </cols>
  <sheetData>
    <row r="2" spans="2:26" s="13" customFormat="1" ht="18" x14ac:dyDescent="0.2">
      <c r="B2" s="13" t="s">
        <v>173</v>
      </c>
    </row>
    <row r="4" spans="2:26" x14ac:dyDescent="0.2">
      <c r="B4" s="20" t="s">
        <v>47</v>
      </c>
    </row>
    <row r="5" spans="2:26" x14ac:dyDescent="0.2">
      <c r="B5" s="34" t="s">
        <v>177</v>
      </c>
      <c r="F5" s="14"/>
    </row>
    <row r="6" spans="2:26" x14ac:dyDescent="0.2">
      <c r="F6" s="14"/>
    </row>
    <row r="7" spans="2:26" s="8" customFormat="1" x14ac:dyDescent="0.2">
      <c r="B7" s="8" t="s">
        <v>39</v>
      </c>
      <c r="D7" s="8" t="s">
        <v>21</v>
      </c>
      <c r="F7" s="8" t="s">
        <v>22</v>
      </c>
      <c r="H7" s="8" t="s">
        <v>43</v>
      </c>
      <c r="J7" s="36">
        <v>2012</v>
      </c>
      <c r="K7" s="36">
        <v>2013</v>
      </c>
      <c r="L7" s="36">
        <v>2014</v>
      </c>
      <c r="M7" s="36">
        <v>2015</v>
      </c>
      <c r="N7" s="36">
        <v>2016</v>
      </c>
      <c r="O7" s="36">
        <v>2017</v>
      </c>
      <c r="P7" s="36">
        <v>2018</v>
      </c>
      <c r="Q7" s="36">
        <v>2019</v>
      </c>
      <c r="R7" s="36">
        <v>2020</v>
      </c>
      <c r="S7" s="36">
        <v>2021</v>
      </c>
      <c r="T7" s="36">
        <v>2022</v>
      </c>
      <c r="U7" s="36">
        <v>2023</v>
      </c>
      <c r="V7" s="36">
        <v>2024</v>
      </c>
      <c r="W7" s="36">
        <v>2025</v>
      </c>
      <c r="X7" s="36">
        <v>2026</v>
      </c>
      <c r="Z7" s="8" t="s">
        <v>41</v>
      </c>
    </row>
    <row r="10" spans="2:26" s="8" customFormat="1" x14ac:dyDescent="0.2">
      <c r="B10" s="8" t="s">
        <v>42</v>
      </c>
    </row>
    <row r="12" spans="2:26" x14ac:dyDescent="0.2">
      <c r="B12" s="20" t="s">
        <v>88</v>
      </c>
    </row>
    <row r="13" spans="2:26" x14ac:dyDescent="0.2">
      <c r="B13" s="2" t="s">
        <v>179</v>
      </c>
      <c r="D13" s="2" t="s">
        <v>93</v>
      </c>
      <c r="J13" s="46">
        <f>'3. Input rente'!J$19</f>
        <v>3.0898850574712665E-2</v>
      </c>
      <c r="K13" s="46">
        <f>'3. Input rente'!K$19</f>
        <v>2.697739463601535E-2</v>
      </c>
      <c r="L13" s="46">
        <f>'3. Input rente'!L$19</f>
        <v>2.0250574712643684E-2</v>
      </c>
      <c r="M13" s="46">
        <f>'3. Input rente'!M$19</f>
        <v>1.3843678160919528E-2</v>
      </c>
      <c r="N13" s="46">
        <f>'3. Input rente'!N$19</f>
        <v>9.9574712643678183E-3</v>
      </c>
      <c r="O13" s="46">
        <f>'3. Input rente'!O$19</f>
        <v>1.1915384615384616E-2</v>
      </c>
      <c r="P13" s="46">
        <f>'3. Input rente'!P$19</f>
        <v>1.3557088122605372E-2</v>
      </c>
      <c r="Q13" s="46">
        <f>'3. Input rente'!Q$19</f>
        <v>7.1501915708812244E-3</v>
      </c>
      <c r="R13" s="46">
        <f>'2. Input uit WACC modellen'!$F$24</f>
        <v>1.0100313881520773E-2</v>
      </c>
      <c r="S13" s="46">
        <f>'2. Input uit WACC modellen'!$F$24</f>
        <v>1.0100313881520773E-2</v>
      </c>
      <c r="T13" s="46">
        <f>'2. Input uit WACC modellen'!$F$24</f>
        <v>1.0100313881520773E-2</v>
      </c>
      <c r="U13" s="46">
        <f>'2. Input uit WACC modellen'!$F$24</f>
        <v>1.0100313881520773E-2</v>
      </c>
      <c r="V13" s="46">
        <f>'2. Input uit WACC modellen'!$F$24</f>
        <v>1.0100313881520773E-2</v>
      </c>
      <c r="W13" s="46">
        <f>'2. Input uit WACC modellen'!$F$24</f>
        <v>1.0100313881520773E-2</v>
      </c>
      <c r="X13" s="46">
        <f>'2. Input uit WACC modellen'!$F$24</f>
        <v>1.0100313881520773E-2</v>
      </c>
      <c r="Z13" s="2" t="s">
        <v>270</v>
      </c>
    </row>
    <row r="14" spans="2:26" x14ac:dyDescent="0.2">
      <c r="B14" s="2" t="s">
        <v>237</v>
      </c>
      <c r="D14" s="2" t="s">
        <v>93</v>
      </c>
      <c r="J14" s="46">
        <f>'3. Input rente'!J$19</f>
        <v>3.0898850574712665E-2</v>
      </c>
      <c r="K14" s="46">
        <f>'3. Input rente'!K$19</f>
        <v>2.697739463601535E-2</v>
      </c>
      <c r="L14" s="46">
        <f>'3. Input rente'!L$19</f>
        <v>2.0250574712643684E-2</v>
      </c>
      <c r="M14" s="46">
        <f>'3. Input rente'!M$19</f>
        <v>1.3843678160919528E-2</v>
      </c>
      <c r="N14" s="46">
        <f>'3. Input rente'!N$19</f>
        <v>9.9574712643678183E-3</v>
      </c>
      <c r="O14" s="46">
        <f>'3. Input rente'!O$19</f>
        <v>1.1915384615384616E-2</v>
      </c>
      <c r="P14" s="46">
        <f>'3. Input rente'!P$19</f>
        <v>1.3557088122605372E-2</v>
      </c>
      <c r="Q14" s="46">
        <f>'3. Input rente'!Q$19</f>
        <v>7.1501915708812244E-3</v>
      </c>
      <c r="R14" s="46">
        <f>'3. Input rente'!R$19</f>
        <v>4.9087786259541964E-3</v>
      </c>
      <c r="S14" s="46">
        <f>'2. Input uit WACC modellen'!$F$42</f>
        <v>8.538686106480264E-3</v>
      </c>
      <c r="T14" s="46">
        <f>'2. Input uit WACC modellen'!$F$42</f>
        <v>8.538686106480264E-3</v>
      </c>
      <c r="U14" s="46">
        <f>'2. Input uit WACC modellen'!$F$42</f>
        <v>8.538686106480264E-3</v>
      </c>
      <c r="V14" s="46">
        <f>'2. Input uit WACC modellen'!$F$42</f>
        <v>8.538686106480264E-3</v>
      </c>
      <c r="W14" s="46">
        <f>'2. Input uit WACC modellen'!$F$42</f>
        <v>8.538686106480264E-3</v>
      </c>
      <c r="X14" s="46">
        <f>'2. Input uit WACC modellen'!$F$42</f>
        <v>8.538686106480264E-3</v>
      </c>
      <c r="Z14" s="2" t="s">
        <v>271</v>
      </c>
    </row>
    <row r="15" spans="2:26" x14ac:dyDescent="0.2">
      <c r="B15" s="2" t="s">
        <v>238</v>
      </c>
      <c r="D15" s="2" t="s">
        <v>93</v>
      </c>
      <c r="J15" s="33"/>
      <c r="K15" s="33"/>
      <c r="L15" s="33"/>
      <c r="M15" s="33"/>
      <c r="N15" s="46">
        <f>'3. Input rente'!N$19</f>
        <v>9.9574712643678183E-3</v>
      </c>
      <c r="O15" s="46">
        <f>'3. Input rente'!O$19</f>
        <v>1.1915384615384616E-2</v>
      </c>
      <c r="P15" s="46">
        <f>'3. Input rente'!P$19</f>
        <v>1.3557088122605372E-2</v>
      </c>
      <c r="Q15" s="46">
        <f>'3. Input rente'!Q$19</f>
        <v>7.1501915708812244E-3</v>
      </c>
      <c r="R15" s="46">
        <f>'3. Input rente'!R$19</f>
        <v>4.9087786259541964E-3</v>
      </c>
      <c r="S15" s="33"/>
      <c r="T15" s="33"/>
      <c r="U15" s="33"/>
      <c r="V15" s="33"/>
      <c r="W15" s="33"/>
      <c r="X15" s="46">
        <f>'2. Input uit WACC modellen'!$F$63</f>
        <v>8.538686106480264E-3</v>
      </c>
      <c r="Z15" s="2" t="s">
        <v>272</v>
      </c>
    </row>
    <row r="16" spans="2:26" x14ac:dyDescent="0.2">
      <c r="B16" s="2" t="s">
        <v>91</v>
      </c>
      <c r="D16" s="2" t="s">
        <v>93</v>
      </c>
      <c r="J16" s="46">
        <f>'3. Input rente'!J19</f>
        <v>3.0898850574712665E-2</v>
      </c>
      <c r="K16" s="46">
        <f>'3. Input rente'!K19</f>
        <v>2.697739463601535E-2</v>
      </c>
      <c r="L16" s="46">
        <f>'3. Input rente'!L19</f>
        <v>2.0250574712643684E-2</v>
      </c>
      <c r="M16" s="46">
        <f>'3. Input rente'!M19</f>
        <v>1.3843678160919528E-2</v>
      </c>
      <c r="N16" s="46">
        <f>'3. Input rente'!N19</f>
        <v>9.9574712643678183E-3</v>
      </c>
      <c r="O16" s="46">
        <f>'3. Input rente'!O19</f>
        <v>1.1915384615384616E-2</v>
      </c>
      <c r="P16" s="46">
        <f>'3. Input rente'!P19</f>
        <v>1.3557088122605372E-2</v>
      </c>
      <c r="Q16" s="46">
        <f>'3. Input rente'!Q19</f>
        <v>7.1501915708812244E-3</v>
      </c>
      <c r="R16" s="46">
        <f>'3. Input rente'!R19</f>
        <v>4.9087786259541964E-3</v>
      </c>
      <c r="S16" s="46">
        <f>'3. Input rente'!S20</f>
        <v>3.8812260536398467E-3</v>
      </c>
      <c r="T16" s="46">
        <f>'3. Input rente'!T20</f>
        <v>2.5222007722007712E-2</v>
      </c>
      <c r="U16" s="33"/>
      <c r="V16" s="33"/>
      <c r="W16" s="33"/>
      <c r="X16" s="33"/>
    </row>
    <row r="18" spans="2:26" x14ac:dyDescent="0.2">
      <c r="B18" s="1" t="s">
        <v>102</v>
      </c>
    </row>
    <row r="19" spans="2:26" x14ac:dyDescent="0.2">
      <c r="B19" s="38" t="s">
        <v>273</v>
      </c>
      <c r="D19" s="2" t="s">
        <v>93</v>
      </c>
      <c r="T19" s="46">
        <f>'2. Input uit WACC modellen'!K23</f>
        <v>1.3395272472737993E-2</v>
      </c>
      <c r="U19" s="46">
        <f>'2. Input uit WACC modellen'!L23</f>
        <v>1.1707564397288534E-2</v>
      </c>
      <c r="V19" s="46">
        <f>'2. Input uit WACC modellen'!M23</f>
        <v>1.0692538314176242E-2</v>
      </c>
      <c r="W19" s="46">
        <f>'2. Input uit WACC modellen'!N23</f>
        <v>1.0318201886236366E-2</v>
      </c>
      <c r="X19" s="46">
        <f>'2. Input uit WACC modellen'!O23</f>
        <v>1.0332486147951663E-2</v>
      </c>
    </row>
    <row r="20" spans="2:26" x14ac:dyDescent="0.2">
      <c r="B20" s="38" t="s">
        <v>274</v>
      </c>
      <c r="D20" s="2" t="s">
        <v>93</v>
      </c>
      <c r="S20" s="46">
        <f>'2. Input uit WACC modellen'!J41</f>
        <v>1.4799809838996474E-2</v>
      </c>
      <c r="T20" s="46">
        <f>'2. Input uit WACC modellen'!K41</f>
        <v>1.2563793392173233E-2</v>
      </c>
      <c r="U20" s="46">
        <f>'2. Input uit WACC modellen'!L41</f>
        <v>1.0719922539219722E-2</v>
      </c>
      <c r="V20" s="46">
        <f>'2. Input uit WACC modellen'!M41</f>
        <v>9.5487336786033803E-3</v>
      </c>
      <c r="W20" s="46">
        <f>'2. Input uit WACC modellen'!N41</f>
        <v>9.0182344731594543E-3</v>
      </c>
      <c r="X20" s="46">
        <f>'2. Input uit WACC modellen'!O41</f>
        <v>8.876355957370699E-3</v>
      </c>
    </row>
    <row r="21" spans="2:26" x14ac:dyDescent="0.2">
      <c r="B21" s="38" t="s">
        <v>275</v>
      </c>
      <c r="D21" s="2" t="s">
        <v>93</v>
      </c>
      <c r="T21" s="46">
        <f>'2. Input uit WACC modellen'!K62</f>
        <v>9.4977828398386446E-3</v>
      </c>
      <c r="U21" s="46">
        <f>'2. Input uit WACC modellen'!L62</f>
        <v>9.4977828398386446E-3</v>
      </c>
      <c r="V21" s="46">
        <f>'2. Input uit WACC modellen'!M62</f>
        <v>9.4977828398386446E-3</v>
      </c>
      <c r="W21" s="46">
        <f>'2. Input uit WACC modellen'!N62</f>
        <v>9.4977828398386446E-3</v>
      </c>
      <c r="X21" s="46">
        <f>'2. Input uit WACC modellen'!O62</f>
        <v>9.2140258082611358E-3</v>
      </c>
    </row>
    <row r="23" spans="2:26" s="8" customFormat="1" x14ac:dyDescent="0.2">
      <c r="B23" s="8" t="s">
        <v>92</v>
      </c>
    </row>
    <row r="24" spans="2:26" outlineLevel="1" x14ac:dyDescent="0.2"/>
    <row r="25" spans="2:26" outlineLevel="1" x14ac:dyDescent="0.2">
      <c r="B25" s="1" t="s">
        <v>95</v>
      </c>
    </row>
    <row r="26" spans="2:26" outlineLevel="1" x14ac:dyDescent="0.2">
      <c r="B26" s="40" t="s">
        <v>94</v>
      </c>
      <c r="D26" s="2" t="s">
        <v>93</v>
      </c>
      <c r="T26" s="47">
        <f>AVERAGE(K13:T13)</f>
        <v>1.3395272472737993E-2</v>
      </c>
      <c r="U26" s="47">
        <f>AVERAGE(L13:U13)</f>
        <v>1.1707564397288534E-2</v>
      </c>
      <c r="V26" s="47">
        <f>AVERAGE(M13:V13)</f>
        <v>1.0692538314176242E-2</v>
      </c>
      <c r="W26" s="47">
        <f>AVERAGE(N13:W13)</f>
        <v>1.0318201886236366E-2</v>
      </c>
      <c r="X26" s="47">
        <f>AVERAGE(O13:X13)</f>
        <v>1.0332486147951663E-2</v>
      </c>
      <c r="Z26" s="2" t="s">
        <v>97</v>
      </c>
    </row>
    <row r="27" spans="2:26" outlineLevel="1" x14ac:dyDescent="0.2">
      <c r="B27" s="40" t="s">
        <v>134</v>
      </c>
      <c r="D27" s="2" t="s">
        <v>103</v>
      </c>
      <c r="T27" s="76" t="b">
        <f>T26=T19</f>
        <v>1</v>
      </c>
      <c r="U27" s="76" t="b">
        <f t="shared" ref="U27:X27" si="0">U26=U19</f>
        <v>1</v>
      </c>
      <c r="V27" s="76" t="b">
        <f t="shared" si="0"/>
        <v>1</v>
      </c>
      <c r="W27" s="76" t="b">
        <f t="shared" si="0"/>
        <v>1</v>
      </c>
      <c r="X27" s="76" t="b">
        <f t="shared" si="0"/>
        <v>1</v>
      </c>
    </row>
    <row r="28" spans="2:26" outlineLevel="1" x14ac:dyDescent="0.2">
      <c r="T28" s="26"/>
    </row>
    <row r="29" spans="2:26" outlineLevel="1" x14ac:dyDescent="0.2">
      <c r="B29" s="1" t="s">
        <v>96</v>
      </c>
    </row>
    <row r="30" spans="2:26" outlineLevel="1" x14ac:dyDescent="0.2">
      <c r="B30" s="40" t="s">
        <v>94</v>
      </c>
      <c r="D30" s="2" t="s">
        <v>93</v>
      </c>
      <c r="T30" s="32">
        <f>AVERAGE(K16:T16)</f>
        <v>1.3766379548441936E-2</v>
      </c>
      <c r="U30" s="33"/>
      <c r="V30" s="33"/>
      <c r="W30" s="33"/>
      <c r="X30" s="33"/>
    </row>
    <row r="31" spans="2:26" outlineLevel="1" x14ac:dyDescent="0.2"/>
    <row r="32" spans="2:26" s="8" customFormat="1" x14ac:dyDescent="0.2">
      <c r="B32" s="8" t="s">
        <v>168</v>
      </c>
    </row>
    <row r="33" spans="2:26" outlineLevel="1" x14ac:dyDescent="0.2"/>
    <row r="34" spans="2:26" outlineLevel="1" x14ac:dyDescent="0.2">
      <c r="B34" s="1" t="s">
        <v>95</v>
      </c>
    </row>
    <row r="35" spans="2:26" outlineLevel="1" x14ac:dyDescent="0.2">
      <c r="B35" s="40" t="s">
        <v>94</v>
      </c>
      <c r="D35" s="2" t="s">
        <v>93</v>
      </c>
      <c r="S35" s="47">
        <f t="shared" ref="S35:X35" si="1">AVERAGE(J14:S14)</f>
        <v>1.4799809838996472E-2</v>
      </c>
      <c r="T35" s="47">
        <f t="shared" si="1"/>
        <v>1.2563793392173233E-2</v>
      </c>
      <c r="U35" s="47">
        <f t="shared" si="1"/>
        <v>1.0719922539219721E-2</v>
      </c>
      <c r="V35" s="47">
        <f t="shared" si="1"/>
        <v>9.5487336786033786E-3</v>
      </c>
      <c r="W35" s="47">
        <f t="shared" si="1"/>
        <v>9.0182344731594526E-3</v>
      </c>
      <c r="X35" s="47">
        <f t="shared" si="1"/>
        <v>8.8763559573706973E-3</v>
      </c>
      <c r="Z35" s="2" t="s">
        <v>98</v>
      </c>
    </row>
    <row r="36" spans="2:26" outlineLevel="1" x14ac:dyDescent="0.2">
      <c r="B36" s="40" t="s">
        <v>134</v>
      </c>
      <c r="D36" s="2" t="s">
        <v>103</v>
      </c>
      <c r="S36" s="76" t="b">
        <f>S20=S35</f>
        <v>1</v>
      </c>
      <c r="T36" s="76" t="b">
        <f t="shared" ref="T36:X36" si="2">T20=T35</f>
        <v>1</v>
      </c>
      <c r="U36" s="76" t="b">
        <f t="shared" si="2"/>
        <v>1</v>
      </c>
      <c r="V36" s="76" t="b">
        <f t="shared" si="2"/>
        <v>1</v>
      </c>
      <c r="W36" s="76" t="b">
        <f t="shared" si="2"/>
        <v>1</v>
      </c>
      <c r="X36" s="76" t="b">
        <f t="shared" si="2"/>
        <v>1</v>
      </c>
    </row>
    <row r="37" spans="2:26" outlineLevel="1" x14ac:dyDescent="0.2"/>
    <row r="38" spans="2:26" outlineLevel="1" x14ac:dyDescent="0.2">
      <c r="B38" s="1" t="s">
        <v>96</v>
      </c>
    </row>
    <row r="39" spans="2:26" outlineLevel="1" x14ac:dyDescent="0.2">
      <c r="B39" s="40" t="s">
        <v>94</v>
      </c>
      <c r="D39" s="2" t="s">
        <v>93</v>
      </c>
      <c r="S39" s="32">
        <f>AVERAGE(J16:S16)</f>
        <v>1.4334063833712432E-2</v>
      </c>
      <c r="T39" s="32">
        <f>AVERAGE(K16:T16)</f>
        <v>1.3766379548441936E-2</v>
      </c>
      <c r="U39" s="33"/>
      <c r="V39" s="33"/>
      <c r="W39" s="33"/>
      <c r="X39" s="33"/>
    </row>
    <row r="40" spans="2:26" outlineLevel="1" x14ac:dyDescent="0.2"/>
    <row r="41" spans="2:26" s="8" customFormat="1" x14ac:dyDescent="0.2">
      <c r="B41" s="8" t="s">
        <v>169</v>
      </c>
    </row>
    <row r="42" spans="2:26" outlineLevel="1" x14ac:dyDescent="0.2"/>
    <row r="43" spans="2:26" outlineLevel="1" x14ac:dyDescent="0.2">
      <c r="B43" s="1" t="s">
        <v>95</v>
      </c>
    </row>
    <row r="44" spans="2:26" outlineLevel="1" x14ac:dyDescent="0.2">
      <c r="B44" s="40" t="s">
        <v>94</v>
      </c>
      <c r="D44" s="2" t="s">
        <v>93</v>
      </c>
      <c r="T44" s="47">
        <f>AVERAGE($N$15:$R$15)</f>
        <v>9.4977828398386446E-3</v>
      </c>
      <c r="U44" s="47">
        <f t="shared" ref="U44:W44" si="3">AVERAGE($N$15:$R$15)</f>
        <v>9.4977828398386446E-3</v>
      </c>
      <c r="V44" s="47">
        <f t="shared" si="3"/>
        <v>9.4977828398386446E-3</v>
      </c>
      <c r="W44" s="47">
        <f t="shared" si="3"/>
        <v>9.4977828398386446E-3</v>
      </c>
      <c r="X44" s="48">
        <f>AVERAGE($O$15:$R$15,$X$15)</f>
        <v>9.2140258082611358E-3</v>
      </c>
      <c r="Z44" s="2" t="s">
        <v>178</v>
      </c>
    </row>
    <row r="45" spans="2:26" outlineLevel="1" x14ac:dyDescent="0.2">
      <c r="B45" s="40" t="s">
        <v>134</v>
      </c>
      <c r="D45" s="2" t="s">
        <v>103</v>
      </c>
      <c r="T45" s="76" t="b">
        <f>T21=T44</f>
        <v>1</v>
      </c>
      <c r="U45" s="76" t="b">
        <f t="shared" ref="U45:X45" si="4">U21=U44</f>
        <v>1</v>
      </c>
      <c r="V45" s="76" t="b">
        <f t="shared" si="4"/>
        <v>1</v>
      </c>
      <c r="W45" s="76" t="b">
        <f t="shared" si="4"/>
        <v>1</v>
      </c>
      <c r="X45" s="76" t="b">
        <f t="shared" si="4"/>
        <v>1</v>
      </c>
    </row>
    <row r="46" spans="2:26" outlineLevel="1" collapsed="1" x14ac:dyDescent="0.2"/>
    <row r="47" spans="2:26" outlineLevel="1" x14ac:dyDescent="0.2">
      <c r="B47" s="1" t="s">
        <v>96</v>
      </c>
    </row>
    <row r="48" spans="2:26" outlineLevel="1" x14ac:dyDescent="0.2">
      <c r="B48" s="40" t="s">
        <v>94</v>
      </c>
      <c r="D48" s="2" t="s">
        <v>93</v>
      </c>
      <c r="T48" s="32">
        <f>AVERAGE($N$16:$R$16)</f>
        <v>9.4977828398386446E-3</v>
      </c>
      <c r="U48" s="33"/>
      <c r="V48" s="33"/>
      <c r="W48" s="33"/>
      <c r="X48" s="33"/>
    </row>
    <row r="49" spans="2:2" outlineLevel="1" x14ac:dyDescent="0.2"/>
    <row r="59" spans="2:2" x14ac:dyDescent="0.2">
      <c r="B59" s="21" t="s">
        <v>65</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ECF92-4E4F-4AEC-B21B-CFFDEAF46952}">
  <sheetPr>
    <tabColor rgb="FFFFFFCC"/>
  </sheetPr>
  <dimension ref="A2:S160"/>
  <sheetViews>
    <sheetView showGridLines="0" zoomScale="85" zoomScaleNormal="85" workbookViewId="0">
      <pane xSplit="4" ySplit="11" topLeftCell="E12" activePane="bottomRight" state="frozen"/>
      <selection activeCell="A4" sqref="A4"/>
      <selection pane="topRight" activeCell="A4" sqref="A4"/>
      <selection pane="bottomLeft" activeCell="A4" sqref="A4"/>
      <selection pane="bottomRight" activeCell="A4" sqref="A4"/>
    </sheetView>
  </sheetViews>
  <sheetFormatPr defaultColWidth="9.140625" defaultRowHeight="12.75" outlineLevelRow="1" x14ac:dyDescent="0.2"/>
  <cols>
    <col min="1" max="1" width="5.7109375" style="2" customWidth="1"/>
    <col min="2" max="2" width="88.28515625" style="2" bestFit="1" customWidth="1"/>
    <col min="3" max="3" width="2.7109375" style="2" customWidth="1"/>
    <col min="4" max="4" width="13.7109375" style="2" customWidth="1"/>
    <col min="5" max="5" width="2.7109375" style="2" customWidth="1"/>
    <col min="6" max="6" width="13.7109375" style="2" customWidth="1"/>
    <col min="7" max="7" width="2.7109375" style="2" customWidth="1"/>
    <col min="8" max="8" width="13.7109375" style="2" customWidth="1"/>
    <col min="9" max="9" width="2.7109375" style="2" customWidth="1"/>
    <col min="10" max="10" width="11.5703125" style="2" customWidth="1"/>
    <col min="11" max="15" width="12.5703125" style="2" customWidth="1"/>
    <col min="16" max="16" width="2.7109375" style="2" customWidth="1"/>
    <col min="17" max="25" width="12.5703125" style="2" customWidth="1"/>
    <col min="26" max="26" width="13.7109375" style="2" customWidth="1"/>
    <col min="27" max="16384" width="9.140625" style="2"/>
  </cols>
  <sheetData>
    <row r="2" spans="2:19" s="13" customFormat="1" ht="18" x14ac:dyDescent="0.2">
      <c r="B2" s="13" t="s">
        <v>173</v>
      </c>
    </row>
    <row r="4" spans="2:19" x14ac:dyDescent="0.2">
      <c r="B4" s="20" t="s">
        <v>47</v>
      </c>
    </row>
    <row r="5" spans="2:19" ht="87" customHeight="1" x14ac:dyDescent="0.2">
      <c r="B5" s="34" t="s">
        <v>276</v>
      </c>
      <c r="F5" s="14"/>
    </row>
    <row r="6" spans="2:19" x14ac:dyDescent="0.2">
      <c r="F6" s="14"/>
    </row>
    <row r="7" spans="2:19" x14ac:dyDescent="0.2">
      <c r="B7" s="21" t="s">
        <v>24</v>
      </c>
      <c r="F7" s="14"/>
    </row>
    <row r="8" spans="2:19" ht="25.5" x14ac:dyDescent="0.2">
      <c r="B8" s="34" t="s">
        <v>124</v>
      </c>
    </row>
    <row r="10" spans="2:19" s="8" customFormat="1" x14ac:dyDescent="0.2">
      <c r="B10" s="8" t="s">
        <v>39</v>
      </c>
      <c r="D10" s="8" t="s">
        <v>21</v>
      </c>
      <c r="F10" s="8" t="s">
        <v>22</v>
      </c>
      <c r="H10" s="8" t="s">
        <v>43</v>
      </c>
      <c r="J10" s="36">
        <v>2021</v>
      </c>
      <c r="K10" s="36">
        <v>2022</v>
      </c>
      <c r="L10" s="36">
        <v>2023</v>
      </c>
      <c r="M10" s="36">
        <v>2024</v>
      </c>
      <c r="N10" s="36">
        <v>2025</v>
      </c>
      <c r="O10" s="36">
        <v>2026</v>
      </c>
      <c r="Q10" s="8" t="s">
        <v>41</v>
      </c>
    </row>
    <row r="13" spans="2:19" s="8" customFormat="1" x14ac:dyDescent="0.2">
      <c r="B13" s="8" t="s">
        <v>42</v>
      </c>
    </row>
    <row r="15" spans="2:19" x14ac:dyDescent="0.2">
      <c r="B15" s="1" t="s">
        <v>100</v>
      </c>
    </row>
    <row r="16" spans="2:19" x14ac:dyDescent="0.2">
      <c r="B16" s="38" t="s">
        <v>100</v>
      </c>
      <c r="D16" s="2" t="s">
        <v>93</v>
      </c>
      <c r="J16" s="52">
        <f>'2. Input uit WACC modellen'!J12</f>
        <v>1.6681679602724035E-2</v>
      </c>
      <c r="K16" s="52">
        <f>'2. Input uit WACC modellen'!K12</f>
        <v>1.7681679602724036E-2</v>
      </c>
      <c r="L16" s="52">
        <f>'2. Input uit WACC modellen'!L12</f>
        <v>1.7681679602724036E-2</v>
      </c>
      <c r="M16" s="52">
        <f>'2. Input uit WACC modellen'!M12</f>
        <v>1.7681679602724001E-2</v>
      </c>
      <c r="N16" s="52">
        <f>'2. Input uit WACC modellen'!N12</f>
        <v>1.7681679602724001E-2</v>
      </c>
      <c r="O16" s="52">
        <f>'2. Input uit WACC modellen'!O12</f>
        <v>1.7681679602724001E-2</v>
      </c>
      <c r="Q16" s="14"/>
      <c r="S16" s="40"/>
    </row>
    <row r="17" spans="2:17" x14ac:dyDescent="0.2">
      <c r="B17" s="42" t="s">
        <v>77</v>
      </c>
      <c r="D17" s="2" t="s">
        <v>93</v>
      </c>
      <c r="F17" s="52">
        <f>'2. Input uit WACC modellen'!F13</f>
        <v>0.5</v>
      </c>
      <c r="Q17" s="14"/>
    </row>
    <row r="19" spans="2:17" x14ac:dyDescent="0.2">
      <c r="B19" s="77" t="s">
        <v>71</v>
      </c>
    </row>
    <row r="20" spans="2:17" outlineLevel="1" x14ac:dyDescent="0.2">
      <c r="B20" s="1" t="s">
        <v>104</v>
      </c>
    </row>
    <row r="21" spans="2:17" outlineLevel="1" x14ac:dyDescent="0.2">
      <c r="B21" s="30" t="s">
        <v>140</v>
      </c>
      <c r="D21" s="2" t="s">
        <v>93</v>
      </c>
      <c r="F21" s="46">
        <f>'2. Input uit WACC modellen'!F18</f>
        <v>0.44618924529835263</v>
      </c>
    </row>
    <row r="22" spans="2:17" outlineLevel="1" x14ac:dyDescent="0.2">
      <c r="B22" s="38" t="s">
        <v>74</v>
      </c>
      <c r="D22" s="2" t="s">
        <v>93</v>
      </c>
      <c r="F22" s="46">
        <f>'2. Input uit WACC modellen'!F19</f>
        <v>0.25</v>
      </c>
    </row>
    <row r="23" spans="2:17" outlineLevel="1" x14ac:dyDescent="0.2">
      <c r="B23" s="37" t="s">
        <v>105</v>
      </c>
      <c r="F23" s="38"/>
    </row>
    <row r="24" spans="2:17" outlineLevel="1" x14ac:dyDescent="0.2">
      <c r="B24" s="40" t="s">
        <v>277</v>
      </c>
      <c r="D24" s="2" t="s">
        <v>93</v>
      </c>
      <c r="J24" s="33"/>
      <c r="K24" s="46">
        <f>'2. Input uit WACC modellen'!K23</f>
        <v>1.3395272472737993E-2</v>
      </c>
      <c r="L24" s="46">
        <f>'2. Input uit WACC modellen'!L23</f>
        <v>1.1707564397288534E-2</v>
      </c>
      <c r="M24" s="46">
        <f>'2. Input uit WACC modellen'!M23</f>
        <v>1.0692538314176242E-2</v>
      </c>
      <c r="N24" s="46">
        <f>'2. Input uit WACC modellen'!N23</f>
        <v>1.0318201886236366E-2</v>
      </c>
      <c r="O24" s="46">
        <f>'2. Input uit WACC modellen'!O23</f>
        <v>1.0332486147951663E-2</v>
      </c>
    </row>
    <row r="25" spans="2:17" outlineLevel="1" x14ac:dyDescent="0.2">
      <c r="B25" s="42" t="s">
        <v>278</v>
      </c>
      <c r="D25" s="2" t="s">
        <v>93</v>
      </c>
      <c r="J25" s="33"/>
      <c r="K25" s="46">
        <f>'5. Rente schulden'!T30</f>
        <v>1.3766379548441936E-2</v>
      </c>
      <c r="L25" s="33"/>
      <c r="M25" s="33"/>
      <c r="N25" s="33"/>
      <c r="O25" s="33"/>
    </row>
    <row r="26" spans="2:17" outlineLevel="1" x14ac:dyDescent="0.2">
      <c r="B26" s="42" t="s">
        <v>101</v>
      </c>
      <c r="D26" s="2" t="s">
        <v>93</v>
      </c>
      <c r="F26" s="46">
        <f>'2. Input uit WACC modellen'!F25</f>
        <v>1.5E-3</v>
      </c>
    </row>
    <row r="27" spans="2:17" outlineLevel="1" x14ac:dyDescent="0.2">
      <c r="B27" s="51" t="s">
        <v>106</v>
      </c>
    </row>
    <row r="28" spans="2:17" outlineLevel="1" x14ac:dyDescent="0.2">
      <c r="B28" s="40" t="s">
        <v>99</v>
      </c>
      <c r="D28" s="2" t="s">
        <v>93</v>
      </c>
      <c r="F28" s="46">
        <f>'2. Input uit WACC modellen'!F20</f>
        <v>1.59921895006402E-3</v>
      </c>
    </row>
    <row r="29" spans="2:17" outlineLevel="1" x14ac:dyDescent="0.2">
      <c r="B29" s="40" t="s">
        <v>239</v>
      </c>
      <c r="D29" s="2" t="s">
        <v>93</v>
      </c>
      <c r="J29" s="33"/>
      <c r="K29" s="46">
        <f>'4. Risicovrije rente'!K19</f>
        <v>1.3280961538461537E-2</v>
      </c>
      <c r="L29" s="33"/>
      <c r="M29" s="33"/>
      <c r="N29" s="33"/>
      <c r="O29" s="33"/>
    </row>
    <row r="30" spans="2:17" outlineLevel="1" x14ac:dyDescent="0.2">
      <c r="B30" s="40" t="s">
        <v>76</v>
      </c>
      <c r="D30" s="2" t="s">
        <v>93</v>
      </c>
      <c r="F30" s="46">
        <f>'2. Input uit WACC modellen'!F21</f>
        <v>0.05</v>
      </c>
    </row>
    <row r="31" spans="2:17" outlineLevel="1" x14ac:dyDescent="0.2">
      <c r="B31" s="40" t="s">
        <v>280</v>
      </c>
      <c r="F31" s="53">
        <f>'2. Input uit WACC modellen'!F22</f>
        <v>0.39485740969546723</v>
      </c>
    </row>
    <row r="33" spans="2:15" x14ac:dyDescent="0.2">
      <c r="B33" s="77" t="s">
        <v>109</v>
      </c>
    </row>
    <row r="34" spans="2:15" outlineLevel="1" x14ac:dyDescent="0.2">
      <c r="B34" s="1" t="s">
        <v>104</v>
      </c>
    </row>
    <row r="35" spans="2:15" outlineLevel="1" x14ac:dyDescent="0.2">
      <c r="B35" s="30" t="s">
        <v>140</v>
      </c>
      <c r="D35" s="2" t="s">
        <v>93</v>
      </c>
      <c r="F35" s="46">
        <f>'2. Input uit WACC modellen'!F36</f>
        <v>0.4524648639265762</v>
      </c>
    </row>
    <row r="36" spans="2:15" outlineLevel="1" x14ac:dyDescent="0.2">
      <c r="B36" s="38" t="s">
        <v>74</v>
      </c>
      <c r="D36" s="2" t="s">
        <v>93</v>
      </c>
      <c r="F36" s="46">
        <f>'2. Input uit WACC modellen'!F19</f>
        <v>0.25</v>
      </c>
    </row>
    <row r="37" spans="2:15" outlineLevel="1" x14ac:dyDescent="0.2">
      <c r="B37" s="37" t="s">
        <v>105</v>
      </c>
      <c r="F37" s="38"/>
    </row>
    <row r="38" spans="2:15" outlineLevel="1" x14ac:dyDescent="0.2">
      <c r="B38" s="40" t="s">
        <v>277</v>
      </c>
      <c r="D38" s="2" t="s">
        <v>93</v>
      </c>
      <c r="J38" s="46">
        <f>'2. Input uit WACC modellen'!J41</f>
        <v>1.4799809838996474E-2</v>
      </c>
      <c r="K38" s="46">
        <f>'2. Input uit WACC modellen'!K41</f>
        <v>1.2563793392173233E-2</v>
      </c>
      <c r="L38" s="46">
        <f>'2. Input uit WACC modellen'!L41</f>
        <v>1.0719922539219722E-2</v>
      </c>
      <c r="M38" s="46">
        <f>'2. Input uit WACC modellen'!M41</f>
        <v>9.5487336786033803E-3</v>
      </c>
      <c r="N38" s="46">
        <f>'2. Input uit WACC modellen'!N41</f>
        <v>9.0182344731594543E-3</v>
      </c>
      <c r="O38" s="46">
        <f>'2. Input uit WACC modellen'!O41</f>
        <v>8.876355957370699E-3</v>
      </c>
    </row>
    <row r="39" spans="2:15" outlineLevel="1" x14ac:dyDescent="0.2">
      <c r="B39" s="42" t="s">
        <v>278</v>
      </c>
      <c r="D39" s="2" t="s">
        <v>93</v>
      </c>
      <c r="J39" s="46">
        <f>'5. Rente schulden'!S39</f>
        <v>1.4334063833712432E-2</v>
      </c>
      <c r="K39" s="46">
        <f>'5. Rente schulden'!T39</f>
        <v>1.3766379548441936E-2</v>
      </c>
      <c r="L39" s="33"/>
      <c r="M39" s="33"/>
      <c r="N39" s="33"/>
      <c r="O39" s="33"/>
    </row>
    <row r="40" spans="2:15" outlineLevel="1" x14ac:dyDescent="0.2">
      <c r="B40" s="42" t="s">
        <v>101</v>
      </c>
      <c r="D40" s="2" t="s">
        <v>93</v>
      </c>
      <c r="F40" s="46">
        <f>'2. Input uit WACC modellen'!F43</f>
        <v>1.5E-3</v>
      </c>
    </row>
    <row r="41" spans="2:15" outlineLevel="1" x14ac:dyDescent="0.2">
      <c r="B41" s="51" t="s">
        <v>106</v>
      </c>
    </row>
    <row r="42" spans="2:15" outlineLevel="1" x14ac:dyDescent="0.2">
      <c r="B42" s="40" t="s">
        <v>99</v>
      </c>
      <c r="D42" s="2" t="s">
        <v>93</v>
      </c>
      <c r="F42" s="46">
        <f>'2. Input uit WACC modellen'!F38</f>
        <v>-9.240740740740726E-5</v>
      </c>
    </row>
    <row r="43" spans="2:15" outlineLevel="1" x14ac:dyDescent="0.2">
      <c r="B43" s="40" t="s">
        <v>239</v>
      </c>
      <c r="D43" s="2" t="s">
        <v>93</v>
      </c>
      <c r="J43" s="46">
        <f>'4. Risicovrije rente'!J19</f>
        <v>-2.4786015325670495E-3</v>
      </c>
      <c r="K43" s="46">
        <f>'4. Risicovrije rente'!K19</f>
        <v>1.3280961538461537E-2</v>
      </c>
      <c r="L43" s="33"/>
      <c r="M43" s="33"/>
      <c r="N43" s="33"/>
      <c r="O43" s="33"/>
    </row>
    <row r="44" spans="2:15" outlineLevel="1" x14ac:dyDescent="0.2">
      <c r="B44" s="40" t="s">
        <v>76</v>
      </c>
      <c r="D44" s="2" t="s">
        <v>93</v>
      </c>
      <c r="F44" s="46">
        <f>'2. Input uit WACC modellen'!F39</f>
        <v>0.05</v>
      </c>
    </row>
    <row r="45" spans="2:15" outlineLevel="1" x14ac:dyDescent="0.2">
      <c r="B45" s="40" t="s">
        <v>280</v>
      </c>
      <c r="F45" s="54">
        <f>'2. Input uit WACC modellen'!F40</f>
        <v>0.39052874739697352</v>
      </c>
    </row>
    <row r="47" spans="2:15" x14ac:dyDescent="0.2">
      <c r="B47" s="77" t="s">
        <v>110</v>
      </c>
    </row>
    <row r="48" spans="2:15" outlineLevel="1" x14ac:dyDescent="0.2">
      <c r="B48" s="1" t="s">
        <v>104</v>
      </c>
    </row>
    <row r="49" spans="2:15" outlineLevel="1" x14ac:dyDescent="0.2">
      <c r="B49" s="30" t="s">
        <v>140</v>
      </c>
      <c r="D49" s="2" t="s">
        <v>93</v>
      </c>
      <c r="F49" s="46">
        <f>'2. Input uit WACC modellen'!F57</f>
        <v>0.4524648639265762</v>
      </c>
    </row>
    <row r="50" spans="2:15" outlineLevel="1" x14ac:dyDescent="0.2">
      <c r="B50" s="38" t="s">
        <v>74</v>
      </c>
      <c r="D50" s="2" t="s">
        <v>93</v>
      </c>
      <c r="F50" s="46">
        <f>'2. Input uit WACC modellen'!F58</f>
        <v>0.25</v>
      </c>
    </row>
    <row r="51" spans="2:15" outlineLevel="1" x14ac:dyDescent="0.2">
      <c r="B51" s="37" t="s">
        <v>105</v>
      </c>
      <c r="F51" s="38"/>
    </row>
    <row r="52" spans="2:15" outlineLevel="1" x14ac:dyDescent="0.2">
      <c r="B52" s="40" t="s">
        <v>277</v>
      </c>
      <c r="D52" s="2" t="s">
        <v>93</v>
      </c>
      <c r="J52" s="33"/>
      <c r="K52" s="46">
        <f>'2. Input uit WACC modellen'!K62</f>
        <v>9.4977828398386446E-3</v>
      </c>
      <c r="L52" s="46">
        <f>'2. Input uit WACC modellen'!L62</f>
        <v>9.4977828398386446E-3</v>
      </c>
      <c r="M52" s="46">
        <f>'2. Input uit WACC modellen'!M62</f>
        <v>9.4977828398386446E-3</v>
      </c>
      <c r="N52" s="46">
        <f>'2. Input uit WACC modellen'!N62</f>
        <v>9.4977828398386446E-3</v>
      </c>
      <c r="O52" s="46">
        <f>'2. Input uit WACC modellen'!O62</f>
        <v>9.2140258082611358E-3</v>
      </c>
    </row>
    <row r="53" spans="2:15" outlineLevel="1" x14ac:dyDescent="0.2">
      <c r="B53" s="42" t="s">
        <v>278</v>
      </c>
      <c r="D53" s="2" t="s">
        <v>93</v>
      </c>
      <c r="J53" s="33"/>
      <c r="K53" s="46">
        <f>'5. Rente schulden'!T48</f>
        <v>9.4977828398386446E-3</v>
      </c>
      <c r="L53" s="33"/>
      <c r="M53" s="33"/>
      <c r="N53" s="33"/>
      <c r="O53" s="33"/>
    </row>
    <row r="54" spans="2:15" outlineLevel="1" x14ac:dyDescent="0.2">
      <c r="B54" s="42" t="s">
        <v>101</v>
      </c>
      <c r="D54" s="2" t="s">
        <v>93</v>
      </c>
      <c r="F54" s="46">
        <f>'2. Input uit WACC modellen'!F64</f>
        <v>1.5E-3</v>
      </c>
    </row>
    <row r="55" spans="2:15" outlineLevel="1" x14ac:dyDescent="0.2">
      <c r="B55" s="51" t="s">
        <v>106</v>
      </c>
    </row>
    <row r="56" spans="2:15" outlineLevel="1" x14ac:dyDescent="0.2">
      <c r="B56" s="40" t="s">
        <v>99</v>
      </c>
      <c r="D56" s="2" t="s">
        <v>93</v>
      </c>
      <c r="F56" s="46">
        <f>'2. Input uit WACC modellen'!F59</f>
        <v>-9.240740740740726E-5</v>
      </c>
    </row>
    <row r="57" spans="2:15" outlineLevel="1" x14ac:dyDescent="0.2">
      <c r="B57" s="40" t="s">
        <v>239</v>
      </c>
      <c r="D57" s="2" t="s">
        <v>93</v>
      </c>
      <c r="J57" s="33"/>
      <c r="K57" s="46">
        <f>'4. Risicovrije rente'!K19</f>
        <v>1.3280961538461537E-2</v>
      </c>
      <c r="L57" s="33"/>
      <c r="M57" s="33"/>
      <c r="N57" s="33"/>
      <c r="O57" s="33"/>
    </row>
    <row r="58" spans="2:15" outlineLevel="1" x14ac:dyDescent="0.2">
      <c r="B58" s="40" t="s">
        <v>76</v>
      </c>
      <c r="D58" s="2" t="s">
        <v>93</v>
      </c>
      <c r="F58" s="46">
        <f>'2. Input uit WACC modellen'!F60</f>
        <v>0.05</v>
      </c>
    </row>
    <row r="59" spans="2:15" outlineLevel="1" x14ac:dyDescent="0.2">
      <c r="B59" s="40" t="s">
        <v>280</v>
      </c>
      <c r="F59" s="54">
        <f>'2. Input uit WACC modellen'!F61</f>
        <v>0.48218427952287901</v>
      </c>
    </row>
    <row r="61" spans="2:15" s="8" customFormat="1" x14ac:dyDescent="0.2">
      <c r="B61" s="8" t="s">
        <v>112</v>
      </c>
    </row>
    <row r="63" spans="2:15" x14ac:dyDescent="0.2">
      <c r="B63" s="2" t="s">
        <v>279</v>
      </c>
      <c r="D63" s="2" t="s">
        <v>93</v>
      </c>
      <c r="J63" s="47">
        <f>$F$17*J16</f>
        <v>8.3408398013620176E-3</v>
      </c>
      <c r="K63" s="47">
        <f t="shared" ref="K63:O63" si="0">$F$17*K16</f>
        <v>8.8408398013620181E-3</v>
      </c>
      <c r="L63" s="47">
        <f t="shared" si="0"/>
        <v>8.8408398013620181E-3</v>
      </c>
      <c r="M63" s="47">
        <f t="shared" si="0"/>
        <v>8.8408398013620007E-3</v>
      </c>
      <c r="N63" s="47">
        <f t="shared" si="0"/>
        <v>8.8408398013620007E-3</v>
      </c>
      <c r="O63" s="47">
        <f t="shared" si="0"/>
        <v>8.8408398013620007E-3</v>
      </c>
    </row>
    <row r="65" spans="2:15" s="8" customFormat="1" x14ac:dyDescent="0.2">
      <c r="B65" s="8" t="s">
        <v>107</v>
      </c>
    </row>
    <row r="66" spans="2:15" outlineLevel="1" x14ac:dyDescent="0.2">
      <c r="B66" s="40"/>
    </row>
    <row r="67" spans="2:15" outlineLevel="1" x14ac:dyDescent="0.2">
      <c r="B67" s="1" t="s">
        <v>105</v>
      </c>
    </row>
    <row r="68" spans="2:15" outlineLevel="1" x14ac:dyDescent="0.2">
      <c r="B68" s="2" t="s">
        <v>114</v>
      </c>
      <c r="D68" s="2" t="s">
        <v>93</v>
      </c>
      <c r="K68" s="47">
        <f>K24+$F26</f>
        <v>1.4895272472737992E-2</v>
      </c>
      <c r="L68" s="47">
        <f>L24+$F26</f>
        <v>1.3207564397288533E-2</v>
      </c>
      <c r="M68" s="47">
        <f>M24+$F26</f>
        <v>1.2192538314176242E-2</v>
      </c>
      <c r="N68" s="47">
        <f>N24+$F26</f>
        <v>1.1818201886236366E-2</v>
      </c>
      <c r="O68" s="47">
        <f>O24+$F26</f>
        <v>1.1832486147951663E-2</v>
      </c>
    </row>
    <row r="69" spans="2:15" outlineLevel="1" x14ac:dyDescent="0.2">
      <c r="B69" s="2" t="s">
        <v>180</v>
      </c>
      <c r="D69" s="2" t="s">
        <v>93</v>
      </c>
      <c r="K69" s="47">
        <f>K25+$F26</f>
        <v>1.5266379548441936E-2</v>
      </c>
      <c r="L69" s="33"/>
      <c r="M69" s="33"/>
      <c r="N69" s="33"/>
      <c r="O69" s="33"/>
    </row>
    <row r="70" spans="2:15" outlineLevel="1" x14ac:dyDescent="0.2">
      <c r="K70" s="49"/>
    </row>
    <row r="71" spans="2:15" outlineLevel="1" x14ac:dyDescent="0.2">
      <c r="B71" s="20" t="s">
        <v>106</v>
      </c>
      <c r="K71" s="49"/>
    </row>
    <row r="72" spans="2:15" outlineLevel="1" x14ac:dyDescent="0.2">
      <c r="B72" s="2" t="s">
        <v>108</v>
      </c>
      <c r="F72" s="55">
        <f>((1-F21)+F21*(1-F22))/(1-F21)*F31</f>
        <v>0.63345127249530997</v>
      </c>
      <c r="K72" s="49"/>
    </row>
    <row r="73" spans="2:15" outlineLevel="1" x14ac:dyDescent="0.2">
      <c r="B73" s="2" t="s">
        <v>115</v>
      </c>
      <c r="D73" s="2" t="s">
        <v>93</v>
      </c>
      <c r="K73" s="47">
        <f>$F$28+$F$30*$F$72</f>
        <v>3.3271782574829517E-2</v>
      </c>
      <c r="L73" s="47">
        <f>$F$28+$F$30*$F$72</f>
        <v>3.3271782574829517E-2</v>
      </c>
      <c r="M73" s="47">
        <f>$F$28+$F$30*$F$72</f>
        <v>3.3271782574829517E-2</v>
      </c>
      <c r="N73" s="47">
        <f>$F$28+$F$30*$F$72</f>
        <v>3.3271782574829517E-2</v>
      </c>
      <c r="O73" s="47">
        <f>$F$28+$F$30*$F$72</f>
        <v>3.3271782574829517E-2</v>
      </c>
    </row>
    <row r="74" spans="2:15" outlineLevel="1" x14ac:dyDescent="0.2">
      <c r="B74" s="2" t="s">
        <v>116</v>
      </c>
      <c r="D74" s="2" t="s">
        <v>93</v>
      </c>
      <c r="K74" s="47">
        <f>K73/(1-$F$22)</f>
        <v>4.4362376766439358E-2</v>
      </c>
      <c r="L74" s="47">
        <f t="shared" ref="L74:O74" si="1">L73/(1-$F$22)</f>
        <v>4.4362376766439358E-2</v>
      </c>
      <c r="M74" s="47">
        <f t="shared" si="1"/>
        <v>4.4362376766439358E-2</v>
      </c>
      <c r="N74" s="47">
        <f t="shared" si="1"/>
        <v>4.4362376766439358E-2</v>
      </c>
      <c r="O74" s="47">
        <f t="shared" si="1"/>
        <v>4.4362376766439358E-2</v>
      </c>
    </row>
    <row r="75" spans="2:15" outlineLevel="1" x14ac:dyDescent="0.2">
      <c r="B75" s="2" t="s">
        <v>181</v>
      </c>
      <c r="D75" s="2" t="s">
        <v>93</v>
      </c>
      <c r="K75" s="47">
        <f>K29+$F$30*$F$72</f>
        <v>4.4953525163227037E-2</v>
      </c>
      <c r="L75" s="33"/>
      <c r="M75" s="33"/>
      <c r="N75" s="33"/>
      <c r="O75" s="33"/>
    </row>
    <row r="76" spans="2:15" outlineLevel="1" x14ac:dyDescent="0.2">
      <c r="B76" s="2" t="s">
        <v>182</v>
      </c>
      <c r="D76" s="2" t="s">
        <v>93</v>
      </c>
      <c r="K76" s="47">
        <f>K75/(1-$F$22)</f>
        <v>5.9938033550969383E-2</v>
      </c>
      <c r="L76" s="33"/>
      <c r="M76" s="33"/>
      <c r="N76" s="33"/>
      <c r="O76" s="33"/>
    </row>
    <row r="77" spans="2:15" outlineLevel="1" x14ac:dyDescent="0.2">
      <c r="K77" s="49"/>
    </row>
    <row r="78" spans="2:15" outlineLevel="1" x14ac:dyDescent="0.2">
      <c r="B78" s="1" t="s">
        <v>118</v>
      </c>
      <c r="K78" s="49"/>
    </row>
    <row r="79" spans="2:15" outlineLevel="1" x14ac:dyDescent="0.2">
      <c r="B79" s="2" t="s">
        <v>117</v>
      </c>
      <c r="D79" s="2" t="s">
        <v>93</v>
      </c>
      <c r="K79" s="47">
        <f>$F$21*K68+(1-$F$21)*K74</f>
        <v>3.1214471740504894E-2</v>
      </c>
      <c r="L79" s="47">
        <f>$F$21*L68+(1-$F$21)*L74</f>
        <v>3.0461434548036168E-2</v>
      </c>
      <c r="M79" s="47">
        <f>$F$21*M68+(1-$F$21)*M74</f>
        <v>3.0008540826054149E-2</v>
      </c>
      <c r="N79" s="47">
        <f>$F$21*N68+(1-$F$21)*N74</f>
        <v>2.9841515937783974E-2</v>
      </c>
      <c r="O79" s="47">
        <f>$F$21*O68+(1-$F$21)*O74</f>
        <v>2.9847889421738369E-2</v>
      </c>
    </row>
    <row r="80" spans="2:15" outlineLevel="1" x14ac:dyDescent="0.2">
      <c r="B80" s="2" t="s">
        <v>183</v>
      </c>
      <c r="D80" s="2" t="s">
        <v>93</v>
      </c>
      <c r="K80" s="47">
        <f>$F$21*K69+(1-$F$21)*K76</f>
        <v>4.0006021965352523E-2</v>
      </c>
      <c r="L80" s="33"/>
      <c r="M80" s="33"/>
      <c r="N80" s="33"/>
      <c r="O80" s="33"/>
    </row>
    <row r="81" spans="2:15" outlineLevel="1" x14ac:dyDescent="0.2">
      <c r="K81" s="49"/>
    </row>
    <row r="82" spans="2:15" outlineLevel="1" x14ac:dyDescent="0.2">
      <c r="B82" s="1" t="s">
        <v>119</v>
      </c>
      <c r="K82" s="49"/>
    </row>
    <row r="83" spans="2:15" outlineLevel="1" x14ac:dyDescent="0.2">
      <c r="B83" s="2" t="s">
        <v>117</v>
      </c>
      <c r="D83" s="2" t="s">
        <v>93</v>
      </c>
      <c r="K83" s="32">
        <f>ROUND(K79,3)</f>
        <v>3.1E-2</v>
      </c>
      <c r="L83" s="32">
        <f t="shared" ref="L83:O83" si="2">ROUND(L79,3)</f>
        <v>0.03</v>
      </c>
      <c r="M83" s="32">
        <f t="shared" si="2"/>
        <v>0.03</v>
      </c>
      <c r="N83" s="32">
        <f t="shared" si="2"/>
        <v>0.03</v>
      </c>
      <c r="O83" s="32">
        <f t="shared" si="2"/>
        <v>0.03</v>
      </c>
    </row>
    <row r="84" spans="2:15" outlineLevel="1" x14ac:dyDescent="0.2">
      <c r="B84" s="2" t="s">
        <v>183</v>
      </c>
      <c r="D84" s="2" t="s">
        <v>93</v>
      </c>
      <c r="K84" s="32">
        <f>ROUND(K80,3)</f>
        <v>0.04</v>
      </c>
      <c r="L84" s="49"/>
      <c r="M84" s="49"/>
      <c r="N84" s="49"/>
      <c r="O84" s="49"/>
    </row>
    <row r="85" spans="2:15" x14ac:dyDescent="0.2">
      <c r="K85" s="49"/>
    </row>
    <row r="86" spans="2:15" s="8" customFormat="1" x14ac:dyDescent="0.2">
      <c r="B86" s="8" t="s">
        <v>111</v>
      </c>
    </row>
    <row r="87" spans="2:15" outlineLevel="1" x14ac:dyDescent="0.2">
      <c r="B87" s="40"/>
    </row>
    <row r="88" spans="2:15" outlineLevel="1" x14ac:dyDescent="0.2">
      <c r="B88" s="1" t="s">
        <v>105</v>
      </c>
    </row>
    <row r="89" spans="2:15" outlineLevel="1" x14ac:dyDescent="0.2">
      <c r="B89" s="2" t="s">
        <v>114</v>
      </c>
      <c r="D89" s="2" t="s">
        <v>93</v>
      </c>
      <c r="J89" s="47">
        <f t="shared" ref="J89:O89" si="3">J38+$F$40</f>
        <v>1.6299809838996475E-2</v>
      </c>
      <c r="K89" s="47">
        <f t="shared" si="3"/>
        <v>1.4063793392173233E-2</v>
      </c>
      <c r="L89" s="47">
        <f t="shared" si="3"/>
        <v>1.2219922539219722E-2</v>
      </c>
      <c r="M89" s="47">
        <f t="shared" si="3"/>
        <v>1.104873367860338E-2</v>
      </c>
      <c r="N89" s="47">
        <f t="shared" si="3"/>
        <v>1.0518234473159454E-2</v>
      </c>
      <c r="O89" s="47">
        <f t="shared" si="3"/>
        <v>1.0376355957370699E-2</v>
      </c>
    </row>
    <row r="90" spans="2:15" outlineLevel="1" x14ac:dyDescent="0.2">
      <c r="B90" s="2" t="s">
        <v>180</v>
      </c>
      <c r="D90" s="2" t="s">
        <v>93</v>
      </c>
      <c r="J90" s="47">
        <f>J39+$F$40</f>
        <v>1.5834063833712431E-2</v>
      </c>
      <c r="K90" s="47">
        <f>K39+$F$40</f>
        <v>1.5266379548441936E-2</v>
      </c>
      <c r="L90" s="33"/>
      <c r="M90" s="33"/>
      <c r="N90" s="33"/>
      <c r="O90" s="33"/>
    </row>
    <row r="91" spans="2:15" outlineLevel="1" x14ac:dyDescent="0.2">
      <c r="K91" s="49"/>
    </row>
    <row r="92" spans="2:15" outlineLevel="1" x14ac:dyDescent="0.2">
      <c r="B92" s="20" t="s">
        <v>106</v>
      </c>
      <c r="J92" s="49"/>
      <c r="K92" s="49"/>
    </row>
    <row r="93" spans="2:15" outlineLevel="1" x14ac:dyDescent="0.2">
      <c r="B93" s="2" t="s">
        <v>108</v>
      </c>
      <c r="F93" s="55">
        <f>((1-F35)+F35*(1-F36))/(1-F35)*F45</f>
        <v>0.63256874388592832</v>
      </c>
      <c r="K93" s="49"/>
    </row>
    <row r="94" spans="2:15" outlineLevel="1" x14ac:dyDescent="0.2">
      <c r="B94" s="2" t="s">
        <v>115</v>
      </c>
      <c r="D94" s="2" t="s">
        <v>93</v>
      </c>
      <c r="J94" s="47">
        <f t="shared" ref="J94:O94" si="4">$F$42+$F$44*$F$93</f>
        <v>3.1536029786889005E-2</v>
      </c>
      <c r="K94" s="47">
        <f>$F$42+$F$44*$F$93</f>
        <v>3.1536029786889005E-2</v>
      </c>
      <c r="L94" s="47">
        <f t="shared" si="4"/>
        <v>3.1536029786889005E-2</v>
      </c>
      <c r="M94" s="47">
        <f t="shared" si="4"/>
        <v>3.1536029786889005E-2</v>
      </c>
      <c r="N94" s="47">
        <f t="shared" si="4"/>
        <v>3.1536029786889005E-2</v>
      </c>
      <c r="O94" s="47">
        <f t="shared" si="4"/>
        <v>3.1536029786889005E-2</v>
      </c>
    </row>
    <row r="95" spans="2:15" outlineLevel="1" x14ac:dyDescent="0.2">
      <c r="B95" s="2" t="s">
        <v>116</v>
      </c>
      <c r="D95" s="2" t="s">
        <v>93</v>
      </c>
      <c r="J95" s="47">
        <f>J94/(1-$F$36)</f>
        <v>4.2048039715852005E-2</v>
      </c>
      <c r="K95" s="47">
        <f>K94/(1-$F$36)</f>
        <v>4.2048039715852005E-2</v>
      </c>
      <c r="L95" s="47">
        <f t="shared" ref="L95:O95" si="5">L94/(1-$F$36)</f>
        <v>4.2048039715852005E-2</v>
      </c>
      <c r="M95" s="47">
        <f t="shared" si="5"/>
        <v>4.2048039715852005E-2</v>
      </c>
      <c r="N95" s="47">
        <f t="shared" si="5"/>
        <v>4.2048039715852005E-2</v>
      </c>
      <c r="O95" s="47">
        <f t="shared" si="5"/>
        <v>4.2048039715852005E-2</v>
      </c>
    </row>
    <row r="96" spans="2:15" outlineLevel="1" x14ac:dyDescent="0.2">
      <c r="B96" s="2" t="s">
        <v>181</v>
      </c>
      <c r="D96" s="2" t="s">
        <v>93</v>
      </c>
      <c r="J96" s="47">
        <f>J43+$F$44*$F$93</f>
        <v>2.9149835661729365E-2</v>
      </c>
      <c r="K96" s="47">
        <f>K43+$F$44*$F$93</f>
        <v>4.4909398732757955E-2</v>
      </c>
      <c r="L96" s="33"/>
      <c r="M96" s="33"/>
      <c r="N96" s="33"/>
      <c r="O96" s="33"/>
    </row>
    <row r="97" spans="2:15" outlineLevel="1" x14ac:dyDescent="0.2">
      <c r="B97" s="2" t="s">
        <v>182</v>
      </c>
      <c r="D97" s="2" t="s">
        <v>93</v>
      </c>
      <c r="J97" s="47">
        <f>J96/(1-$F$36)</f>
        <v>3.8866447548972484E-2</v>
      </c>
      <c r="K97" s="47">
        <f>K96/(1-$F$36)</f>
        <v>5.987919831034394E-2</v>
      </c>
      <c r="L97" s="33"/>
      <c r="M97" s="33"/>
      <c r="N97" s="33"/>
      <c r="O97" s="33"/>
    </row>
    <row r="98" spans="2:15" outlineLevel="1" x14ac:dyDescent="0.2">
      <c r="J98" s="49"/>
      <c r="K98" s="49"/>
    </row>
    <row r="99" spans="2:15" outlineLevel="1" x14ac:dyDescent="0.2">
      <c r="B99" s="1" t="s">
        <v>120</v>
      </c>
      <c r="J99" s="49"/>
      <c r="K99" s="49"/>
    </row>
    <row r="100" spans="2:15" outlineLevel="1" x14ac:dyDescent="0.2">
      <c r="B100" s="2" t="s">
        <v>117</v>
      </c>
      <c r="D100" s="2" t="s">
        <v>93</v>
      </c>
      <c r="J100" s="47">
        <f>$F$35*J89+(1-$F$35)*J95</f>
        <v>3.0397870388270364E-2</v>
      </c>
      <c r="K100" s="47">
        <f t="shared" ref="K100:O100" si="6">$F$35*K89+(1-$F$35)*K95</f>
        <v>2.9386151510920899E-2</v>
      </c>
      <c r="L100" s="47">
        <f t="shared" si="6"/>
        <v>2.8551864736341109E-2</v>
      </c>
      <c r="M100" s="47">
        <f t="shared" si="6"/>
        <v>2.8021942927890012E-2</v>
      </c>
      <c r="N100" s="47">
        <f t="shared" si="6"/>
        <v>2.7781910677085672E-2</v>
      </c>
      <c r="O100" s="47">
        <f t="shared" si="6"/>
        <v>2.7717715633745206E-2</v>
      </c>
    </row>
    <row r="101" spans="2:15" outlineLevel="1" x14ac:dyDescent="0.2">
      <c r="B101" s="2" t="s">
        <v>121</v>
      </c>
      <c r="D101" s="2" t="s">
        <v>93</v>
      </c>
      <c r="J101" s="47">
        <f>(1+J100)/(1+J$63)-1</f>
        <v>2.1874578234134967E-2</v>
      </c>
      <c r="K101" s="47">
        <f t="shared" ref="K101:O101" si="7">(1+K100)/(1+K$63)-1</f>
        <v>2.0365265658361054E-2</v>
      </c>
      <c r="L101" s="47">
        <f t="shared" si="7"/>
        <v>1.9538290042719009E-2</v>
      </c>
      <c r="M101" s="47">
        <f t="shared" si="7"/>
        <v>1.9013012132126583E-2</v>
      </c>
      <c r="N101" s="47">
        <f t="shared" si="7"/>
        <v>1.8775083371380008E-2</v>
      </c>
      <c r="O101" s="47">
        <f t="shared" si="7"/>
        <v>1.8711450892590742E-2</v>
      </c>
    </row>
    <row r="102" spans="2:15" outlineLevel="1" x14ac:dyDescent="0.2">
      <c r="B102" s="2" t="s">
        <v>122</v>
      </c>
      <c r="D102" s="2" t="s">
        <v>93</v>
      </c>
      <c r="J102" s="47">
        <f>(1+J100)/(1+J$16)-1</f>
        <v>1.3491135977689694E-2</v>
      </c>
      <c r="K102" s="47">
        <f t="shared" ref="K102:O102" si="8">(1+K100)/(1+K$16)-1</f>
        <v>1.1501112914566791E-2</v>
      </c>
      <c r="L102" s="47">
        <f t="shared" si="8"/>
        <v>1.0681321430352053E-2</v>
      </c>
      <c r="M102" s="47">
        <f t="shared" si="8"/>
        <v>1.0160606732355415E-2</v>
      </c>
      <c r="N102" s="47">
        <f t="shared" si="8"/>
        <v>9.9247449146422362E-3</v>
      </c>
      <c r="O102" s="47">
        <f t="shared" si="8"/>
        <v>9.8616652261431792E-3</v>
      </c>
    </row>
    <row r="103" spans="2:15" outlineLevel="1" x14ac:dyDescent="0.2">
      <c r="B103" s="2" t="s">
        <v>183</v>
      </c>
      <c r="D103" s="2" t="s">
        <v>93</v>
      </c>
      <c r="J103" s="47">
        <f>$F$35*J90+(1-$F$35)*J97</f>
        <v>2.844510318534265E-2</v>
      </c>
      <c r="K103" s="47">
        <f>$F$35*K90+(1-$F$35)*K97</f>
        <v>3.9693465339858937E-2</v>
      </c>
      <c r="L103" s="33"/>
      <c r="M103" s="33"/>
      <c r="N103" s="33"/>
      <c r="O103" s="33"/>
    </row>
    <row r="104" spans="2:15" outlineLevel="1" x14ac:dyDescent="0.2">
      <c r="B104" s="2" t="s">
        <v>184</v>
      </c>
      <c r="D104" s="2" t="s">
        <v>93</v>
      </c>
      <c r="J104" s="47">
        <f>(1+J103)/(1+J$63)-1</f>
        <v>1.9937964020123378E-2</v>
      </c>
      <c r="K104" s="47">
        <f t="shared" ref="K104" si="9">(1+K103)/(1+K$63)-1</f>
        <v>3.0582252741246707E-2</v>
      </c>
      <c r="L104" s="33"/>
      <c r="M104" s="33"/>
      <c r="N104" s="33"/>
      <c r="O104" s="33"/>
    </row>
    <row r="105" spans="2:15" outlineLevel="1" x14ac:dyDescent="0.2">
      <c r="B105" s="2" t="s">
        <v>123</v>
      </c>
      <c r="D105" s="2" t="s">
        <v>93</v>
      </c>
      <c r="J105" s="47">
        <f>(1+J103)/(1+J$16)-1</f>
        <v>1.1570409714882546E-2</v>
      </c>
      <c r="K105" s="47">
        <f t="shared" ref="K105" si="10">(1+K103)/(1+K$16)-1</f>
        <v>2.1629342630721027E-2</v>
      </c>
      <c r="L105" s="33"/>
      <c r="M105" s="33"/>
      <c r="N105" s="33"/>
      <c r="O105" s="33"/>
    </row>
    <row r="106" spans="2:15" outlineLevel="1" x14ac:dyDescent="0.2"/>
    <row r="107" spans="2:15" outlineLevel="1" x14ac:dyDescent="0.2">
      <c r="B107" s="1" t="s">
        <v>119</v>
      </c>
    </row>
    <row r="108" spans="2:15" outlineLevel="1" x14ac:dyDescent="0.2">
      <c r="B108" s="2" t="s">
        <v>117</v>
      </c>
      <c r="D108" s="2" t="s">
        <v>93</v>
      </c>
      <c r="J108" s="32">
        <f>ROUND(J100,3)</f>
        <v>0.03</v>
      </c>
      <c r="K108" s="32">
        <f t="shared" ref="K108:O108" si="11">ROUND(K100,3)</f>
        <v>2.9000000000000001E-2</v>
      </c>
      <c r="L108" s="32">
        <f t="shared" si="11"/>
        <v>2.9000000000000001E-2</v>
      </c>
      <c r="M108" s="32">
        <f t="shared" si="11"/>
        <v>2.8000000000000001E-2</v>
      </c>
      <c r="N108" s="32">
        <f t="shared" si="11"/>
        <v>2.8000000000000001E-2</v>
      </c>
      <c r="O108" s="32">
        <f t="shared" si="11"/>
        <v>2.8000000000000001E-2</v>
      </c>
    </row>
    <row r="109" spans="2:15" outlineLevel="1" x14ac:dyDescent="0.2">
      <c r="B109" s="2" t="s">
        <v>121</v>
      </c>
      <c r="D109" s="2" t="s">
        <v>93</v>
      </c>
      <c r="J109" s="32">
        <f t="shared" ref="J109:O113" si="12">ROUND(J101,3)</f>
        <v>2.1999999999999999E-2</v>
      </c>
      <c r="K109" s="32">
        <f t="shared" si="12"/>
        <v>0.02</v>
      </c>
      <c r="L109" s="32">
        <f t="shared" si="12"/>
        <v>0.02</v>
      </c>
      <c r="M109" s="32">
        <f t="shared" si="12"/>
        <v>1.9E-2</v>
      </c>
      <c r="N109" s="32">
        <f t="shared" si="12"/>
        <v>1.9E-2</v>
      </c>
      <c r="O109" s="32">
        <f t="shared" si="12"/>
        <v>1.9E-2</v>
      </c>
    </row>
    <row r="110" spans="2:15" outlineLevel="1" x14ac:dyDescent="0.2">
      <c r="B110" s="2" t="s">
        <v>122</v>
      </c>
      <c r="D110" s="2" t="s">
        <v>93</v>
      </c>
      <c r="J110" s="32">
        <f t="shared" si="12"/>
        <v>1.2999999999999999E-2</v>
      </c>
      <c r="K110" s="32">
        <f t="shared" si="12"/>
        <v>1.2E-2</v>
      </c>
      <c r="L110" s="32">
        <f t="shared" si="12"/>
        <v>1.0999999999999999E-2</v>
      </c>
      <c r="M110" s="32">
        <f t="shared" si="12"/>
        <v>0.01</v>
      </c>
      <c r="N110" s="32">
        <f t="shared" si="12"/>
        <v>0.01</v>
      </c>
      <c r="O110" s="32">
        <f t="shared" si="12"/>
        <v>0.01</v>
      </c>
    </row>
    <row r="111" spans="2:15" outlineLevel="1" x14ac:dyDescent="0.2">
      <c r="B111" s="2" t="s">
        <v>183</v>
      </c>
      <c r="D111" s="2" t="s">
        <v>93</v>
      </c>
      <c r="J111" s="32">
        <f t="shared" si="12"/>
        <v>2.8000000000000001E-2</v>
      </c>
      <c r="K111" s="32">
        <f t="shared" si="12"/>
        <v>0.04</v>
      </c>
      <c r="L111" s="33"/>
      <c r="M111" s="33"/>
      <c r="N111" s="33"/>
      <c r="O111" s="33"/>
    </row>
    <row r="112" spans="2:15" outlineLevel="1" x14ac:dyDescent="0.2">
      <c r="B112" s="2" t="s">
        <v>184</v>
      </c>
      <c r="D112" s="2" t="s">
        <v>93</v>
      </c>
      <c r="J112" s="32">
        <f t="shared" si="12"/>
        <v>0.02</v>
      </c>
      <c r="K112" s="32">
        <f t="shared" si="12"/>
        <v>3.1E-2</v>
      </c>
      <c r="L112" s="33"/>
      <c r="M112" s="33"/>
      <c r="N112" s="33"/>
      <c r="O112" s="33"/>
    </row>
    <row r="113" spans="2:15" outlineLevel="1" x14ac:dyDescent="0.2">
      <c r="B113" s="2" t="s">
        <v>185</v>
      </c>
      <c r="D113" s="2" t="s">
        <v>93</v>
      </c>
      <c r="J113" s="32">
        <f t="shared" si="12"/>
        <v>1.2E-2</v>
      </c>
      <c r="K113" s="32">
        <f t="shared" si="12"/>
        <v>2.1999999999999999E-2</v>
      </c>
      <c r="L113" s="33"/>
      <c r="M113" s="33"/>
      <c r="N113" s="33"/>
      <c r="O113" s="33"/>
    </row>
    <row r="114" spans="2:15" x14ac:dyDescent="0.2">
      <c r="B114" s="40"/>
    </row>
    <row r="115" spans="2:15" s="8" customFormat="1" collapsed="1" x14ac:dyDescent="0.2">
      <c r="B115" s="8" t="s">
        <v>113</v>
      </c>
    </row>
    <row r="116" spans="2:15" outlineLevel="1" x14ac:dyDescent="0.2">
      <c r="B116" s="40"/>
    </row>
    <row r="117" spans="2:15" outlineLevel="1" x14ac:dyDescent="0.2">
      <c r="B117" s="1" t="s">
        <v>105</v>
      </c>
    </row>
    <row r="118" spans="2:15" outlineLevel="1" x14ac:dyDescent="0.2">
      <c r="B118" s="2" t="s">
        <v>114</v>
      </c>
      <c r="D118" s="2" t="s">
        <v>93</v>
      </c>
      <c r="K118" s="47">
        <f>K52+$F$54</f>
        <v>1.0997782839838644E-2</v>
      </c>
      <c r="L118" s="47">
        <f>L52+$F$54</f>
        <v>1.0997782839838644E-2</v>
      </c>
      <c r="M118" s="47">
        <f>M52+$F$54</f>
        <v>1.0997782839838644E-2</v>
      </c>
      <c r="N118" s="47">
        <f>N52+$F$54</f>
        <v>1.0997782839838644E-2</v>
      </c>
      <c r="O118" s="47">
        <f>O52+$F$54</f>
        <v>1.0714025808261135E-2</v>
      </c>
    </row>
    <row r="119" spans="2:15" outlineLevel="1" x14ac:dyDescent="0.2">
      <c r="B119" s="2" t="s">
        <v>180</v>
      </c>
      <c r="D119" s="2" t="s">
        <v>93</v>
      </c>
      <c r="K119" s="47">
        <f>K53+$F$54</f>
        <v>1.0997782839838644E-2</v>
      </c>
      <c r="L119" s="33"/>
      <c r="M119" s="33"/>
      <c r="N119" s="33"/>
      <c r="O119" s="33"/>
    </row>
    <row r="120" spans="2:15" outlineLevel="1" x14ac:dyDescent="0.2">
      <c r="K120" s="49"/>
    </row>
    <row r="121" spans="2:15" outlineLevel="1" x14ac:dyDescent="0.2">
      <c r="B121" s="20" t="s">
        <v>106</v>
      </c>
      <c r="K121" s="49"/>
    </row>
    <row r="122" spans="2:15" outlineLevel="1" x14ac:dyDescent="0.2">
      <c r="B122" s="2" t="s">
        <v>108</v>
      </c>
      <c r="F122" s="55">
        <f>((1-F49)+F49*(1-F50))/(1-F49)*F59</f>
        <v>0.78103009330906092</v>
      </c>
      <c r="K122" s="49"/>
    </row>
    <row r="123" spans="2:15" outlineLevel="1" x14ac:dyDescent="0.2">
      <c r="B123" s="2" t="s">
        <v>115</v>
      </c>
      <c r="K123" s="47">
        <f>$F$56+$F$58*$F$122</f>
        <v>3.8959097258045639E-2</v>
      </c>
      <c r="L123" s="47">
        <f>$F$56+$F$58*$F$122</f>
        <v>3.8959097258045639E-2</v>
      </c>
      <c r="M123" s="47">
        <f>$F$56+$F$58*$F$122</f>
        <v>3.8959097258045639E-2</v>
      </c>
      <c r="N123" s="47">
        <f>$F$56+$F$58*$F$122</f>
        <v>3.8959097258045639E-2</v>
      </c>
      <c r="O123" s="47">
        <f>$F$56+$F$58*$F$122</f>
        <v>3.8959097258045639E-2</v>
      </c>
    </row>
    <row r="124" spans="2:15" outlineLevel="1" x14ac:dyDescent="0.2">
      <c r="B124" s="2" t="s">
        <v>116</v>
      </c>
      <c r="K124" s="47">
        <f>K123/(1-$F$50)</f>
        <v>5.194546301072752E-2</v>
      </c>
      <c r="L124" s="47">
        <f t="shared" ref="L124:O124" si="13">L123/(1-$F$50)</f>
        <v>5.194546301072752E-2</v>
      </c>
      <c r="M124" s="47">
        <f t="shared" si="13"/>
        <v>5.194546301072752E-2</v>
      </c>
      <c r="N124" s="47">
        <f t="shared" si="13"/>
        <v>5.194546301072752E-2</v>
      </c>
      <c r="O124" s="47">
        <f t="shared" si="13"/>
        <v>5.194546301072752E-2</v>
      </c>
    </row>
    <row r="125" spans="2:15" outlineLevel="1" x14ac:dyDescent="0.2">
      <c r="B125" s="2" t="s">
        <v>181</v>
      </c>
      <c r="D125" s="2" t="s">
        <v>93</v>
      </c>
      <c r="K125" s="47">
        <f>$K$57+$F$58*$F$122</f>
        <v>5.2332466203914588E-2</v>
      </c>
      <c r="L125" s="33"/>
      <c r="M125" s="33"/>
      <c r="N125" s="33"/>
      <c r="O125" s="33"/>
    </row>
    <row r="126" spans="2:15" outlineLevel="1" x14ac:dyDescent="0.2">
      <c r="B126" s="2" t="s">
        <v>182</v>
      </c>
      <c r="D126" s="2" t="s">
        <v>93</v>
      </c>
      <c r="K126" s="47">
        <f>K125/(1-$F$36)</f>
        <v>6.9776621605219455E-2</v>
      </c>
      <c r="L126" s="33"/>
      <c r="M126" s="33"/>
      <c r="N126" s="33"/>
      <c r="O126" s="33"/>
    </row>
    <row r="127" spans="2:15" outlineLevel="1" x14ac:dyDescent="0.2">
      <c r="K127" s="49"/>
    </row>
    <row r="128" spans="2:15" outlineLevel="1" x14ac:dyDescent="0.2">
      <c r="B128" s="1" t="s">
        <v>120</v>
      </c>
      <c r="K128" s="49"/>
    </row>
    <row r="129" spans="1:15" outlineLevel="1" x14ac:dyDescent="0.2">
      <c r="B129" s="2" t="s">
        <v>117</v>
      </c>
      <c r="D129" s="2" t="s">
        <v>93</v>
      </c>
      <c r="K129" s="47">
        <f>$F$49*K118+(1-$F$49)*K124</f>
        <v>3.3418076474097322E-2</v>
      </c>
      <c r="L129" s="47">
        <f t="shared" ref="L129:O129" si="14">$F$49*L118+(1-$F$49)*L124</f>
        <v>3.3418076474097322E-2</v>
      </c>
      <c r="M129" s="47">
        <f t="shared" si="14"/>
        <v>3.3418076474097322E-2</v>
      </c>
      <c r="N129" s="47">
        <f t="shared" si="14"/>
        <v>3.3418076474097322E-2</v>
      </c>
      <c r="O129" s="47">
        <f t="shared" si="14"/>
        <v>3.3289686387416396E-2</v>
      </c>
    </row>
    <row r="130" spans="1:15" outlineLevel="1" x14ac:dyDescent="0.2">
      <c r="B130" s="2" t="s">
        <v>121</v>
      </c>
      <c r="D130" s="2" t="s">
        <v>93</v>
      </c>
      <c r="K130" s="47">
        <f>(1+K129)/(1+K$63)-1</f>
        <v>2.4361857394249009E-2</v>
      </c>
      <c r="L130" s="47">
        <f>(1+L129)/(1+L$63)-1</f>
        <v>2.4361857394249009E-2</v>
      </c>
      <c r="M130" s="47">
        <f>(1+M129)/(1+M$63)-1</f>
        <v>2.4361857394249009E-2</v>
      </c>
      <c r="N130" s="47">
        <f>(1+N129)/(1+N$63)-1</f>
        <v>2.4361857394249009E-2</v>
      </c>
      <c r="O130" s="47">
        <f>(1+O129)/(1+O$63)-1</f>
        <v>2.4234592436670477E-2</v>
      </c>
    </row>
    <row r="131" spans="1:15" outlineLevel="1" x14ac:dyDescent="0.2">
      <c r="B131" s="2" t="s">
        <v>183</v>
      </c>
      <c r="D131" s="2" t="s">
        <v>93</v>
      </c>
      <c r="K131" s="47">
        <f>$F$49*K119+(1-$F$49)*K126</f>
        <v>4.3181262321479258E-2</v>
      </c>
      <c r="L131" s="33"/>
      <c r="M131" s="33"/>
      <c r="N131" s="33"/>
      <c r="O131" s="33"/>
    </row>
    <row r="132" spans="1:15" outlineLevel="1" x14ac:dyDescent="0.2">
      <c r="B132" s="2" t="s">
        <v>184</v>
      </c>
      <c r="D132" s="2" t="s">
        <v>93</v>
      </c>
      <c r="K132" s="47">
        <f>(1+K131)/(1+K$63)-1</f>
        <v>3.4039484887307792E-2</v>
      </c>
      <c r="L132" s="33"/>
      <c r="M132" s="33"/>
      <c r="N132" s="33"/>
      <c r="O132" s="33"/>
    </row>
    <row r="133" spans="1:15" outlineLevel="1" x14ac:dyDescent="0.2"/>
    <row r="134" spans="1:15" outlineLevel="1" x14ac:dyDescent="0.2">
      <c r="B134" s="1" t="s">
        <v>119</v>
      </c>
    </row>
    <row r="135" spans="1:15" outlineLevel="1" x14ac:dyDescent="0.2">
      <c r="B135" s="2" t="s">
        <v>117</v>
      </c>
      <c r="D135" s="2" t="s">
        <v>93</v>
      </c>
      <c r="K135" s="32">
        <f>ROUND(K129,3)</f>
        <v>3.3000000000000002E-2</v>
      </c>
      <c r="L135" s="32">
        <f t="shared" ref="L135:O135" si="15">ROUND(L129,3)</f>
        <v>3.3000000000000002E-2</v>
      </c>
      <c r="M135" s="32">
        <f t="shared" si="15"/>
        <v>3.3000000000000002E-2</v>
      </c>
      <c r="N135" s="32">
        <f t="shared" si="15"/>
        <v>3.3000000000000002E-2</v>
      </c>
      <c r="O135" s="32">
        <f t="shared" si="15"/>
        <v>3.3000000000000002E-2</v>
      </c>
    </row>
    <row r="136" spans="1:15" outlineLevel="1" x14ac:dyDescent="0.2">
      <c r="B136" s="2" t="s">
        <v>121</v>
      </c>
      <c r="D136" s="2" t="s">
        <v>93</v>
      </c>
      <c r="K136" s="32">
        <f>ROUND(K130,3)</f>
        <v>2.4E-2</v>
      </c>
      <c r="L136" s="32">
        <f t="shared" ref="L136:O136" si="16">ROUND(L130,3)</f>
        <v>2.4E-2</v>
      </c>
      <c r="M136" s="32">
        <f t="shared" si="16"/>
        <v>2.4E-2</v>
      </c>
      <c r="N136" s="32">
        <f t="shared" si="16"/>
        <v>2.4E-2</v>
      </c>
      <c r="O136" s="32">
        <f t="shared" si="16"/>
        <v>2.4E-2</v>
      </c>
    </row>
    <row r="137" spans="1:15" outlineLevel="1" x14ac:dyDescent="0.2">
      <c r="B137" s="2" t="s">
        <v>183</v>
      </c>
      <c r="D137" s="2" t="s">
        <v>93</v>
      </c>
      <c r="K137" s="32">
        <f>ROUND(K131,3)</f>
        <v>4.2999999999999997E-2</v>
      </c>
      <c r="L137" s="33"/>
      <c r="M137" s="33"/>
      <c r="N137" s="33"/>
      <c r="O137" s="33"/>
    </row>
    <row r="138" spans="1:15" outlineLevel="1" x14ac:dyDescent="0.2">
      <c r="A138" s="40"/>
      <c r="B138" s="2" t="s">
        <v>184</v>
      </c>
      <c r="D138" s="2" t="s">
        <v>93</v>
      </c>
      <c r="K138" s="32">
        <f>ROUND(K132,3)</f>
        <v>3.4000000000000002E-2</v>
      </c>
      <c r="L138" s="33"/>
      <c r="M138" s="33"/>
      <c r="N138" s="33"/>
      <c r="O138" s="33"/>
    </row>
    <row r="139" spans="1:15" x14ac:dyDescent="0.2">
      <c r="B139" s="40"/>
    </row>
    <row r="140" spans="1:15" s="8" customFormat="1" collapsed="1" x14ac:dyDescent="0.2">
      <c r="B140" s="8" t="s">
        <v>186</v>
      </c>
    </row>
    <row r="141" spans="1:15" outlineLevel="1" x14ac:dyDescent="0.2">
      <c r="B141" s="40"/>
    </row>
    <row r="142" spans="1:15" outlineLevel="1" x14ac:dyDescent="0.2">
      <c r="B142" s="51" t="s">
        <v>71</v>
      </c>
    </row>
    <row r="143" spans="1:15" outlineLevel="1" x14ac:dyDescent="0.2">
      <c r="B143" s="42" t="s">
        <v>126</v>
      </c>
      <c r="D143" s="2" t="s">
        <v>93</v>
      </c>
      <c r="K143" s="46">
        <f>'2. Input uit WACC modellen'!K28</f>
        <v>3.1214471740504894E-2</v>
      </c>
      <c r="L143" s="46">
        <f>'2. Input uit WACC modellen'!L28</f>
        <v>3.0461434548036168E-2</v>
      </c>
      <c r="M143" s="46">
        <f>'2. Input uit WACC modellen'!M28</f>
        <v>3.0008540826054149E-2</v>
      </c>
      <c r="N143" s="46">
        <f>'2. Input uit WACC modellen'!N28</f>
        <v>2.9841515937783974E-2</v>
      </c>
      <c r="O143" s="46">
        <f>'2. Input uit WACC modellen'!O28</f>
        <v>2.9847889421738369E-2</v>
      </c>
    </row>
    <row r="144" spans="1:15" outlineLevel="1" x14ac:dyDescent="0.2">
      <c r="B144" s="40" t="s">
        <v>134</v>
      </c>
      <c r="D144" s="2" t="s">
        <v>131</v>
      </c>
      <c r="K144" s="50" t="b">
        <f>K79=K143</f>
        <v>1</v>
      </c>
      <c r="L144" s="50" t="b">
        <f t="shared" ref="L144:O144" si="17">L79=L143</f>
        <v>1</v>
      </c>
      <c r="M144" s="50" t="b">
        <f t="shared" si="17"/>
        <v>1</v>
      </c>
      <c r="N144" s="50" t="b">
        <f t="shared" si="17"/>
        <v>1</v>
      </c>
      <c r="O144" s="50" t="b">
        <f t="shared" si="17"/>
        <v>1</v>
      </c>
    </row>
    <row r="145" spans="2:15" outlineLevel="1" x14ac:dyDescent="0.2">
      <c r="B145" s="40"/>
    </row>
    <row r="146" spans="2:15" outlineLevel="1" x14ac:dyDescent="0.2">
      <c r="B146" s="51" t="s">
        <v>109</v>
      </c>
    </row>
    <row r="147" spans="2:15" outlineLevel="1" x14ac:dyDescent="0.2">
      <c r="B147" s="42" t="s">
        <v>126</v>
      </c>
      <c r="D147" s="2" t="s">
        <v>93</v>
      </c>
      <c r="J147" s="46">
        <f>'2. Input uit WACC modellen'!J46</f>
        <v>3.0397870388270364E-2</v>
      </c>
      <c r="K147" s="46">
        <f>'2. Input uit WACC modellen'!K46</f>
        <v>2.9386151510920899E-2</v>
      </c>
      <c r="L147" s="46">
        <f>'2. Input uit WACC modellen'!L46</f>
        <v>2.8551864736341109E-2</v>
      </c>
      <c r="M147" s="46">
        <f>'2. Input uit WACC modellen'!M46</f>
        <v>2.8021942927890012E-2</v>
      </c>
      <c r="N147" s="46">
        <f>'2. Input uit WACC modellen'!N46</f>
        <v>2.7781910677085672E-2</v>
      </c>
      <c r="O147" s="46">
        <f>'2. Input uit WACC modellen'!O46</f>
        <v>2.7717715633745206E-2</v>
      </c>
    </row>
    <row r="148" spans="2:15" outlineLevel="1" x14ac:dyDescent="0.2">
      <c r="B148" s="42" t="s">
        <v>128</v>
      </c>
      <c r="D148" s="2" t="s">
        <v>93</v>
      </c>
      <c r="J148" s="46">
        <f>'2. Input uit WACC modellen'!J47</f>
        <v>2.1874578234134967E-2</v>
      </c>
      <c r="K148" s="46">
        <f>'2. Input uit WACC modellen'!K47</f>
        <v>2.0365265658361054E-2</v>
      </c>
      <c r="L148" s="46">
        <f>'2. Input uit WACC modellen'!L47</f>
        <v>1.9538290042719009E-2</v>
      </c>
      <c r="M148" s="46">
        <f>'2. Input uit WACC modellen'!M47</f>
        <v>1.9013012132126583E-2</v>
      </c>
      <c r="N148" s="46">
        <f>'2. Input uit WACC modellen'!N47</f>
        <v>1.8775083371380008E-2</v>
      </c>
      <c r="O148" s="46">
        <f>'2. Input uit WACC modellen'!O47</f>
        <v>1.8711450892590742E-2</v>
      </c>
    </row>
    <row r="149" spans="2:15" outlineLevel="1" x14ac:dyDescent="0.2">
      <c r="B149" s="42" t="s">
        <v>129</v>
      </c>
      <c r="D149" s="2" t="s">
        <v>93</v>
      </c>
      <c r="J149" s="46">
        <f>'2. Input uit WACC modellen'!J48</f>
        <v>1.3491135977689694E-2</v>
      </c>
      <c r="K149" s="46">
        <f>'2. Input uit WACC modellen'!K48</f>
        <v>1.1501112914566791E-2</v>
      </c>
      <c r="L149" s="46">
        <f>'2. Input uit WACC modellen'!L48</f>
        <v>1.0681321430352053E-2</v>
      </c>
      <c r="M149" s="46">
        <f>'2. Input uit WACC modellen'!M48</f>
        <v>1.0160606732355415E-2</v>
      </c>
      <c r="N149" s="46">
        <f>'2. Input uit WACC modellen'!N48</f>
        <v>9.9247449146422362E-3</v>
      </c>
      <c r="O149" s="46">
        <f>'2. Input uit WACC modellen'!O48</f>
        <v>9.8616652261431792E-3</v>
      </c>
    </row>
    <row r="150" spans="2:15" outlineLevel="1" x14ac:dyDescent="0.2">
      <c r="B150" s="40" t="s">
        <v>134</v>
      </c>
      <c r="D150" s="2" t="s">
        <v>131</v>
      </c>
      <c r="J150" s="50" t="b">
        <f>AND(J100=J147,J101=J148,J102=J149)</f>
        <v>1</v>
      </c>
      <c r="K150" s="50" t="b">
        <f t="shared" ref="K150:O150" si="18">AND(K100=K147,K101=K148,K102=K149)</f>
        <v>1</v>
      </c>
      <c r="L150" s="50" t="b">
        <f t="shared" si="18"/>
        <v>1</v>
      </c>
      <c r="M150" s="50" t="b">
        <f t="shared" si="18"/>
        <v>1</v>
      </c>
      <c r="N150" s="50" t="b">
        <f t="shared" si="18"/>
        <v>1</v>
      </c>
      <c r="O150" s="50" t="b">
        <f t="shared" si="18"/>
        <v>1</v>
      </c>
    </row>
    <row r="151" spans="2:15" outlineLevel="1" x14ac:dyDescent="0.2">
      <c r="B151" s="40"/>
    </row>
    <row r="152" spans="2:15" outlineLevel="1" x14ac:dyDescent="0.2">
      <c r="B152" s="51" t="s">
        <v>110</v>
      </c>
    </row>
    <row r="153" spans="2:15" outlineLevel="1" x14ac:dyDescent="0.2">
      <c r="B153" s="42" t="s">
        <v>126</v>
      </c>
      <c r="D153" s="2" t="s">
        <v>93</v>
      </c>
      <c r="K153" s="46">
        <f>'2. Input uit WACC modellen'!K67</f>
        <v>3.3418076474097322E-2</v>
      </c>
      <c r="L153" s="46">
        <f>'2. Input uit WACC modellen'!L67</f>
        <v>3.3418076474097308E-2</v>
      </c>
      <c r="M153" s="46">
        <f>'2. Input uit WACC modellen'!M67</f>
        <v>3.3418076474097308E-2</v>
      </c>
      <c r="N153" s="46">
        <f>'2. Input uit WACC modellen'!N67</f>
        <v>3.3418076474097308E-2</v>
      </c>
      <c r="O153" s="46">
        <f>'2. Input uit WACC modellen'!O67</f>
        <v>3.3289686387416383E-2</v>
      </c>
    </row>
    <row r="154" spans="2:15" outlineLevel="1" x14ac:dyDescent="0.2">
      <c r="B154" s="42" t="s">
        <v>128</v>
      </c>
      <c r="D154" s="2" t="s">
        <v>93</v>
      </c>
      <c r="K154" s="46">
        <f>'2. Input uit WACC modellen'!K68</f>
        <v>2.4361857394249009E-2</v>
      </c>
      <c r="L154" s="46">
        <f>'2. Input uit WACC modellen'!L68</f>
        <v>2.4361857394249009E-2</v>
      </c>
      <c r="M154" s="46">
        <f>'2. Input uit WACC modellen'!M68</f>
        <v>2.4361857394249009E-2</v>
      </c>
      <c r="N154" s="46">
        <f>'2. Input uit WACC modellen'!N68</f>
        <v>2.4361857394249009E-2</v>
      </c>
      <c r="O154" s="46">
        <f>'2. Input uit WACC modellen'!O68</f>
        <v>2.4234592436670477E-2</v>
      </c>
    </row>
    <row r="155" spans="2:15" outlineLevel="1" x14ac:dyDescent="0.2">
      <c r="B155" s="40" t="s">
        <v>134</v>
      </c>
      <c r="D155" s="2" t="s">
        <v>131</v>
      </c>
      <c r="K155" s="50" t="b">
        <f>AND(K129=K153,K130=K154)</f>
        <v>1</v>
      </c>
      <c r="L155" s="50" t="b">
        <f t="shared" ref="L155:O155" si="19">AND(L129=L153,L130=L154)</f>
        <v>1</v>
      </c>
      <c r="M155" s="50" t="b">
        <f t="shared" si="19"/>
        <v>1</v>
      </c>
      <c r="N155" s="50" t="b">
        <f t="shared" si="19"/>
        <v>1</v>
      </c>
      <c r="O155" s="50" t="b">
        <f t="shared" si="19"/>
        <v>1</v>
      </c>
    </row>
    <row r="156" spans="2:15" x14ac:dyDescent="0.2">
      <c r="B156" s="40"/>
    </row>
    <row r="157" spans="2:15" x14ac:dyDescent="0.2">
      <c r="B157" s="40"/>
    </row>
    <row r="158" spans="2:15" x14ac:dyDescent="0.2">
      <c r="B158" s="40"/>
    </row>
    <row r="159" spans="2:15" x14ac:dyDescent="0.2">
      <c r="B159" s="40"/>
    </row>
    <row r="160" spans="2:15" x14ac:dyDescent="0.2">
      <c r="B160" s="21" t="s">
        <v>65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441D9-40B9-4635-8653-E4258EB8A128}">
  <sheetPr>
    <tabColor rgb="FFFFFFCC"/>
  </sheetPr>
  <dimension ref="A2:S159"/>
  <sheetViews>
    <sheetView showGridLines="0" zoomScale="85" zoomScaleNormal="85" workbookViewId="0">
      <pane xSplit="4" ySplit="11" topLeftCell="E12" activePane="bottomRight" state="frozen"/>
      <selection activeCell="A4" sqref="A4"/>
      <selection pane="topRight" activeCell="A4" sqref="A4"/>
      <selection pane="bottomLeft" activeCell="A4" sqref="A4"/>
      <selection pane="bottomRight" activeCell="A4" sqref="A4"/>
    </sheetView>
  </sheetViews>
  <sheetFormatPr defaultColWidth="9.140625" defaultRowHeight="12.75" outlineLevelRow="1" x14ac:dyDescent="0.2"/>
  <cols>
    <col min="1" max="1" width="5.7109375" style="2" customWidth="1"/>
    <col min="2" max="2" width="93.7109375" style="2" bestFit="1" customWidth="1"/>
    <col min="3" max="3" width="2.7109375" style="2" customWidth="1"/>
    <col min="4" max="4" width="13.7109375" style="2" customWidth="1"/>
    <col min="5" max="5" width="2.7109375" style="2" customWidth="1"/>
    <col min="6" max="6" width="13.7109375" style="2" customWidth="1"/>
    <col min="7" max="7" width="2.7109375" style="2" customWidth="1"/>
    <col min="8" max="8" width="13.7109375" style="2" customWidth="1"/>
    <col min="9" max="9" width="2.7109375" style="2" customWidth="1"/>
    <col min="10" max="10" width="11.5703125" style="2" customWidth="1"/>
    <col min="11" max="15" width="12.5703125" style="2" customWidth="1"/>
    <col min="16" max="16" width="2.7109375" style="2" customWidth="1"/>
    <col min="17" max="25" width="12.5703125" style="2" customWidth="1"/>
    <col min="26" max="26" width="13.7109375" style="2" customWidth="1"/>
    <col min="27" max="16384" width="9.140625" style="2"/>
  </cols>
  <sheetData>
    <row r="2" spans="2:19" s="13" customFormat="1" ht="18" x14ac:dyDescent="0.2">
      <c r="B2" s="13" t="s">
        <v>173</v>
      </c>
    </row>
    <row r="4" spans="2:19" x14ac:dyDescent="0.2">
      <c r="B4" s="20" t="s">
        <v>47</v>
      </c>
    </row>
    <row r="5" spans="2:19" ht="40.5" customHeight="1" x14ac:dyDescent="0.2">
      <c r="B5" s="34" t="s">
        <v>194</v>
      </c>
      <c r="F5" s="14"/>
    </row>
    <row r="6" spans="2:19" x14ac:dyDescent="0.2">
      <c r="F6" s="14"/>
    </row>
    <row r="7" spans="2:19" x14ac:dyDescent="0.2">
      <c r="B7" s="21" t="s">
        <v>24</v>
      </c>
      <c r="F7" s="14"/>
    </row>
    <row r="8" spans="2:19" ht="25.5" x14ac:dyDescent="0.2">
      <c r="B8" s="34" t="s">
        <v>124</v>
      </c>
    </row>
    <row r="10" spans="2:19" s="8" customFormat="1" x14ac:dyDescent="0.2">
      <c r="B10" s="8" t="s">
        <v>39</v>
      </c>
      <c r="D10" s="8" t="s">
        <v>21</v>
      </c>
      <c r="F10" s="8" t="s">
        <v>22</v>
      </c>
      <c r="H10" s="8" t="s">
        <v>43</v>
      </c>
      <c r="J10" s="36">
        <v>2021</v>
      </c>
      <c r="K10" s="36">
        <v>2022</v>
      </c>
      <c r="L10" s="36">
        <v>2023</v>
      </c>
      <c r="M10" s="36">
        <v>2024</v>
      </c>
      <c r="N10" s="36">
        <v>2025</v>
      </c>
      <c r="O10" s="36">
        <v>2026</v>
      </c>
      <c r="Q10" s="8" t="s">
        <v>41</v>
      </c>
    </row>
    <row r="13" spans="2:19" s="8" customFormat="1" x14ac:dyDescent="0.2">
      <c r="B13" s="8" t="s">
        <v>42</v>
      </c>
    </row>
    <row r="15" spans="2:19" x14ac:dyDescent="0.2">
      <c r="B15" s="1" t="s">
        <v>100</v>
      </c>
    </row>
    <row r="16" spans="2:19" x14ac:dyDescent="0.2">
      <c r="B16" s="38" t="s">
        <v>100</v>
      </c>
      <c r="D16" s="2" t="s">
        <v>93</v>
      </c>
      <c r="K16" s="52">
        <f>'2. Input uit WACC modellen'!K12</f>
        <v>1.7681679602724036E-2</v>
      </c>
      <c r="L16" s="52">
        <f>'2. Input uit WACC modellen'!L12</f>
        <v>1.7681679602724036E-2</v>
      </c>
      <c r="M16" s="52">
        <f>'2. Input uit WACC modellen'!M12</f>
        <v>1.7681679602724001E-2</v>
      </c>
      <c r="N16" s="52">
        <f>'2. Input uit WACC modellen'!N12</f>
        <v>1.7681679602724001E-2</v>
      </c>
      <c r="O16" s="52">
        <f>'2. Input uit WACC modellen'!O12</f>
        <v>1.7681679602724001E-2</v>
      </c>
      <c r="Q16" s="14"/>
      <c r="S16" s="40"/>
    </row>
    <row r="17" spans="2:17" x14ac:dyDescent="0.2">
      <c r="B17" s="42" t="s">
        <v>77</v>
      </c>
      <c r="D17" s="2" t="s">
        <v>93</v>
      </c>
      <c r="F17" s="52">
        <f>'2. Input uit WACC modellen'!F13</f>
        <v>0.5</v>
      </c>
      <c r="Q17" s="14"/>
    </row>
    <row r="18" spans="2:17" x14ac:dyDescent="0.2">
      <c r="B18" s="40"/>
    </row>
    <row r="19" spans="2:17" x14ac:dyDescent="0.2">
      <c r="B19" s="77" t="s">
        <v>71</v>
      </c>
    </row>
    <row r="20" spans="2:17" outlineLevel="1" x14ac:dyDescent="0.2">
      <c r="B20" s="1" t="s">
        <v>104</v>
      </c>
    </row>
    <row r="21" spans="2:17" outlineLevel="1" x14ac:dyDescent="0.2">
      <c r="B21" s="38" t="s">
        <v>73</v>
      </c>
      <c r="D21" s="2" t="s">
        <v>93</v>
      </c>
      <c r="F21" s="46">
        <f>'2. Input uit WACC modellen'!F18</f>
        <v>0.44618924529835263</v>
      </c>
    </row>
    <row r="22" spans="2:17" outlineLevel="1" x14ac:dyDescent="0.2">
      <c r="B22" s="38" t="s">
        <v>74</v>
      </c>
      <c r="D22" s="2" t="s">
        <v>93</v>
      </c>
      <c r="F22" s="46">
        <f>'2. Input uit WACC modellen'!F19</f>
        <v>0.25</v>
      </c>
    </row>
    <row r="23" spans="2:17" outlineLevel="1" x14ac:dyDescent="0.2">
      <c r="B23" s="37" t="s">
        <v>105</v>
      </c>
      <c r="F23" s="38"/>
    </row>
    <row r="24" spans="2:17" outlineLevel="1" x14ac:dyDescent="0.2">
      <c r="B24" s="40" t="s">
        <v>282</v>
      </c>
      <c r="D24" s="2" t="s">
        <v>93</v>
      </c>
      <c r="F24" s="46">
        <f>'2. Input uit WACC modellen'!F24</f>
        <v>1.0100313881520773E-2</v>
      </c>
    </row>
    <row r="25" spans="2:17" outlineLevel="1" x14ac:dyDescent="0.2">
      <c r="B25" s="42" t="s">
        <v>281</v>
      </c>
      <c r="D25" s="2" t="s">
        <v>93</v>
      </c>
      <c r="F25" s="49"/>
      <c r="K25" s="46">
        <f>'3. Input rente'!T20</f>
        <v>2.5222007722007712E-2</v>
      </c>
      <c r="L25" s="33"/>
      <c r="M25" s="33"/>
      <c r="N25" s="33"/>
      <c r="O25" s="33"/>
    </row>
    <row r="26" spans="2:17" outlineLevel="1" x14ac:dyDescent="0.2">
      <c r="B26" s="42" t="s">
        <v>101</v>
      </c>
      <c r="D26" s="2" t="s">
        <v>93</v>
      </c>
      <c r="F26" s="46">
        <f>'2. Input uit WACC modellen'!F25</f>
        <v>1.5E-3</v>
      </c>
    </row>
    <row r="27" spans="2:17" outlineLevel="1" x14ac:dyDescent="0.2">
      <c r="B27" s="51" t="s">
        <v>106</v>
      </c>
    </row>
    <row r="28" spans="2:17" outlineLevel="1" x14ac:dyDescent="0.2">
      <c r="B28" s="40" t="s">
        <v>99</v>
      </c>
      <c r="D28" s="2" t="s">
        <v>93</v>
      </c>
      <c r="F28" s="46">
        <f>'2. Input uit WACC modellen'!F20</f>
        <v>1.59921895006402E-3</v>
      </c>
    </row>
    <row r="29" spans="2:17" outlineLevel="1" x14ac:dyDescent="0.2">
      <c r="B29" s="40" t="s">
        <v>239</v>
      </c>
      <c r="D29" s="2" t="s">
        <v>93</v>
      </c>
      <c r="K29" s="46">
        <f>'4. Risicovrije rente'!K19</f>
        <v>1.3280961538461537E-2</v>
      </c>
      <c r="L29" s="33"/>
      <c r="M29" s="33"/>
      <c r="N29" s="33"/>
      <c r="O29" s="33"/>
    </row>
    <row r="30" spans="2:17" outlineLevel="1" x14ac:dyDescent="0.2">
      <c r="B30" s="40" t="s">
        <v>76</v>
      </c>
      <c r="D30" s="2" t="s">
        <v>93</v>
      </c>
      <c r="F30" s="46">
        <f>'2. Input uit WACC modellen'!F21</f>
        <v>0.05</v>
      </c>
    </row>
    <row r="31" spans="2:17" outlineLevel="1" x14ac:dyDescent="0.2">
      <c r="B31" s="40" t="s">
        <v>280</v>
      </c>
      <c r="F31" s="53">
        <f>'2. Input uit WACC modellen'!F22</f>
        <v>0.39485740969546723</v>
      </c>
    </row>
    <row r="33" spans="2:15" x14ac:dyDescent="0.2">
      <c r="B33" s="77" t="s">
        <v>109</v>
      </c>
    </row>
    <row r="34" spans="2:15" outlineLevel="1" x14ac:dyDescent="0.2">
      <c r="B34" s="1" t="s">
        <v>104</v>
      </c>
    </row>
    <row r="35" spans="2:15" outlineLevel="1" x14ac:dyDescent="0.2">
      <c r="B35" s="38" t="s">
        <v>73</v>
      </c>
      <c r="D35" s="2" t="s">
        <v>93</v>
      </c>
      <c r="F35" s="46">
        <f>'2. Input uit WACC modellen'!F36</f>
        <v>0.4524648639265762</v>
      </c>
    </row>
    <row r="36" spans="2:15" outlineLevel="1" x14ac:dyDescent="0.2">
      <c r="B36" s="38" t="s">
        <v>74</v>
      </c>
      <c r="D36" s="2" t="s">
        <v>93</v>
      </c>
      <c r="F36" s="46">
        <f>'2. Input uit WACC modellen'!F19</f>
        <v>0.25</v>
      </c>
    </row>
    <row r="37" spans="2:15" outlineLevel="1" x14ac:dyDescent="0.2">
      <c r="B37" s="37" t="s">
        <v>105</v>
      </c>
      <c r="F37" s="38"/>
    </row>
    <row r="38" spans="2:15" outlineLevel="1" x14ac:dyDescent="0.2">
      <c r="B38" s="40" t="s">
        <v>282</v>
      </c>
      <c r="D38" s="2" t="s">
        <v>93</v>
      </c>
      <c r="F38" s="46">
        <f>'2. Input uit WACC modellen'!F42</f>
        <v>8.538686106480264E-3</v>
      </c>
    </row>
    <row r="39" spans="2:15" outlineLevel="1" x14ac:dyDescent="0.2">
      <c r="B39" s="42" t="s">
        <v>281</v>
      </c>
      <c r="D39" s="2" t="s">
        <v>93</v>
      </c>
      <c r="F39" s="49"/>
      <c r="K39" s="46">
        <f>'3. Input rente'!T20</f>
        <v>2.5222007722007712E-2</v>
      </c>
      <c r="L39" s="33"/>
      <c r="M39" s="33"/>
      <c r="N39" s="33"/>
      <c r="O39" s="33"/>
    </row>
    <row r="40" spans="2:15" outlineLevel="1" x14ac:dyDescent="0.2">
      <c r="B40" s="42" t="s">
        <v>101</v>
      </c>
      <c r="D40" s="2" t="s">
        <v>93</v>
      </c>
      <c r="F40" s="46">
        <f>'2. Input uit WACC modellen'!F43</f>
        <v>1.5E-3</v>
      </c>
    </row>
    <row r="41" spans="2:15" outlineLevel="1" x14ac:dyDescent="0.2">
      <c r="B41" s="51" t="s">
        <v>106</v>
      </c>
    </row>
    <row r="42" spans="2:15" outlineLevel="1" x14ac:dyDescent="0.2">
      <c r="B42" s="40" t="s">
        <v>99</v>
      </c>
      <c r="D42" s="2" t="s">
        <v>93</v>
      </c>
      <c r="F42" s="46">
        <f>'2. Input uit WACC modellen'!F38</f>
        <v>-9.240740740740726E-5</v>
      </c>
    </row>
    <row r="43" spans="2:15" outlineLevel="1" x14ac:dyDescent="0.2">
      <c r="B43" s="40" t="s">
        <v>239</v>
      </c>
      <c r="D43" s="2" t="s">
        <v>93</v>
      </c>
      <c r="K43" s="46">
        <f>'4. Risicovrije rente'!K19</f>
        <v>1.3280961538461537E-2</v>
      </c>
      <c r="L43" s="33"/>
      <c r="M43" s="33"/>
      <c r="N43" s="33"/>
      <c r="O43" s="33"/>
    </row>
    <row r="44" spans="2:15" outlineLevel="1" x14ac:dyDescent="0.2">
      <c r="B44" s="40" t="s">
        <v>76</v>
      </c>
      <c r="D44" s="2" t="s">
        <v>93</v>
      </c>
      <c r="F44" s="46">
        <f>'2. Input uit WACC modellen'!F39</f>
        <v>0.05</v>
      </c>
    </row>
    <row r="45" spans="2:15" outlineLevel="1" x14ac:dyDescent="0.2">
      <c r="B45" s="40" t="s">
        <v>280</v>
      </c>
      <c r="F45" s="54">
        <f>'2. Input uit WACC modellen'!F40</f>
        <v>0.39052874739697352</v>
      </c>
    </row>
    <row r="47" spans="2:15" x14ac:dyDescent="0.2">
      <c r="B47" s="77" t="s">
        <v>110</v>
      </c>
    </row>
    <row r="48" spans="2:15" outlineLevel="1" x14ac:dyDescent="0.2">
      <c r="B48" s="1" t="s">
        <v>104</v>
      </c>
    </row>
    <row r="49" spans="2:15" outlineLevel="1" x14ac:dyDescent="0.2">
      <c r="B49" s="38" t="s">
        <v>73</v>
      </c>
      <c r="D49" s="2" t="s">
        <v>93</v>
      </c>
      <c r="F49" s="46">
        <f>'2. Input uit WACC modellen'!F57</f>
        <v>0.4524648639265762</v>
      </c>
    </row>
    <row r="50" spans="2:15" outlineLevel="1" x14ac:dyDescent="0.2">
      <c r="B50" s="38" t="s">
        <v>74</v>
      </c>
      <c r="D50" s="2" t="s">
        <v>93</v>
      </c>
      <c r="F50" s="46">
        <f>'2. Input uit WACC modellen'!F58</f>
        <v>0.25</v>
      </c>
    </row>
    <row r="51" spans="2:15" outlineLevel="1" x14ac:dyDescent="0.2">
      <c r="B51" s="37" t="s">
        <v>105</v>
      </c>
      <c r="F51" s="38"/>
    </row>
    <row r="52" spans="2:15" outlineLevel="1" x14ac:dyDescent="0.2">
      <c r="B52" s="40" t="s">
        <v>282</v>
      </c>
      <c r="D52" s="2" t="s">
        <v>93</v>
      </c>
      <c r="F52" s="46">
        <f>'2. Input uit WACC modellen'!F63</f>
        <v>8.538686106480264E-3</v>
      </c>
    </row>
    <row r="53" spans="2:15" outlineLevel="1" x14ac:dyDescent="0.2">
      <c r="B53" s="42" t="s">
        <v>281</v>
      </c>
      <c r="D53" s="2" t="s">
        <v>93</v>
      </c>
      <c r="F53" s="49"/>
      <c r="K53" s="46">
        <f>'3. Input rente'!T20</f>
        <v>2.5222007722007712E-2</v>
      </c>
      <c r="L53" s="33"/>
      <c r="M53" s="33"/>
      <c r="N53" s="33"/>
      <c r="O53" s="33"/>
    </row>
    <row r="54" spans="2:15" outlineLevel="1" x14ac:dyDescent="0.2">
      <c r="B54" s="42" t="s">
        <v>101</v>
      </c>
      <c r="D54" s="2" t="s">
        <v>93</v>
      </c>
      <c r="F54" s="46">
        <f>'2. Input uit WACC modellen'!F64</f>
        <v>1.5E-3</v>
      </c>
    </row>
    <row r="55" spans="2:15" outlineLevel="1" x14ac:dyDescent="0.2">
      <c r="B55" s="51" t="s">
        <v>106</v>
      </c>
    </row>
    <row r="56" spans="2:15" outlineLevel="1" x14ac:dyDescent="0.2">
      <c r="B56" s="40" t="s">
        <v>99</v>
      </c>
      <c r="D56" s="2" t="s">
        <v>93</v>
      </c>
      <c r="F56" s="46">
        <f>'2. Input uit WACC modellen'!F59</f>
        <v>-9.240740740740726E-5</v>
      </c>
    </row>
    <row r="57" spans="2:15" outlineLevel="1" x14ac:dyDescent="0.2">
      <c r="B57" s="40" t="s">
        <v>239</v>
      </c>
      <c r="D57" s="2" t="s">
        <v>93</v>
      </c>
      <c r="K57" s="46">
        <f>'4. Risicovrije rente'!K19</f>
        <v>1.3280961538461537E-2</v>
      </c>
      <c r="L57" s="33"/>
      <c r="M57" s="33"/>
      <c r="N57" s="33"/>
      <c r="O57" s="33"/>
    </row>
    <row r="58" spans="2:15" outlineLevel="1" x14ac:dyDescent="0.2">
      <c r="B58" s="40" t="s">
        <v>76</v>
      </c>
      <c r="D58" s="2" t="s">
        <v>93</v>
      </c>
      <c r="F58" s="46">
        <f>'2. Input uit WACC modellen'!F60</f>
        <v>0.05</v>
      </c>
    </row>
    <row r="59" spans="2:15" outlineLevel="1" x14ac:dyDescent="0.2">
      <c r="B59" s="40" t="s">
        <v>280</v>
      </c>
      <c r="F59" s="54">
        <f>'2. Input uit WACC modellen'!F61</f>
        <v>0.48218427952287901</v>
      </c>
    </row>
    <row r="61" spans="2:15" s="8" customFormat="1" x14ac:dyDescent="0.2">
      <c r="B61" s="8" t="s">
        <v>112</v>
      </c>
    </row>
    <row r="63" spans="2:15" x14ac:dyDescent="0.2">
      <c r="B63" s="2" t="s">
        <v>279</v>
      </c>
      <c r="D63" s="2" t="s">
        <v>93</v>
      </c>
      <c r="K63" s="47">
        <f t="shared" ref="K63:O63" si="0">$F$17*K16</f>
        <v>8.8408398013620181E-3</v>
      </c>
      <c r="L63" s="47">
        <f t="shared" si="0"/>
        <v>8.8408398013620181E-3</v>
      </c>
      <c r="M63" s="47">
        <f t="shared" si="0"/>
        <v>8.8408398013620007E-3</v>
      </c>
      <c r="N63" s="47">
        <f t="shared" si="0"/>
        <v>8.8408398013620007E-3</v>
      </c>
      <c r="O63" s="47">
        <f t="shared" si="0"/>
        <v>8.8408398013620007E-3</v>
      </c>
    </row>
    <row r="65" spans="2:15" s="8" customFormat="1" x14ac:dyDescent="0.2">
      <c r="B65" s="8" t="s">
        <v>107</v>
      </c>
    </row>
    <row r="66" spans="2:15" outlineLevel="1" x14ac:dyDescent="0.2">
      <c r="B66" s="40"/>
    </row>
    <row r="67" spans="2:15" outlineLevel="1" x14ac:dyDescent="0.2">
      <c r="B67" s="1" t="s">
        <v>105</v>
      </c>
    </row>
    <row r="68" spans="2:15" outlineLevel="1" x14ac:dyDescent="0.2">
      <c r="B68" s="2" t="s">
        <v>114</v>
      </c>
      <c r="D68" s="2" t="s">
        <v>93</v>
      </c>
      <c r="K68" s="47">
        <f>$F$24+$F$26</f>
        <v>1.1600313881520772E-2</v>
      </c>
      <c r="L68" s="47">
        <f t="shared" ref="L68:O68" si="1">$F$24+$F26</f>
        <v>1.1600313881520772E-2</v>
      </c>
      <c r="M68" s="47">
        <f t="shared" si="1"/>
        <v>1.1600313881520772E-2</v>
      </c>
      <c r="N68" s="47">
        <f t="shared" si="1"/>
        <v>1.1600313881520772E-2</v>
      </c>
      <c r="O68" s="47">
        <f t="shared" si="1"/>
        <v>1.1600313881520772E-2</v>
      </c>
    </row>
    <row r="69" spans="2:15" outlineLevel="1" x14ac:dyDescent="0.2">
      <c r="B69" s="2" t="s">
        <v>180</v>
      </c>
      <c r="D69" s="2" t="s">
        <v>93</v>
      </c>
      <c r="K69" s="47">
        <f>K25+$F$26</f>
        <v>2.6722007722007713E-2</v>
      </c>
      <c r="L69" s="33"/>
      <c r="M69" s="33"/>
      <c r="N69" s="33"/>
      <c r="O69" s="33"/>
    </row>
    <row r="70" spans="2:15" outlineLevel="1" x14ac:dyDescent="0.2">
      <c r="K70" s="49"/>
    </row>
    <row r="71" spans="2:15" outlineLevel="1" x14ac:dyDescent="0.2">
      <c r="B71" s="20" t="s">
        <v>106</v>
      </c>
      <c r="K71" s="49"/>
    </row>
    <row r="72" spans="2:15" outlineLevel="1" x14ac:dyDescent="0.2">
      <c r="B72" s="2" t="s">
        <v>108</v>
      </c>
      <c r="F72" s="55">
        <f>((1-F21)+F21*(1-F22))/(1-F21)*F31</f>
        <v>0.63345127249530997</v>
      </c>
      <c r="K72" s="49"/>
    </row>
    <row r="73" spans="2:15" outlineLevel="1" x14ac:dyDescent="0.2">
      <c r="B73" s="2" t="s">
        <v>115</v>
      </c>
      <c r="D73" s="2" t="s">
        <v>93</v>
      </c>
      <c r="K73" s="47">
        <f>$F$28+$F$30*$F$72</f>
        <v>3.3271782574829517E-2</v>
      </c>
      <c r="L73" s="47">
        <f>$F$28+$F$30*$F$72</f>
        <v>3.3271782574829517E-2</v>
      </c>
      <c r="M73" s="47">
        <f>$F$28+$F$30*$F$72</f>
        <v>3.3271782574829517E-2</v>
      </c>
      <c r="N73" s="47">
        <f>$F$28+$F$30*$F$72</f>
        <v>3.3271782574829517E-2</v>
      </c>
      <c r="O73" s="47">
        <f>$F$28+$F$30*$F$72</f>
        <v>3.3271782574829517E-2</v>
      </c>
    </row>
    <row r="74" spans="2:15" outlineLevel="1" x14ac:dyDescent="0.2">
      <c r="B74" s="2" t="s">
        <v>116</v>
      </c>
      <c r="D74" s="2" t="s">
        <v>93</v>
      </c>
      <c r="K74" s="47">
        <f>K73/(1-$F$22)</f>
        <v>4.4362376766439358E-2</v>
      </c>
      <c r="L74" s="47">
        <f t="shared" ref="L74:O74" si="2">L73/(1-$F$22)</f>
        <v>4.4362376766439358E-2</v>
      </c>
      <c r="M74" s="47">
        <f t="shared" si="2"/>
        <v>4.4362376766439358E-2</v>
      </c>
      <c r="N74" s="47">
        <f t="shared" si="2"/>
        <v>4.4362376766439358E-2</v>
      </c>
      <c r="O74" s="47">
        <f t="shared" si="2"/>
        <v>4.4362376766439358E-2</v>
      </c>
    </row>
    <row r="75" spans="2:15" outlineLevel="1" x14ac:dyDescent="0.2">
      <c r="B75" s="2" t="s">
        <v>181</v>
      </c>
      <c r="D75" s="2" t="s">
        <v>93</v>
      </c>
      <c r="K75" s="47">
        <f>K29+$F$30*$F$72</f>
        <v>4.4953525163227037E-2</v>
      </c>
      <c r="L75" s="33"/>
      <c r="M75" s="33"/>
      <c r="N75" s="33"/>
      <c r="O75" s="33"/>
    </row>
    <row r="76" spans="2:15" outlineLevel="1" x14ac:dyDescent="0.2">
      <c r="B76" s="2" t="s">
        <v>182</v>
      </c>
      <c r="D76" s="2" t="s">
        <v>93</v>
      </c>
      <c r="K76" s="47">
        <f>K75/(1-$F$22)</f>
        <v>5.9938033550969383E-2</v>
      </c>
      <c r="L76" s="33"/>
      <c r="M76" s="33"/>
      <c r="N76" s="33"/>
      <c r="O76" s="33"/>
    </row>
    <row r="77" spans="2:15" outlineLevel="1" x14ac:dyDescent="0.2">
      <c r="K77" s="49"/>
    </row>
    <row r="78" spans="2:15" outlineLevel="1" x14ac:dyDescent="0.2">
      <c r="B78" s="1" t="s">
        <v>118</v>
      </c>
      <c r="K78" s="49"/>
    </row>
    <row r="79" spans="2:15" outlineLevel="1" x14ac:dyDescent="0.2">
      <c r="B79" s="2" t="s">
        <v>132</v>
      </c>
      <c r="D79" s="2" t="s">
        <v>93</v>
      </c>
      <c r="K79" s="47">
        <f>$F$21*K68+(1-$F$21)*K74</f>
        <v>2.9744296653400362E-2</v>
      </c>
      <c r="L79" s="47">
        <f>$F$21*L68+(1-$F$21)*L74</f>
        <v>2.9744296653400362E-2</v>
      </c>
      <c r="M79" s="47">
        <f>$F$21*M68+(1-$F$21)*M74</f>
        <v>2.9744296653400362E-2</v>
      </c>
      <c r="N79" s="47">
        <f>$F$21*N68+(1-$F$21)*N74</f>
        <v>2.9744296653400362E-2</v>
      </c>
      <c r="O79" s="47">
        <f>$F$21*O68+(1-$F$21)*O74</f>
        <v>2.9744296653400362E-2</v>
      </c>
    </row>
    <row r="80" spans="2:15" outlineLevel="1" x14ac:dyDescent="0.2">
      <c r="B80" s="2" t="s">
        <v>187</v>
      </c>
      <c r="D80" s="2" t="s">
        <v>93</v>
      </c>
      <c r="K80" s="47">
        <f>$F$21*K69+(1-$F$21)*K76</f>
        <v>4.5117400054534386E-2</v>
      </c>
      <c r="L80" s="33"/>
      <c r="M80" s="33"/>
      <c r="N80" s="33"/>
      <c r="O80" s="33"/>
    </row>
    <row r="81" spans="2:15" outlineLevel="1" x14ac:dyDescent="0.2">
      <c r="K81" s="49"/>
    </row>
    <row r="82" spans="2:15" outlineLevel="1" x14ac:dyDescent="0.2">
      <c r="B82" s="1" t="s">
        <v>119</v>
      </c>
      <c r="K82" s="49"/>
    </row>
    <row r="83" spans="2:15" outlineLevel="1" x14ac:dyDescent="0.2">
      <c r="B83" s="2" t="s">
        <v>132</v>
      </c>
      <c r="D83" s="2" t="s">
        <v>93</v>
      </c>
      <c r="K83" s="32">
        <f>ROUND(K79,3)</f>
        <v>0.03</v>
      </c>
      <c r="L83" s="32">
        <f t="shared" ref="L83:O83" si="3">ROUND(L79,3)</f>
        <v>0.03</v>
      </c>
      <c r="M83" s="32">
        <f t="shared" si="3"/>
        <v>0.03</v>
      </c>
      <c r="N83" s="32">
        <f t="shared" si="3"/>
        <v>0.03</v>
      </c>
      <c r="O83" s="32">
        <f t="shared" si="3"/>
        <v>0.03</v>
      </c>
    </row>
    <row r="84" spans="2:15" outlineLevel="1" x14ac:dyDescent="0.2">
      <c r="B84" s="2" t="s">
        <v>187</v>
      </c>
      <c r="D84" s="2" t="s">
        <v>93</v>
      </c>
      <c r="K84" s="32">
        <f>ROUND(K80,3)</f>
        <v>4.4999999999999998E-2</v>
      </c>
      <c r="L84" s="49"/>
      <c r="M84" s="49"/>
      <c r="N84" s="49"/>
      <c r="O84" s="49"/>
    </row>
    <row r="85" spans="2:15" x14ac:dyDescent="0.2">
      <c r="K85" s="49"/>
    </row>
    <row r="86" spans="2:15" s="8" customFormat="1" x14ac:dyDescent="0.2">
      <c r="B86" s="8" t="s">
        <v>111</v>
      </c>
    </row>
    <row r="87" spans="2:15" outlineLevel="1" x14ac:dyDescent="0.2">
      <c r="B87" s="40"/>
    </row>
    <row r="88" spans="2:15" outlineLevel="1" x14ac:dyDescent="0.2">
      <c r="B88" s="1" t="s">
        <v>105</v>
      </c>
    </row>
    <row r="89" spans="2:15" outlineLevel="1" x14ac:dyDescent="0.2">
      <c r="B89" s="2" t="s">
        <v>114</v>
      </c>
      <c r="D89" s="2" t="s">
        <v>93</v>
      </c>
      <c r="K89" s="47">
        <f>$F$38+$F$40</f>
        <v>1.0038686106480264E-2</v>
      </c>
      <c r="L89" s="47">
        <f t="shared" ref="L89:O89" si="4">$F$38+$F$40</f>
        <v>1.0038686106480264E-2</v>
      </c>
      <c r="M89" s="47">
        <f t="shared" si="4"/>
        <v>1.0038686106480264E-2</v>
      </c>
      <c r="N89" s="47">
        <f t="shared" si="4"/>
        <v>1.0038686106480264E-2</v>
      </c>
      <c r="O89" s="47">
        <f t="shared" si="4"/>
        <v>1.0038686106480264E-2</v>
      </c>
    </row>
    <row r="90" spans="2:15" outlineLevel="1" x14ac:dyDescent="0.2">
      <c r="B90" s="2" t="s">
        <v>180</v>
      </c>
      <c r="D90" s="2" t="s">
        <v>93</v>
      </c>
      <c r="K90" s="47">
        <f>K39+$F$40</f>
        <v>2.6722007722007713E-2</v>
      </c>
      <c r="L90" s="33"/>
      <c r="M90" s="33"/>
      <c r="N90" s="33"/>
      <c r="O90" s="33"/>
    </row>
    <row r="91" spans="2:15" outlineLevel="1" x14ac:dyDescent="0.2">
      <c r="K91" s="49"/>
    </row>
    <row r="92" spans="2:15" outlineLevel="1" x14ac:dyDescent="0.2">
      <c r="B92" s="20" t="s">
        <v>106</v>
      </c>
      <c r="K92" s="49"/>
    </row>
    <row r="93" spans="2:15" outlineLevel="1" x14ac:dyDescent="0.2">
      <c r="B93" s="2" t="s">
        <v>108</v>
      </c>
      <c r="F93" s="55">
        <f>((1-F35)+F35*(1-F36))/(1-F35)*F45</f>
        <v>0.63256874388592832</v>
      </c>
      <c r="K93" s="49"/>
    </row>
    <row r="94" spans="2:15" outlineLevel="1" x14ac:dyDescent="0.2">
      <c r="B94" s="2" t="s">
        <v>115</v>
      </c>
      <c r="D94" s="2" t="s">
        <v>93</v>
      </c>
      <c r="K94" s="47">
        <f>$F$42+$F$44*$F$93</f>
        <v>3.1536029786889005E-2</v>
      </c>
      <c r="L94" s="47">
        <f>$F$42+$F$44*$F$93</f>
        <v>3.1536029786889005E-2</v>
      </c>
      <c r="M94" s="47">
        <f>$F$42+$F$44*$F$93</f>
        <v>3.1536029786889005E-2</v>
      </c>
      <c r="N94" s="47">
        <f>$F$42+$F$44*$F$93</f>
        <v>3.1536029786889005E-2</v>
      </c>
      <c r="O94" s="47">
        <f>$F$42+$F$44*$F$93</f>
        <v>3.1536029786889005E-2</v>
      </c>
    </row>
    <row r="95" spans="2:15" outlineLevel="1" x14ac:dyDescent="0.2">
      <c r="B95" s="2" t="s">
        <v>116</v>
      </c>
      <c r="D95" s="2" t="s">
        <v>93</v>
      </c>
      <c r="K95" s="47">
        <f>K94/(1-$F$36)</f>
        <v>4.2048039715852005E-2</v>
      </c>
      <c r="L95" s="47">
        <f t="shared" ref="L95:O95" si="5">L94/(1-$F$36)</f>
        <v>4.2048039715852005E-2</v>
      </c>
      <c r="M95" s="47">
        <f t="shared" si="5"/>
        <v>4.2048039715852005E-2</v>
      </c>
      <c r="N95" s="47">
        <f t="shared" si="5"/>
        <v>4.2048039715852005E-2</v>
      </c>
      <c r="O95" s="47">
        <f t="shared" si="5"/>
        <v>4.2048039715852005E-2</v>
      </c>
    </row>
    <row r="96" spans="2:15" outlineLevel="1" x14ac:dyDescent="0.2">
      <c r="B96" s="2" t="s">
        <v>181</v>
      </c>
      <c r="D96" s="2" t="s">
        <v>93</v>
      </c>
      <c r="K96" s="47">
        <f>K43+$F$44*$F$93</f>
        <v>4.4909398732757955E-2</v>
      </c>
      <c r="L96" s="33"/>
      <c r="M96" s="33"/>
      <c r="N96" s="33"/>
      <c r="O96" s="33"/>
    </row>
    <row r="97" spans="2:15" outlineLevel="1" x14ac:dyDescent="0.2">
      <c r="B97" s="2" t="s">
        <v>182</v>
      </c>
      <c r="D97" s="2" t="s">
        <v>93</v>
      </c>
      <c r="K97" s="47">
        <f>K96/(1-$F$36)</f>
        <v>5.987919831034394E-2</v>
      </c>
      <c r="L97" s="33"/>
      <c r="M97" s="33"/>
      <c r="N97" s="33"/>
      <c r="O97" s="33"/>
    </row>
    <row r="98" spans="2:15" outlineLevel="1" x14ac:dyDescent="0.2">
      <c r="K98" s="49"/>
    </row>
    <row r="99" spans="2:15" outlineLevel="1" x14ac:dyDescent="0.2">
      <c r="B99" s="1" t="s">
        <v>120</v>
      </c>
      <c r="K99" s="49"/>
    </row>
    <row r="100" spans="2:15" outlineLevel="1" x14ac:dyDescent="0.2">
      <c r="B100" s="2" t="s">
        <v>132</v>
      </c>
      <c r="D100" s="2" t="s">
        <v>93</v>
      </c>
      <c r="K100" s="47">
        <f>$F$35*K89+(1-$F$35)*K95</f>
        <v>2.7564931890609958E-2</v>
      </c>
      <c r="L100" s="47">
        <f t="shared" ref="L100:O100" si="6">$F$35*L89+(1-$F$35)*L95</f>
        <v>2.7564931890609958E-2</v>
      </c>
      <c r="M100" s="47">
        <f t="shared" si="6"/>
        <v>2.7564931890609958E-2</v>
      </c>
      <c r="N100" s="47">
        <f t="shared" si="6"/>
        <v>2.7564931890609958E-2</v>
      </c>
      <c r="O100" s="47">
        <f t="shared" si="6"/>
        <v>2.7564931890609958E-2</v>
      </c>
    </row>
    <row r="101" spans="2:15" outlineLevel="1" x14ac:dyDescent="0.2">
      <c r="B101" s="2" t="s">
        <v>133</v>
      </c>
      <c r="D101" s="2" t="s">
        <v>93</v>
      </c>
      <c r="K101" s="47">
        <f>(1+K100)/(1+K$63)-1</f>
        <v>1.8560006049056055E-2</v>
      </c>
      <c r="L101" s="47">
        <f t="shared" ref="L101:O101" si="7">(1+L100)/(1+L$63)-1</f>
        <v>1.8560006049056055E-2</v>
      </c>
      <c r="M101" s="47">
        <f t="shared" si="7"/>
        <v>1.8560006049056055E-2</v>
      </c>
      <c r="N101" s="47">
        <f t="shared" si="7"/>
        <v>1.8560006049056055E-2</v>
      </c>
      <c r="O101" s="47">
        <f t="shared" si="7"/>
        <v>1.8560006049056055E-2</v>
      </c>
    </row>
    <row r="102" spans="2:15" outlineLevel="1" x14ac:dyDescent="0.2">
      <c r="B102" s="2" t="s">
        <v>187</v>
      </c>
      <c r="D102" s="2" t="s">
        <v>93</v>
      </c>
      <c r="K102" s="47">
        <f>$F$35*K90+(1-$F$35)*K97</f>
        <v>4.4876734582604827E-2</v>
      </c>
      <c r="L102" s="33"/>
      <c r="M102" s="33"/>
      <c r="N102" s="33"/>
      <c r="O102" s="33"/>
    </row>
    <row r="103" spans="2:15" outlineLevel="1" x14ac:dyDescent="0.2">
      <c r="B103" s="2" t="s">
        <v>188</v>
      </c>
      <c r="D103" s="2" t="s">
        <v>93</v>
      </c>
      <c r="K103" s="47">
        <f t="shared" ref="K103" si="8">(1+K102)/(1+K$63)-1</f>
        <v>3.5720099107346082E-2</v>
      </c>
      <c r="L103" s="33"/>
      <c r="M103" s="33"/>
      <c r="N103" s="33"/>
      <c r="O103" s="33"/>
    </row>
    <row r="104" spans="2:15" outlineLevel="1" x14ac:dyDescent="0.2">
      <c r="B104" s="2" t="s">
        <v>189</v>
      </c>
      <c r="D104" s="2" t="s">
        <v>93</v>
      </c>
      <c r="K104" s="47">
        <f t="shared" ref="K104" si="9">(1+K102)/(1+K$16)-1</f>
        <v>2.6722555318571928E-2</v>
      </c>
      <c r="L104" s="33"/>
      <c r="M104" s="33"/>
      <c r="N104" s="33"/>
      <c r="O104" s="33"/>
    </row>
    <row r="105" spans="2:15" outlineLevel="1" x14ac:dyDescent="0.2"/>
    <row r="106" spans="2:15" outlineLevel="1" x14ac:dyDescent="0.2">
      <c r="B106" s="1" t="s">
        <v>119</v>
      </c>
    </row>
    <row r="107" spans="2:15" outlineLevel="1" x14ac:dyDescent="0.2">
      <c r="B107" s="2" t="s">
        <v>132</v>
      </c>
      <c r="D107" s="2" t="s">
        <v>93</v>
      </c>
      <c r="K107" s="32">
        <f t="shared" ref="K107:O108" si="10">ROUND(K100,3)</f>
        <v>2.8000000000000001E-2</v>
      </c>
      <c r="L107" s="32">
        <f t="shared" si="10"/>
        <v>2.8000000000000001E-2</v>
      </c>
      <c r="M107" s="32">
        <f t="shared" si="10"/>
        <v>2.8000000000000001E-2</v>
      </c>
      <c r="N107" s="32">
        <f t="shared" si="10"/>
        <v>2.8000000000000001E-2</v>
      </c>
      <c r="O107" s="32">
        <f t="shared" si="10"/>
        <v>2.8000000000000001E-2</v>
      </c>
    </row>
    <row r="108" spans="2:15" outlineLevel="1" x14ac:dyDescent="0.2">
      <c r="B108" s="2" t="s">
        <v>133</v>
      </c>
      <c r="D108" s="2" t="s">
        <v>93</v>
      </c>
      <c r="K108" s="32">
        <f t="shared" si="10"/>
        <v>1.9E-2</v>
      </c>
      <c r="L108" s="32">
        <f t="shared" si="10"/>
        <v>1.9E-2</v>
      </c>
      <c r="M108" s="32">
        <f t="shared" si="10"/>
        <v>1.9E-2</v>
      </c>
      <c r="N108" s="32">
        <f t="shared" si="10"/>
        <v>1.9E-2</v>
      </c>
      <c r="O108" s="32">
        <f t="shared" si="10"/>
        <v>1.9E-2</v>
      </c>
    </row>
    <row r="109" spans="2:15" outlineLevel="1" x14ac:dyDescent="0.2">
      <c r="B109" s="2" t="s">
        <v>187</v>
      </c>
      <c r="D109" s="2" t="s">
        <v>93</v>
      </c>
      <c r="K109" s="32">
        <f>ROUND(K102,3)</f>
        <v>4.4999999999999998E-2</v>
      </c>
      <c r="L109" s="33"/>
      <c r="M109" s="33"/>
      <c r="N109" s="33"/>
      <c r="O109" s="33"/>
    </row>
    <row r="110" spans="2:15" outlineLevel="1" x14ac:dyDescent="0.2">
      <c r="B110" s="2" t="s">
        <v>190</v>
      </c>
      <c r="D110" s="2" t="s">
        <v>93</v>
      </c>
      <c r="K110" s="32">
        <f>ROUND(K103,3)</f>
        <v>3.5999999999999997E-2</v>
      </c>
      <c r="L110" s="33"/>
      <c r="M110" s="33"/>
      <c r="N110" s="33"/>
      <c r="O110" s="33"/>
    </row>
    <row r="111" spans="2:15" outlineLevel="1" x14ac:dyDescent="0.2">
      <c r="B111" s="2" t="s">
        <v>189</v>
      </c>
      <c r="D111" s="2" t="s">
        <v>93</v>
      </c>
      <c r="K111" s="32">
        <f>ROUND(K104,3)</f>
        <v>2.7E-2</v>
      </c>
      <c r="L111" s="33"/>
      <c r="M111" s="33"/>
      <c r="N111" s="33"/>
      <c r="O111" s="33"/>
    </row>
    <row r="112" spans="2:15" x14ac:dyDescent="0.2">
      <c r="B112" s="40"/>
    </row>
    <row r="113" spans="2:15" s="8" customFormat="1" x14ac:dyDescent="0.2">
      <c r="B113" s="8" t="s">
        <v>113</v>
      </c>
    </row>
    <row r="114" spans="2:15" outlineLevel="1" x14ac:dyDescent="0.2">
      <c r="B114" s="40"/>
    </row>
    <row r="115" spans="2:15" outlineLevel="1" x14ac:dyDescent="0.2">
      <c r="B115" s="1" t="s">
        <v>105</v>
      </c>
    </row>
    <row r="116" spans="2:15" outlineLevel="1" x14ac:dyDescent="0.2">
      <c r="B116" s="2" t="s">
        <v>114</v>
      </c>
      <c r="D116" s="2" t="s">
        <v>93</v>
      </c>
      <c r="K116" s="47">
        <f>$F$52+$F$54</f>
        <v>1.0038686106480264E-2</v>
      </c>
      <c r="L116" s="47">
        <f t="shared" ref="L116:O116" si="11">$F$52+$F$54</f>
        <v>1.0038686106480264E-2</v>
      </c>
      <c r="M116" s="47">
        <f t="shared" si="11"/>
        <v>1.0038686106480264E-2</v>
      </c>
      <c r="N116" s="47">
        <f t="shared" si="11"/>
        <v>1.0038686106480264E-2</v>
      </c>
      <c r="O116" s="47">
        <f t="shared" si="11"/>
        <v>1.0038686106480264E-2</v>
      </c>
    </row>
    <row r="117" spans="2:15" outlineLevel="1" x14ac:dyDescent="0.2">
      <c r="B117" s="2" t="s">
        <v>180</v>
      </c>
      <c r="D117" s="2" t="s">
        <v>93</v>
      </c>
      <c r="K117" s="47">
        <f>K53+$F$54</f>
        <v>2.6722007722007713E-2</v>
      </c>
      <c r="L117" s="33"/>
      <c r="M117" s="33"/>
      <c r="N117" s="33"/>
      <c r="O117" s="33"/>
    </row>
    <row r="118" spans="2:15" outlineLevel="1" x14ac:dyDescent="0.2">
      <c r="K118" s="49"/>
    </row>
    <row r="119" spans="2:15" outlineLevel="1" x14ac:dyDescent="0.2">
      <c r="B119" s="20" t="s">
        <v>106</v>
      </c>
      <c r="K119" s="49"/>
    </row>
    <row r="120" spans="2:15" outlineLevel="1" x14ac:dyDescent="0.2">
      <c r="B120" s="2" t="s">
        <v>108</v>
      </c>
      <c r="F120" s="55">
        <f>((1-F49)+F49*(1-F50))/(1-F49)*F59</f>
        <v>0.78103009330906092</v>
      </c>
      <c r="K120" s="49"/>
    </row>
    <row r="121" spans="2:15" outlineLevel="1" x14ac:dyDescent="0.2">
      <c r="B121" s="2" t="s">
        <v>115</v>
      </c>
      <c r="K121" s="47">
        <f>$F$56+$F$58*$F$120</f>
        <v>3.8959097258045639E-2</v>
      </c>
      <c r="L121" s="47">
        <f>$F$56+$F$58*$F$120</f>
        <v>3.8959097258045639E-2</v>
      </c>
      <c r="M121" s="47">
        <f>$F$56+$F$58*$F$120</f>
        <v>3.8959097258045639E-2</v>
      </c>
      <c r="N121" s="47">
        <f>$F$56+$F$58*$F$120</f>
        <v>3.8959097258045639E-2</v>
      </c>
      <c r="O121" s="47">
        <f>$F$56+$F$58*$F$120</f>
        <v>3.8959097258045639E-2</v>
      </c>
    </row>
    <row r="122" spans="2:15" outlineLevel="1" x14ac:dyDescent="0.2">
      <c r="B122" s="2" t="s">
        <v>116</v>
      </c>
      <c r="K122" s="47">
        <f>K121/(1-$F$50)</f>
        <v>5.194546301072752E-2</v>
      </c>
      <c r="L122" s="47">
        <f t="shared" ref="L122:O122" si="12">L121/(1-$F$50)</f>
        <v>5.194546301072752E-2</v>
      </c>
      <c r="M122" s="47">
        <f t="shared" si="12"/>
        <v>5.194546301072752E-2</v>
      </c>
      <c r="N122" s="47">
        <f t="shared" si="12"/>
        <v>5.194546301072752E-2</v>
      </c>
      <c r="O122" s="47">
        <f t="shared" si="12"/>
        <v>5.194546301072752E-2</v>
      </c>
    </row>
    <row r="123" spans="2:15" outlineLevel="1" x14ac:dyDescent="0.2">
      <c r="B123" s="2" t="s">
        <v>181</v>
      </c>
      <c r="D123" s="2" t="s">
        <v>93</v>
      </c>
      <c r="K123" s="47">
        <f>K57+$F$58*$F$120</f>
        <v>5.2332466203914588E-2</v>
      </c>
      <c r="L123" s="33"/>
      <c r="M123" s="33"/>
      <c r="N123" s="33"/>
      <c r="O123" s="33"/>
    </row>
    <row r="124" spans="2:15" outlineLevel="1" x14ac:dyDescent="0.2">
      <c r="B124" s="2" t="s">
        <v>182</v>
      </c>
      <c r="D124" s="2" t="s">
        <v>93</v>
      </c>
      <c r="K124" s="47">
        <f>K123/(1-$F$36)</f>
        <v>6.9776621605219455E-2</v>
      </c>
      <c r="L124" s="33"/>
      <c r="M124" s="33"/>
      <c r="N124" s="33"/>
      <c r="O124" s="33"/>
    </row>
    <row r="125" spans="2:15" outlineLevel="1" x14ac:dyDescent="0.2">
      <c r="K125" s="49"/>
    </row>
    <row r="126" spans="2:15" outlineLevel="1" x14ac:dyDescent="0.2">
      <c r="B126" s="1" t="s">
        <v>120</v>
      </c>
      <c r="K126" s="49"/>
    </row>
    <row r="127" spans="2:15" outlineLevel="1" x14ac:dyDescent="0.2">
      <c r="B127" s="2" t="s">
        <v>132</v>
      </c>
      <c r="D127" s="2" t="s">
        <v>93</v>
      </c>
      <c r="K127" s="47">
        <f>$F$49*K116+(1-$F$49)*K122</f>
        <v>3.2984118901145901E-2</v>
      </c>
      <c r="L127" s="47">
        <f t="shared" ref="L127:O127" si="13">$F$49*L116+(1-$F$49)*L122</f>
        <v>3.2984118901145901E-2</v>
      </c>
      <c r="M127" s="47">
        <f t="shared" si="13"/>
        <v>3.2984118901145901E-2</v>
      </c>
      <c r="N127" s="47">
        <f t="shared" si="13"/>
        <v>3.2984118901145901E-2</v>
      </c>
      <c r="O127" s="47">
        <f t="shared" si="13"/>
        <v>3.2984118901145901E-2</v>
      </c>
    </row>
    <row r="128" spans="2:15" outlineLevel="1" x14ac:dyDescent="0.2">
      <c r="B128" s="2" t="s">
        <v>133</v>
      </c>
      <c r="D128" s="2" t="s">
        <v>93</v>
      </c>
      <c r="K128" s="47">
        <f>(1+K127)/(1+K$63)-1</f>
        <v>2.3931702749600881E-2</v>
      </c>
      <c r="L128" s="47">
        <f>(1+L127)/(1+L$63)-1</f>
        <v>2.3931702749600881E-2</v>
      </c>
      <c r="M128" s="47">
        <f>(1+M127)/(1+M$63)-1</f>
        <v>2.3931702749600881E-2</v>
      </c>
      <c r="N128" s="47">
        <f>(1+N127)/(1+N$63)-1</f>
        <v>2.3931702749600881E-2</v>
      </c>
      <c r="O128" s="47">
        <f>(1+O127)/(1+O$63)-1</f>
        <v>2.3931702749600881E-2</v>
      </c>
    </row>
    <row r="129" spans="1:15" outlineLevel="1" x14ac:dyDescent="0.2">
      <c r="B129" s="2" t="s">
        <v>187</v>
      </c>
      <c r="D129" s="2" t="s">
        <v>93</v>
      </c>
      <c r="K129" s="47">
        <f>$F$49*K117+(1-$F$49)*K124</f>
        <v>5.0295921593140766E-2</v>
      </c>
      <c r="L129" s="33"/>
      <c r="M129" s="33"/>
      <c r="N129" s="33"/>
      <c r="O129" s="33"/>
    </row>
    <row r="130" spans="1:15" outlineLevel="1" x14ac:dyDescent="0.2">
      <c r="B130" s="2" t="s">
        <v>190</v>
      </c>
      <c r="D130" s="2" t="s">
        <v>93</v>
      </c>
      <c r="K130" s="47">
        <f>(1+K129)/(1+K$63)-1</f>
        <v>4.1091795807890907E-2</v>
      </c>
      <c r="L130" s="33"/>
      <c r="M130" s="33"/>
      <c r="N130" s="33"/>
      <c r="O130" s="33"/>
    </row>
    <row r="131" spans="1:15" outlineLevel="1" x14ac:dyDescent="0.2"/>
    <row r="132" spans="1:15" outlineLevel="1" x14ac:dyDescent="0.2">
      <c r="B132" s="1" t="s">
        <v>119</v>
      </c>
    </row>
    <row r="133" spans="1:15" outlineLevel="1" x14ac:dyDescent="0.2">
      <c r="B133" s="2" t="s">
        <v>132</v>
      </c>
      <c r="D133" s="2" t="s">
        <v>93</v>
      </c>
      <c r="K133" s="32">
        <f>ROUND(K127,3)</f>
        <v>3.3000000000000002E-2</v>
      </c>
      <c r="L133" s="32">
        <f t="shared" ref="L133:O134" si="14">ROUND(L127,3)</f>
        <v>3.3000000000000002E-2</v>
      </c>
      <c r="M133" s="32">
        <f t="shared" si="14"/>
        <v>3.3000000000000002E-2</v>
      </c>
      <c r="N133" s="32">
        <f t="shared" si="14"/>
        <v>3.3000000000000002E-2</v>
      </c>
      <c r="O133" s="32">
        <f t="shared" si="14"/>
        <v>3.3000000000000002E-2</v>
      </c>
    </row>
    <row r="134" spans="1:15" outlineLevel="1" x14ac:dyDescent="0.2">
      <c r="B134" s="2" t="s">
        <v>133</v>
      </c>
      <c r="D134" s="2" t="s">
        <v>93</v>
      </c>
      <c r="K134" s="32">
        <f>ROUND(K128,3)</f>
        <v>2.4E-2</v>
      </c>
      <c r="L134" s="32">
        <f t="shared" si="14"/>
        <v>2.4E-2</v>
      </c>
      <c r="M134" s="32">
        <f t="shared" si="14"/>
        <v>2.4E-2</v>
      </c>
      <c r="N134" s="32">
        <f t="shared" si="14"/>
        <v>2.4E-2</v>
      </c>
      <c r="O134" s="32">
        <f t="shared" si="14"/>
        <v>2.4E-2</v>
      </c>
    </row>
    <row r="135" spans="1:15" outlineLevel="1" x14ac:dyDescent="0.2">
      <c r="B135" s="2" t="s">
        <v>187</v>
      </c>
      <c r="D135" s="2" t="s">
        <v>93</v>
      </c>
      <c r="K135" s="32">
        <f>ROUND(K129,3)</f>
        <v>0.05</v>
      </c>
      <c r="L135" s="33"/>
      <c r="M135" s="33"/>
      <c r="N135" s="33"/>
      <c r="O135" s="33"/>
    </row>
    <row r="136" spans="1:15" outlineLevel="1" x14ac:dyDescent="0.2">
      <c r="A136" s="40"/>
      <c r="B136" s="2" t="s">
        <v>191</v>
      </c>
      <c r="D136" s="2" t="s">
        <v>93</v>
      </c>
      <c r="K136" s="32">
        <f>ROUND(K130,3)</f>
        <v>4.1000000000000002E-2</v>
      </c>
      <c r="L136" s="33"/>
      <c r="M136" s="33"/>
      <c r="N136" s="33"/>
      <c r="O136" s="33"/>
    </row>
    <row r="137" spans="1:15" x14ac:dyDescent="0.2">
      <c r="B137" s="40"/>
    </row>
    <row r="138" spans="1:15" s="8" customFormat="1" x14ac:dyDescent="0.2">
      <c r="B138" s="8" t="s">
        <v>125</v>
      </c>
    </row>
    <row r="139" spans="1:15" outlineLevel="1" x14ac:dyDescent="0.2">
      <c r="B139" s="40"/>
    </row>
    <row r="140" spans="1:15" outlineLevel="1" x14ac:dyDescent="0.2">
      <c r="B140" s="51" t="s">
        <v>71</v>
      </c>
    </row>
    <row r="141" spans="1:15" outlineLevel="1" x14ac:dyDescent="0.2">
      <c r="B141" s="42" t="s">
        <v>127</v>
      </c>
      <c r="D141" s="2" t="s">
        <v>93</v>
      </c>
      <c r="K141" s="46">
        <f>'2. Input uit WACC modellen'!K31</f>
        <v>2.9744296653400362E-2</v>
      </c>
      <c r="L141" s="46">
        <f>'2. Input uit WACC modellen'!L31</f>
        <v>2.9744296653400362E-2</v>
      </c>
      <c r="M141" s="46">
        <f>'2. Input uit WACC modellen'!M31</f>
        <v>2.9744296653400362E-2</v>
      </c>
      <c r="N141" s="46">
        <f>'2. Input uit WACC modellen'!N31</f>
        <v>2.9744296653400362E-2</v>
      </c>
      <c r="O141" s="46">
        <f>'2. Input uit WACC modellen'!O31</f>
        <v>2.9744296653400362E-2</v>
      </c>
    </row>
    <row r="142" spans="1:15" outlineLevel="1" x14ac:dyDescent="0.2">
      <c r="B142" s="40" t="s">
        <v>134</v>
      </c>
      <c r="D142" s="2" t="s">
        <v>131</v>
      </c>
      <c r="K142" s="50" t="b">
        <f>K79=K141</f>
        <v>1</v>
      </c>
      <c r="L142" s="50" t="b">
        <f t="shared" ref="L142:O142" si="15">L79=L141</f>
        <v>1</v>
      </c>
      <c r="M142" s="50" t="b">
        <f t="shared" si="15"/>
        <v>1</v>
      </c>
      <c r="N142" s="50" t="b">
        <f t="shared" si="15"/>
        <v>1</v>
      </c>
      <c r="O142" s="50" t="b">
        <f t="shared" si="15"/>
        <v>1</v>
      </c>
    </row>
    <row r="143" spans="1:15" outlineLevel="1" x14ac:dyDescent="0.2">
      <c r="B143" s="40"/>
    </row>
    <row r="144" spans="1:15" outlineLevel="1" x14ac:dyDescent="0.2">
      <c r="B144" s="51" t="s">
        <v>109</v>
      </c>
    </row>
    <row r="145" spans="2:15" outlineLevel="1" x14ac:dyDescent="0.2">
      <c r="B145" s="42" t="s">
        <v>127</v>
      </c>
      <c r="D145" s="2" t="s">
        <v>93</v>
      </c>
      <c r="K145" s="46">
        <f>'2. Input uit WACC modellen'!K51</f>
        <v>2.7564931890609958E-2</v>
      </c>
      <c r="L145" s="46">
        <f>'2. Input uit WACC modellen'!L51</f>
        <v>2.7564931890609958E-2</v>
      </c>
      <c r="M145" s="46">
        <f>'2. Input uit WACC modellen'!M51</f>
        <v>2.7564931890609958E-2</v>
      </c>
      <c r="N145" s="46">
        <f>'2. Input uit WACC modellen'!N51</f>
        <v>2.7564931890609958E-2</v>
      </c>
      <c r="O145" s="46">
        <f>'2. Input uit WACC modellen'!O51</f>
        <v>2.7564931890609958E-2</v>
      </c>
    </row>
    <row r="146" spans="2:15" outlineLevel="1" x14ac:dyDescent="0.2">
      <c r="B146" s="42" t="s">
        <v>130</v>
      </c>
      <c r="D146" s="2" t="s">
        <v>93</v>
      </c>
      <c r="K146" s="46">
        <f>'2. Input uit WACC modellen'!K52</f>
        <v>1.8560006049056055E-2</v>
      </c>
      <c r="L146" s="46">
        <f>'2. Input uit WACC modellen'!L52</f>
        <v>1.8560006049056055E-2</v>
      </c>
      <c r="M146" s="46">
        <f>'2. Input uit WACC modellen'!M52</f>
        <v>1.8560006049056055E-2</v>
      </c>
      <c r="N146" s="46">
        <f>'2. Input uit WACC modellen'!N52</f>
        <v>1.8560006049056055E-2</v>
      </c>
      <c r="O146" s="46">
        <f>'2. Input uit WACC modellen'!O52</f>
        <v>1.8560006049056055E-2</v>
      </c>
    </row>
    <row r="147" spans="2:15" outlineLevel="1" x14ac:dyDescent="0.2">
      <c r="B147" s="40" t="s">
        <v>134</v>
      </c>
      <c r="D147" s="2" t="s">
        <v>131</v>
      </c>
      <c r="J147" s="50"/>
      <c r="K147" s="50" t="b">
        <f>AND(K100=K145,K101=K146)</f>
        <v>1</v>
      </c>
      <c r="L147" s="50" t="b">
        <f t="shared" ref="L147:O147" si="16">AND(L100=L145,L101=L146)</f>
        <v>1</v>
      </c>
      <c r="M147" s="50" t="b">
        <f t="shared" si="16"/>
        <v>1</v>
      </c>
      <c r="N147" s="50" t="b">
        <f t="shared" si="16"/>
        <v>1</v>
      </c>
      <c r="O147" s="50" t="b">
        <f t="shared" si="16"/>
        <v>1</v>
      </c>
    </row>
    <row r="148" spans="2:15" outlineLevel="1" x14ac:dyDescent="0.2">
      <c r="B148" s="40"/>
    </row>
    <row r="149" spans="2:15" outlineLevel="1" x14ac:dyDescent="0.2">
      <c r="B149" s="51" t="s">
        <v>110</v>
      </c>
    </row>
    <row r="150" spans="2:15" outlineLevel="1" x14ac:dyDescent="0.2">
      <c r="B150" s="42" t="s">
        <v>127</v>
      </c>
      <c r="D150" s="2" t="s">
        <v>93</v>
      </c>
      <c r="K150" s="46">
        <f>'2. Input uit WACC modellen'!K71</f>
        <v>3.2984118901145887E-2</v>
      </c>
      <c r="L150" s="46">
        <f>'2. Input uit WACC modellen'!L71</f>
        <v>3.2984118901145887E-2</v>
      </c>
      <c r="M150" s="46">
        <f>'2. Input uit WACC modellen'!M71</f>
        <v>3.2984118901145887E-2</v>
      </c>
      <c r="N150" s="46">
        <f>'2. Input uit WACC modellen'!N71</f>
        <v>3.2984118901145887E-2</v>
      </c>
      <c r="O150" s="46">
        <f>'2. Input uit WACC modellen'!O71</f>
        <v>3.2984118901145887E-2</v>
      </c>
    </row>
    <row r="151" spans="2:15" outlineLevel="1" x14ac:dyDescent="0.2">
      <c r="B151" s="42" t="s">
        <v>130</v>
      </c>
      <c r="D151" s="2" t="s">
        <v>93</v>
      </c>
      <c r="K151" s="46">
        <f>'2. Input uit WACC modellen'!K72</f>
        <v>2.3931702749600881E-2</v>
      </c>
      <c r="L151" s="46">
        <f>'2. Input uit WACC modellen'!L72</f>
        <v>2.3931702749600881E-2</v>
      </c>
      <c r="M151" s="46">
        <f>'2. Input uit WACC modellen'!M72</f>
        <v>2.3931702749600881E-2</v>
      </c>
      <c r="N151" s="46">
        <f>'2. Input uit WACC modellen'!N72</f>
        <v>2.3931702749600881E-2</v>
      </c>
      <c r="O151" s="46">
        <f>'2. Input uit WACC modellen'!O72</f>
        <v>2.3931702749600881E-2</v>
      </c>
    </row>
    <row r="152" spans="2:15" outlineLevel="1" x14ac:dyDescent="0.2">
      <c r="B152" s="40" t="s">
        <v>134</v>
      </c>
      <c r="D152" s="2" t="s">
        <v>131</v>
      </c>
      <c r="K152" s="50" t="b">
        <f>AND(K127=K150,K128=K151)</f>
        <v>1</v>
      </c>
      <c r="L152" s="50" t="b">
        <f>AND(L127=L150,L128=L151)</f>
        <v>1</v>
      </c>
      <c r="M152" s="50" t="b">
        <f>AND(M127=M150,M128=M151)</f>
        <v>1</v>
      </c>
      <c r="N152" s="50" t="b">
        <f>AND(N127=N150,N128=N151)</f>
        <v>1</v>
      </c>
      <c r="O152" s="50" t="b">
        <f>AND(O127=O150,O128=O151)</f>
        <v>1</v>
      </c>
    </row>
    <row r="153" spans="2:15" outlineLevel="1" x14ac:dyDescent="0.2">
      <c r="B153" s="40"/>
    </row>
    <row r="154" spans="2:15" x14ac:dyDescent="0.2">
      <c r="B154" s="40"/>
    </row>
    <row r="155" spans="2:15" x14ac:dyDescent="0.2">
      <c r="B155" s="40"/>
    </row>
    <row r="156" spans="2:15" x14ac:dyDescent="0.2">
      <c r="B156" s="40"/>
    </row>
    <row r="157" spans="2:15" x14ac:dyDescent="0.2">
      <c r="B157" s="40"/>
    </row>
    <row r="158" spans="2:15" x14ac:dyDescent="0.2">
      <c r="B158" s="40"/>
    </row>
    <row r="159" spans="2:15" x14ac:dyDescent="0.2">
      <c r="B159" s="21" t="s">
        <v>65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78EC-F56E-4800-A9F7-8E88BEBB5173}">
  <sheetPr>
    <tabColor rgb="FFCCC8D9"/>
    <pageSetUpPr fitToPage="1"/>
  </sheetPr>
  <dimension ref="B2:Z54"/>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7109375" style="2" customWidth="1"/>
    <col min="2" max="2" width="19.140625" style="2" customWidth="1"/>
    <col min="3" max="3" width="2.7109375" style="2" customWidth="1"/>
    <col min="4" max="4" width="35.7109375" style="2" customWidth="1"/>
    <col min="5" max="5" width="2.7109375" style="2" customWidth="1"/>
    <col min="6" max="6" width="10.7109375" style="2" customWidth="1"/>
    <col min="7" max="7" width="2.7109375" style="2" customWidth="1"/>
    <col min="8" max="8" width="37.85546875" style="2" customWidth="1"/>
    <col min="9" max="9" width="2.7109375" style="2" customWidth="1"/>
    <col min="10" max="10" width="10.7109375" style="2" customWidth="1"/>
    <col min="11" max="11" width="2.7109375" style="2" customWidth="1"/>
    <col min="12" max="12" width="25.7109375" style="2" customWidth="1"/>
    <col min="13" max="13" width="2.7109375" style="2" customWidth="1"/>
    <col min="14" max="14" width="10.7109375" style="2" customWidth="1"/>
    <col min="15" max="15" width="2.7109375" style="2" customWidth="1"/>
    <col min="16" max="16" width="25.7109375" style="2" customWidth="1"/>
    <col min="17" max="17" width="2.7109375" style="2" customWidth="1"/>
    <col min="18" max="18" width="10.7109375" style="2" customWidth="1"/>
    <col min="19" max="19" width="2.7109375" style="2" customWidth="1"/>
    <col min="20" max="20" width="25.7109375" style="2" customWidth="1"/>
    <col min="21" max="21" width="2.7109375" style="2" customWidth="1"/>
    <col min="22" max="22" width="10.7109375" style="2" customWidth="1"/>
    <col min="23" max="23" width="2.7109375" style="2" customWidth="1"/>
    <col min="24" max="24" width="25.7109375" style="2" customWidth="1"/>
    <col min="25" max="25" width="2.7109375" style="2" customWidth="1"/>
    <col min="26" max="16384" width="9.140625" style="2"/>
  </cols>
  <sheetData>
    <row r="2" spans="2:26" s="7" customFormat="1" ht="18" x14ac:dyDescent="0.2">
      <c r="B2" s="7" t="s">
        <v>173</v>
      </c>
    </row>
    <row r="4" spans="2:26" s="8" customFormat="1" x14ac:dyDescent="0.2">
      <c r="B4" s="8" t="s">
        <v>12</v>
      </c>
    </row>
    <row r="6" spans="2:26" x14ac:dyDescent="0.2">
      <c r="B6" s="2" t="s">
        <v>198</v>
      </c>
    </row>
    <row r="8" spans="2:26" s="8" customFormat="1" x14ac:dyDescent="0.2">
      <c r="B8" s="8" t="s">
        <v>50</v>
      </c>
    </row>
    <row r="10" spans="2:26" s="57" customFormat="1" x14ac:dyDescent="0.2">
      <c r="B10" s="57" t="s">
        <v>157</v>
      </c>
    </row>
    <row r="11" spans="2:26" s="57" customFormat="1" x14ac:dyDescent="0.2"/>
    <row r="12" spans="2:26" s="57" customFormat="1" x14ac:dyDescent="0.2">
      <c r="B12" s="58"/>
      <c r="C12" s="58"/>
      <c r="D12" s="59" t="s">
        <v>158</v>
      </c>
      <c r="E12" s="58"/>
      <c r="F12" s="58"/>
      <c r="G12" s="58"/>
      <c r="H12" s="59" t="s">
        <v>159</v>
      </c>
      <c r="I12" s="58"/>
      <c r="J12" s="58"/>
      <c r="K12" s="58"/>
      <c r="L12" s="58"/>
      <c r="M12" s="58"/>
      <c r="N12" s="58"/>
      <c r="O12" s="58"/>
      <c r="P12" s="59" t="s">
        <v>160</v>
      </c>
      <c r="Q12" s="58"/>
      <c r="R12" s="58"/>
      <c r="S12" s="58"/>
      <c r="T12" s="59"/>
      <c r="U12" s="58"/>
      <c r="V12" s="58"/>
      <c r="W12" s="58"/>
      <c r="Y12" s="58"/>
      <c r="Z12" s="58"/>
    </row>
    <row r="13" spans="2:26" s="57" customFormat="1" ht="14.25" x14ac:dyDescent="0.2">
      <c r="B13" s="60"/>
      <c r="C13" s="60"/>
      <c r="D13" s="60"/>
      <c r="E13" s="60"/>
      <c r="F13" s="60"/>
      <c r="S13" s="60"/>
      <c r="W13" s="60"/>
    </row>
    <row r="14" spans="2:26" s="57" customFormat="1" ht="14.25" x14ac:dyDescent="0.2">
      <c r="B14" s="60"/>
      <c r="F14" s="64"/>
      <c r="S14" s="60"/>
      <c r="W14" s="60"/>
    </row>
    <row r="15" spans="2:26" s="57" customFormat="1" ht="14.25" x14ac:dyDescent="0.2">
      <c r="B15" s="60"/>
      <c r="F15" s="64"/>
      <c r="S15" s="60"/>
      <c r="W15" s="60"/>
    </row>
    <row r="16" spans="2:26" s="57" customFormat="1" ht="14.25" x14ac:dyDescent="0.2">
      <c r="B16" s="60"/>
      <c r="C16" s="61"/>
      <c r="D16" s="62"/>
      <c r="E16" s="63"/>
      <c r="F16" s="64"/>
      <c r="G16" s="61"/>
      <c r="H16" s="62"/>
      <c r="I16" s="63"/>
      <c r="J16" s="60"/>
      <c r="K16" s="61"/>
      <c r="L16" s="62"/>
      <c r="M16" s="63"/>
      <c r="O16" s="61"/>
      <c r="P16" s="62"/>
      <c r="Q16" s="63"/>
      <c r="S16" s="60"/>
      <c r="W16" s="60"/>
    </row>
    <row r="17" spans="2:25" s="57" customFormat="1" ht="14.25" x14ac:dyDescent="0.2">
      <c r="B17" s="60"/>
      <c r="C17" s="65"/>
      <c r="D17" s="66" t="s">
        <v>161</v>
      </c>
      <c r="E17" s="67"/>
      <c r="F17" s="64"/>
      <c r="G17" s="65"/>
      <c r="H17" s="71" t="s">
        <v>192</v>
      </c>
      <c r="I17" s="67"/>
      <c r="J17" s="60"/>
      <c r="K17" s="65"/>
      <c r="L17" s="71" t="s">
        <v>164</v>
      </c>
      <c r="M17" s="67"/>
      <c r="O17" s="65"/>
      <c r="P17" s="73" t="s">
        <v>166</v>
      </c>
      <c r="Q17" s="67"/>
      <c r="S17" s="60"/>
      <c r="W17" s="60"/>
    </row>
    <row r="18" spans="2:25" s="57" customFormat="1" ht="14.25" x14ac:dyDescent="0.2">
      <c r="B18" s="60"/>
      <c r="C18" s="68"/>
      <c r="D18" s="69"/>
      <c r="E18" s="70"/>
      <c r="F18" s="64"/>
      <c r="G18" s="68"/>
      <c r="H18" s="69"/>
      <c r="I18" s="70"/>
      <c r="J18" s="64"/>
      <c r="K18" s="68"/>
      <c r="L18" s="72"/>
      <c r="M18" s="70"/>
      <c r="O18" s="68"/>
      <c r="P18" s="69"/>
      <c r="Q18" s="70"/>
      <c r="S18" s="60"/>
      <c r="W18" s="60"/>
    </row>
    <row r="19" spans="2:25" s="57" customFormat="1" ht="14.25" x14ac:dyDescent="0.2">
      <c r="B19" s="60"/>
      <c r="C19" s="64"/>
      <c r="D19" s="64"/>
      <c r="E19" s="64"/>
      <c r="F19" s="64"/>
      <c r="J19" s="64"/>
      <c r="O19" s="60"/>
      <c r="S19" s="60"/>
      <c r="W19" s="60"/>
    </row>
    <row r="20" spans="2:25" s="57" customFormat="1" ht="14.25" x14ac:dyDescent="0.2">
      <c r="B20" s="60"/>
      <c r="C20" s="61"/>
      <c r="D20" s="62"/>
      <c r="E20" s="63"/>
      <c r="F20" s="64"/>
      <c r="G20" s="61"/>
      <c r="H20" s="62"/>
      <c r="I20" s="63"/>
      <c r="J20" s="64"/>
      <c r="K20" s="61"/>
      <c r="L20" s="62"/>
      <c r="M20" s="63"/>
      <c r="O20" s="60"/>
      <c r="S20" s="60"/>
      <c r="W20" s="60"/>
    </row>
    <row r="21" spans="2:25" s="57" customFormat="1" ht="14.25" x14ac:dyDescent="0.2">
      <c r="B21" s="60"/>
      <c r="C21" s="65"/>
      <c r="D21" s="66" t="s">
        <v>162</v>
      </c>
      <c r="E21" s="67"/>
      <c r="F21" s="64"/>
      <c r="G21" s="65"/>
      <c r="H21" s="71" t="s">
        <v>163</v>
      </c>
      <c r="I21" s="67"/>
      <c r="J21" s="64"/>
      <c r="K21" s="65"/>
      <c r="L21" s="71" t="s">
        <v>165</v>
      </c>
      <c r="M21" s="67"/>
      <c r="S21" s="60"/>
      <c r="W21" s="60"/>
    </row>
    <row r="22" spans="2:25" s="57" customFormat="1" ht="14.25" x14ac:dyDescent="0.2">
      <c r="B22" s="60"/>
      <c r="C22" s="68"/>
      <c r="D22" s="69"/>
      <c r="E22" s="70"/>
      <c r="F22" s="64"/>
      <c r="G22" s="68"/>
      <c r="H22" s="69"/>
      <c r="I22" s="70"/>
      <c r="J22" s="64"/>
      <c r="K22" s="68"/>
      <c r="L22" s="69"/>
      <c r="M22" s="70"/>
      <c r="O22" s="60"/>
      <c r="S22" s="60"/>
      <c r="W22" s="60"/>
    </row>
    <row r="23" spans="2:25" s="57" customFormat="1" ht="14.25" x14ac:dyDescent="0.2">
      <c r="F23" s="64"/>
      <c r="J23" s="64"/>
      <c r="S23" s="60"/>
      <c r="W23" s="60"/>
    </row>
    <row r="24" spans="2:25" s="57" customFormat="1" x14ac:dyDescent="0.2">
      <c r="S24" s="74"/>
      <c r="T24" s="74"/>
      <c r="U24" s="74"/>
      <c r="W24" s="74"/>
      <c r="X24" s="74"/>
      <c r="Y24" s="74"/>
    </row>
    <row r="25" spans="2:25" s="8" customFormat="1" x14ac:dyDescent="0.2">
      <c r="B25" s="8" t="s">
        <v>13</v>
      </c>
    </row>
    <row r="27" spans="2:25" x14ac:dyDescent="0.2">
      <c r="B27" s="20" t="s">
        <v>33</v>
      </c>
      <c r="D27" s="20" t="s">
        <v>14</v>
      </c>
      <c r="F27" s="5"/>
    </row>
    <row r="29" spans="2:25" x14ac:dyDescent="0.2">
      <c r="B29" s="25">
        <v>123</v>
      </c>
      <c r="D29" s="2" t="s">
        <v>57</v>
      </c>
    </row>
    <row r="30" spans="2:25" x14ac:dyDescent="0.2">
      <c r="B30" s="27">
        <f>B29</f>
        <v>123</v>
      </c>
      <c r="D30" s="2" t="s">
        <v>15</v>
      </c>
    </row>
    <row r="31" spans="2:25" x14ac:dyDescent="0.2">
      <c r="B31" s="28">
        <f>B30+B29</f>
        <v>246</v>
      </c>
      <c r="D31" s="2" t="s">
        <v>16</v>
      </c>
    </row>
    <row r="32" spans="2:25" x14ac:dyDescent="0.2">
      <c r="B32" s="22">
        <f>B30+B31</f>
        <v>369</v>
      </c>
      <c r="D32" s="2" t="s">
        <v>58</v>
      </c>
      <c r="E32" s="5"/>
      <c r="F32" s="5"/>
    </row>
    <row r="33" spans="2:5" x14ac:dyDescent="0.2">
      <c r="B33" s="31"/>
      <c r="D33" s="2" t="s">
        <v>17</v>
      </c>
      <c r="E33" s="5"/>
    </row>
    <row r="35" spans="2:5" x14ac:dyDescent="0.2">
      <c r="B35" s="21" t="s">
        <v>18</v>
      </c>
      <c r="E35" s="19"/>
    </row>
    <row r="36" spans="2:5" x14ac:dyDescent="0.2">
      <c r="B36" s="23">
        <f>B32+16</f>
        <v>385</v>
      </c>
      <c r="D36" s="2" t="s">
        <v>69</v>
      </c>
    </row>
    <row r="37" spans="2:5" x14ac:dyDescent="0.2">
      <c r="B37" s="11"/>
      <c r="C37" s="11"/>
    </row>
    <row r="40" spans="2:5" x14ac:dyDescent="0.2">
      <c r="B40" s="20" t="s">
        <v>28</v>
      </c>
    </row>
    <row r="41" spans="2:5" x14ac:dyDescent="0.2">
      <c r="B41" s="1"/>
    </row>
    <row r="42" spans="2:5" x14ac:dyDescent="0.2">
      <c r="B42" s="21" t="s">
        <v>34</v>
      </c>
    </row>
    <row r="43" spans="2:5" x14ac:dyDescent="0.2">
      <c r="B43" s="22" t="s">
        <v>27</v>
      </c>
      <c r="D43" s="3" t="s">
        <v>37</v>
      </c>
    </row>
    <row r="44" spans="2:5" x14ac:dyDescent="0.2">
      <c r="B44" s="25" t="s">
        <v>25</v>
      </c>
      <c r="D44" s="3" t="s">
        <v>29</v>
      </c>
    </row>
    <row r="45" spans="2:5" x14ac:dyDescent="0.2">
      <c r="B45" s="28" t="s">
        <v>26</v>
      </c>
      <c r="D45" s="3" t="s">
        <v>30</v>
      </c>
    </row>
    <row r="46" spans="2:5" x14ac:dyDescent="0.2">
      <c r="B46" s="24" t="s">
        <v>26</v>
      </c>
      <c r="D46" s="3" t="s">
        <v>32</v>
      </c>
    </row>
    <row r="47" spans="2:5" x14ac:dyDescent="0.2">
      <c r="D47" s="3"/>
    </row>
    <row r="48" spans="2:5" x14ac:dyDescent="0.2">
      <c r="B48" s="21" t="s">
        <v>36</v>
      </c>
      <c r="D48" s="3"/>
    </row>
    <row r="49" spans="2:4" x14ac:dyDescent="0.2">
      <c r="B49" s="16" t="s">
        <v>31</v>
      </c>
      <c r="D49" s="3" t="s">
        <v>38</v>
      </c>
    </row>
    <row r="50" spans="2:4" x14ac:dyDescent="0.2">
      <c r="B50" s="17" t="s">
        <v>35</v>
      </c>
      <c r="D50" s="2" t="s">
        <v>59</v>
      </c>
    </row>
    <row r="53" spans="2:4" x14ac:dyDescent="0.2">
      <c r="B53" s="21" t="s">
        <v>65</v>
      </c>
    </row>
    <row r="54" spans="2:4" x14ac:dyDescent="0.2">
      <c r="B54" s="75"/>
    </row>
  </sheetData>
  <pageMargins left="0.75" right="0.75" top="1" bottom="1" header="0.5" footer="0.5"/>
  <pageSetup paperSize="9" scale="2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I28"/>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5.7109375" style="2" customWidth="1"/>
    <col min="2" max="2" width="7.5703125" style="2" customWidth="1"/>
    <col min="3" max="3" width="44.28515625" style="2" bestFit="1" customWidth="1"/>
    <col min="4" max="4" width="66.28515625" style="2" customWidth="1"/>
    <col min="5" max="5" width="36.28515625" style="2" customWidth="1"/>
    <col min="6" max="6" width="40.7109375" style="2" customWidth="1"/>
    <col min="7" max="7" width="49.7109375" style="2" customWidth="1"/>
    <col min="8" max="8" width="5.7109375" style="2" customWidth="1"/>
    <col min="9" max="16384" width="9.140625" style="2"/>
  </cols>
  <sheetData>
    <row r="2" spans="2:9" s="7" customFormat="1" ht="18" x14ac:dyDescent="0.2">
      <c r="B2" s="7" t="s">
        <v>173</v>
      </c>
    </row>
    <row r="5" spans="2:9" s="8" customFormat="1" x14ac:dyDescent="0.2">
      <c r="B5" s="8" t="s">
        <v>19</v>
      </c>
    </row>
    <row r="7" spans="2:9" x14ac:dyDescent="0.2">
      <c r="B7" s="21" t="s">
        <v>53</v>
      </c>
    </row>
    <row r="8" spans="2:9" x14ac:dyDescent="0.2">
      <c r="B8" s="21" t="s">
        <v>54</v>
      </c>
    </row>
    <row r="10" spans="2:9" x14ac:dyDescent="0.2">
      <c r="B10" s="15" t="s">
        <v>45</v>
      </c>
      <c r="C10" s="15" t="s">
        <v>46</v>
      </c>
      <c r="D10" s="15" t="s">
        <v>66</v>
      </c>
      <c r="E10" s="15" t="s">
        <v>52</v>
      </c>
      <c r="F10" s="15" t="s">
        <v>67</v>
      </c>
      <c r="G10" s="15" t="s">
        <v>0</v>
      </c>
      <c r="I10" s="19"/>
    </row>
    <row r="11" spans="2:9" x14ac:dyDescent="0.2">
      <c r="B11" s="12"/>
      <c r="C11" s="18" t="s">
        <v>51</v>
      </c>
      <c r="D11" s="18" t="s">
        <v>20</v>
      </c>
      <c r="E11" s="18" t="s">
        <v>55</v>
      </c>
      <c r="F11" s="18" t="s">
        <v>68</v>
      </c>
      <c r="G11" s="18"/>
    </row>
    <row r="12" spans="2:9" x14ac:dyDescent="0.2">
      <c r="B12" s="6">
        <v>1</v>
      </c>
      <c r="C12" s="6" t="s">
        <v>142</v>
      </c>
      <c r="D12" s="6" t="s">
        <v>143</v>
      </c>
      <c r="E12" s="6" t="s">
        <v>144</v>
      </c>
      <c r="F12" s="6" t="s">
        <v>145</v>
      </c>
      <c r="G12" s="6" t="s">
        <v>244</v>
      </c>
    </row>
    <row r="13" spans="2:9" x14ac:dyDescent="0.2">
      <c r="B13" s="6">
        <v>2</v>
      </c>
      <c r="C13" s="6" t="s">
        <v>146</v>
      </c>
      <c r="D13" s="6" t="s">
        <v>147</v>
      </c>
      <c r="E13" s="6" t="s">
        <v>148</v>
      </c>
      <c r="F13" s="6" t="s">
        <v>149</v>
      </c>
      <c r="G13" s="6" t="s">
        <v>244</v>
      </c>
    </row>
    <row r="14" spans="2:9" x14ac:dyDescent="0.2">
      <c r="B14" s="6">
        <v>3</v>
      </c>
      <c r="C14" s="6" t="s">
        <v>150</v>
      </c>
      <c r="D14" s="6" t="s">
        <v>151</v>
      </c>
      <c r="E14" s="6" t="s">
        <v>152</v>
      </c>
      <c r="F14" s="6"/>
      <c r="G14" s="6" t="s">
        <v>245</v>
      </c>
    </row>
    <row r="15" spans="2:9" x14ac:dyDescent="0.2">
      <c r="B15" s="6">
        <v>4</v>
      </c>
      <c r="C15" s="6" t="s">
        <v>153</v>
      </c>
      <c r="D15" s="6" t="s">
        <v>154</v>
      </c>
      <c r="E15" s="6" t="s">
        <v>155</v>
      </c>
      <c r="F15" s="6"/>
      <c r="G15" s="6" t="s">
        <v>245</v>
      </c>
    </row>
    <row r="16" spans="2:9" x14ac:dyDescent="0.2">
      <c r="B16" s="6">
        <v>5</v>
      </c>
      <c r="C16" s="6" t="s">
        <v>240</v>
      </c>
      <c r="D16" s="6" t="s">
        <v>241</v>
      </c>
      <c r="E16" s="6" t="s">
        <v>156</v>
      </c>
      <c r="F16" s="6" t="s">
        <v>242</v>
      </c>
      <c r="G16" s="6" t="s">
        <v>243</v>
      </c>
    </row>
    <row r="17" spans="2:7" x14ac:dyDescent="0.2">
      <c r="B17" s="6">
        <v>6</v>
      </c>
      <c r="C17" s="6" t="s">
        <v>246</v>
      </c>
      <c r="D17" s="6" t="s">
        <v>247</v>
      </c>
      <c r="E17" s="6" t="s">
        <v>248</v>
      </c>
      <c r="F17" s="6" t="s">
        <v>242</v>
      </c>
      <c r="G17" s="6" t="s">
        <v>243</v>
      </c>
    </row>
    <row r="19" spans="2:7" s="8" customFormat="1" x14ac:dyDescent="0.2">
      <c r="B19" s="8" t="s">
        <v>44</v>
      </c>
    </row>
    <row r="21" spans="2:7" x14ac:dyDescent="0.2">
      <c r="B21" s="82" t="s">
        <v>167</v>
      </c>
      <c r="C21" s="82"/>
      <c r="D21" s="82"/>
      <c r="E21" s="82"/>
      <c r="F21" s="82"/>
      <c r="G21" s="82"/>
    </row>
    <row r="22" spans="2:7" ht="12.95" customHeight="1" x14ac:dyDescent="0.2">
      <c r="B22" s="82"/>
      <c r="C22" s="82"/>
      <c r="D22" s="82"/>
      <c r="E22" s="82"/>
      <c r="F22" s="82"/>
      <c r="G22" s="82"/>
    </row>
    <row r="28" spans="2:7" x14ac:dyDescent="0.2">
      <c r="B28" s="21" t="s">
        <v>65</v>
      </c>
    </row>
  </sheetData>
  <mergeCells count="1">
    <mergeCell ref="B21:G22"/>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B2:Q64"/>
  <sheetViews>
    <sheetView showGridLines="0" zoomScale="85" zoomScaleNormal="85" workbookViewId="0">
      <pane xSplit="4" ySplit="11" topLeftCell="E12" activePane="bottomRight" state="frozen"/>
      <selection activeCell="A4" sqref="A4"/>
      <selection pane="topRight" activeCell="A4" sqref="A4"/>
      <selection pane="bottomLeft" activeCell="A4" sqref="A4"/>
      <selection pane="bottomRight" activeCell="A4" sqref="A4"/>
    </sheetView>
  </sheetViews>
  <sheetFormatPr defaultColWidth="9.140625" defaultRowHeight="12.75" outlineLevelRow="1" x14ac:dyDescent="0.2"/>
  <cols>
    <col min="1" max="1" width="5.7109375" style="2" customWidth="1"/>
    <col min="2" max="2" width="74.140625" style="2" customWidth="1"/>
    <col min="3" max="3" width="5.7109375" style="2" customWidth="1"/>
    <col min="4" max="4" width="13.7109375" style="2" customWidth="1"/>
    <col min="5" max="5" width="2.7109375" style="2" customWidth="1"/>
    <col min="6" max="6" width="13.7109375" style="2" customWidth="1"/>
    <col min="7" max="7" width="2.7109375" style="2" customWidth="1"/>
    <col min="8" max="8" width="13.7109375" style="2" customWidth="1"/>
    <col min="9" max="9" width="2.7109375" style="2" customWidth="1"/>
    <col min="10" max="19" width="12.5703125" style="2" customWidth="1"/>
    <col min="20" max="22" width="2.7109375" style="2" customWidth="1"/>
    <col min="23" max="23" width="30.85546875" style="2" customWidth="1"/>
    <col min="24" max="37" width="13.7109375" style="2" customWidth="1"/>
    <col min="38" max="16384" width="9.140625" style="2"/>
  </cols>
  <sheetData>
    <row r="2" spans="2:17" s="13" customFormat="1" ht="18" x14ac:dyDescent="0.2">
      <c r="B2" s="13" t="s">
        <v>173</v>
      </c>
    </row>
    <row r="4" spans="2:17" x14ac:dyDescent="0.2">
      <c r="B4" s="20" t="s">
        <v>48</v>
      </c>
      <c r="C4" s="1"/>
    </row>
    <row r="5" spans="2:17" ht="38.25" x14ac:dyDescent="0.2">
      <c r="B5" s="34" t="s">
        <v>283</v>
      </c>
      <c r="C5" s="3"/>
      <c r="F5" s="14"/>
      <c r="H5"/>
      <c r="I5"/>
      <c r="J5"/>
      <c r="K5"/>
      <c r="L5"/>
    </row>
    <row r="6" spans="2:17" x14ac:dyDescent="0.2">
      <c r="B6" s="34"/>
      <c r="C6" s="3"/>
      <c r="F6" s="14"/>
      <c r="H6"/>
      <c r="I6"/>
      <c r="J6"/>
      <c r="K6"/>
      <c r="L6"/>
    </row>
    <row r="7" spans="2:17" x14ac:dyDescent="0.2">
      <c r="B7" s="21" t="s">
        <v>24</v>
      </c>
      <c r="C7" s="3"/>
      <c r="F7" s="14"/>
      <c r="H7"/>
      <c r="I7"/>
      <c r="J7"/>
      <c r="K7"/>
      <c r="L7"/>
    </row>
    <row r="8" spans="2:17" x14ac:dyDescent="0.2">
      <c r="B8" s="34" t="s">
        <v>249</v>
      </c>
      <c r="C8" s="3"/>
      <c r="F8" s="14"/>
      <c r="H8"/>
      <c r="I8"/>
      <c r="J8"/>
      <c r="K8"/>
      <c r="L8"/>
    </row>
    <row r="9" spans="2:17" x14ac:dyDescent="0.2">
      <c r="C9" s="3"/>
      <c r="F9" s="14"/>
    </row>
    <row r="10" spans="2:17" s="8" customFormat="1" x14ac:dyDescent="0.2">
      <c r="B10" s="8" t="s">
        <v>39</v>
      </c>
      <c r="D10" s="8" t="s">
        <v>21</v>
      </c>
      <c r="F10" s="8" t="s">
        <v>22</v>
      </c>
      <c r="H10" s="8" t="s">
        <v>43</v>
      </c>
      <c r="J10" s="36">
        <v>2021</v>
      </c>
      <c r="K10" s="36">
        <v>2022</v>
      </c>
      <c r="L10" s="36">
        <v>2023</v>
      </c>
      <c r="M10" s="36">
        <v>2024</v>
      </c>
      <c r="N10" s="36">
        <v>2025</v>
      </c>
      <c r="O10" s="36">
        <v>2026</v>
      </c>
      <c r="Q10" s="8" t="s">
        <v>41</v>
      </c>
    </row>
    <row r="13" spans="2:17" s="8" customFormat="1" x14ac:dyDescent="0.2">
      <c r="B13" s="8" t="s">
        <v>135</v>
      </c>
    </row>
    <row r="14" spans="2:17" outlineLevel="1" x14ac:dyDescent="0.2"/>
    <row r="15" spans="2:17" outlineLevel="1" x14ac:dyDescent="0.2">
      <c r="B15" s="20" t="s">
        <v>136</v>
      </c>
    </row>
    <row r="16" spans="2:17" outlineLevel="1" x14ac:dyDescent="0.2">
      <c r="B16" s="2" t="s">
        <v>250</v>
      </c>
      <c r="D16" s="2" t="s">
        <v>93</v>
      </c>
      <c r="K16" s="32">
        <f>'6. WACC BV '!K83</f>
        <v>3.1E-2</v>
      </c>
      <c r="L16" s="32">
        <f>'6. WACC BV '!L83</f>
        <v>0.03</v>
      </c>
      <c r="M16" s="32">
        <f>'6. WACC BV '!M83</f>
        <v>0.03</v>
      </c>
      <c r="N16" s="32">
        <f>'6. WACC BV '!N83</f>
        <v>0.03</v>
      </c>
      <c r="O16" s="32">
        <f>'6. WACC BV '!O83</f>
        <v>0.03</v>
      </c>
    </row>
    <row r="17" spans="2:15" outlineLevel="1" x14ac:dyDescent="0.2">
      <c r="B17" s="2" t="s">
        <v>251</v>
      </c>
      <c r="D17" s="2" t="s">
        <v>93</v>
      </c>
      <c r="K17" s="32">
        <f>'6. WACC BV '!K84</f>
        <v>0.04</v>
      </c>
      <c r="L17" s="33"/>
      <c r="M17" s="33"/>
      <c r="N17" s="33"/>
      <c r="O17" s="33"/>
    </row>
    <row r="18" spans="2:15" outlineLevel="1" x14ac:dyDescent="0.2"/>
    <row r="19" spans="2:15" outlineLevel="1" x14ac:dyDescent="0.2">
      <c r="B19" s="1" t="s">
        <v>137</v>
      </c>
    </row>
    <row r="20" spans="2:15" outlineLevel="1" x14ac:dyDescent="0.2">
      <c r="B20" s="2" t="s">
        <v>252</v>
      </c>
      <c r="D20" s="2" t="s">
        <v>93</v>
      </c>
      <c r="K20" s="32">
        <f>'7. WACC NV'!K83</f>
        <v>0.03</v>
      </c>
      <c r="L20" s="32">
        <f>'7. WACC NV'!L83</f>
        <v>0.03</v>
      </c>
      <c r="M20" s="32">
        <f>'7. WACC NV'!M83</f>
        <v>0.03</v>
      </c>
      <c r="N20" s="32">
        <f>'7. WACC NV'!N83</f>
        <v>0.03</v>
      </c>
      <c r="O20" s="32">
        <f>'7. WACC NV'!O83</f>
        <v>0.03</v>
      </c>
    </row>
    <row r="21" spans="2:15" outlineLevel="1" x14ac:dyDescent="0.2">
      <c r="B21" s="2" t="s">
        <v>253</v>
      </c>
      <c r="D21" s="2" t="s">
        <v>93</v>
      </c>
      <c r="K21" s="32">
        <f>'7. WACC NV'!K84</f>
        <v>4.4999999999999998E-2</v>
      </c>
      <c r="L21" s="33"/>
      <c r="M21" s="33"/>
      <c r="N21" s="33"/>
      <c r="O21" s="33"/>
    </row>
    <row r="23" spans="2:15" s="8" customFormat="1" x14ac:dyDescent="0.2">
      <c r="B23" s="8" t="s">
        <v>138</v>
      </c>
    </row>
    <row r="24" spans="2:15" outlineLevel="1" x14ac:dyDescent="0.2">
      <c r="B24" s="1"/>
    </row>
    <row r="25" spans="2:15" outlineLevel="1" x14ac:dyDescent="0.2">
      <c r="B25" s="1" t="s">
        <v>136</v>
      </c>
    </row>
    <row r="26" spans="2:15" outlineLevel="1" x14ac:dyDescent="0.2">
      <c r="B26" s="2" t="s">
        <v>250</v>
      </c>
      <c r="D26" s="2" t="s">
        <v>93</v>
      </c>
      <c r="J26" s="32">
        <f>'6. WACC BV '!J108</f>
        <v>0.03</v>
      </c>
      <c r="K26" s="32">
        <f>'6. WACC BV '!K108</f>
        <v>2.9000000000000001E-2</v>
      </c>
      <c r="L26" s="32">
        <f>'6. WACC BV '!L108</f>
        <v>2.9000000000000001E-2</v>
      </c>
      <c r="M26" s="32">
        <f>'6. WACC BV '!M108</f>
        <v>2.8000000000000001E-2</v>
      </c>
      <c r="N26" s="32">
        <f>'6. WACC BV '!N108</f>
        <v>2.8000000000000001E-2</v>
      </c>
      <c r="O26" s="32">
        <f>'6. WACC BV '!O108</f>
        <v>2.8000000000000001E-2</v>
      </c>
    </row>
    <row r="27" spans="2:15" outlineLevel="1" x14ac:dyDescent="0.2">
      <c r="B27" s="2" t="s">
        <v>254</v>
      </c>
      <c r="D27" s="2" t="s">
        <v>93</v>
      </c>
      <c r="J27" s="32">
        <f>'6. WACC BV '!J109</f>
        <v>2.1999999999999999E-2</v>
      </c>
      <c r="K27" s="32">
        <f>'6. WACC BV '!K109</f>
        <v>0.02</v>
      </c>
      <c r="L27" s="32">
        <f>'6. WACC BV '!L109</f>
        <v>0.02</v>
      </c>
      <c r="M27" s="32">
        <f>'6. WACC BV '!M109</f>
        <v>1.9E-2</v>
      </c>
      <c r="N27" s="32">
        <f>'6. WACC BV '!N109</f>
        <v>1.9E-2</v>
      </c>
      <c r="O27" s="32">
        <f>'6. WACC BV '!O109</f>
        <v>1.9E-2</v>
      </c>
    </row>
    <row r="28" spans="2:15" outlineLevel="1" x14ac:dyDescent="0.2">
      <c r="B28" s="2" t="s">
        <v>255</v>
      </c>
      <c r="D28" s="2" t="s">
        <v>93</v>
      </c>
      <c r="J28" s="32">
        <f>'6. WACC BV '!J110</f>
        <v>1.2999999999999999E-2</v>
      </c>
      <c r="K28" s="32">
        <f>'6. WACC BV '!K110</f>
        <v>1.2E-2</v>
      </c>
      <c r="L28" s="32">
        <f>'6. WACC BV '!L110</f>
        <v>1.0999999999999999E-2</v>
      </c>
      <c r="M28" s="32">
        <f>'6. WACC BV '!M110</f>
        <v>0.01</v>
      </c>
      <c r="N28" s="32">
        <f>'6. WACC BV '!N110</f>
        <v>0.01</v>
      </c>
      <c r="O28" s="32">
        <f>'6. WACC BV '!O110</f>
        <v>0.01</v>
      </c>
    </row>
    <row r="29" spans="2:15" outlineLevel="1" x14ac:dyDescent="0.2">
      <c r="B29" s="2" t="s">
        <v>251</v>
      </c>
      <c r="D29" s="2" t="s">
        <v>93</v>
      </c>
      <c r="J29" s="32">
        <f>'6. WACC BV '!J111</f>
        <v>2.8000000000000001E-2</v>
      </c>
      <c r="K29" s="32">
        <f>'6. WACC BV '!K111</f>
        <v>0.04</v>
      </c>
      <c r="L29" s="33"/>
      <c r="M29" s="33"/>
      <c r="N29" s="33"/>
      <c r="O29" s="33"/>
    </row>
    <row r="30" spans="2:15" outlineLevel="1" x14ac:dyDescent="0.2">
      <c r="B30" s="2" t="s">
        <v>256</v>
      </c>
      <c r="D30" s="2" t="s">
        <v>93</v>
      </c>
      <c r="J30" s="32">
        <f>'6. WACC BV '!J112</f>
        <v>0.02</v>
      </c>
      <c r="K30" s="32">
        <f>'6. WACC BV '!K112</f>
        <v>3.1E-2</v>
      </c>
      <c r="L30" s="33"/>
      <c r="M30" s="33"/>
      <c r="N30" s="33"/>
      <c r="O30" s="33"/>
    </row>
    <row r="31" spans="2:15" outlineLevel="1" x14ac:dyDescent="0.2">
      <c r="B31" s="2" t="s">
        <v>257</v>
      </c>
      <c r="D31" s="2" t="s">
        <v>93</v>
      </c>
      <c r="J31" s="32">
        <f>'6. WACC BV '!J113</f>
        <v>1.2E-2</v>
      </c>
      <c r="K31" s="32">
        <f>'6. WACC BV '!K113</f>
        <v>2.1999999999999999E-2</v>
      </c>
      <c r="L31" s="33"/>
      <c r="M31" s="33"/>
      <c r="N31" s="33"/>
      <c r="O31" s="33"/>
    </row>
    <row r="32" spans="2:15" outlineLevel="1" x14ac:dyDescent="0.2"/>
    <row r="33" spans="2:15" outlineLevel="1" x14ac:dyDescent="0.2">
      <c r="B33" s="1" t="s">
        <v>137</v>
      </c>
    </row>
    <row r="34" spans="2:15" outlineLevel="1" x14ac:dyDescent="0.2">
      <c r="B34" s="2" t="s">
        <v>252</v>
      </c>
      <c r="D34" s="2" t="s">
        <v>93</v>
      </c>
      <c r="K34" s="32">
        <f>'7. WACC NV'!K107</f>
        <v>2.8000000000000001E-2</v>
      </c>
      <c r="L34" s="32">
        <f>'7. WACC NV'!L107</f>
        <v>2.8000000000000001E-2</v>
      </c>
      <c r="M34" s="32">
        <f>'7. WACC NV'!M107</f>
        <v>2.8000000000000001E-2</v>
      </c>
      <c r="N34" s="32">
        <f>'7. WACC NV'!N107</f>
        <v>2.8000000000000001E-2</v>
      </c>
      <c r="O34" s="32">
        <f>'7. WACC NV'!O107</f>
        <v>2.8000000000000001E-2</v>
      </c>
    </row>
    <row r="35" spans="2:15" outlineLevel="1" x14ac:dyDescent="0.2">
      <c r="B35" s="2" t="s">
        <v>258</v>
      </c>
      <c r="D35" s="2" t="s">
        <v>93</v>
      </c>
      <c r="K35" s="32">
        <f>'7. WACC NV'!K108</f>
        <v>1.9E-2</v>
      </c>
      <c r="L35" s="32">
        <f>'7. WACC NV'!L108</f>
        <v>1.9E-2</v>
      </c>
      <c r="M35" s="32">
        <f>'7. WACC NV'!M108</f>
        <v>1.9E-2</v>
      </c>
      <c r="N35" s="32">
        <f>'7. WACC NV'!N108</f>
        <v>1.9E-2</v>
      </c>
      <c r="O35" s="32">
        <f>'7. WACC NV'!O108</f>
        <v>1.9E-2</v>
      </c>
    </row>
    <row r="36" spans="2:15" outlineLevel="1" x14ac:dyDescent="0.2">
      <c r="B36" s="2" t="s">
        <v>253</v>
      </c>
      <c r="D36" s="2" t="s">
        <v>93</v>
      </c>
      <c r="K36" s="32">
        <f>'7. WACC NV'!K109</f>
        <v>4.4999999999999998E-2</v>
      </c>
      <c r="L36" s="33"/>
      <c r="M36" s="33"/>
      <c r="N36" s="33"/>
      <c r="O36" s="33"/>
    </row>
    <row r="37" spans="2:15" outlineLevel="1" x14ac:dyDescent="0.2">
      <c r="B37" s="2" t="s">
        <v>259</v>
      </c>
      <c r="D37" s="2" t="s">
        <v>93</v>
      </c>
      <c r="K37" s="32">
        <f>'7. WACC NV'!K110</f>
        <v>3.5999999999999997E-2</v>
      </c>
      <c r="L37" s="33"/>
      <c r="M37" s="33"/>
      <c r="N37" s="33"/>
      <c r="O37" s="33"/>
    </row>
    <row r="38" spans="2:15" outlineLevel="1" x14ac:dyDescent="0.2">
      <c r="B38" s="2" t="s">
        <v>260</v>
      </c>
      <c r="D38" s="2" t="s">
        <v>93</v>
      </c>
      <c r="K38" s="32">
        <f>'7. WACC NV'!K111</f>
        <v>2.7E-2</v>
      </c>
      <c r="L38" s="33"/>
      <c r="M38" s="33"/>
      <c r="N38" s="33"/>
      <c r="O38" s="33"/>
    </row>
    <row r="40" spans="2:15" s="8" customFormat="1" x14ac:dyDescent="0.2">
      <c r="B40" s="8" t="s">
        <v>139</v>
      </c>
    </row>
    <row r="41" spans="2:15" outlineLevel="1" x14ac:dyDescent="0.2">
      <c r="B41" s="1"/>
    </row>
    <row r="42" spans="2:15" outlineLevel="1" x14ac:dyDescent="0.2">
      <c r="B42" s="1" t="s">
        <v>136</v>
      </c>
    </row>
    <row r="43" spans="2:15" outlineLevel="1" x14ac:dyDescent="0.2">
      <c r="B43" s="2" t="s">
        <v>250</v>
      </c>
      <c r="D43" s="2" t="s">
        <v>93</v>
      </c>
      <c r="K43" s="32">
        <f>'6. WACC BV '!K135</f>
        <v>3.3000000000000002E-2</v>
      </c>
      <c r="L43" s="32">
        <f>'6. WACC BV '!L135</f>
        <v>3.3000000000000002E-2</v>
      </c>
      <c r="M43" s="32">
        <f>'6. WACC BV '!M135</f>
        <v>3.3000000000000002E-2</v>
      </c>
      <c r="N43" s="32">
        <f>'6. WACC BV '!N135</f>
        <v>3.3000000000000002E-2</v>
      </c>
      <c r="O43" s="32">
        <f>'6. WACC BV '!O135</f>
        <v>3.3000000000000002E-2</v>
      </c>
    </row>
    <row r="44" spans="2:15" outlineLevel="1" x14ac:dyDescent="0.2">
      <c r="B44" s="2" t="s">
        <v>254</v>
      </c>
      <c r="D44" s="2" t="s">
        <v>93</v>
      </c>
      <c r="K44" s="32">
        <f>'6. WACC BV '!K136</f>
        <v>2.4E-2</v>
      </c>
      <c r="L44" s="32">
        <f>'6. WACC BV '!L136</f>
        <v>2.4E-2</v>
      </c>
      <c r="M44" s="32">
        <f>'6. WACC BV '!M136</f>
        <v>2.4E-2</v>
      </c>
      <c r="N44" s="32">
        <f>'6. WACC BV '!N136</f>
        <v>2.4E-2</v>
      </c>
      <c r="O44" s="32">
        <f>'6. WACC BV '!O136</f>
        <v>2.4E-2</v>
      </c>
    </row>
    <row r="45" spans="2:15" outlineLevel="1" x14ac:dyDescent="0.2">
      <c r="B45" s="2" t="s">
        <v>251</v>
      </c>
      <c r="D45" s="2" t="s">
        <v>93</v>
      </c>
      <c r="K45" s="32">
        <f>'6. WACC BV '!K137</f>
        <v>4.2999999999999997E-2</v>
      </c>
      <c r="L45" s="33"/>
      <c r="M45" s="33"/>
      <c r="N45" s="33"/>
      <c r="O45" s="33"/>
    </row>
    <row r="46" spans="2:15" outlineLevel="1" x14ac:dyDescent="0.2">
      <c r="B46" s="2" t="s">
        <v>256</v>
      </c>
      <c r="D46" s="2" t="s">
        <v>93</v>
      </c>
      <c r="K46" s="32">
        <f>'6. WACC BV '!K138</f>
        <v>3.4000000000000002E-2</v>
      </c>
      <c r="L46" s="33"/>
      <c r="M46" s="33"/>
      <c r="N46" s="33"/>
      <c r="O46" s="33"/>
    </row>
    <row r="47" spans="2:15" outlineLevel="1" x14ac:dyDescent="0.2">
      <c r="B47" s="40"/>
    </row>
    <row r="48" spans="2:15" outlineLevel="1" x14ac:dyDescent="0.2">
      <c r="B48" s="1" t="s">
        <v>137</v>
      </c>
    </row>
    <row r="49" spans="2:15" outlineLevel="1" x14ac:dyDescent="0.2">
      <c r="B49" s="2" t="s">
        <v>252</v>
      </c>
      <c r="D49" s="2" t="s">
        <v>93</v>
      </c>
      <c r="K49" s="32">
        <f>'7. WACC NV'!K133</f>
        <v>3.3000000000000002E-2</v>
      </c>
      <c r="L49" s="32">
        <f>'7. WACC NV'!L133</f>
        <v>3.3000000000000002E-2</v>
      </c>
      <c r="M49" s="32">
        <f>'7. WACC NV'!M133</f>
        <v>3.3000000000000002E-2</v>
      </c>
      <c r="N49" s="32">
        <f>'7. WACC NV'!N133</f>
        <v>3.3000000000000002E-2</v>
      </c>
      <c r="O49" s="32">
        <f>'7. WACC NV'!O133</f>
        <v>3.3000000000000002E-2</v>
      </c>
    </row>
    <row r="50" spans="2:15" outlineLevel="1" x14ac:dyDescent="0.2">
      <c r="B50" s="2" t="s">
        <v>258</v>
      </c>
      <c r="D50" s="2" t="s">
        <v>93</v>
      </c>
      <c r="K50" s="32">
        <f>'7. WACC NV'!K134</f>
        <v>2.4E-2</v>
      </c>
      <c r="L50" s="32">
        <f>'7. WACC NV'!L134</f>
        <v>2.4E-2</v>
      </c>
      <c r="M50" s="32">
        <f>'7. WACC NV'!M134</f>
        <v>2.4E-2</v>
      </c>
      <c r="N50" s="32">
        <f>'7. WACC NV'!N134</f>
        <v>2.4E-2</v>
      </c>
      <c r="O50" s="32">
        <f>'7. WACC NV'!O134</f>
        <v>2.4E-2</v>
      </c>
    </row>
    <row r="51" spans="2:15" outlineLevel="1" x14ac:dyDescent="0.2">
      <c r="B51" s="2" t="s">
        <v>253</v>
      </c>
      <c r="D51" s="2" t="s">
        <v>93</v>
      </c>
      <c r="K51" s="32">
        <f>'7. WACC NV'!K135</f>
        <v>0.05</v>
      </c>
      <c r="L51" s="33"/>
      <c r="M51" s="33"/>
      <c r="N51" s="33"/>
      <c r="O51" s="33"/>
    </row>
    <row r="52" spans="2:15" outlineLevel="1" x14ac:dyDescent="0.2">
      <c r="B52" s="2" t="s">
        <v>259</v>
      </c>
      <c r="D52" s="2" t="s">
        <v>93</v>
      </c>
      <c r="K52" s="32">
        <f>'7. WACC NV'!K136</f>
        <v>4.1000000000000002E-2</v>
      </c>
      <c r="L52" s="33"/>
      <c r="M52" s="33"/>
      <c r="N52" s="33"/>
      <c r="O52" s="33"/>
    </row>
    <row r="64" spans="2:15" x14ac:dyDescent="0.2">
      <c r="B64" s="21" t="s">
        <v>65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B2:B3"/>
  <sheetViews>
    <sheetView showGridLines="0" zoomScale="85" zoomScaleNormal="85" workbookViewId="0">
      <selection activeCell="A4" sqref="A4"/>
    </sheetView>
  </sheetViews>
  <sheetFormatPr defaultColWidth="9.140625" defaultRowHeight="12.75" x14ac:dyDescent="0.2"/>
  <cols>
    <col min="1" max="1" width="5.7109375" style="16" customWidth="1"/>
    <col min="2" max="16384" width="9.140625" style="16"/>
  </cols>
  <sheetData>
    <row r="2" spans="2:2" x14ac:dyDescent="0.2">
      <c r="B2" s="29" t="s">
        <v>173</v>
      </c>
    </row>
    <row r="3" spans="2:2" x14ac:dyDescent="0.2">
      <c r="B3" s="2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A2:S73"/>
  <sheetViews>
    <sheetView showGridLines="0" zoomScale="85" zoomScaleNormal="85" workbookViewId="0">
      <pane xSplit="4" ySplit="8" topLeftCell="E9" activePane="bottomRight" state="frozen"/>
      <selection activeCell="A4" sqref="A4"/>
      <selection pane="topRight" activeCell="A4" sqref="A4"/>
      <selection pane="bottomLeft" activeCell="A4" sqref="A4"/>
      <selection pane="bottomRight" activeCell="A4" sqref="A4"/>
    </sheetView>
  </sheetViews>
  <sheetFormatPr defaultColWidth="9.140625" defaultRowHeight="12.75" outlineLevelRow="1" x14ac:dyDescent="0.2"/>
  <cols>
    <col min="1" max="1" width="5.7109375" style="2" customWidth="1"/>
    <col min="2" max="2" width="74.140625" style="2" bestFit="1" customWidth="1"/>
    <col min="3" max="3" width="2.7109375" style="2" customWidth="1"/>
    <col min="4" max="4" width="13.7109375" style="2" customWidth="1"/>
    <col min="5" max="5" width="2.7109375" style="2" customWidth="1"/>
    <col min="6" max="6" width="13.7109375" style="2" customWidth="1"/>
    <col min="7" max="7" width="2.7109375" style="2" customWidth="1"/>
    <col min="8" max="8" width="13.7109375" style="2" customWidth="1"/>
    <col min="9" max="9" width="2.7109375" style="2" customWidth="1"/>
    <col min="10" max="10" width="11.5703125" style="2" customWidth="1"/>
    <col min="11" max="15" width="12.5703125" style="2" customWidth="1"/>
    <col min="16" max="16" width="2.7109375" style="2" customWidth="1"/>
    <col min="17" max="17" width="60" style="2" bestFit="1" customWidth="1"/>
    <col min="18" max="18" width="2.7109375" style="2" customWidth="1"/>
    <col min="19" max="19" width="30.7109375" style="2" customWidth="1"/>
    <col min="20" max="20" width="2.7109375" style="2" customWidth="1"/>
    <col min="21" max="35" width="13.7109375" style="2" customWidth="1"/>
    <col min="36" max="16384" width="9.140625" style="2"/>
  </cols>
  <sheetData>
    <row r="2" spans="2:19" s="13" customFormat="1" ht="18" x14ac:dyDescent="0.2">
      <c r="B2" s="13" t="s">
        <v>173</v>
      </c>
    </row>
    <row r="4" spans="2:19" x14ac:dyDescent="0.2">
      <c r="B4" s="20" t="s">
        <v>23</v>
      </c>
      <c r="K4" s="35"/>
    </row>
    <row r="5" spans="2:19" x14ac:dyDescent="0.2">
      <c r="B5" s="2" t="s">
        <v>264</v>
      </c>
      <c r="F5" s="14"/>
    </row>
    <row r="6" spans="2:19" x14ac:dyDescent="0.2">
      <c r="F6" s="14"/>
    </row>
    <row r="7" spans="2:19" s="8" customFormat="1" x14ac:dyDescent="0.2">
      <c r="B7" s="8" t="s">
        <v>39</v>
      </c>
      <c r="D7" s="8" t="s">
        <v>21</v>
      </c>
      <c r="F7" s="8" t="s">
        <v>22</v>
      </c>
      <c r="H7" s="8" t="s">
        <v>43</v>
      </c>
      <c r="J7" s="36">
        <v>2021</v>
      </c>
      <c r="K7" s="36">
        <v>2022</v>
      </c>
      <c r="L7" s="36">
        <v>2023</v>
      </c>
      <c r="M7" s="36">
        <v>2024</v>
      </c>
      <c r="N7" s="36">
        <v>2025</v>
      </c>
      <c r="O7" s="36">
        <v>2026</v>
      </c>
      <c r="Q7" s="8" t="s">
        <v>40</v>
      </c>
      <c r="S7" s="8" t="s">
        <v>41</v>
      </c>
    </row>
    <row r="10" spans="2:19" s="8" customFormat="1" x14ac:dyDescent="0.2">
      <c r="B10" s="8" t="s">
        <v>100</v>
      </c>
    </row>
    <row r="12" spans="2:19" x14ac:dyDescent="0.2">
      <c r="B12" s="38" t="s">
        <v>100</v>
      </c>
      <c r="D12" s="2" t="s">
        <v>93</v>
      </c>
      <c r="J12" s="39">
        <v>1.6681679602724035E-2</v>
      </c>
      <c r="K12" s="39">
        <v>1.7681679602724036E-2</v>
      </c>
      <c r="L12" s="39">
        <v>1.7681679602724036E-2</v>
      </c>
      <c r="M12" s="39">
        <v>1.7681679602724001E-2</v>
      </c>
      <c r="N12" s="39">
        <v>1.7681679602724001E-2</v>
      </c>
      <c r="O12" s="39">
        <v>1.7681679602724001E-2</v>
      </c>
      <c r="Q12" s="30" t="s">
        <v>199</v>
      </c>
      <c r="S12" s="40"/>
    </row>
    <row r="13" spans="2:19" x14ac:dyDescent="0.2">
      <c r="B13" s="42" t="s">
        <v>77</v>
      </c>
      <c r="D13" s="2" t="s">
        <v>93</v>
      </c>
      <c r="F13" s="39">
        <v>0.5</v>
      </c>
      <c r="Q13" s="30" t="s">
        <v>200</v>
      </c>
    </row>
    <row r="15" spans="2:19" s="8" customFormat="1" x14ac:dyDescent="0.2">
      <c r="B15" s="8" t="s">
        <v>71</v>
      </c>
    </row>
    <row r="16" spans="2:19" outlineLevel="1" x14ac:dyDescent="0.2"/>
    <row r="17" spans="2:19" outlineLevel="1" x14ac:dyDescent="0.2">
      <c r="B17" s="37" t="s">
        <v>72</v>
      </c>
    </row>
    <row r="18" spans="2:19" outlineLevel="1" x14ac:dyDescent="0.2">
      <c r="B18" s="30" t="s">
        <v>140</v>
      </c>
      <c r="D18" s="2" t="s">
        <v>93</v>
      </c>
      <c r="F18" s="39">
        <v>0.44618924529835263</v>
      </c>
      <c r="Q18" s="30" t="s">
        <v>201</v>
      </c>
    </row>
    <row r="19" spans="2:19" outlineLevel="1" x14ac:dyDescent="0.2">
      <c r="B19" s="38" t="s">
        <v>74</v>
      </c>
      <c r="D19" s="2" t="s">
        <v>93</v>
      </c>
      <c r="F19" s="39">
        <v>0.25</v>
      </c>
      <c r="Q19" s="30" t="s">
        <v>202</v>
      </c>
      <c r="S19" s="40"/>
    </row>
    <row r="20" spans="2:19" outlineLevel="1" x14ac:dyDescent="0.2">
      <c r="B20" s="40" t="s">
        <v>75</v>
      </c>
      <c r="D20" s="2" t="s">
        <v>93</v>
      </c>
      <c r="F20" s="39">
        <v>1.59921895006402E-3</v>
      </c>
      <c r="Q20" s="30" t="s">
        <v>203</v>
      </c>
      <c r="S20" s="40"/>
    </row>
    <row r="21" spans="2:19" outlineLevel="1" x14ac:dyDescent="0.2">
      <c r="B21" s="40" t="s">
        <v>76</v>
      </c>
      <c r="D21" s="2" t="s">
        <v>93</v>
      </c>
      <c r="F21" s="39">
        <v>0.05</v>
      </c>
      <c r="Q21" s="30" t="s">
        <v>204</v>
      </c>
      <c r="S21" s="40"/>
    </row>
    <row r="22" spans="2:19" outlineLevel="1" x14ac:dyDescent="0.2">
      <c r="B22" s="2" t="s">
        <v>141</v>
      </c>
      <c r="F22" s="56">
        <v>0.39485740969546723</v>
      </c>
      <c r="Q22" s="30" t="s">
        <v>205</v>
      </c>
      <c r="S22" s="40"/>
    </row>
    <row r="23" spans="2:19" outlineLevel="1" x14ac:dyDescent="0.2">
      <c r="B23" s="38" t="s">
        <v>261</v>
      </c>
      <c r="D23" s="2" t="s">
        <v>93</v>
      </c>
      <c r="J23" s="41"/>
      <c r="K23" s="39">
        <v>1.3395272472737993E-2</v>
      </c>
      <c r="L23" s="39">
        <v>1.1707564397288534E-2</v>
      </c>
      <c r="M23" s="39">
        <v>1.0692538314176242E-2</v>
      </c>
      <c r="N23" s="39">
        <v>1.0318201886236366E-2</v>
      </c>
      <c r="O23" s="39">
        <v>1.0332486147951663E-2</v>
      </c>
      <c r="Q23" s="30" t="s">
        <v>206</v>
      </c>
      <c r="S23" s="40"/>
    </row>
    <row r="24" spans="2:19" outlineLevel="1" x14ac:dyDescent="0.2">
      <c r="B24" s="38" t="s">
        <v>262</v>
      </c>
      <c r="D24" s="2" t="s">
        <v>93</v>
      </c>
      <c r="F24" s="39">
        <v>1.0100313881520773E-2</v>
      </c>
      <c r="Q24" s="30" t="s">
        <v>207</v>
      </c>
      <c r="S24" s="40"/>
    </row>
    <row r="25" spans="2:19" outlineLevel="1" x14ac:dyDescent="0.2">
      <c r="B25" s="38" t="s">
        <v>263</v>
      </c>
      <c r="D25" s="2" t="s">
        <v>93</v>
      </c>
      <c r="F25" s="39">
        <v>1.5E-3</v>
      </c>
      <c r="Q25" s="30" t="s">
        <v>208</v>
      </c>
      <c r="S25" s="40"/>
    </row>
    <row r="26" spans="2:19" outlineLevel="1" x14ac:dyDescent="0.2">
      <c r="B26" s="43"/>
      <c r="Q26" s="14"/>
    </row>
    <row r="27" spans="2:19" outlineLevel="1" x14ac:dyDescent="0.2">
      <c r="B27" s="37" t="s">
        <v>78</v>
      </c>
      <c r="Q27" s="14"/>
    </row>
    <row r="28" spans="2:19" outlineLevel="1" x14ac:dyDescent="0.2">
      <c r="B28" s="42" t="s">
        <v>126</v>
      </c>
      <c r="D28" s="2" t="s">
        <v>93</v>
      </c>
      <c r="J28" s="41"/>
      <c r="K28" s="39">
        <v>3.1214471740504894E-2</v>
      </c>
      <c r="L28" s="39">
        <v>3.0461434548036168E-2</v>
      </c>
      <c r="M28" s="39">
        <v>3.0008540826054149E-2</v>
      </c>
      <c r="N28" s="39">
        <v>2.9841515937783974E-2</v>
      </c>
      <c r="O28" s="39">
        <v>2.9847889421738369E-2</v>
      </c>
      <c r="Q28" s="30" t="s">
        <v>209</v>
      </c>
    </row>
    <row r="29" spans="2:19" outlineLevel="1" x14ac:dyDescent="0.2">
      <c r="B29" s="43"/>
      <c r="Q29" s="14"/>
    </row>
    <row r="30" spans="2:19" outlineLevel="1" x14ac:dyDescent="0.2">
      <c r="B30" s="37" t="s">
        <v>79</v>
      </c>
      <c r="Q30" s="14"/>
    </row>
    <row r="31" spans="2:19" outlineLevel="1" x14ac:dyDescent="0.2">
      <c r="B31" s="42" t="s">
        <v>127</v>
      </c>
      <c r="D31" s="2" t="s">
        <v>93</v>
      </c>
      <c r="J31" s="41"/>
      <c r="K31" s="39">
        <v>2.9744296653400362E-2</v>
      </c>
      <c r="L31" s="39">
        <v>2.9744296653400362E-2</v>
      </c>
      <c r="M31" s="39">
        <v>2.9744296653400362E-2</v>
      </c>
      <c r="N31" s="39">
        <v>2.9744296653400362E-2</v>
      </c>
      <c r="O31" s="39">
        <v>2.9744296653400362E-2</v>
      </c>
      <c r="Q31" s="30" t="s">
        <v>210</v>
      </c>
    </row>
    <row r="32" spans="2:19" outlineLevel="1" x14ac:dyDescent="0.2">
      <c r="Q32" s="14"/>
    </row>
    <row r="33" spans="2:19" s="8" customFormat="1" x14ac:dyDescent="0.2">
      <c r="B33" s="8" t="s">
        <v>80</v>
      </c>
    </row>
    <row r="34" spans="2:19" outlineLevel="1" x14ac:dyDescent="0.2"/>
    <row r="35" spans="2:19" outlineLevel="1" x14ac:dyDescent="0.2">
      <c r="B35" s="37" t="s">
        <v>72</v>
      </c>
    </row>
    <row r="36" spans="2:19" outlineLevel="1" x14ac:dyDescent="0.2">
      <c r="B36" s="30" t="s">
        <v>140</v>
      </c>
      <c r="D36" s="2" t="s">
        <v>93</v>
      </c>
      <c r="F36" s="39">
        <v>0.4524648639265762</v>
      </c>
      <c r="Q36" s="30" t="s">
        <v>211</v>
      </c>
    </row>
    <row r="37" spans="2:19" outlineLevel="1" x14ac:dyDescent="0.2">
      <c r="B37" s="38" t="s">
        <v>74</v>
      </c>
      <c r="D37" s="2" t="s">
        <v>93</v>
      </c>
      <c r="F37" s="39">
        <v>0.25</v>
      </c>
      <c r="Q37" s="30" t="s">
        <v>212</v>
      </c>
      <c r="S37" s="40"/>
    </row>
    <row r="38" spans="2:19" outlineLevel="1" x14ac:dyDescent="0.2">
      <c r="B38" s="40" t="s">
        <v>75</v>
      </c>
      <c r="D38" s="2" t="s">
        <v>93</v>
      </c>
      <c r="F38" s="39">
        <v>-9.240740740740726E-5</v>
      </c>
      <c r="Q38" s="30" t="s">
        <v>213</v>
      </c>
      <c r="S38" s="40"/>
    </row>
    <row r="39" spans="2:19" outlineLevel="1" x14ac:dyDescent="0.2">
      <c r="B39" s="40" t="s">
        <v>76</v>
      </c>
      <c r="D39" s="2" t="s">
        <v>93</v>
      </c>
      <c r="F39" s="39">
        <v>0.05</v>
      </c>
      <c r="Q39" s="30" t="s">
        <v>214</v>
      </c>
      <c r="S39" s="40"/>
    </row>
    <row r="40" spans="2:19" outlineLevel="1" x14ac:dyDescent="0.2">
      <c r="B40" s="2" t="s">
        <v>141</v>
      </c>
      <c r="F40" s="56">
        <v>0.39052874739697352</v>
      </c>
      <c r="Q40" s="30" t="s">
        <v>215</v>
      </c>
      <c r="S40" s="40"/>
    </row>
    <row r="41" spans="2:19" outlineLevel="1" x14ac:dyDescent="0.2">
      <c r="B41" s="38" t="s">
        <v>261</v>
      </c>
      <c r="D41" s="2" t="s">
        <v>93</v>
      </c>
      <c r="J41" s="39">
        <v>1.4799809838996474E-2</v>
      </c>
      <c r="K41" s="39">
        <v>1.2563793392173233E-2</v>
      </c>
      <c r="L41" s="39">
        <v>1.0719922539219722E-2</v>
      </c>
      <c r="M41" s="39">
        <v>9.5487336786033803E-3</v>
      </c>
      <c r="N41" s="39">
        <v>9.0182344731594543E-3</v>
      </c>
      <c r="O41" s="39">
        <v>8.876355957370699E-3</v>
      </c>
      <c r="Q41" s="30" t="s">
        <v>216</v>
      </c>
      <c r="S41" s="40"/>
    </row>
    <row r="42" spans="2:19" outlineLevel="1" x14ac:dyDescent="0.2">
      <c r="B42" s="38" t="s">
        <v>262</v>
      </c>
      <c r="D42" s="2" t="s">
        <v>93</v>
      </c>
      <c r="F42" s="39">
        <v>8.538686106480264E-3</v>
      </c>
      <c r="Q42" s="30" t="s">
        <v>217</v>
      </c>
      <c r="S42" s="40"/>
    </row>
    <row r="43" spans="2:19" outlineLevel="1" x14ac:dyDescent="0.2">
      <c r="B43" s="38" t="s">
        <v>263</v>
      </c>
      <c r="D43" s="2" t="s">
        <v>93</v>
      </c>
      <c r="F43" s="39">
        <v>1.5E-3</v>
      </c>
      <c r="Q43" s="30" t="s">
        <v>218</v>
      </c>
      <c r="S43" s="40"/>
    </row>
    <row r="44" spans="2:19" outlineLevel="1" x14ac:dyDescent="0.2">
      <c r="B44" s="43"/>
      <c r="Q44" s="30"/>
    </row>
    <row r="45" spans="2:19" outlineLevel="1" x14ac:dyDescent="0.2">
      <c r="B45" s="37" t="s">
        <v>78</v>
      </c>
      <c r="Q45" s="30"/>
    </row>
    <row r="46" spans="2:19" outlineLevel="1" x14ac:dyDescent="0.2">
      <c r="B46" s="42" t="s">
        <v>126</v>
      </c>
      <c r="D46" s="2" t="s">
        <v>93</v>
      </c>
      <c r="J46" s="39">
        <v>3.0397870388270364E-2</v>
      </c>
      <c r="K46" s="39">
        <v>2.9386151510920899E-2</v>
      </c>
      <c r="L46" s="39">
        <v>2.8551864736341109E-2</v>
      </c>
      <c r="M46" s="39">
        <v>2.8021942927890012E-2</v>
      </c>
      <c r="N46" s="39">
        <v>2.7781910677085672E-2</v>
      </c>
      <c r="O46" s="39">
        <v>2.7717715633745206E-2</v>
      </c>
      <c r="Q46" s="30" t="s">
        <v>219</v>
      </c>
    </row>
    <row r="47" spans="2:19" outlineLevel="1" x14ac:dyDescent="0.2">
      <c r="B47" s="42" t="s">
        <v>286</v>
      </c>
      <c r="D47" s="2" t="s">
        <v>93</v>
      </c>
      <c r="J47" s="39">
        <v>2.1874578234134967E-2</v>
      </c>
      <c r="K47" s="39">
        <v>2.0365265658361054E-2</v>
      </c>
      <c r="L47" s="39">
        <v>1.9538290042719009E-2</v>
      </c>
      <c r="M47" s="39">
        <v>1.9013012132126583E-2</v>
      </c>
      <c r="N47" s="39">
        <v>1.8775083371380008E-2</v>
      </c>
      <c r="O47" s="39">
        <v>1.8711450892590742E-2</v>
      </c>
      <c r="Q47" s="30" t="s">
        <v>220</v>
      </c>
    </row>
    <row r="48" spans="2:19" outlineLevel="1" x14ac:dyDescent="0.2">
      <c r="B48" s="42" t="s">
        <v>287</v>
      </c>
      <c r="D48" s="2" t="s">
        <v>93</v>
      </c>
      <c r="J48" s="39">
        <v>1.3491135977689694E-2</v>
      </c>
      <c r="K48" s="39">
        <v>1.1501112914566791E-2</v>
      </c>
      <c r="L48" s="39">
        <v>1.0681321430352053E-2</v>
      </c>
      <c r="M48" s="39">
        <v>1.0160606732355415E-2</v>
      </c>
      <c r="N48" s="39">
        <v>9.9247449146422362E-3</v>
      </c>
      <c r="O48" s="39">
        <v>9.8616652261431792E-3</v>
      </c>
      <c r="Q48" s="30" t="s">
        <v>221</v>
      </c>
    </row>
    <row r="49" spans="2:19" outlineLevel="1" x14ac:dyDescent="0.2">
      <c r="B49" s="43"/>
      <c r="Q49" s="30"/>
    </row>
    <row r="50" spans="2:19" outlineLevel="1" x14ac:dyDescent="0.2">
      <c r="B50" s="37" t="s">
        <v>79</v>
      </c>
      <c r="Q50" s="30"/>
    </row>
    <row r="51" spans="2:19" outlineLevel="1" x14ac:dyDescent="0.2">
      <c r="B51" s="42" t="s">
        <v>127</v>
      </c>
      <c r="D51" s="2" t="s">
        <v>93</v>
      </c>
      <c r="J51" s="41"/>
      <c r="K51" s="39">
        <v>2.7564931890609958E-2</v>
      </c>
      <c r="L51" s="39">
        <v>2.7564931890609958E-2</v>
      </c>
      <c r="M51" s="39">
        <v>2.7564931890609958E-2</v>
      </c>
      <c r="N51" s="39">
        <v>2.7564931890609958E-2</v>
      </c>
      <c r="O51" s="39">
        <v>2.7564931890609958E-2</v>
      </c>
      <c r="Q51" s="30" t="s">
        <v>222</v>
      </c>
    </row>
    <row r="52" spans="2:19" outlineLevel="1" x14ac:dyDescent="0.2">
      <c r="B52" s="42" t="s">
        <v>288</v>
      </c>
      <c r="D52" s="2" t="s">
        <v>93</v>
      </c>
      <c r="J52" s="41"/>
      <c r="K52" s="39">
        <v>1.8560006049056055E-2</v>
      </c>
      <c r="L52" s="39">
        <v>1.8560006049056055E-2</v>
      </c>
      <c r="M52" s="39">
        <v>1.8560006049056055E-2</v>
      </c>
      <c r="N52" s="39">
        <v>1.8560006049056055E-2</v>
      </c>
      <c r="O52" s="39">
        <v>1.8560006049056055E-2</v>
      </c>
      <c r="Q52" s="30" t="s">
        <v>223</v>
      </c>
    </row>
    <row r="53" spans="2:19" outlineLevel="1" x14ac:dyDescent="0.2"/>
    <row r="54" spans="2:19" s="8" customFormat="1" x14ac:dyDescent="0.2">
      <c r="B54" s="8" t="s">
        <v>81</v>
      </c>
      <c r="Q54" s="8" t="s">
        <v>175</v>
      </c>
    </row>
    <row r="55" spans="2:19" outlineLevel="1" x14ac:dyDescent="0.2"/>
    <row r="56" spans="2:19" outlineLevel="1" x14ac:dyDescent="0.2">
      <c r="B56" s="37" t="s">
        <v>72</v>
      </c>
    </row>
    <row r="57" spans="2:19" outlineLevel="1" x14ac:dyDescent="0.2">
      <c r="B57" s="30" t="s">
        <v>140</v>
      </c>
      <c r="D57" s="2" t="s">
        <v>93</v>
      </c>
      <c r="F57" s="39">
        <v>0.4524648639265762</v>
      </c>
      <c r="Q57" s="30" t="s">
        <v>224</v>
      </c>
    </row>
    <row r="58" spans="2:19" outlineLevel="1" x14ac:dyDescent="0.2">
      <c r="B58" s="38" t="s">
        <v>74</v>
      </c>
      <c r="D58" s="2" t="s">
        <v>93</v>
      </c>
      <c r="F58" s="39">
        <v>0.25</v>
      </c>
      <c r="Q58" s="30" t="s">
        <v>225</v>
      </c>
      <c r="S58" s="40"/>
    </row>
    <row r="59" spans="2:19" outlineLevel="1" x14ac:dyDescent="0.2">
      <c r="B59" s="40" t="s">
        <v>75</v>
      </c>
      <c r="D59" s="2" t="s">
        <v>93</v>
      </c>
      <c r="F59" s="39">
        <v>-9.240740740740726E-5</v>
      </c>
      <c r="Q59" s="30" t="s">
        <v>226</v>
      </c>
      <c r="S59" s="40"/>
    </row>
    <row r="60" spans="2:19" outlineLevel="1" x14ac:dyDescent="0.2">
      <c r="B60" s="40" t="s">
        <v>76</v>
      </c>
      <c r="D60" s="2" t="s">
        <v>93</v>
      </c>
      <c r="F60" s="39">
        <v>0.05</v>
      </c>
      <c r="Q60" s="30" t="s">
        <v>227</v>
      </c>
      <c r="S60" s="40"/>
    </row>
    <row r="61" spans="2:19" outlineLevel="1" x14ac:dyDescent="0.2">
      <c r="B61" s="2" t="s">
        <v>141</v>
      </c>
      <c r="F61" s="56">
        <v>0.48218427952287901</v>
      </c>
      <c r="Q61" s="30" t="s">
        <v>228</v>
      </c>
      <c r="S61" s="40"/>
    </row>
    <row r="62" spans="2:19" outlineLevel="1" x14ac:dyDescent="0.2">
      <c r="B62" s="38" t="s">
        <v>261</v>
      </c>
      <c r="D62" s="2" t="s">
        <v>93</v>
      </c>
      <c r="J62" s="41"/>
      <c r="K62" s="39">
        <v>9.4977828398386446E-3</v>
      </c>
      <c r="L62" s="39">
        <v>9.4977828398386446E-3</v>
      </c>
      <c r="M62" s="39">
        <v>9.4977828398386446E-3</v>
      </c>
      <c r="N62" s="39">
        <v>9.4977828398386446E-3</v>
      </c>
      <c r="O62" s="39">
        <v>9.2140258082611358E-3</v>
      </c>
      <c r="Q62" s="30" t="s">
        <v>229</v>
      </c>
      <c r="S62" s="40"/>
    </row>
    <row r="63" spans="2:19" outlineLevel="1" x14ac:dyDescent="0.2">
      <c r="B63" s="38" t="s">
        <v>262</v>
      </c>
      <c r="D63" s="2" t="s">
        <v>93</v>
      </c>
      <c r="F63" s="39">
        <v>8.538686106480264E-3</v>
      </c>
      <c r="Q63" s="30" t="s">
        <v>230</v>
      </c>
      <c r="S63" s="40"/>
    </row>
    <row r="64" spans="2:19" outlineLevel="1" x14ac:dyDescent="0.2">
      <c r="B64" s="38" t="s">
        <v>263</v>
      </c>
      <c r="D64" s="2" t="s">
        <v>93</v>
      </c>
      <c r="F64" s="39">
        <v>1.5E-3</v>
      </c>
      <c r="Q64" s="30" t="s">
        <v>231</v>
      </c>
      <c r="S64" s="40"/>
    </row>
    <row r="65" spans="1:17" outlineLevel="1" x14ac:dyDescent="0.2">
      <c r="B65" s="43"/>
    </row>
    <row r="66" spans="1:17" outlineLevel="1" x14ac:dyDescent="0.2">
      <c r="B66" s="37" t="s">
        <v>78</v>
      </c>
    </row>
    <row r="67" spans="1:17" outlineLevel="1" x14ac:dyDescent="0.2">
      <c r="B67" s="42" t="s">
        <v>126</v>
      </c>
      <c r="D67" s="2" t="s">
        <v>93</v>
      </c>
      <c r="J67" s="31"/>
      <c r="K67" s="39">
        <v>3.3418076474097322E-2</v>
      </c>
      <c r="L67" s="39">
        <v>3.3418076474097308E-2</v>
      </c>
      <c r="M67" s="39">
        <v>3.3418076474097308E-2</v>
      </c>
      <c r="N67" s="39">
        <v>3.3418076474097308E-2</v>
      </c>
      <c r="O67" s="39">
        <v>3.3289686387416383E-2</v>
      </c>
      <c r="Q67" s="30" t="s">
        <v>232</v>
      </c>
    </row>
    <row r="68" spans="1:17" outlineLevel="1" x14ac:dyDescent="0.2">
      <c r="B68" s="42" t="s">
        <v>286</v>
      </c>
      <c r="D68" s="2" t="s">
        <v>93</v>
      </c>
      <c r="J68" s="31"/>
      <c r="K68" s="39">
        <v>2.4361857394249009E-2</v>
      </c>
      <c r="L68" s="39">
        <v>2.4361857394249009E-2</v>
      </c>
      <c r="M68" s="39">
        <v>2.4361857394249009E-2</v>
      </c>
      <c r="N68" s="39">
        <v>2.4361857394249009E-2</v>
      </c>
      <c r="O68" s="39">
        <v>2.4234592436670477E-2</v>
      </c>
      <c r="Q68" s="30" t="s">
        <v>233</v>
      </c>
    </row>
    <row r="69" spans="1:17" outlineLevel="1" x14ac:dyDescent="0.2">
      <c r="B69" s="43"/>
    </row>
    <row r="70" spans="1:17" outlineLevel="1" x14ac:dyDescent="0.2">
      <c r="B70" s="37" t="s">
        <v>79</v>
      </c>
    </row>
    <row r="71" spans="1:17" outlineLevel="1" x14ac:dyDescent="0.2">
      <c r="B71" s="42" t="s">
        <v>127</v>
      </c>
      <c r="D71" s="2" t="s">
        <v>93</v>
      </c>
      <c r="J71" s="31"/>
      <c r="K71" s="39">
        <v>3.2984118901145887E-2</v>
      </c>
      <c r="L71" s="39">
        <v>3.2984118901145887E-2</v>
      </c>
      <c r="M71" s="39">
        <v>3.2984118901145887E-2</v>
      </c>
      <c r="N71" s="39">
        <v>3.2984118901145887E-2</v>
      </c>
      <c r="O71" s="39">
        <v>3.2984118901145887E-2</v>
      </c>
      <c r="Q71" s="30" t="s">
        <v>234</v>
      </c>
    </row>
    <row r="72" spans="1:17" outlineLevel="1" x14ac:dyDescent="0.2">
      <c r="B72" s="42" t="s">
        <v>288</v>
      </c>
      <c r="D72" s="2" t="s">
        <v>93</v>
      </c>
      <c r="J72" s="31"/>
      <c r="K72" s="44">
        <v>2.3931702749600881E-2</v>
      </c>
      <c r="L72" s="44">
        <v>2.3931702749600881E-2</v>
      </c>
      <c r="M72" s="44">
        <v>2.3931702749600881E-2</v>
      </c>
      <c r="N72" s="44">
        <v>2.3931702749600881E-2</v>
      </c>
      <c r="O72" s="44">
        <v>2.3931702749600881E-2</v>
      </c>
      <c r="Q72" s="30" t="s">
        <v>235</v>
      </c>
    </row>
    <row r="73" spans="1:17" x14ac:dyDescent="0.2">
      <c r="A73" s="5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6C77-1A77-4F0C-A54A-427F68BF6C2E}">
  <sheetPr>
    <tabColor rgb="FFE1FFE1"/>
  </sheetPr>
  <dimension ref="B2:AB20"/>
  <sheetViews>
    <sheetView showGridLines="0" zoomScale="85" zoomScaleNormal="85" workbookViewId="0">
      <pane xSplit="4" ySplit="8" topLeftCell="E9" activePane="bottomRight" state="frozen"/>
      <selection activeCell="A4" sqref="A4"/>
      <selection pane="topRight" activeCell="A4" sqref="A4"/>
      <selection pane="bottomLeft" activeCell="A4" sqref="A4"/>
      <selection pane="bottomRight" activeCell="A4" sqref="A4"/>
    </sheetView>
  </sheetViews>
  <sheetFormatPr defaultColWidth="9.140625" defaultRowHeight="12.75" x14ac:dyDescent="0.2"/>
  <cols>
    <col min="1" max="1" width="5.7109375" style="2" customWidth="1"/>
    <col min="2" max="2" width="74.140625" style="2" customWidth="1"/>
    <col min="3" max="3" width="5.7109375" style="2" customWidth="1"/>
    <col min="4" max="4" width="13.7109375" style="2" customWidth="1"/>
    <col min="5" max="5" width="2.7109375" style="2" customWidth="1"/>
    <col min="6" max="6" width="13.7109375" style="2" customWidth="1"/>
    <col min="7" max="7" width="2.7109375" style="2" customWidth="1"/>
    <col min="8" max="8" width="13.7109375" style="2" customWidth="1"/>
    <col min="9" max="9" width="2.7109375" style="2" customWidth="1"/>
    <col min="10" max="24" width="12.5703125" style="2" customWidth="1"/>
    <col min="25" max="25" width="2.7109375" style="2" customWidth="1"/>
    <col min="26" max="26" width="60.5703125" style="2" bestFit="1" customWidth="1"/>
    <col min="27" max="27" width="2.7109375" style="2" customWidth="1"/>
    <col min="28" max="28" width="30.7109375" style="2" customWidth="1"/>
    <col min="29" max="29" width="2.7109375" style="2" customWidth="1"/>
    <col min="30" max="44" width="13.7109375" style="2" customWidth="1"/>
    <col min="45" max="16384" width="9.140625" style="2"/>
  </cols>
  <sheetData>
    <row r="2" spans="2:28" s="13" customFormat="1" ht="18" x14ac:dyDescent="0.2">
      <c r="B2" s="13" t="s">
        <v>173</v>
      </c>
    </row>
    <row r="4" spans="2:28" x14ac:dyDescent="0.2">
      <c r="B4" s="20" t="s">
        <v>23</v>
      </c>
      <c r="T4" s="35"/>
    </row>
    <row r="5" spans="2:28" ht="87.75" customHeight="1" x14ac:dyDescent="0.2">
      <c r="B5" s="34" t="s">
        <v>289</v>
      </c>
      <c r="F5" s="14"/>
    </row>
    <row r="6" spans="2:28" x14ac:dyDescent="0.2">
      <c r="F6" s="14"/>
    </row>
    <row r="7" spans="2:28" s="8" customFormat="1" x14ac:dyDescent="0.2">
      <c r="B7" s="8" t="s">
        <v>39</v>
      </c>
      <c r="D7" s="8" t="s">
        <v>21</v>
      </c>
      <c r="F7" s="8" t="s">
        <v>22</v>
      </c>
      <c r="H7" s="8" t="s">
        <v>43</v>
      </c>
      <c r="J7" s="36">
        <v>2012</v>
      </c>
      <c r="K7" s="36">
        <v>2013</v>
      </c>
      <c r="L7" s="36">
        <v>2014</v>
      </c>
      <c r="M7" s="36">
        <v>2015</v>
      </c>
      <c r="N7" s="36">
        <v>2016</v>
      </c>
      <c r="O7" s="36">
        <v>2017</v>
      </c>
      <c r="P7" s="36">
        <v>2018</v>
      </c>
      <c r="Q7" s="36">
        <v>2019</v>
      </c>
      <c r="R7" s="36">
        <v>2020</v>
      </c>
      <c r="S7" s="36">
        <v>2021</v>
      </c>
      <c r="T7" s="36">
        <v>2022</v>
      </c>
      <c r="U7" s="36">
        <v>2023</v>
      </c>
      <c r="V7" s="36">
        <v>2024</v>
      </c>
      <c r="W7" s="36">
        <v>2025</v>
      </c>
      <c r="X7" s="36">
        <v>2026</v>
      </c>
      <c r="Z7" s="8" t="s">
        <v>40</v>
      </c>
      <c r="AB7" s="8" t="s">
        <v>41</v>
      </c>
    </row>
    <row r="10" spans="2:28" s="8" customFormat="1" x14ac:dyDescent="0.2">
      <c r="B10" s="8" t="s">
        <v>82</v>
      </c>
    </row>
    <row r="12" spans="2:28" x14ac:dyDescent="0.2">
      <c r="B12" s="37" t="s">
        <v>176</v>
      </c>
    </row>
    <row r="13" spans="2:28" x14ac:dyDescent="0.2">
      <c r="B13" s="40" t="s">
        <v>83</v>
      </c>
      <c r="D13" s="2" t="s">
        <v>93</v>
      </c>
      <c r="J13" s="31"/>
      <c r="K13" s="31"/>
      <c r="L13" s="31"/>
      <c r="M13" s="31"/>
      <c r="N13" s="31"/>
      <c r="O13" s="31"/>
      <c r="P13" s="31"/>
      <c r="Q13" s="31"/>
      <c r="R13" s="31"/>
      <c r="S13" s="39">
        <v>-1.8551724137931035E-3</v>
      </c>
      <c r="T13" s="39">
        <v>1.4644384615384616E-2</v>
      </c>
      <c r="U13" s="45"/>
      <c r="V13" s="45"/>
      <c r="W13" s="45"/>
      <c r="X13" s="45"/>
      <c r="Z13" s="2" t="s">
        <v>266</v>
      </c>
      <c r="AB13" s="2" t="s">
        <v>265</v>
      </c>
    </row>
    <row r="14" spans="2:28" x14ac:dyDescent="0.2">
      <c r="B14" s="2" t="s">
        <v>84</v>
      </c>
      <c r="D14" s="2" t="s">
        <v>93</v>
      </c>
      <c r="J14" s="31"/>
      <c r="K14" s="31"/>
      <c r="L14" s="31"/>
      <c r="M14" s="31"/>
      <c r="N14" s="31"/>
      <c r="O14" s="31"/>
      <c r="P14" s="31"/>
      <c r="Q14" s="31"/>
      <c r="R14" s="31"/>
      <c r="S14" s="39">
        <v>-3.1020306513409954E-3</v>
      </c>
      <c r="T14" s="39">
        <v>1.1917538461538455E-2</v>
      </c>
      <c r="U14" s="45"/>
      <c r="V14" s="45"/>
      <c r="W14" s="45"/>
      <c r="X14" s="45"/>
      <c r="Z14" s="2" t="s">
        <v>266</v>
      </c>
      <c r="AB14" s="2" t="s">
        <v>265</v>
      </c>
    </row>
    <row r="16" spans="2:28" s="8" customFormat="1" x14ac:dyDescent="0.2">
      <c r="B16" s="8" t="s">
        <v>236</v>
      </c>
    </row>
    <row r="18" spans="2:28" x14ac:dyDescent="0.2">
      <c r="B18" s="20" t="s">
        <v>268</v>
      </c>
    </row>
    <row r="19" spans="2:28" x14ac:dyDescent="0.2">
      <c r="B19" s="2" t="s">
        <v>90</v>
      </c>
      <c r="D19" s="2" t="s">
        <v>93</v>
      </c>
      <c r="J19" s="39">
        <v>3.0898850574712665E-2</v>
      </c>
      <c r="K19" s="39">
        <v>2.697739463601535E-2</v>
      </c>
      <c r="L19" s="39">
        <v>2.0250574712643684E-2</v>
      </c>
      <c r="M19" s="39">
        <v>1.3843678160919528E-2</v>
      </c>
      <c r="N19" s="39">
        <v>9.9574712643678183E-3</v>
      </c>
      <c r="O19" s="39">
        <v>1.1915384615384616E-2</v>
      </c>
      <c r="P19" s="39">
        <v>1.3557088122605372E-2</v>
      </c>
      <c r="Q19" s="39">
        <v>7.1501915708812244E-3</v>
      </c>
      <c r="R19" s="39">
        <v>4.9087786259541964E-3</v>
      </c>
      <c r="S19" s="45"/>
      <c r="T19" s="45"/>
      <c r="U19" s="45"/>
      <c r="V19" s="45"/>
      <c r="W19" s="45"/>
      <c r="X19" s="45"/>
      <c r="Z19" s="78" t="s">
        <v>267</v>
      </c>
      <c r="AB19" s="2" t="s">
        <v>265</v>
      </c>
    </row>
    <row r="20" spans="2:28" x14ac:dyDescent="0.2">
      <c r="B20" s="2" t="s">
        <v>89</v>
      </c>
      <c r="D20" s="2" t="s">
        <v>93</v>
      </c>
      <c r="J20" s="45"/>
      <c r="K20" s="45"/>
      <c r="L20" s="45"/>
      <c r="M20" s="45"/>
      <c r="N20" s="45"/>
      <c r="O20" s="45"/>
      <c r="P20" s="45"/>
      <c r="Q20" s="45"/>
      <c r="R20" s="45"/>
      <c r="S20" s="39">
        <v>3.8812260536398467E-3</v>
      </c>
      <c r="T20" s="39">
        <v>2.5222007722007712E-2</v>
      </c>
      <c r="U20" s="45"/>
      <c r="V20" s="45"/>
      <c r="W20" s="45"/>
      <c r="X20" s="45"/>
      <c r="Z20" s="2" t="s">
        <v>266</v>
      </c>
      <c r="AB20" s="2" t="s">
        <v>265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B2:B3"/>
  <sheetViews>
    <sheetView showGridLines="0" zoomScale="85" zoomScaleNormal="85" workbookViewId="0">
      <selection activeCell="A4" sqref="A4"/>
    </sheetView>
  </sheetViews>
  <sheetFormatPr defaultColWidth="9.140625" defaultRowHeight="12.75" x14ac:dyDescent="0.2"/>
  <cols>
    <col min="1" max="1" width="5.7109375" style="16" customWidth="1"/>
    <col min="2" max="16384" width="9.140625" style="16"/>
  </cols>
  <sheetData>
    <row r="2" spans="2:2" x14ac:dyDescent="0.2">
      <c r="B2" s="29" t="s">
        <v>173</v>
      </c>
    </row>
    <row r="3" spans="2:2" x14ac:dyDescent="0.2">
      <c r="B3" s="29"/>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A1:Q25"/>
  <sheetViews>
    <sheetView showGridLines="0" zoomScale="85" zoomScaleNormal="85" workbookViewId="0">
      <pane xSplit="4" ySplit="8" topLeftCell="E9" activePane="bottomRight" state="frozen"/>
      <selection activeCell="A4" sqref="A4"/>
      <selection pane="topRight" activeCell="A4" sqref="A4"/>
      <selection pane="bottomLeft" activeCell="A4" sqref="A4"/>
      <selection pane="bottomRight" activeCell="A4" sqref="A4"/>
    </sheetView>
  </sheetViews>
  <sheetFormatPr defaultColWidth="9.140625" defaultRowHeight="12.75" x14ac:dyDescent="0.2"/>
  <cols>
    <col min="1" max="1" width="5.7109375" style="2" customWidth="1"/>
    <col min="2" max="2" width="74.140625" style="2" customWidth="1"/>
    <col min="3" max="3" width="2.7109375" style="2" customWidth="1"/>
    <col min="4" max="4" width="14.5703125" style="2" bestFit="1" customWidth="1"/>
    <col min="5" max="5" width="2.7109375" style="2" customWidth="1"/>
    <col min="6" max="6" width="13.7109375" style="2" customWidth="1"/>
    <col min="7" max="7" width="2.7109375" style="2" customWidth="1"/>
    <col min="8" max="8" width="13.7109375" style="2" customWidth="1"/>
    <col min="9" max="9" width="2.7109375" style="2" customWidth="1"/>
    <col min="10" max="10" width="11.5703125" style="2" customWidth="1"/>
    <col min="11" max="15" width="12.5703125" style="2" customWidth="1"/>
    <col min="16" max="16" width="2.7109375" style="2" customWidth="1"/>
    <col min="17" max="17" width="12.5703125" style="2" customWidth="1"/>
    <col min="18" max="26" width="13.7109375" style="2" customWidth="1"/>
    <col min="27" max="16384" width="9.140625" style="2"/>
  </cols>
  <sheetData>
    <row r="1" spans="1:17" x14ac:dyDescent="0.2">
      <c r="A1" s="49"/>
    </row>
    <row r="2" spans="1:17" s="13" customFormat="1" ht="18" x14ac:dyDescent="0.2">
      <c r="B2" s="13" t="s">
        <v>173</v>
      </c>
    </row>
    <row r="4" spans="1:17" x14ac:dyDescent="0.2">
      <c r="B4" s="20" t="s">
        <v>47</v>
      </c>
    </row>
    <row r="5" spans="1:17" ht="25.5" x14ac:dyDescent="0.2">
      <c r="B5" s="34" t="s">
        <v>193</v>
      </c>
      <c r="F5" s="14"/>
    </row>
    <row r="6" spans="1:17" x14ac:dyDescent="0.2">
      <c r="F6" s="14"/>
    </row>
    <row r="7" spans="1:17" s="8" customFormat="1" x14ac:dyDescent="0.2">
      <c r="B7" s="8" t="s">
        <v>39</v>
      </c>
      <c r="D7" s="8" t="s">
        <v>21</v>
      </c>
      <c r="F7" s="8" t="s">
        <v>22</v>
      </c>
      <c r="H7" s="8" t="s">
        <v>43</v>
      </c>
      <c r="J7" s="36">
        <v>2021</v>
      </c>
      <c r="K7" s="36">
        <v>2022</v>
      </c>
      <c r="L7" s="36">
        <v>2023</v>
      </c>
      <c r="M7" s="36">
        <v>2024</v>
      </c>
      <c r="N7" s="36">
        <v>2025</v>
      </c>
      <c r="O7" s="36">
        <v>2026</v>
      </c>
      <c r="Q7" s="8" t="s">
        <v>41</v>
      </c>
    </row>
    <row r="10" spans="1:17" s="8" customFormat="1" x14ac:dyDescent="0.2">
      <c r="B10" s="8" t="s">
        <v>42</v>
      </c>
    </row>
    <row r="12" spans="1:17" x14ac:dyDescent="0.2">
      <c r="B12" s="37" t="s">
        <v>176</v>
      </c>
    </row>
    <row r="13" spans="1:17" x14ac:dyDescent="0.2">
      <c r="B13" s="2" t="s">
        <v>83</v>
      </c>
      <c r="D13" s="2" t="s">
        <v>93</v>
      </c>
      <c r="J13" s="46">
        <f>'3. Input rente'!S13</f>
        <v>-1.8551724137931035E-3</v>
      </c>
      <c r="K13" s="46">
        <f>'3. Input rente'!T13</f>
        <v>1.4644384615384616E-2</v>
      </c>
      <c r="L13" s="33"/>
      <c r="M13" s="33"/>
      <c r="N13" s="33"/>
      <c r="O13" s="33"/>
      <c r="Q13" s="2" t="s">
        <v>269</v>
      </c>
    </row>
    <row r="14" spans="1:17" x14ac:dyDescent="0.2">
      <c r="B14" s="2" t="s">
        <v>84</v>
      </c>
      <c r="D14" s="2" t="s">
        <v>93</v>
      </c>
      <c r="J14" s="46">
        <f>'3. Input rente'!S14</f>
        <v>-3.1020306513409954E-3</v>
      </c>
      <c r="K14" s="46">
        <f>'3. Input rente'!T14</f>
        <v>1.1917538461538455E-2</v>
      </c>
      <c r="L14" s="33"/>
      <c r="M14" s="33"/>
      <c r="N14" s="33"/>
      <c r="O14" s="33"/>
      <c r="Q14" s="2" t="s">
        <v>269</v>
      </c>
    </row>
    <row r="16" spans="1:17" s="8" customFormat="1" x14ac:dyDescent="0.2">
      <c r="B16" s="8" t="s">
        <v>87</v>
      </c>
    </row>
    <row r="18" spans="2:15" x14ac:dyDescent="0.2">
      <c r="B18" s="20" t="s">
        <v>85</v>
      </c>
    </row>
    <row r="19" spans="2:15" x14ac:dyDescent="0.2">
      <c r="B19" s="2" t="s">
        <v>86</v>
      </c>
      <c r="D19" s="2" t="s">
        <v>93</v>
      </c>
      <c r="J19" s="32">
        <f>AVERAGE(J13:J14)</f>
        <v>-2.4786015325670495E-3</v>
      </c>
      <c r="K19" s="32">
        <f>AVERAGE(K13:K14)</f>
        <v>1.3280961538461537E-2</v>
      </c>
      <c r="L19" s="33"/>
      <c r="M19" s="33"/>
      <c r="N19" s="33"/>
      <c r="O19" s="33"/>
    </row>
    <row r="25" spans="2:15" x14ac:dyDescent="0.2">
      <c r="B25" s="21" t="s">
        <v>65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ECT67VDXDTCW-640230012-21</_dlc_DocId>
    <_dlc_DocIdUrl xmlns="5e7bef76-b888-41a2-a261-5f525b37d47e">
      <Url>https://intranet.acm.local/project/excellent-in-excel/_layouts/15/DocIdRedir.aspx?ID=ECT67VDXDTCW-640230012-21</Url>
      <Description>ECT67VDXDTCW-640230012-21</Description>
    </_dlc_DocIdUrl>
    <Status xmlns="94b38974-1436-4631-a0be-797faa579778">Actueel</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6DC4B28-42FD-4275-AD39-0DAE99CBE63F}">
  <ds:schemaRefs>
    <ds:schemaRef ds:uri="http://schemas.microsoft.com/office/2006/metadata/properties"/>
    <ds:schemaRef ds:uri="http://schemas.microsoft.com/office/infopath/2007/PartnerControls"/>
    <ds:schemaRef ds:uri="5e7bef76-b888-41a2-a261-5f525b37d47e"/>
    <ds:schemaRef ds:uri="94b38974-1436-4631-a0be-797faa579778"/>
  </ds:schemaRefs>
</ds:datastoreItem>
</file>

<file path=customXml/itemProps2.xml><?xml version="1.0" encoding="utf-8"?>
<ds:datastoreItem xmlns:ds="http://schemas.openxmlformats.org/officeDocument/2006/customXml" ds:itemID="{84B26A16-E41F-4D2C-9F04-7F70992E0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CB1C9F-CCF9-4E38-862A-1CB92CDDD7E1}">
  <ds:schemaRefs>
    <ds:schemaRef ds:uri="http://schemas.microsoft.com/sharepoint/v3/contenttype/forms"/>
  </ds:schemaRefs>
</ds:datastoreItem>
</file>

<file path=customXml/itemProps4.xml><?xml version="1.0" encoding="utf-8"?>
<ds:datastoreItem xmlns:ds="http://schemas.openxmlformats.org/officeDocument/2006/customXml" ds:itemID="{BACF5907-5A9C-413A-AB63-8A8AE74C2D6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Titelblad</vt:lpstr>
      <vt:lpstr>Toelichting</vt:lpstr>
      <vt:lpstr>Bronnen en toepassingen</vt:lpstr>
      <vt:lpstr>1. Resultaat</vt:lpstr>
      <vt:lpstr>Input --&gt;</vt:lpstr>
      <vt:lpstr>2. Input uit WACC modellen</vt:lpstr>
      <vt:lpstr>3. Input rente</vt:lpstr>
      <vt:lpstr>Berekeningen --&gt;</vt:lpstr>
      <vt:lpstr>4. Risicovrije rente</vt:lpstr>
      <vt:lpstr>5. Rente schulden</vt:lpstr>
      <vt:lpstr>6. WACC BV </vt:lpstr>
      <vt:lpstr>7. WACC NV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2021-06-08T09:19:18Z</dcterms:created>
  <dcterms:modified xsi:type="dcterms:W3CDTF">2023-11-27T07:48:54Z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7b9a7e49-6114-4146-8cc6-356e1063ad5d</vt:lpwstr>
  </property>
</Properties>
</file>