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defaultThemeVersion="124226"/>
  <xr:revisionPtr revIDLastSave="0" documentId="13_ncr:1_{400DDB1A-E700-4C74-89A2-00E83CCB9529}" xr6:coauthVersionLast="47" xr6:coauthVersionMax="47" xr10:uidLastSave="{00000000-0000-0000-0000-000000000000}"/>
  <bookViews>
    <workbookView xWindow="-120" yWindow="-120" windowWidth="29040" windowHeight="15840" tabRatio="924" xr2:uid="{00000000-000D-0000-FFFF-FFFF00000000}"/>
  </bookViews>
  <sheets>
    <sheet name="Cover sheet" sheetId="9" r:id="rId1"/>
    <sheet name="Explanation" sheetId="10" r:id="rId2"/>
    <sheet name="Sources and applications" sheetId="11" r:id="rId3"/>
    <sheet name="Result" sheetId="21" r:id="rId4"/>
    <sheet name="Input --&gt;" sheetId="13" r:id="rId5"/>
    <sheet name="Parameters" sheetId="28" r:id="rId6"/>
    <sheet name="Estimation for 2021" sheetId="18" r:id="rId7"/>
    <sheet name="Realization of 2021" sheetId="23" r:id="rId8"/>
    <sheet name="Calculations 2021 --&gt;" sheetId="15" r:id="rId9"/>
    <sheet name="Fixed-variable costs 2021" sheetId="27" r:id="rId10"/>
    <sheet name="Volume-effect 2021" sheetId="22" r:id="rId11"/>
    <sheet name="Profit sharing 2021" sheetId="24" r:id="rId12"/>
    <sheet name="Network loss 2021" sheetId="3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28" l="1"/>
  <c r="E15" i="27" l="1"/>
  <c r="E16" i="27"/>
  <c r="E31" i="28"/>
  <c r="E29" i="28"/>
  <c r="E13" i="24" l="1"/>
  <c r="E50" i="28"/>
  <c r="E49" i="28"/>
  <c r="E12" i="36" s="1"/>
  <c r="E48" i="28"/>
  <c r="E47" i="28"/>
  <c r="E46" i="28"/>
  <c r="E45" i="28"/>
  <c r="E12" i="22" l="1"/>
  <c r="H23" i="24" l="1"/>
  <c r="H24" i="24"/>
  <c r="G23" i="24"/>
  <c r="G24" i="24"/>
  <c r="G37" i="24" l="1"/>
  <c r="H37" i="24"/>
  <c r="E12" i="24" l="1"/>
  <c r="H31" i="27" l="1"/>
  <c r="G31" i="27"/>
  <c r="H24" i="27" l="1"/>
  <c r="G24" i="27"/>
  <c r="H23" i="27"/>
  <c r="G23" i="27"/>
  <c r="H26" i="27" l="1"/>
  <c r="H27" i="27"/>
  <c r="G27" i="27"/>
  <c r="G26" i="27"/>
  <c r="G36" i="27" s="1"/>
  <c r="G37" i="27" l="1"/>
  <c r="G38" i="27" s="1"/>
  <c r="H36" i="27"/>
  <c r="H37" i="27"/>
  <c r="H38" i="27" s="1"/>
  <c r="H19" i="22"/>
  <c r="G19" i="22"/>
  <c r="H28" i="24" l="1"/>
  <c r="G28" i="24"/>
  <c r="E18" i="27" l="1"/>
  <c r="G18" i="36"/>
  <c r="H23" i="36"/>
  <c r="H22" i="36"/>
  <c r="G20" i="36"/>
  <c r="G17" i="36"/>
  <c r="G19" i="36" l="1"/>
  <c r="H27" i="36" l="1"/>
  <c r="H28" i="36"/>
  <c r="E14" i="36"/>
  <c r="H31" i="36" l="1"/>
  <c r="H33" i="36" l="1"/>
  <c r="H34" i="36" s="1"/>
  <c r="E14" i="24"/>
  <c r="H14" i="21" l="1"/>
  <c r="H20" i="22"/>
  <c r="G20" i="22"/>
  <c r="H22" i="24"/>
  <c r="H21" i="24"/>
  <c r="G22" i="24"/>
  <c r="G21" i="24"/>
  <c r="G36" i="24" l="1"/>
  <c r="G38" i="24" s="1"/>
  <c r="H36" i="24"/>
  <c r="H38" i="24" s="1"/>
  <c r="H22" i="27" l="1"/>
  <c r="G22" i="27"/>
  <c r="H21" i="27"/>
  <c r="G21" i="27"/>
  <c r="G41" i="27" s="1"/>
  <c r="H41" i="27" l="1"/>
  <c r="H42" i="27" s="1"/>
  <c r="H47" i="27" s="1"/>
  <c r="H50" i="27" s="1"/>
  <c r="G42" i="27"/>
  <c r="G43" i="27"/>
  <c r="G44" i="27" s="1"/>
  <c r="B14" i="10"/>
  <c r="B21" i="10" s="1"/>
  <c r="H43" i="27" l="1"/>
  <c r="H44" i="27" s="1"/>
  <c r="H48" i="27" s="1"/>
  <c r="H17" i="24"/>
  <c r="H15" i="22"/>
  <c r="G48" i="27"/>
  <c r="G51" i="27" s="1"/>
  <c r="G18" i="24" s="1"/>
  <c r="G47" i="27"/>
  <c r="G50" i="27" s="1"/>
  <c r="B15" i="10"/>
  <c r="B16" i="10" s="1"/>
  <c r="B20" i="10" s="1"/>
  <c r="G17" i="24" l="1"/>
  <c r="G15" i="22"/>
  <c r="G33" i="24"/>
  <c r="G41" i="24" s="1"/>
  <c r="G43" i="24" s="1"/>
  <c r="G44" i="24" s="1"/>
  <c r="H51" i="27"/>
  <c r="H18" i="24" s="1"/>
  <c r="H33" i="24" s="1"/>
  <c r="H41" i="24" s="1"/>
  <c r="H43" i="24" s="1"/>
  <c r="H25" i="22"/>
  <c r="H26" i="22" s="1"/>
  <c r="H27" i="22" l="1"/>
  <c r="H12" i="21" s="1"/>
  <c r="H44" i="24"/>
  <c r="H13" i="21" s="1"/>
  <c r="G13" i="21"/>
  <c r="G25" i="22"/>
  <c r="G26" i="22" s="1"/>
  <c r="G27" i="22" s="1"/>
  <c r="G1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0" authorId="0" shapeId="0" xr:uid="{00000000-0006-0000-03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<sst xmlns="http://schemas.openxmlformats.org/spreadsheetml/2006/main" count="487" uniqueCount="269">
  <si>
    <t>Data</t>
  </si>
  <si>
    <t>Input --&gt;</t>
  </si>
  <si>
    <t xml:space="preserve">Description data </t>
  </si>
  <si>
    <t>Capital cost</t>
  </si>
  <si>
    <t>%</t>
  </si>
  <si>
    <t>Operational cost</t>
  </si>
  <si>
    <t xml:space="preserve">Description </t>
  </si>
  <si>
    <t>Constant</t>
  </si>
  <si>
    <t>Source</t>
  </si>
  <si>
    <t>Remarks</t>
  </si>
  <si>
    <t xml:space="preserve">Unit </t>
  </si>
  <si>
    <t>kWh</t>
  </si>
  <si>
    <t>USD/kWh</t>
  </si>
  <si>
    <t xml:space="preserve">Description calculation </t>
  </si>
  <si>
    <t>Profit sharing</t>
  </si>
  <si>
    <t>About this file</t>
  </si>
  <si>
    <t>Case number</t>
  </si>
  <si>
    <t>Title</t>
  </si>
  <si>
    <t>Coherence with other calculation files</t>
  </si>
  <si>
    <t>Other remarks</t>
  </si>
  <si>
    <t>About the status of this file</t>
  </si>
  <si>
    <t>Final version?</t>
  </si>
  <si>
    <t>No</t>
  </si>
  <si>
    <t>Published?</t>
  </si>
  <si>
    <t>Is this file legally part of the decision(s) listed above?</t>
  </si>
  <si>
    <t>Contains business confidential information?</t>
  </si>
  <si>
    <t>Possibilities of objection and appeal are open against the decision which this file is a part of.</t>
  </si>
  <si>
    <t>Explanation to this file</t>
  </si>
  <si>
    <t>Explanatory notes</t>
  </si>
  <si>
    <t>Legend to cell coloring</t>
  </si>
  <si>
    <t>Cellcolor numbers</t>
  </si>
  <si>
    <t>Description</t>
  </si>
  <si>
    <t>Data and input (source required)</t>
  </si>
  <si>
    <t>Value that is drawn from another sheet or cell without calculation</t>
  </si>
  <si>
    <t>Calculated value</t>
  </si>
  <si>
    <t>Result/calculated value that is referred to on another sheet</t>
  </si>
  <si>
    <t>Empty cell (not zero) used in a formula range</t>
  </si>
  <si>
    <t>Exceptional cells</t>
  </si>
  <si>
    <t>Value or calculation that needs special attention or explanation</t>
  </si>
  <si>
    <t>Input or calculation that is not yet up to date, pro memori or work in progress</t>
  </si>
  <si>
    <t>Sheet colors</t>
  </si>
  <si>
    <t>Model sheets</t>
  </si>
  <si>
    <t>Result</t>
  </si>
  <si>
    <t>Sheet with result/output</t>
  </si>
  <si>
    <t>Sheet with input</t>
  </si>
  <si>
    <t>Calculation</t>
  </si>
  <si>
    <t>Sheet with calculations</t>
  </si>
  <si>
    <t>Sheet that is not yet up to date/work in progress</t>
  </si>
  <si>
    <t>Explanatory sheets</t>
  </si>
  <si>
    <t>Empty sheet used for indexing</t>
  </si>
  <si>
    <t>Explanation</t>
  </si>
  <si>
    <t>Standardized sheets with information on the file</t>
  </si>
  <si>
    <t>Source overview and specifications</t>
  </si>
  <si>
    <t>List of sources</t>
  </si>
  <si>
    <t>Each input sheet contains a column 'Source', in which the sources are referred to by their shortened name. These sources are further explained in the table below.</t>
  </si>
  <si>
    <t>Shortened name</t>
  </si>
  <si>
    <t>External file name</t>
  </si>
  <si>
    <t>Additional information on this source</t>
  </si>
  <si>
    <t>As referred to in Source column</t>
  </si>
  <si>
    <t>Exact file name</t>
  </si>
  <si>
    <t>Date received, email, file location</t>
  </si>
  <si>
    <t>Description result</t>
  </si>
  <si>
    <t>Profit sharing-percentage</t>
  </si>
  <si>
    <t>Volume</t>
  </si>
  <si>
    <t>Unit</t>
  </si>
  <si>
    <t>(see column)</t>
  </si>
  <si>
    <t>kVA</t>
  </si>
  <si>
    <t>Input volumes</t>
  </si>
  <si>
    <t>Relevant data</t>
  </si>
  <si>
    <t>Description data</t>
  </si>
  <si>
    <t xml:space="preserve">The development of the CPI of Q3 year T and Q3 year T-1 will be used as the estimated inflation for the year T+1. The estimated inflation is rounded to one decimal. </t>
  </si>
  <si>
    <t xml:space="preserve">CPI </t>
  </si>
  <si>
    <t>Estimated inflation 2019</t>
  </si>
  <si>
    <t xml:space="preserve">WACC </t>
  </si>
  <si>
    <t>Parameters</t>
  </si>
  <si>
    <t>Volume-effect</t>
  </si>
  <si>
    <t>On this sheet, an overview can be found in which ACM describes the sources used for data and calculations in this file.</t>
  </si>
  <si>
    <t>Fixed/variable costs</t>
  </si>
  <si>
    <t>Estimated inflation 2020</t>
  </si>
  <si>
    <t>CPI CBS</t>
  </si>
  <si>
    <t>Electricity production</t>
  </si>
  <si>
    <t>Electricity distribution</t>
  </si>
  <si>
    <t>Profit sharing: regular costs</t>
  </si>
  <si>
    <t>Profit sharing: network losses</t>
  </si>
  <si>
    <t xml:space="preserve">ACM determined the maximum tariffs by estimating the costs and the volume of SEC. On this tab the data used in this estimation is depicted. </t>
  </si>
  <si>
    <t>ACM assumes the percentage of variable costs to be equal for the RAB-value and the depreciation.</t>
  </si>
  <si>
    <t>ACM assumes other income is not related with volume and therefore it is 0% variable.</t>
  </si>
  <si>
    <t>Costs are estimated on a t-2 basis.</t>
  </si>
  <si>
    <t xml:space="preserve">Negative amount indicates realized costs were higher than estimated. </t>
  </si>
  <si>
    <t>Estimated inflation 2021</t>
  </si>
  <si>
    <t>Disclaimer</t>
  </si>
  <si>
    <t>Cover sheet</t>
  </si>
  <si>
    <t>As of the development of the CPI between Q3 2018 and Q3 2019, the 2017 = 100 serie is used. For earlier years, the 2010 = 100 serie is used.</t>
  </si>
  <si>
    <t xml:space="preserve"> </t>
  </si>
  <si>
    <t>Belongs to decision(s)</t>
  </si>
  <si>
    <t>Reference number of decision(s)</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</si>
  <si>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</si>
  <si>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</si>
  <si>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 xml:space="preserve">If ACM does use cell or range references, macros, or other more complex functions in Excel, these will be explained on this sheet. </t>
  </si>
  <si>
    <t xml:space="preserve">If there are any substantive differences between the calculation in this file and the calculation that follows from the relevant decision, the decision's calculation is authentic. </t>
  </si>
  <si>
    <t>This file uses information from the OPEX and RAB calculation. The result of this file is used in the tariff calculation.</t>
  </si>
  <si>
    <t>Estimated inflation 2022</t>
  </si>
  <si>
    <t>Input 2020</t>
  </si>
  <si>
    <t>Caribisch Nederland; consumentenprijsindex (CPI) 2017=100</t>
  </si>
  <si>
    <t>https://opendata.cbs.nl/statline/#/CBS/nl/dataset/84046NED/table?fromstatweb</t>
  </si>
  <si>
    <t>ACM WACC decision 2020-2022</t>
  </si>
  <si>
    <t>https://www.acm.nl/nl/publicaties/wacc-elektriciteit-en-drinkwater-caribisch-nederland-2020-2022</t>
  </si>
  <si>
    <t>Besluit WACC Caribisch Nederland 2020-2022</t>
  </si>
  <si>
    <t>https://www.acm.nl/nl/publicaties/methodebesluit-elektriciteit-en-drinkwater-caribisch-nederland-2020-2025</t>
  </si>
  <si>
    <t>Methodebesluit Caribisch Nederland 2020-2025</t>
  </si>
  <si>
    <t>ACM method decision 2020-2025</t>
  </si>
  <si>
    <t>kVA overview</t>
  </si>
  <si>
    <t>Overview analysis ACM; analysis based on "overview"</t>
  </si>
  <si>
    <t>On this sheet the ACM calculates the correction for the volume-effect.</t>
  </si>
  <si>
    <t>Relevant data for profit sharing correction</t>
  </si>
  <si>
    <t>On this sheet ACM calculates the profit sharing correction for the operational and capital costs.</t>
  </si>
  <si>
    <t>In the tariff decisions of 2020, a distribution of 50/50 was assumed for production throughout the year.</t>
  </si>
  <si>
    <t>Original CPI 2019 Q3</t>
  </si>
  <si>
    <t>Alternative CPI ('afgeleid') 2020 Q3</t>
  </si>
  <si>
    <t>CBS data on CPI for 2020, corrected for COVID-19 impact</t>
  </si>
  <si>
    <t>https://www.cbs.nl/nl-nl/maatwerk/2021/45/cpi-caribisch-nederland-exclusief-covid-19-toeslagen</t>
  </si>
  <si>
    <t>Legal interest rate (to be used for the time-value of tariff corrections)</t>
  </si>
  <si>
    <t>Wettelijke rente CNL ('legal fixed interest rate')</t>
  </si>
  <si>
    <t>Wettelijke rente CNL</t>
  </si>
  <si>
    <t>https://wetten.overheid.nl/BWBR0030649/2011-11-18</t>
  </si>
  <si>
    <t>ACM/22/176894</t>
  </si>
  <si>
    <t>Berekening profit sharing correcties voor tarieven SEC 2023</t>
  </si>
  <si>
    <t>Beschikking productieprijs elektriciteit 2023 SEC
Beschikking distributietarieven elektriciteit 2023 SEC</t>
  </si>
  <si>
    <t>In this file, ACM calculates the profit sharing and volume corrections for SEC for the year 2021. The results will be added to the income of 2023.</t>
  </si>
  <si>
    <t>USD, pl 2023</t>
  </si>
  <si>
    <t>Results of corrections on income in 2023</t>
  </si>
  <si>
    <t>Corrections 2021</t>
  </si>
  <si>
    <t>Volume-effect correction will be applied to the production price resp. fixed usage tariff in 2023.</t>
  </si>
  <si>
    <t>Profit sharing correction for regular costs will be applied to the production price resp. fixed usage tariff in 2023.</t>
  </si>
  <si>
    <t>Profit sharing correction for network losses will be applied to the variable usage tariff in 2023.</t>
  </si>
  <si>
    <t>Estimated inflation 2023</t>
  </si>
  <si>
    <t>WACC 2021</t>
  </si>
  <si>
    <t>Compounded legal fixed interest rate over 2022 - 2023</t>
  </si>
  <si>
    <t>Calculation profit sharing: network losses correction 2021</t>
  </si>
  <si>
    <t>On this sheet ACM calculates the profit sharing for the difference between the estimated and realized network losses for distribution in 2021.</t>
  </si>
  <si>
    <t>Compounded legal fixed interest rate over 2021 - 2023</t>
  </si>
  <si>
    <t>Production price incl fuel Jan-June 2021</t>
  </si>
  <si>
    <t>Production price incl fuel July-Dec 2021</t>
  </si>
  <si>
    <t>Average production price incl fuel 2021</t>
  </si>
  <si>
    <t>Realized volume 2021</t>
  </si>
  <si>
    <t>Estimated network losses 2021</t>
  </si>
  <si>
    <t>Realized network losses 2021</t>
  </si>
  <si>
    <t>Calculation profit sharing of network losses 2021</t>
  </si>
  <si>
    <t>Estimated costs of network losses 2021</t>
  </si>
  <si>
    <t>Realized costs of network losses 2021</t>
  </si>
  <si>
    <t>Realized profit (loss) over network losses 2021</t>
  </si>
  <si>
    <t>Profit sharing add-on for network losses 2021</t>
  </si>
  <si>
    <t>USD, pl 2021</t>
  </si>
  <si>
    <t>Calculation profit sharing: correction for regular costs 2021</t>
  </si>
  <si>
    <t>Estimated costs 2021</t>
  </si>
  <si>
    <t>Estimated fixed costs 2021</t>
  </si>
  <si>
    <t>Estimated variable costs 2021 per unit</t>
  </si>
  <si>
    <t>Realized costs 2021</t>
  </si>
  <si>
    <t>RAB-value ultimo 2021</t>
  </si>
  <si>
    <t>Depreciation 2021</t>
  </si>
  <si>
    <t>Operational costs (excl fuel) 2021</t>
  </si>
  <si>
    <t>Other income 2021</t>
  </si>
  <si>
    <t>USD, pl 2021 / #</t>
  </si>
  <si>
    <t>Calculation profit sharing correction 2021</t>
  </si>
  <si>
    <t>Estimated costs for 2021</t>
  </si>
  <si>
    <t>Total estimated costs for 2021 adjusted for realized volume</t>
  </si>
  <si>
    <t>Realized costs for 2021</t>
  </si>
  <si>
    <t>Capital cost 2021 (RAB * WACC + depreciation)</t>
  </si>
  <si>
    <t>Net operational costs 2021</t>
  </si>
  <si>
    <t>Total realized costs for 2021</t>
  </si>
  <si>
    <t>Realized profit (loss) over 2021 for profit sharing</t>
  </si>
  <si>
    <t>Profit sharing correction 2021</t>
  </si>
  <si>
    <t>As a result of profit sharing, the income in 2023 will be decreased (increased) by 50% of realized profit (loss).</t>
  </si>
  <si>
    <t>As a result of profit sharing, the income in 2023 will be increased by 50% of the difference between the realized and estimated costs.</t>
  </si>
  <si>
    <t>Calculation volume-effect correction 2021</t>
  </si>
  <si>
    <t>Relevant data for volume-effect correction 2021</t>
  </si>
  <si>
    <t>Estimation fixed costs 2021</t>
  </si>
  <si>
    <t>Total estimated fixed costs for 2021</t>
  </si>
  <si>
    <t>Estimated volume 2021</t>
  </si>
  <si>
    <t>Calculation coverage of fixed costs 2021</t>
  </si>
  <si>
    <t>Realized income to cover fixed costs 2021</t>
  </si>
  <si>
    <t>Volume-effect correction 2021</t>
  </si>
  <si>
    <t>Negative amount indicates an overcoverage of fixed costs in 2021, which will be substracted from the income in 2023.</t>
  </si>
  <si>
    <t>Calculation Fixed vs. Variable costs 2021</t>
  </si>
  <si>
    <t>On this sheet ACM makes a split of the 2019 costs per department in a fixed and a variable part. The costs from 2019 are used as an estimation of the costs in 2021.</t>
  </si>
  <si>
    <t>Cost data for the estimation of the income of 2021</t>
  </si>
  <si>
    <t>RAB-value ultimo 2019</t>
  </si>
  <si>
    <t>USD, pl 2019</t>
  </si>
  <si>
    <t>Depreciation 2019</t>
  </si>
  <si>
    <t>Operational costs 2019 (excl fuel costs)</t>
  </si>
  <si>
    <t>Other income 2019</t>
  </si>
  <si>
    <t>Variable part of operational costs 2019 (excl fuel costs)</t>
  </si>
  <si>
    <t>Variable part of capital costs 2019</t>
  </si>
  <si>
    <t>Realized volume 2019</t>
  </si>
  <si>
    <t>Calculation fixed-variable part of costs 2021</t>
  </si>
  <si>
    <t>Fixed/variable operational costs 2021</t>
  </si>
  <si>
    <t>Estimated fixed operational costs 2021</t>
  </si>
  <si>
    <t>Estimated variable operational costs 2021</t>
  </si>
  <si>
    <t>Estimated variable operational costs 2021 per unit</t>
  </si>
  <si>
    <t>USD, pl 2019 / #</t>
  </si>
  <si>
    <t>Fixed/variable capital costs 2021</t>
  </si>
  <si>
    <t>Capital costs 2021 (RAB * WACC + depreciation)</t>
  </si>
  <si>
    <t>Estimated fixed capital costs 2021</t>
  </si>
  <si>
    <t>Estimated variable capital costs 2021</t>
  </si>
  <si>
    <t>Estimated variable capital costs 2021 per unit</t>
  </si>
  <si>
    <t>Calculation fixed and variable costs 2021</t>
  </si>
  <si>
    <t>Total estimated fixed costs 2021</t>
  </si>
  <si>
    <t>Total estimated variable costs 2021 per unit</t>
  </si>
  <si>
    <t>Data on the realizations of 2021</t>
  </si>
  <si>
    <t>The annual account of SEC presents the realized costs in 2021. With the use of the RAB-sheet and the OPEX-sheet, ACM calculated the RAB and operational costs. The results can be found here.</t>
  </si>
  <si>
    <t>Data on the realized income and costs in 2021</t>
  </si>
  <si>
    <t>Data on realized production volume in 2021</t>
  </si>
  <si>
    <t>RAB-model 2023, sheet "Output", row 23</t>
  </si>
  <si>
    <t>RAB-model 2023, sheet "Output", row 37</t>
  </si>
  <si>
    <t>RAB-model 2023</t>
  </si>
  <si>
    <t>RAB-model SEC t.b.v. tarieven 2023</t>
  </si>
  <si>
    <t>OPEX-model 2023, sheet "Output", row 22</t>
  </si>
  <si>
    <t>OPEX-model 2023, sheet "Output", row 25</t>
  </si>
  <si>
    <t>OPEX-model 2023</t>
  </si>
  <si>
    <t>OPEX-model SEC t.b.v. tarieven 2023</t>
  </si>
  <si>
    <t>KPI Report 2021, sheet "Analysis electricity generated", row 15; kVA overview</t>
  </si>
  <si>
    <t>KPI Report 2021</t>
  </si>
  <si>
    <t>Key Performance Indicators Report 2021</t>
  </si>
  <si>
    <t>KPI Report 2021, sheet "KFP Monthly", row 25</t>
  </si>
  <si>
    <t>Data on the estimation for 2021</t>
  </si>
  <si>
    <t>Operational costs (excluding fuel costs) 2019</t>
  </si>
  <si>
    <t>Data on production price and distribution volume for 2021</t>
  </si>
  <si>
    <t>Production price incl fuel (Jan-June 2021)</t>
  </si>
  <si>
    <t>Production price incl fuel (July-Dec 2021)</t>
  </si>
  <si>
    <t>Tariff decision 2021-1, sheet "Data on costs", row 17</t>
  </si>
  <si>
    <t>Tariff decision 2021-1, sheet "Data on costs", row 18</t>
  </si>
  <si>
    <t>Tariff decision 2021-1, sheet "Data on costs", row 13</t>
  </si>
  <si>
    <t>Tariff decision 2021-1, sheet "Data on costs", row 14</t>
  </si>
  <si>
    <t>Tariff decision 2021-2, sheet "Result", row 24</t>
  </si>
  <si>
    <t>USD/kWh, pl 2021</t>
  </si>
  <si>
    <t>Tariff decision 2021-1, sheet "Data on volumes and tariffs", row 19; Tariff decision 2021-1, sheet "Data on volumes and tariffs", row 60</t>
  </si>
  <si>
    <t>Tariff decision 2021-1, sheet "Data on volumes and tariffs", row 28</t>
  </si>
  <si>
    <t>Tariff decision 2021-1, sheet "Tariffs", row 70</t>
  </si>
  <si>
    <t>Profit sharing model SEC 2021, sheet "Realization of 2019", row 24</t>
  </si>
  <si>
    <t>Tariff decision 2021-1</t>
  </si>
  <si>
    <t>Rekenmodel SEC 2021</t>
  </si>
  <si>
    <t>https://www.acm.nl/nl/publicaties/beschikking-productieprijs-elektriciteit-2021-saba-sec-caribisch-nederland</t>
  </si>
  <si>
    <t>Tariff decision 2021-2</t>
  </si>
  <si>
    <t>Calculation variable usage tariff electricity SEC as of July 1 2021</t>
  </si>
  <si>
    <t>https://www.acm.nl/nl/publicaties/beschikking-variabel-tarief-elektriciteit-1-juli-2021-saba-caribisch-nederland</t>
  </si>
  <si>
    <t>Profit sharing model 2021</t>
  </si>
  <si>
    <t>Profit sharing model SEC 2021</t>
  </si>
  <si>
    <t>Variable part of operational costs 2019</t>
  </si>
  <si>
    <t>Compounded legal fixed interest rate over 2017 - 2023</t>
  </si>
  <si>
    <t>Compounded legal fixed interest rate over 2018 - 2023</t>
  </si>
  <si>
    <t>Compounded legal fixed interest rate over 2019 - 2023</t>
  </si>
  <si>
    <t>Compounded legal fixed interest rate over 2020 - 2023</t>
  </si>
  <si>
    <t>This figure of 0,2% is based on a new analysis by CBS. The CPI calculation for this estimation is excluding the effect of COVID-subsidies in 2020 (available since 11 Nov 2021).</t>
  </si>
  <si>
    <t>Estimated inflation parameters</t>
  </si>
  <si>
    <t>Last update input CBS: October 19, 2022</t>
  </si>
  <si>
    <t>Original CPI 2020 Q3</t>
  </si>
  <si>
    <t>Original CPI 2021 Q3</t>
  </si>
  <si>
    <t>Original CPI 2022 Q3</t>
  </si>
  <si>
    <t>Parameters CPI calculation - COVID-subsidies 2020</t>
  </si>
  <si>
    <t>Covid subsidies stopped in January 2022; the estimation of the inflation for 2023 is no longer influenced by subsidies.</t>
  </si>
  <si>
    <t>Alternative CPI (constructed) 2021 Q3</t>
  </si>
  <si>
    <t>On this sheet the corrections (2021) for volume changes, the profit sharing for regular costs and the profit sharing for network losses as calculated by ACM are summarized in price level 2023. These corrections will be included in the tariffs of 2023.</t>
  </si>
  <si>
    <t>This sheet shows percentages used for the CPI, WACC, profit sharing, legal interest rate, and fixed/variable costs.</t>
  </si>
  <si>
    <t>In December 2020, ACM determined the production price and tariffs for 2021 (decision reference number ACM/20/040017). In June 2021, ACM made a new estimation of the production price including fuel (decision reference number ACM/21/050792).</t>
  </si>
  <si>
    <t>ACM/UIT/587000
ACM/UIT/587024</t>
  </si>
  <si>
    <t>Yes</t>
  </si>
  <si>
    <t>Sent by SEC to ACM</t>
  </si>
  <si>
    <t>Correspondence SEC to ACM</t>
  </si>
  <si>
    <t>Costs divided into a fixed and variable part using the percentages as set in the production price and distribution tariffs decisions for 2022, confirmed by 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</si>
</sst>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_ ;_ * \-#,##0.0000_ ;_ * &quot;-&quot;??_ ;_ @_ "/>
    <numFmt numFmtId="166" formatCode="0.0%"/>
  </numFmts>
  <fonts count="30"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8"/>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65">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8" fillId="5" borderId="1">
      <alignment vertical="top"/>
    </xf>
    <xf numFmtId="49" fontId="7" fillId="21" borderId="1">
      <alignment vertical="top"/>
    </xf>
    <xf numFmtId="49" fontId="7" fillId="0" borderId="0">
      <alignment vertical="top"/>
    </xf>
    <xf numFmtId="43" fontId="6" fillId="14" borderId="0">
      <alignment vertical="top"/>
    </xf>
    <xf numFmtId="43" fontId="6" fillId="13" borderId="0">
      <alignment vertical="top"/>
    </xf>
    <xf numFmtId="43" fontId="6" fillId="11" borderId="0">
      <alignment vertical="top"/>
    </xf>
    <xf numFmtId="43" fontId="6" fillId="6" borderId="0">
      <alignment vertical="top"/>
    </xf>
    <xf numFmtId="43" fontId="6" fillId="8" borderId="0">
      <alignment vertical="top"/>
    </xf>
    <xf numFmtId="43" fontId="6" fillId="15" borderId="0">
      <alignment vertical="top"/>
    </xf>
    <xf numFmtId="49" fontId="10" fillId="0" borderId="0">
      <alignment vertical="top"/>
    </xf>
    <xf numFmtId="49" fontId="9" fillId="0" borderId="0">
      <alignment vertical="top"/>
    </xf>
    <xf numFmtId="0" fontId="15" fillId="17" borderId="3" applyNumberFormat="0" applyAlignment="0" applyProtection="0"/>
    <xf numFmtId="0" fontId="16" fillId="18" borderId="4" applyNumberFormat="0" applyAlignment="0" applyProtection="0"/>
    <xf numFmtId="0" fontId="17" fillId="18" borderId="3" applyNumberFormat="0" applyAlignment="0" applyProtection="0"/>
    <xf numFmtId="0" fontId="18" fillId="0" borderId="5" applyNumberFormat="0" applyFill="0" applyAlignment="0" applyProtection="0"/>
    <xf numFmtId="0" fontId="12" fillId="19" borderId="6" applyNumberFormat="0" applyAlignment="0" applyProtection="0"/>
    <xf numFmtId="0" fontId="14" fillId="20"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7" fillId="45"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6" fillId="46" borderId="0" applyNumberFormat="0">
      <alignment vertical="top"/>
    </xf>
    <xf numFmtId="43" fontId="6" fillId="13" borderId="0" applyFont="0" applyFill="0" applyBorder="0" applyAlignment="0" applyProtection="0">
      <alignment vertical="top"/>
    </xf>
    <xf numFmtId="0" fontId="1" fillId="0" borderId="0"/>
  </cellStyleXfs>
  <cellXfs count="84">
    <xf numFmtId="0" fontId="0" fillId="0" borderId="0" xfId="0">
      <alignment vertical="top"/>
    </xf>
    <xf numFmtId="0" fontId="6" fillId="0" borderId="0" xfId="4">
      <alignment vertical="top"/>
    </xf>
    <xf numFmtId="0" fontId="9" fillId="0" borderId="0" xfId="4" applyFont="1">
      <alignment vertical="top"/>
    </xf>
    <xf numFmtId="0" fontId="10" fillId="0" borderId="0" xfId="4" applyFont="1">
      <alignment vertical="top"/>
    </xf>
    <xf numFmtId="0" fontId="6" fillId="0" borderId="2" xfId="4" applyBorder="1">
      <alignment vertical="top"/>
    </xf>
    <xf numFmtId="49" fontId="8" fillId="5" borderId="1" xfId="5">
      <alignment vertical="top"/>
    </xf>
    <xf numFmtId="49" fontId="7" fillId="21" borderId="1" xfId="6">
      <alignment vertical="top"/>
    </xf>
    <xf numFmtId="0" fontId="6" fillId="0" borderId="0" xfId="4" applyFill="1">
      <alignment vertical="top"/>
    </xf>
    <xf numFmtId="0" fontId="6" fillId="0" borderId="2" xfId="4" applyBorder="1" applyAlignment="1">
      <alignment horizontal="left" vertical="top" wrapText="1"/>
    </xf>
    <xf numFmtId="0" fontId="10" fillId="0" borderId="0" xfId="4" applyFont="1" applyFill="1">
      <alignment vertical="top"/>
    </xf>
    <xf numFmtId="0" fontId="6" fillId="7" borderId="0" xfId="4" applyFill="1">
      <alignment vertical="top"/>
    </xf>
    <xf numFmtId="2" fontId="6" fillId="12" borderId="0" xfId="4" applyNumberFormat="1" applyFill="1">
      <alignment vertical="top"/>
    </xf>
    <xf numFmtId="1" fontId="6" fillId="0" borderId="0" xfId="4" applyNumberFormat="1" applyFill="1">
      <alignment vertical="top"/>
    </xf>
    <xf numFmtId="0" fontId="8" fillId="5" borderId="1" xfId="5" applyNumberFormat="1">
      <alignment vertical="top"/>
    </xf>
    <xf numFmtId="0" fontId="13" fillId="0" borderId="0" xfId="4" applyFont="1">
      <alignment vertical="top"/>
    </xf>
    <xf numFmtId="0" fontId="6" fillId="16" borderId="0" xfId="4" applyFill="1">
      <alignment vertical="top"/>
    </xf>
    <xf numFmtId="0" fontId="6" fillId="0" borderId="0" xfId="4" applyFont="1">
      <alignment vertical="top"/>
    </xf>
    <xf numFmtId="49" fontId="6" fillId="21" borderId="2" xfId="6" applyFont="1" applyBorder="1">
      <alignment vertical="top"/>
    </xf>
    <xf numFmtId="0" fontId="6" fillId="0" borderId="2" xfId="4" applyFont="1" applyBorder="1">
      <alignment vertical="top"/>
    </xf>
    <xf numFmtId="49" fontId="10" fillId="0" borderId="0" xfId="14">
      <alignment vertical="top"/>
    </xf>
    <xf numFmtId="49" fontId="7" fillId="0" borderId="0" xfId="7">
      <alignment vertical="top"/>
    </xf>
    <xf numFmtId="49" fontId="9" fillId="0" borderId="0" xfId="15">
      <alignment vertical="top"/>
    </xf>
    <xf numFmtId="0" fontId="6" fillId="0" borderId="2" xfId="4" applyFont="1" applyBorder="1" applyAlignment="1">
      <alignment horizontal="left" vertical="top" wrapText="1"/>
    </xf>
    <xf numFmtId="43" fontId="6" fillId="14" borderId="0" xfId="8">
      <alignment vertical="top"/>
    </xf>
    <xf numFmtId="43" fontId="6" fillId="13" borderId="0" xfId="63" applyFill="1">
      <alignment vertical="top"/>
    </xf>
    <xf numFmtId="43" fontId="6" fillId="6" borderId="0" xfId="63" applyFill="1">
      <alignment vertical="top"/>
    </xf>
    <xf numFmtId="43" fontId="6" fillId="15" borderId="0" xfId="63" applyFill="1">
      <alignment vertical="top"/>
    </xf>
    <xf numFmtId="43" fontId="6" fillId="11" borderId="0" xfId="10">
      <alignment vertical="top"/>
    </xf>
    <xf numFmtId="43" fontId="6" fillId="8" borderId="0" xfId="12">
      <alignment vertical="top"/>
    </xf>
    <xf numFmtId="43" fontId="6" fillId="6" borderId="0" xfId="11">
      <alignment vertical="top"/>
    </xf>
    <xf numFmtId="10" fontId="6" fillId="6" borderId="0" xfId="11" applyNumberFormat="1">
      <alignment vertical="top"/>
    </xf>
    <xf numFmtId="164" fontId="6" fillId="6" borderId="0" xfId="11" applyNumberFormat="1">
      <alignment vertical="top"/>
    </xf>
    <xf numFmtId="164" fontId="6" fillId="6" borderId="0" xfId="12" applyNumberFormat="1" applyFill="1">
      <alignment vertical="top"/>
    </xf>
    <xf numFmtId="164" fontId="6" fillId="13" borderId="0" xfId="9" applyNumberFormat="1">
      <alignment vertical="top"/>
    </xf>
    <xf numFmtId="164" fontId="6" fillId="15" borderId="0" xfId="13" applyNumberFormat="1">
      <alignment vertical="top"/>
    </xf>
    <xf numFmtId="49" fontId="6" fillId="0" borderId="0" xfId="7" applyFont="1">
      <alignment vertical="top"/>
    </xf>
    <xf numFmtId="10" fontId="6" fillId="15" borderId="0" xfId="13" applyNumberFormat="1">
      <alignment vertical="top"/>
    </xf>
    <xf numFmtId="165" fontId="6" fillId="6" borderId="0" xfId="11" applyNumberFormat="1">
      <alignment vertical="top"/>
    </xf>
    <xf numFmtId="49" fontId="7" fillId="21" borderId="1" xfId="6">
      <alignment vertical="top"/>
    </xf>
    <xf numFmtId="164" fontId="6" fillId="13" borderId="0" xfId="9" applyNumberFormat="1">
      <alignment vertical="top"/>
    </xf>
    <xf numFmtId="0" fontId="0" fillId="0" borderId="0" xfId="0">
      <alignment vertical="top"/>
    </xf>
    <xf numFmtId="0" fontId="7" fillId="0" borderId="0" xfId="4" applyFont="1">
      <alignment vertical="top"/>
    </xf>
    <xf numFmtId="0" fontId="6" fillId="0" borderId="0" xfId="4">
      <alignment vertical="top"/>
    </xf>
    <xf numFmtId="164" fontId="6" fillId="15" borderId="0" xfId="13" applyNumberFormat="1">
      <alignment vertical="top"/>
    </xf>
    <xf numFmtId="164" fontId="6" fillId="14" borderId="0" xfId="8" applyNumberFormat="1">
      <alignment vertical="top"/>
    </xf>
    <xf numFmtId="49" fontId="7" fillId="21" borderId="1" xfId="6" applyFont="1">
      <alignment vertical="top"/>
    </xf>
    <xf numFmtId="0" fontId="6" fillId="0" borderId="0" xfId="4" applyFont="1" applyFill="1" applyBorder="1" applyAlignment="1">
      <alignment horizontal="left" vertical="top" wrapText="1"/>
    </xf>
    <xf numFmtId="0" fontId="6" fillId="0" borderId="12" xfId="4" applyBorder="1" applyAlignment="1">
      <alignment horizontal="left" vertical="top" wrapText="1"/>
    </xf>
    <xf numFmtId="0" fontId="6" fillId="0" borderId="0" xfId="4" applyFont="1" applyFill="1" applyBorder="1" applyAlignment="1">
      <alignment horizontal="left" vertical="top"/>
    </xf>
    <xf numFmtId="0" fontId="6" fillId="10" borderId="0" xfId="4" applyFont="1" applyFill="1">
      <alignment vertical="top"/>
    </xf>
    <xf numFmtId="0" fontId="6" fillId="9" borderId="0" xfId="4" applyFont="1" applyFill="1">
      <alignment vertical="top"/>
    </xf>
    <xf numFmtId="0" fontId="6" fillId="13" borderId="0" xfId="4" applyFont="1" applyFill="1">
      <alignment vertical="top"/>
    </xf>
    <xf numFmtId="49" fontId="6" fillId="21" borderId="0" xfId="6" applyFont="1" applyBorder="1">
      <alignment vertical="top"/>
    </xf>
    <xf numFmtId="49" fontId="12" fillId="5" borderId="1" xfId="5" applyFont="1">
      <alignment vertical="top"/>
    </xf>
    <xf numFmtId="0" fontId="6" fillId="46" borderId="0" xfId="62" applyNumberFormat="1">
      <alignment vertical="top"/>
    </xf>
    <xf numFmtId="0" fontId="1" fillId="0" borderId="0" xfId="64" applyAlignment="1">
      <alignment vertical="top"/>
    </xf>
    <xf numFmtId="49" fontId="7" fillId="21" borderId="1" xfId="6" applyAlignment="1">
      <alignment vertical="top" wrapText="1"/>
    </xf>
    <xf numFmtId="43" fontId="6" fillId="13" borderId="0" xfId="9" applyNumberFormat="1">
      <alignment vertical="top"/>
    </xf>
    <xf numFmtId="43" fontId="6" fillId="15" borderId="0" xfId="13" applyNumberFormat="1">
      <alignment vertical="top"/>
    </xf>
    <xf numFmtId="164" fontId="6" fillId="46" borderId="0" xfId="62" applyNumberFormat="1">
      <alignment vertical="top"/>
    </xf>
    <xf numFmtId="49" fontId="7" fillId="0" borderId="0" xfId="4" applyNumberFormat="1" applyFont="1">
      <alignment vertical="top"/>
    </xf>
    <xf numFmtId="165" fontId="6" fillId="15" borderId="0" xfId="13" applyNumberFormat="1">
      <alignment vertical="top"/>
    </xf>
    <xf numFmtId="165" fontId="6" fillId="13" borderId="0" xfId="9" applyNumberFormat="1">
      <alignment vertical="top"/>
    </xf>
    <xf numFmtId="166" fontId="6" fillId="6" borderId="0" xfId="11" applyNumberFormat="1">
      <alignment vertical="top"/>
    </xf>
    <xf numFmtId="9" fontId="6" fillId="6" borderId="0" xfId="11" applyNumberFormat="1">
      <alignment vertical="top"/>
    </xf>
    <xf numFmtId="166" fontId="6" fillId="15" borderId="0" xfId="13" applyNumberFormat="1">
      <alignment vertical="top"/>
    </xf>
    <xf numFmtId="9" fontId="6" fillId="15" borderId="0" xfId="13" applyNumberFormat="1">
      <alignment vertical="top"/>
    </xf>
    <xf numFmtId="0" fontId="6" fillId="0" borderId="0" xfId="4" applyAlignment="1">
      <alignment horizontal="left" vertical="top" indent="1"/>
    </xf>
    <xf numFmtId="43" fontId="6" fillId="13" borderId="0" xfId="9">
      <alignment vertical="top"/>
    </xf>
    <xf numFmtId="165" fontId="6" fillId="14" borderId="0" xfId="8" applyNumberFormat="1">
      <alignment vertical="top"/>
    </xf>
    <xf numFmtId="49" fontId="9" fillId="0" borderId="0" xfId="15" applyFont="1">
      <alignment vertical="top"/>
    </xf>
    <xf numFmtId="0" fontId="6" fillId="0" borderId="2" xfId="4" applyFont="1" applyBorder="1" applyAlignment="1">
      <alignment vertical="top" wrapText="1"/>
    </xf>
    <xf numFmtId="0" fontId="6" fillId="0" borderId="2" xfId="0" applyFont="1" applyBorder="1">
      <alignment vertical="top"/>
    </xf>
    <xf numFmtId="164" fontId="6" fillId="6" borderId="0" xfId="11" applyNumberFormat="1" applyAlignment="1">
      <alignment vertical="top" wrapText="1"/>
    </xf>
    <xf numFmtId="49" fontId="20" fillId="0" borderId="2" xfId="61" applyBorder="1" applyAlignment="1">
      <alignment vertical="top"/>
    </xf>
    <xf numFmtId="164" fontId="6" fillId="6" borderId="0" xfId="12" applyNumberFormat="1" applyFill="1" applyAlignment="1">
      <alignment vertical="top" wrapText="1"/>
    </xf>
    <xf numFmtId="43" fontId="6" fillId="14" borderId="0" xfId="8" applyNumberFormat="1">
      <alignment vertical="top"/>
    </xf>
    <xf numFmtId="166" fontId="6" fillId="0" borderId="0" xfId="13" applyNumberFormat="1" applyFill="1">
      <alignment vertical="top"/>
    </xf>
    <xf numFmtId="166" fontId="6" fillId="13" borderId="0" xfId="9" applyNumberFormat="1">
      <alignment vertical="top"/>
    </xf>
    <xf numFmtId="10" fontId="6" fillId="13" borderId="0" xfId="9" applyNumberFormat="1">
      <alignment vertical="top"/>
    </xf>
    <xf numFmtId="164" fontId="6" fillId="0" borderId="0" xfId="4" applyNumberFormat="1">
      <alignment vertical="top"/>
    </xf>
    <xf numFmtId="0" fontId="13" fillId="0" borderId="2" xfId="4" applyFont="1" applyBorder="1" applyAlignment="1">
      <alignment vertical="top" wrapText="1"/>
    </xf>
    <xf numFmtId="49" fontId="10" fillId="21" borderId="1" xfId="6" applyFont="1">
      <alignment vertical="top"/>
    </xf>
    <xf numFmtId="10" fontId="6" fillId="6" borderId="0" xfId="11" applyNumberFormat="1" applyFont="1">
      <alignment vertical="top"/>
    </xf>
  </cellXfs>
  <cellStyles count="65">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n.v.t. (leeg)" xfId="62" xr:uid="{00000000-0005-0000-0000-000020000000}"/>
    <cellStyle name="Cel PM extern" xfId="12" xr:uid="{00000000-0005-0000-0000-000021000000}"/>
    <cellStyle name="Cel Verwijzing" xfId="13" xr:uid="{00000000-0005-0000-0000-000022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4000000}"/>
    <cellStyle name="Procent" xfId="27" builtinId="5" hidden="1"/>
    <cellStyle name="Standaard" xfId="0" builtinId="0" customBuiltin="1"/>
    <cellStyle name="Standaard 2" xfId="64" xr:uid="{00000000-0005-0000-0000-000037000000}"/>
    <cellStyle name="Standaard ACM-DE" xfId="4" xr:uid="{00000000-0005-0000-0000-000038000000}"/>
    <cellStyle name="Titel" xfId="28" builtinId="15" hidden="1"/>
    <cellStyle name="Toelichting" xfId="15" xr:uid="{00000000-0005-0000-0000-00003A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CCC8D9"/>
      <color rgb="FFFFCCFF"/>
      <color rgb="FFFFFFCC"/>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twoCellAnchor editAs="oneCell">
    <xdr:from>
      <xdr:col>1</xdr:col>
      <xdr:colOff>66675</xdr:colOff>
      <xdr:row>3</xdr:row>
      <xdr:rowOff>133351</xdr:rowOff>
    </xdr:from>
    <xdr:to>
      <xdr:col>1</xdr:col>
      <xdr:colOff>1905000</xdr:colOff>
      <xdr:row>10</xdr:row>
      <xdr:rowOff>94480</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schikking-productieprijs-elektriciteit-2021-saba-sec-caribisch-nederland" TargetMode="External"/><Relationship Id="rId3" Type="http://schemas.openxmlformats.org/officeDocument/2006/relationships/hyperlink" Target="https://www.acm.nl/nl/publicaties/methodebesluit-elektriciteit-en-drinkwater-caribisch-nederland-2020-2025" TargetMode="External"/><Relationship Id="rId7" Type="http://schemas.openxmlformats.org/officeDocument/2006/relationships/hyperlink" Target="https://www.acm.nl/nl/publicaties/beschikking-variabel-tarief-elektriciteit-1-juli-2021-saba-caribisch-nederland" TargetMode="External"/><Relationship Id="rId2" Type="http://schemas.openxmlformats.org/officeDocument/2006/relationships/hyperlink" Target="https://www.acm.nl/nl/publicaties/wacc-elektriciteit-en-drinkwater-caribisch-nederland-2020-2022" TargetMode="External"/><Relationship Id="rId1" Type="http://schemas.openxmlformats.org/officeDocument/2006/relationships/hyperlink" Target="https://opendata.cbs.nl/statline/" TargetMode="External"/><Relationship Id="rId6" Type="http://schemas.openxmlformats.org/officeDocument/2006/relationships/hyperlink" Target="https://www.acm.nl/nl/publicaties/beschikking-productieprijs-elektriciteit-2021-saba-sec-caribisch-nederland" TargetMode="External"/><Relationship Id="rId5" Type="http://schemas.openxmlformats.org/officeDocument/2006/relationships/hyperlink" Target="https://wetten.overheid.nl/BWBR0030649/2011-11-18" TargetMode="External"/><Relationship Id="rId4" Type="http://schemas.openxmlformats.org/officeDocument/2006/relationships/hyperlink" Target="https://www.cbs.nl/nl-nl/maatwerk/2021/45/cpi-caribisch-nederland-exclusief-covid-19-toeslagen"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CCC8D9"/>
  </sheetPr>
  <dimension ref="B2:D35"/>
  <sheetViews>
    <sheetView showGridLines="0" tabSelected="1"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42" customWidth="1"/>
    <col min="2" max="2" width="39.85546875" style="42" customWidth="1"/>
    <col min="3" max="3" width="81.140625" style="42" customWidth="1"/>
    <col min="4" max="16384" width="9.140625" style="42"/>
  </cols>
  <sheetData>
    <row r="2" spans="2:3" s="5" customFormat="1" ht="18" x14ac:dyDescent="0.2">
      <c r="B2" s="5" t="s">
        <v>91</v>
      </c>
    </row>
    <row r="6" spans="2:3" x14ac:dyDescent="0.2">
      <c r="B6" s="16"/>
    </row>
    <row r="13" spans="2:3" s="38" customFormat="1" x14ac:dyDescent="0.2">
      <c r="B13" s="38" t="s">
        <v>15</v>
      </c>
    </row>
    <row r="14" spans="2:3" s="7" customFormat="1" x14ac:dyDescent="0.2"/>
    <row r="15" spans="2:3" x14ac:dyDescent="0.2">
      <c r="B15" s="22" t="s">
        <v>16</v>
      </c>
      <c r="C15" s="8" t="s">
        <v>125</v>
      </c>
    </row>
    <row r="16" spans="2:3" x14ac:dyDescent="0.2">
      <c r="B16" s="22" t="s">
        <v>17</v>
      </c>
      <c r="C16" s="8" t="s">
        <v>126</v>
      </c>
    </row>
    <row r="17" spans="2:4" ht="25.5" x14ac:dyDescent="0.2">
      <c r="B17" s="22" t="s">
        <v>94</v>
      </c>
      <c r="C17" s="47" t="s">
        <v>127</v>
      </c>
    </row>
    <row r="18" spans="2:4" ht="25.5" x14ac:dyDescent="0.2">
      <c r="B18" s="22" t="s">
        <v>95</v>
      </c>
      <c r="C18" s="22" t="s">
        <v>264</v>
      </c>
    </row>
    <row r="19" spans="2:4" ht="25.5" x14ac:dyDescent="0.2">
      <c r="B19" s="22" t="s">
        <v>18</v>
      </c>
      <c r="C19" s="8" t="s">
        <v>100</v>
      </c>
    </row>
    <row r="20" spans="2:4" x14ac:dyDescent="0.2">
      <c r="B20" s="22" t="s">
        <v>19</v>
      </c>
      <c r="C20" s="8"/>
    </row>
    <row r="23" spans="2:4" s="38" customFormat="1" x14ac:dyDescent="0.2">
      <c r="B23" s="38" t="s">
        <v>20</v>
      </c>
    </row>
    <row r="25" spans="2:4" x14ac:dyDescent="0.2">
      <c r="B25" s="22" t="s">
        <v>21</v>
      </c>
      <c r="C25" s="8" t="s">
        <v>265</v>
      </c>
    </row>
    <row r="26" spans="2:4" x14ac:dyDescent="0.2">
      <c r="B26" s="22" t="s">
        <v>23</v>
      </c>
      <c r="C26" s="8" t="s">
        <v>265</v>
      </c>
    </row>
    <row r="27" spans="2:4" ht="25.5" x14ac:dyDescent="0.2">
      <c r="B27" s="22" t="s">
        <v>24</v>
      </c>
      <c r="C27" s="8" t="s">
        <v>265</v>
      </c>
    </row>
    <row r="28" spans="2:4" x14ac:dyDescent="0.2">
      <c r="B28" s="22" t="s">
        <v>25</v>
      </c>
      <c r="C28" s="8" t="s">
        <v>22</v>
      </c>
    </row>
    <row r="29" spans="2:4" x14ac:dyDescent="0.2">
      <c r="B29" s="22" t="s">
        <v>19</v>
      </c>
      <c r="C29" s="8"/>
    </row>
    <row r="31" spans="2:4" x14ac:dyDescent="0.2">
      <c r="B31" s="48" t="s">
        <v>26</v>
      </c>
      <c r="C31" s="46"/>
      <c r="D31" s="3"/>
    </row>
    <row r="33" spans="2:2" s="38" customFormat="1" x14ac:dyDescent="0.2">
      <c r="B33" s="38" t="s">
        <v>90</v>
      </c>
    </row>
    <row r="35" spans="2:2" x14ac:dyDescent="0.2">
      <c r="B35" s="42" t="s">
        <v>99</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J51"/>
  <sheetViews>
    <sheetView showGridLines="0" zoomScale="85" zoomScaleNormal="85" workbookViewId="0">
      <pane xSplit="3" ySplit="10" topLeftCell="D11" activePane="bottomRight" state="frozen"/>
      <selection pane="topRight"/>
      <selection pane="bottomLeft"/>
      <selection pane="bottomRight" activeCell="D11" sqref="D11"/>
    </sheetView>
  </sheetViews>
  <sheetFormatPr defaultRowHeight="12.75" x14ac:dyDescent="0.2"/>
  <cols>
    <col min="1" max="1" width="4.5703125" style="42" customWidth="1"/>
    <col min="2" max="2" width="50.7109375" style="42" customWidth="1"/>
    <col min="3" max="3" width="15.5703125" style="42" customWidth="1"/>
    <col min="4" max="4" width="2.7109375" style="42" customWidth="1"/>
    <col min="5" max="5" width="13.7109375" style="42" customWidth="1"/>
    <col min="6" max="6" width="2.7109375" style="42" customWidth="1"/>
    <col min="7" max="7" width="21.7109375" style="42" customWidth="1"/>
    <col min="8" max="8" width="21.7109375" style="40" customWidth="1"/>
    <col min="9" max="9" width="2.7109375" style="42" customWidth="1"/>
    <col min="10" max="10" width="30.7109375" style="42" customWidth="1"/>
    <col min="11" max="11" width="2.7109375" style="42" customWidth="1"/>
    <col min="12" max="21" width="12.5703125" style="42" customWidth="1"/>
    <col min="22" max="24" width="2.7109375" style="42" customWidth="1"/>
    <col min="25" max="39" width="13.7109375" style="42" customWidth="1"/>
    <col min="40" max="16384" width="9.140625" style="42"/>
  </cols>
  <sheetData>
    <row r="2" spans="2:10" s="13" customFormat="1" ht="18" x14ac:dyDescent="0.2">
      <c r="B2" s="13" t="s">
        <v>183</v>
      </c>
    </row>
    <row r="4" spans="2:10" x14ac:dyDescent="0.2">
      <c r="B4" s="20" t="s">
        <v>13</v>
      </c>
    </row>
    <row r="5" spans="2:10" x14ac:dyDescent="0.2">
      <c r="B5" s="16" t="s">
        <v>184</v>
      </c>
      <c r="G5" s="14"/>
    </row>
    <row r="6" spans="2:10" x14ac:dyDescent="0.2">
      <c r="B6" s="16"/>
      <c r="G6" s="14"/>
    </row>
    <row r="7" spans="2:10" x14ac:dyDescent="0.2">
      <c r="B7" s="21" t="s">
        <v>28</v>
      </c>
      <c r="G7" s="14"/>
    </row>
    <row r="8" spans="2:10" x14ac:dyDescent="0.2">
      <c r="B8" s="21" t="s">
        <v>86</v>
      </c>
      <c r="G8" s="14"/>
    </row>
    <row r="10" spans="2:10" s="38" customFormat="1" x14ac:dyDescent="0.2">
      <c r="B10" s="38" t="s">
        <v>6</v>
      </c>
      <c r="C10" s="38" t="s">
        <v>10</v>
      </c>
      <c r="E10" s="38" t="s">
        <v>7</v>
      </c>
      <c r="G10" s="38" t="s">
        <v>80</v>
      </c>
      <c r="H10" s="38" t="s">
        <v>81</v>
      </c>
      <c r="J10" s="38" t="s">
        <v>9</v>
      </c>
    </row>
    <row r="12" spans="2:10" s="38" customFormat="1" x14ac:dyDescent="0.2">
      <c r="B12" s="38" t="s">
        <v>68</v>
      </c>
    </row>
    <row r="13" spans="2:10" x14ac:dyDescent="0.2">
      <c r="H13" s="42"/>
    </row>
    <row r="14" spans="2:10" x14ac:dyDescent="0.2">
      <c r="B14" s="41" t="s">
        <v>74</v>
      </c>
      <c r="H14" s="42"/>
    </row>
    <row r="15" spans="2:10" x14ac:dyDescent="0.2">
      <c r="B15" s="42" t="s">
        <v>78</v>
      </c>
      <c r="C15" s="42" t="s">
        <v>4</v>
      </c>
      <c r="E15" s="65">
        <f>Parameters!E28</f>
        <v>3.0000000000000001E-3</v>
      </c>
      <c r="H15" s="42"/>
    </row>
    <row r="16" spans="2:10" x14ac:dyDescent="0.2">
      <c r="B16" s="42" t="s">
        <v>89</v>
      </c>
      <c r="C16" s="42" t="s">
        <v>4</v>
      </c>
      <c r="E16" s="65">
        <f>Parameters!E29</f>
        <v>2E-3</v>
      </c>
      <c r="H16" s="42"/>
    </row>
    <row r="17" spans="2:10" x14ac:dyDescent="0.2">
      <c r="H17" s="42"/>
    </row>
    <row r="18" spans="2:10" x14ac:dyDescent="0.2">
      <c r="B18" s="42" t="s">
        <v>136</v>
      </c>
      <c r="C18" s="42" t="s">
        <v>4</v>
      </c>
      <c r="E18" s="36">
        <f>Parameters!E35</f>
        <v>0.06</v>
      </c>
      <c r="H18" s="42"/>
    </row>
    <row r="19" spans="2:10" x14ac:dyDescent="0.2">
      <c r="H19" s="42"/>
    </row>
    <row r="20" spans="2:10" x14ac:dyDescent="0.2">
      <c r="B20" s="20" t="s">
        <v>185</v>
      </c>
      <c r="H20" s="42"/>
    </row>
    <row r="21" spans="2:10" x14ac:dyDescent="0.2">
      <c r="B21" s="42" t="s">
        <v>186</v>
      </c>
      <c r="C21" s="42" t="s">
        <v>187</v>
      </c>
      <c r="G21" s="43">
        <f>'Estimation for 2021'!G13</f>
        <v>2435322.9712092979</v>
      </c>
      <c r="H21" s="43">
        <f>'Estimation for 2021'!H13</f>
        <v>3930704.97591291</v>
      </c>
    </row>
    <row r="22" spans="2:10" x14ac:dyDescent="0.2">
      <c r="B22" s="42" t="s">
        <v>188</v>
      </c>
      <c r="C22" s="42" t="s">
        <v>187</v>
      </c>
      <c r="G22" s="43">
        <f>'Estimation for 2021'!G14</f>
        <v>112482.70404425287</v>
      </c>
      <c r="H22" s="43">
        <f>'Estimation for 2021'!H14</f>
        <v>264522.66101660288</v>
      </c>
    </row>
    <row r="23" spans="2:10" x14ac:dyDescent="0.2">
      <c r="B23" s="42" t="s">
        <v>189</v>
      </c>
      <c r="C23" s="42" t="s">
        <v>187</v>
      </c>
      <c r="G23" s="43">
        <f>'Estimation for 2021'!G17</f>
        <v>1341632.665</v>
      </c>
      <c r="H23" s="43">
        <f>'Estimation for 2021'!H17</f>
        <v>858263.92500000005</v>
      </c>
    </row>
    <row r="24" spans="2:10" x14ac:dyDescent="0.2">
      <c r="B24" s="42" t="s">
        <v>190</v>
      </c>
      <c r="C24" s="42" t="s">
        <v>187</v>
      </c>
      <c r="G24" s="43">
        <f>'Estimation for 2021'!G18</f>
        <v>5287.08</v>
      </c>
      <c r="H24" s="43">
        <f>'Estimation for 2021'!H18</f>
        <v>91965.91</v>
      </c>
    </row>
    <row r="25" spans="2:10" x14ac:dyDescent="0.2">
      <c r="H25" s="42"/>
    </row>
    <row r="26" spans="2:10" x14ac:dyDescent="0.2">
      <c r="B26" s="42" t="s">
        <v>191</v>
      </c>
      <c r="C26" s="42" t="s">
        <v>4</v>
      </c>
      <c r="G26" s="66">
        <f>Parameters!G54</f>
        <v>0.25</v>
      </c>
      <c r="H26" s="66">
        <f>Parameters!H54</f>
        <v>0.25</v>
      </c>
    </row>
    <row r="27" spans="2:10" x14ac:dyDescent="0.2">
      <c r="B27" s="42" t="s">
        <v>192</v>
      </c>
      <c r="C27" s="42" t="s">
        <v>4</v>
      </c>
      <c r="G27" s="66">
        <f>Parameters!G55</f>
        <v>0</v>
      </c>
      <c r="H27" s="66">
        <f>Parameters!H55</f>
        <v>0.5</v>
      </c>
      <c r="J27" s="16" t="s">
        <v>85</v>
      </c>
    </row>
    <row r="28" spans="2:10" x14ac:dyDescent="0.2">
      <c r="H28" s="42"/>
    </row>
    <row r="29" spans="2:10" x14ac:dyDescent="0.2">
      <c r="B29" s="41" t="s">
        <v>63</v>
      </c>
      <c r="H29" s="42"/>
    </row>
    <row r="30" spans="2:10" s="21" customFormat="1" x14ac:dyDescent="0.2">
      <c r="B30" s="21" t="s">
        <v>64</v>
      </c>
      <c r="C30" s="21" t="s">
        <v>65</v>
      </c>
      <c r="G30" s="21" t="s">
        <v>11</v>
      </c>
      <c r="H30" s="21" t="s">
        <v>66</v>
      </c>
    </row>
    <row r="31" spans="2:10" x14ac:dyDescent="0.2">
      <c r="B31" s="42" t="s">
        <v>193</v>
      </c>
      <c r="C31" s="42" t="s">
        <v>65</v>
      </c>
      <c r="G31" s="43">
        <f>'Estimation for 2021'!G23</f>
        <v>9137706.3000000007</v>
      </c>
      <c r="H31" s="43">
        <f>'Estimation for 2021'!H23</f>
        <v>11528.715384615381</v>
      </c>
    </row>
    <row r="32" spans="2:10" x14ac:dyDescent="0.2">
      <c r="B32" s="40"/>
      <c r="C32" s="40"/>
      <c r="D32" s="40"/>
      <c r="E32" s="40"/>
      <c r="F32" s="40"/>
      <c r="H32" s="42"/>
    </row>
    <row r="33" spans="2:8" s="38" customFormat="1" x14ac:dyDescent="0.2">
      <c r="B33" s="38" t="s">
        <v>194</v>
      </c>
    </row>
    <row r="35" spans="2:8" x14ac:dyDescent="0.2">
      <c r="B35" s="41" t="s">
        <v>195</v>
      </c>
    </row>
    <row r="36" spans="2:8" x14ac:dyDescent="0.2">
      <c r="B36" s="42" t="s">
        <v>196</v>
      </c>
      <c r="C36" s="42" t="s">
        <v>187</v>
      </c>
      <c r="G36" s="39">
        <f>G23*(1-G26)-G24</f>
        <v>1000937.4187500001</v>
      </c>
      <c r="H36" s="39">
        <f>H23*(1-H26)-H24</f>
        <v>551732.03375000006</v>
      </c>
    </row>
    <row r="37" spans="2:8" x14ac:dyDescent="0.2">
      <c r="B37" s="42" t="s">
        <v>197</v>
      </c>
      <c r="C37" s="42" t="s">
        <v>187</v>
      </c>
      <c r="G37" s="39">
        <f>G23*G26</f>
        <v>335408.16625000001</v>
      </c>
      <c r="H37" s="39">
        <f>H23*H26</f>
        <v>214565.98125000001</v>
      </c>
    </row>
    <row r="38" spans="2:8" x14ac:dyDescent="0.2">
      <c r="B38" s="42" t="s">
        <v>198</v>
      </c>
      <c r="C38" s="42" t="s">
        <v>199</v>
      </c>
      <c r="G38" s="62">
        <f>G37/G31</f>
        <v>3.6705947339322996E-2</v>
      </c>
      <c r="H38" s="68">
        <f>H37/H31</f>
        <v>18.611438837004329</v>
      </c>
    </row>
    <row r="40" spans="2:8" x14ac:dyDescent="0.2">
      <c r="B40" s="41" t="s">
        <v>200</v>
      </c>
    </row>
    <row r="41" spans="2:8" x14ac:dyDescent="0.2">
      <c r="B41" s="42" t="s">
        <v>201</v>
      </c>
      <c r="C41" s="42" t="s">
        <v>187</v>
      </c>
      <c r="G41" s="39">
        <f>$E$18*G21+G22</f>
        <v>258602.08231681073</v>
      </c>
      <c r="H41" s="39">
        <f>$E$18*H21+H22</f>
        <v>500364.95957137749</v>
      </c>
    </row>
    <row r="42" spans="2:8" x14ac:dyDescent="0.2">
      <c r="B42" s="42" t="s">
        <v>202</v>
      </c>
      <c r="C42" s="42" t="s">
        <v>187</v>
      </c>
      <c r="G42" s="39">
        <f>G41*(1-G27)</f>
        <v>258602.08231681073</v>
      </c>
      <c r="H42" s="39">
        <f>H41*(1-H27)</f>
        <v>250182.47978568875</v>
      </c>
    </row>
    <row r="43" spans="2:8" x14ac:dyDescent="0.2">
      <c r="B43" s="42" t="s">
        <v>203</v>
      </c>
      <c r="C43" s="42" t="s">
        <v>187</v>
      </c>
      <c r="G43" s="39">
        <f>G41*G27</f>
        <v>0</v>
      </c>
      <c r="H43" s="39">
        <f>H41*H27</f>
        <v>250182.47978568875</v>
      </c>
    </row>
    <row r="44" spans="2:8" x14ac:dyDescent="0.2">
      <c r="B44" s="42" t="s">
        <v>204</v>
      </c>
      <c r="C44" s="42" t="s">
        <v>199</v>
      </c>
      <c r="G44" s="57">
        <f>G43/G31</f>
        <v>0</v>
      </c>
      <c r="H44" s="57">
        <f>H43/H31</f>
        <v>21.700811533568384</v>
      </c>
    </row>
    <row r="46" spans="2:8" x14ac:dyDescent="0.2">
      <c r="B46" s="41" t="s">
        <v>205</v>
      </c>
    </row>
    <row r="47" spans="2:8" x14ac:dyDescent="0.2">
      <c r="B47" s="42" t="s">
        <v>206</v>
      </c>
      <c r="C47" s="42" t="s">
        <v>187</v>
      </c>
      <c r="G47" s="39">
        <f>G36+G42</f>
        <v>1259539.5010668109</v>
      </c>
      <c r="H47" s="39">
        <f>H36+H42</f>
        <v>801914.51353568886</v>
      </c>
    </row>
    <row r="48" spans="2:8" x14ac:dyDescent="0.2">
      <c r="B48" s="42" t="s">
        <v>207</v>
      </c>
      <c r="C48" s="42" t="s">
        <v>199</v>
      </c>
      <c r="G48" s="62">
        <f>G38+G44</f>
        <v>3.6705947339322996E-2</v>
      </c>
      <c r="H48" s="57">
        <f>H38+H44</f>
        <v>40.312250370572713</v>
      </c>
    </row>
    <row r="50" spans="2:8" x14ac:dyDescent="0.2">
      <c r="B50" s="42" t="s">
        <v>206</v>
      </c>
      <c r="C50" s="42" t="s">
        <v>152</v>
      </c>
      <c r="G50" s="44">
        <f>G47*(1+$E$15)*(1+$E$16)</f>
        <v>1265844.7558091513</v>
      </c>
      <c r="H50" s="44">
        <f>H47*(1+$E$15)*(1+$E$16)</f>
        <v>805928.89759044838</v>
      </c>
    </row>
    <row r="51" spans="2:8" x14ac:dyDescent="0.2">
      <c r="B51" s="42" t="s">
        <v>207</v>
      </c>
      <c r="C51" s="42" t="s">
        <v>162</v>
      </c>
      <c r="G51" s="69">
        <f>G48*(1+$E$15)*(1+$E$16)</f>
        <v>3.6889697311703641E-2</v>
      </c>
      <c r="H51" s="76">
        <f>H48*(1+$E$15)*(1+$E$16)</f>
        <v>40.514053495927797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tabColor rgb="FFFFFFCC"/>
  </sheetPr>
  <dimension ref="A2:J27"/>
  <sheetViews>
    <sheetView showGridLines="0" zoomScale="85" zoomScaleNormal="85" workbookViewId="0">
      <pane xSplit="3" ySplit="7" topLeftCell="D8" activePane="bottomRight" state="frozen"/>
      <selection pane="topRight"/>
      <selection pane="bottomLeft"/>
      <selection pane="bottomRight" activeCell="D8" sqref="D8"/>
    </sheetView>
  </sheetViews>
  <sheetFormatPr defaultRowHeight="12.75" x14ac:dyDescent="0.2"/>
  <cols>
    <col min="1" max="1" width="4.5703125" style="42" customWidth="1"/>
    <col min="2" max="2" width="46.5703125" style="1" customWidth="1"/>
    <col min="3" max="3" width="13.7109375" style="1" customWidth="1"/>
    <col min="4" max="4" width="2.7109375" style="42" customWidth="1"/>
    <col min="5" max="5" width="13.7109375" style="42" customWidth="1"/>
    <col min="6" max="6" width="2.7109375" style="1" customWidth="1"/>
    <col min="7" max="7" width="21.7109375" style="1" customWidth="1"/>
    <col min="8" max="8" width="21.7109375" customWidth="1"/>
    <col min="9" max="9" width="2.7109375" style="1" customWidth="1"/>
    <col min="10" max="10" width="30.7109375" style="1" customWidth="1"/>
    <col min="11" max="11" width="2.7109375" style="1" customWidth="1"/>
    <col min="12" max="21" width="12.5703125" style="1" customWidth="1"/>
    <col min="22" max="24" width="2.7109375" style="1" customWidth="1"/>
    <col min="25" max="39" width="13.7109375" style="1" customWidth="1"/>
    <col min="40" max="16384" width="9.140625" style="1"/>
  </cols>
  <sheetData>
    <row r="2" spans="1:10" s="13" customFormat="1" ht="18" x14ac:dyDescent="0.2">
      <c r="B2" s="13" t="s">
        <v>174</v>
      </c>
    </row>
    <row r="4" spans="1:10" x14ac:dyDescent="0.2">
      <c r="B4" s="20" t="s">
        <v>13</v>
      </c>
    </row>
    <row r="5" spans="1:10" x14ac:dyDescent="0.2">
      <c r="B5" s="16" t="s">
        <v>113</v>
      </c>
      <c r="G5" s="14"/>
    </row>
    <row r="7" spans="1:10" s="6" customFormat="1" x14ac:dyDescent="0.2">
      <c r="A7" s="38"/>
      <c r="B7" s="6" t="s">
        <v>6</v>
      </c>
      <c r="C7" s="6" t="s">
        <v>10</v>
      </c>
      <c r="D7" s="38"/>
      <c r="E7" s="38" t="s">
        <v>7</v>
      </c>
      <c r="G7" s="38" t="s">
        <v>80</v>
      </c>
      <c r="H7" s="38" t="s">
        <v>81</v>
      </c>
      <c r="J7" s="6" t="s">
        <v>9</v>
      </c>
    </row>
    <row r="9" spans="1:10" s="6" customFormat="1" x14ac:dyDescent="0.2">
      <c r="A9" s="38"/>
      <c r="B9" s="6" t="s">
        <v>175</v>
      </c>
      <c r="D9" s="38"/>
      <c r="E9" s="38"/>
    </row>
    <row r="11" spans="1:10" s="42" customFormat="1" x14ac:dyDescent="0.2">
      <c r="B11" s="41" t="s">
        <v>74</v>
      </c>
      <c r="H11" s="40"/>
    </row>
    <row r="12" spans="1:10" s="42" customFormat="1" x14ac:dyDescent="0.2">
      <c r="B12" s="42" t="s">
        <v>140</v>
      </c>
      <c r="C12" s="42" t="s">
        <v>4</v>
      </c>
      <c r="E12" s="36">
        <f>Parameters!E49</f>
        <v>6.0899999999999954E-2</v>
      </c>
      <c r="H12" s="40"/>
    </row>
    <row r="13" spans="1:10" s="42" customFormat="1" x14ac:dyDescent="0.2">
      <c r="E13" s="77"/>
      <c r="H13" s="40"/>
    </row>
    <row r="14" spans="1:10" s="42" customFormat="1" x14ac:dyDescent="0.2">
      <c r="B14" s="41" t="s">
        <v>176</v>
      </c>
      <c r="H14" s="40"/>
    </row>
    <row r="15" spans="1:10" s="42" customFormat="1" x14ac:dyDescent="0.2">
      <c r="B15" s="42" t="s">
        <v>177</v>
      </c>
      <c r="C15" s="42" t="s">
        <v>152</v>
      </c>
      <c r="G15" s="43">
        <f>'Fixed-variable costs 2021'!G50</f>
        <v>1265844.7558091513</v>
      </c>
      <c r="H15" s="43">
        <f>'Fixed-variable costs 2021'!H50</f>
        <v>805928.89759044838</v>
      </c>
    </row>
    <row r="17" spans="1:10" s="42" customFormat="1" x14ac:dyDescent="0.2">
      <c r="B17" s="41" t="s">
        <v>67</v>
      </c>
    </row>
    <row r="18" spans="1:10" s="21" customFormat="1" x14ac:dyDescent="0.2">
      <c r="B18" s="21" t="s">
        <v>64</v>
      </c>
      <c r="C18" s="21" t="s">
        <v>65</v>
      </c>
      <c r="G18" s="21" t="s">
        <v>11</v>
      </c>
      <c r="H18" s="21" t="s">
        <v>66</v>
      </c>
    </row>
    <row r="19" spans="1:10" s="42" customFormat="1" x14ac:dyDescent="0.2">
      <c r="A19" s="7"/>
      <c r="B19" s="42" t="s">
        <v>178</v>
      </c>
      <c r="C19" s="42" t="s">
        <v>65</v>
      </c>
      <c r="G19" s="43">
        <f>'Estimation for 2021'!G24</f>
        <v>8763212.9773076437</v>
      </c>
      <c r="H19" s="43">
        <f>'Estimation for 2021'!H24</f>
        <v>11552.371428571427</v>
      </c>
    </row>
    <row r="20" spans="1:10" s="42" customFormat="1" x14ac:dyDescent="0.2">
      <c r="B20" s="42" t="s">
        <v>144</v>
      </c>
      <c r="C20" s="42" t="s">
        <v>65</v>
      </c>
      <c r="G20" s="43">
        <f>'Realization of 2021'!G23</f>
        <v>9117879.7100000009</v>
      </c>
      <c r="H20" s="43">
        <f>'Realization of 2021'!H23</f>
        <v>12005.784615384611</v>
      </c>
    </row>
    <row r="22" spans="1:10" s="6" customFormat="1" x14ac:dyDescent="0.2">
      <c r="A22" s="38"/>
      <c r="B22" s="6" t="s">
        <v>174</v>
      </c>
      <c r="D22" s="38"/>
      <c r="E22" s="38"/>
    </row>
    <row r="24" spans="1:10" x14ac:dyDescent="0.2">
      <c r="B24" s="20" t="s">
        <v>179</v>
      </c>
    </row>
    <row r="25" spans="1:10" x14ac:dyDescent="0.2">
      <c r="B25" s="1" t="s">
        <v>180</v>
      </c>
      <c r="C25" s="1" t="s">
        <v>152</v>
      </c>
      <c r="G25" s="33">
        <f>G15/G19*G20</f>
        <v>1317076.3103544023</v>
      </c>
      <c r="H25" s="39">
        <f>H15/H19*H20</f>
        <v>837560.39351842436</v>
      </c>
    </row>
    <row r="26" spans="1:10" x14ac:dyDescent="0.2">
      <c r="B26" s="35" t="s">
        <v>181</v>
      </c>
      <c r="C26" s="1" t="s">
        <v>152</v>
      </c>
      <c r="G26" s="39">
        <f>G15-G25</f>
        <v>-51231.554545250954</v>
      </c>
      <c r="H26" s="39">
        <f>H15-H25</f>
        <v>-31631.495927975979</v>
      </c>
      <c r="J26" s="16" t="s">
        <v>182</v>
      </c>
    </row>
    <row r="27" spans="1:10" x14ac:dyDescent="0.2">
      <c r="A27" s="7"/>
      <c r="B27" s="35" t="s">
        <v>181</v>
      </c>
      <c r="C27" s="42" t="s">
        <v>129</v>
      </c>
      <c r="F27" s="42"/>
      <c r="G27" s="44">
        <f>G26*(1+$E$12)</f>
        <v>-54351.556217056735</v>
      </c>
      <c r="H27" s="44">
        <f>H26*(1+$E$12)</f>
        <v>-33557.854029989714</v>
      </c>
      <c r="I27" s="42"/>
      <c r="J27" s="16" t="s">
        <v>182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3">
    <tabColor rgb="FFFFFFCC"/>
  </sheetPr>
  <dimension ref="A2:J44"/>
  <sheetViews>
    <sheetView showGridLines="0" zoomScale="85" zoomScaleNormal="85" workbookViewId="0">
      <pane xSplit="3" ySplit="7" topLeftCell="D8" activePane="bottomRight" state="frozen"/>
      <selection pane="topRight"/>
      <selection pane="bottomLeft"/>
      <selection pane="bottomRight" activeCell="D8" sqref="D8"/>
    </sheetView>
  </sheetViews>
  <sheetFormatPr defaultRowHeight="12.75" x14ac:dyDescent="0.2"/>
  <cols>
    <col min="1" max="1" width="4.5703125" style="42" customWidth="1"/>
    <col min="2" max="2" width="50.7109375" style="1" customWidth="1"/>
    <col min="3" max="3" width="14.28515625" style="1" customWidth="1"/>
    <col min="4" max="4" width="2.7109375" style="42" customWidth="1"/>
    <col min="5" max="5" width="13.7109375" style="42" customWidth="1"/>
    <col min="6" max="6" width="2.7109375" style="1" customWidth="1"/>
    <col min="7" max="7" width="21.7109375" style="1" customWidth="1"/>
    <col min="8" max="8" width="21.7109375" style="42" customWidth="1"/>
    <col min="9" max="9" width="2.7109375" style="1" customWidth="1"/>
    <col min="10" max="10" width="30.7109375" style="1" customWidth="1"/>
    <col min="11" max="14" width="12.5703125" style="1" customWidth="1"/>
    <col min="15" max="17" width="2.7109375" style="1" customWidth="1"/>
    <col min="18" max="32" width="13.7109375" style="1" customWidth="1"/>
    <col min="33" max="16384" width="9.140625" style="1"/>
  </cols>
  <sheetData>
    <row r="2" spans="1:10" s="13" customFormat="1" ht="18" x14ac:dyDescent="0.2">
      <c r="B2" s="13" t="s">
        <v>153</v>
      </c>
    </row>
    <row r="4" spans="1:10" x14ac:dyDescent="0.2">
      <c r="B4" s="20" t="s">
        <v>13</v>
      </c>
    </row>
    <row r="5" spans="1:10" x14ac:dyDescent="0.2">
      <c r="B5" s="16" t="s">
        <v>115</v>
      </c>
      <c r="G5" s="14"/>
      <c r="H5" s="14"/>
    </row>
    <row r="7" spans="1:10" s="6" customFormat="1" x14ac:dyDescent="0.2">
      <c r="A7" s="38"/>
      <c r="B7" s="6" t="s">
        <v>6</v>
      </c>
      <c r="C7" s="6" t="s">
        <v>10</v>
      </c>
      <c r="D7" s="38"/>
      <c r="E7" s="38" t="s">
        <v>7</v>
      </c>
      <c r="G7" s="38" t="s">
        <v>80</v>
      </c>
      <c r="H7" s="38" t="s">
        <v>81</v>
      </c>
      <c r="J7" s="6" t="s">
        <v>9</v>
      </c>
    </row>
    <row r="9" spans="1:10" s="6" customFormat="1" x14ac:dyDescent="0.2">
      <c r="A9" s="38"/>
      <c r="B9" s="6" t="s">
        <v>114</v>
      </c>
      <c r="D9" s="38"/>
      <c r="E9" s="38"/>
      <c r="H9" s="38"/>
    </row>
    <row r="10" spans="1:10" x14ac:dyDescent="0.2">
      <c r="B10" s="20"/>
    </row>
    <row r="11" spans="1:10" x14ac:dyDescent="0.2">
      <c r="B11" s="20" t="s">
        <v>74</v>
      </c>
    </row>
    <row r="12" spans="1:10" x14ac:dyDescent="0.2">
      <c r="B12" s="1" t="s">
        <v>136</v>
      </c>
      <c r="C12" s="1" t="s">
        <v>4</v>
      </c>
      <c r="E12" s="36">
        <f>Parameters!E35</f>
        <v>0.06</v>
      </c>
    </row>
    <row r="13" spans="1:10" x14ac:dyDescent="0.2">
      <c r="B13" s="42" t="s">
        <v>140</v>
      </c>
      <c r="C13" s="1" t="s">
        <v>4</v>
      </c>
      <c r="E13" s="36">
        <f>Parameters!E49</f>
        <v>6.0899999999999954E-2</v>
      </c>
    </row>
    <row r="14" spans="1:10" x14ac:dyDescent="0.2">
      <c r="B14" s="1" t="s">
        <v>62</v>
      </c>
      <c r="C14" s="1" t="s">
        <v>4</v>
      </c>
      <c r="E14" s="66">
        <f>Parameters!E39</f>
        <v>0.5</v>
      </c>
    </row>
    <row r="16" spans="1:10" x14ac:dyDescent="0.2">
      <c r="B16" s="20" t="s">
        <v>154</v>
      </c>
      <c r="J16" s="16" t="s">
        <v>87</v>
      </c>
    </row>
    <row r="17" spans="1:10" x14ac:dyDescent="0.2">
      <c r="B17" s="42" t="s">
        <v>155</v>
      </c>
      <c r="C17" s="42" t="s">
        <v>152</v>
      </c>
      <c r="G17" s="43">
        <f>'Fixed-variable costs 2021'!G50</f>
        <v>1265844.7558091513</v>
      </c>
      <c r="H17" s="43">
        <f>'Fixed-variable costs 2021'!H50</f>
        <v>805928.89759044838</v>
      </c>
      <c r="J17" s="16"/>
    </row>
    <row r="18" spans="1:10" x14ac:dyDescent="0.2">
      <c r="B18" s="42" t="s">
        <v>156</v>
      </c>
      <c r="C18" s="42" t="s">
        <v>162</v>
      </c>
      <c r="G18" s="61">
        <f>'Fixed-variable costs 2021'!G51</f>
        <v>3.6889697311703641E-2</v>
      </c>
      <c r="H18" s="58">
        <f>'Fixed-variable costs 2021'!H51</f>
        <v>40.514053495927797</v>
      </c>
      <c r="J18" s="16"/>
    </row>
    <row r="19" spans="1:10" x14ac:dyDescent="0.2">
      <c r="J19" s="16"/>
    </row>
    <row r="20" spans="1:10" x14ac:dyDescent="0.2">
      <c r="B20" s="20" t="s">
        <v>157</v>
      </c>
      <c r="J20" s="16"/>
    </row>
    <row r="21" spans="1:10" x14ac:dyDescent="0.2">
      <c r="B21" s="42" t="s">
        <v>158</v>
      </c>
      <c r="C21" s="42" t="s">
        <v>152</v>
      </c>
      <c r="G21" s="34">
        <f>'Realization of 2021'!G12</f>
        <v>2639944.3789506657</v>
      </c>
      <c r="H21" s="43">
        <f>'Realization of 2021'!H12</f>
        <v>3724718.473810961</v>
      </c>
      <c r="J21" s="16"/>
    </row>
    <row r="22" spans="1:10" x14ac:dyDescent="0.2">
      <c r="B22" s="1" t="s">
        <v>159</v>
      </c>
      <c r="C22" s="1" t="s">
        <v>152</v>
      </c>
      <c r="G22" s="34">
        <f>'Realization of 2021'!G13</f>
        <v>151977.48804965636</v>
      </c>
      <c r="H22" s="43">
        <f>'Realization of 2021'!H13</f>
        <v>292082.02750820102</v>
      </c>
      <c r="J22" s="16"/>
    </row>
    <row r="23" spans="1:10" s="42" customFormat="1" x14ac:dyDescent="0.2">
      <c r="B23" s="42" t="s">
        <v>160</v>
      </c>
      <c r="C23" s="42" t="s">
        <v>152</v>
      </c>
      <c r="G23" s="43">
        <f>'Realization of 2021'!G16</f>
        <v>1325806.69</v>
      </c>
      <c r="H23" s="43">
        <f>'Realization of 2021'!H16</f>
        <v>951943.21000000008</v>
      </c>
      <c r="J23" s="16"/>
    </row>
    <row r="24" spans="1:10" s="42" customFormat="1" x14ac:dyDescent="0.2">
      <c r="A24" s="7"/>
      <c r="B24" s="42" t="s">
        <v>161</v>
      </c>
      <c r="C24" s="42" t="s">
        <v>152</v>
      </c>
      <c r="G24" s="43">
        <f>'Realization of 2021'!G17</f>
        <v>40142.92</v>
      </c>
      <c r="H24" s="43">
        <f>'Realization of 2021'!H17</f>
        <v>114221.8</v>
      </c>
      <c r="J24" s="16"/>
    </row>
    <row r="25" spans="1:10" s="42" customFormat="1" x14ac:dyDescent="0.2">
      <c r="J25" s="16"/>
    </row>
    <row r="26" spans="1:10" s="42" customFormat="1" x14ac:dyDescent="0.2">
      <c r="B26" s="41" t="s">
        <v>63</v>
      </c>
      <c r="J26" s="16"/>
    </row>
    <row r="27" spans="1:10" s="21" customFormat="1" x14ac:dyDescent="0.2">
      <c r="B27" s="21" t="s">
        <v>64</v>
      </c>
      <c r="C27" s="21" t="s">
        <v>65</v>
      </c>
      <c r="G27" s="21" t="s">
        <v>11</v>
      </c>
      <c r="H27" s="21" t="s">
        <v>66</v>
      </c>
      <c r="J27" s="70"/>
    </row>
    <row r="28" spans="1:10" s="42" customFormat="1" x14ac:dyDescent="0.2">
      <c r="B28" s="42" t="s">
        <v>144</v>
      </c>
      <c r="C28" s="42" t="s">
        <v>65</v>
      </c>
      <c r="G28" s="43">
        <f>'Realization of 2021'!G23</f>
        <v>9117879.7100000009</v>
      </c>
      <c r="H28" s="43">
        <f>'Realization of 2021'!H23</f>
        <v>12005.784615384611</v>
      </c>
      <c r="J28" s="16"/>
    </row>
    <row r="29" spans="1:10" x14ac:dyDescent="0.2">
      <c r="J29" s="16"/>
    </row>
    <row r="30" spans="1:10" s="6" customFormat="1" x14ac:dyDescent="0.2">
      <c r="A30" s="38"/>
      <c r="B30" s="6" t="s">
        <v>163</v>
      </c>
      <c r="D30" s="38"/>
      <c r="E30" s="38"/>
      <c r="H30" s="38"/>
      <c r="J30" s="45"/>
    </row>
    <row r="31" spans="1:10" x14ac:dyDescent="0.2">
      <c r="J31" s="16"/>
    </row>
    <row r="32" spans="1:10" x14ac:dyDescent="0.2">
      <c r="B32" s="20" t="s">
        <v>164</v>
      </c>
      <c r="J32" s="16"/>
    </row>
    <row r="33" spans="1:10" x14ac:dyDescent="0.2">
      <c r="B33" s="42" t="s">
        <v>165</v>
      </c>
      <c r="C33" s="1" t="s">
        <v>152</v>
      </c>
      <c r="G33" s="33">
        <f>G28*G18+G17</f>
        <v>1602200.5784355756</v>
      </c>
      <c r="H33" s="39">
        <f>H28*H18+H17</f>
        <v>1292331.8977587274</v>
      </c>
      <c r="J33" s="16"/>
    </row>
    <row r="34" spans="1:10" x14ac:dyDescent="0.2">
      <c r="J34" s="16"/>
    </row>
    <row r="35" spans="1:10" x14ac:dyDescent="0.2">
      <c r="B35" s="20" t="s">
        <v>166</v>
      </c>
      <c r="J35" s="16"/>
    </row>
    <row r="36" spans="1:10" x14ac:dyDescent="0.2">
      <c r="B36" s="42" t="s">
        <v>167</v>
      </c>
      <c r="C36" s="1" t="s">
        <v>152</v>
      </c>
      <c r="G36" s="33">
        <f>(G21*$E$12)+G22</f>
        <v>310374.15078669629</v>
      </c>
      <c r="H36" s="39">
        <f>(H21*$E$12)+H22</f>
        <v>515565.13593685871</v>
      </c>
      <c r="J36" s="16"/>
    </row>
    <row r="37" spans="1:10" s="42" customFormat="1" x14ac:dyDescent="0.2">
      <c r="B37" s="42" t="s">
        <v>168</v>
      </c>
      <c r="C37" s="42" t="s">
        <v>152</v>
      </c>
      <c r="G37" s="39">
        <f>G23-G24</f>
        <v>1285663.77</v>
      </c>
      <c r="H37" s="39">
        <f>H23-H24</f>
        <v>837721.41</v>
      </c>
      <c r="J37" s="16"/>
    </row>
    <row r="38" spans="1:10" x14ac:dyDescent="0.2">
      <c r="B38" s="1" t="s">
        <v>169</v>
      </c>
      <c r="C38" s="1" t="s">
        <v>152</v>
      </c>
      <c r="G38" s="39">
        <f>G36+G37</f>
        <v>1596037.9207866963</v>
      </c>
      <c r="H38" s="39">
        <f>H36+H37</f>
        <v>1353286.5459368587</v>
      </c>
      <c r="J38" s="16"/>
    </row>
    <row r="39" spans="1:10" x14ac:dyDescent="0.2">
      <c r="J39" s="16"/>
    </row>
    <row r="40" spans="1:10" x14ac:dyDescent="0.2">
      <c r="B40" s="20" t="s">
        <v>14</v>
      </c>
      <c r="J40" s="16"/>
    </row>
    <row r="41" spans="1:10" x14ac:dyDescent="0.2">
      <c r="B41" s="42" t="s">
        <v>170</v>
      </c>
      <c r="C41" s="1" t="s">
        <v>152</v>
      </c>
      <c r="G41" s="39">
        <f>G33-G38</f>
        <v>6162.6576488793362</v>
      </c>
      <c r="H41" s="39">
        <f>H33-H38</f>
        <v>-60954.64817813132</v>
      </c>
      <c r="J41" s="16" t="s">
        <v>88</v>
      </c>
    </row>
    <row r="42" spans="1:10" s="42" customFormat="1" x14ac:dyDescent="0.2">
      <c r="J42" s="16"/>
    </row>
    <row r="43" spans="1:10" x14ac:dyDescent="0.2">
      <c r="B43" s="16" t="s">
        <v>171</v>
      </c>
      <c r="C43" s="1" t="s">
        <v>152</v>
      </c>
      <c r="G43" s="39">
        <f>$E$14*G41*(-1)</f>
        <v>-3081.3288244396681</v>
      </c>
      <c r="H43" s="39">
        <f>$E$14*H41*(-1)</f>
        <v>30477.32408906566</v>
      </c>
      <c r="J43" s="16" t="s">
        <v>172</v>
      </c>
    </row>
    <row r="44" spans="1:10" x14ac:dyDescent="0.2">
      <c r="A44" s="7"/>
      <c r="B44" s="16" t="s">
        <v>171</v>
      </c>
      <c r="C44" s="42" t="s">
        <v>129</v>
      </c>
      <c r="G44" s="44">
        <f>G43*(1+$E$13)</f>
        <v>-3268.9817498480438</v>
      </c>
      <c r="H44" s="44">
        <f>H43*(1+$E$13)</f>
        <v>32333.393126089759</v>
      </c>
      <c r="J44" s="16" t="s">
        <v>172</v>
      </c>
    </row>
  </sheetData>
  <phoneticPr fontId="29"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A2:J44"/>
  <sheetViews>
    <sheetView showGridLines="0" zoomScale="85" zoomScaleNormal="85" workbookViewId="0">
      <pane xSplit="3" ySplit="7" topLeftCell="D8" activePane="bottomRight" state="frozen"/>
      <selection pane="topRight"/>
      <selection pane="bottomLeft"/>
      <selection pane="bottomRight" activeCell="D8" sqref="D8"/>
    </sheetView>
  </sheetViews>
  <sheetFormatPr defaultRowHeight="12.75" x14ac:dyDescent="0.2"/>
  <cols>
    <col min="1" max="1" width="4.5703125" style="42" customWidth="1"/>
    <col min="2" max="2" width="48" style="42" customWidth="1"/>
    <col min="3" max="3" width="15.5703125" style="42" customWidth="1"/>
    <col min="4" max="4" width="2.7109375" style="42" customWidth="1"/>
    <col min="5" max="5" width="13.7109375" style="42" customWidth="1"/>
    <col min="6" max="6" width="2.7109375" style="42" customWidth="1"/>
    <col min="7" max="7" width="21.7109375" style="42" customWidth="1"/>
    <col min="8" max="8" width="21.7109375" style="40" customWidth="1"/>
    <col min="9" max="9" width="2.7109375" style="42" customWidth="1"/>
    <col min="10" max="10" width="30.7109375" style="42" customWidth="1"/>
    <col min="11" max="11" width="2.7109375" style="42" customWidth="1"/>
    <col min="12" max="21" width="12.5703125" style="42" customWidth="1"/>
    <col min="22" max="24" width="2.7109375" style="42" customWidth="1"/>
    <col min="25" max="39" width="13.7109375" style="42" customWidth="1"/>
    <col min="40" max="16384" width="9.140625" style="42"/>
  </cols>
  <sheetData>
    <row r="2" spans="2:10" s="13" customFormat="1" ht="18" x14ac:dyDescent="0.2">
      <c r="B2" s="13" t="s">
        <v>138</v>
      </c>
    </row>
    <row r="4" spans="2:10" x14ac:dyDescent="0.2">
      <c r="B4" s="20" t="s">
        <v>13</v>
      </c>
    </row>
    <row r="5" spans="2:10" x14ac:dyDescent="0.2">
      <c r="B5" s="16" t="s">
        <v>139</v>
      </c>
      <c r="G5" s="14"/>
    </row>
    <row r="7" spans="2:10" s="38" customFormat="1" x14ac:dyDescent="0.2">
      <c r="B7" s="38" t="s">
        <v>6</v>
      </c>
      <c r="C7" s="38" t="s">
        <v>10</v>
      </c>
      <c r="E7" s="38" t="s">
        <v>7</v>
      </c>
      <c r="G7" s="38" t="s">
        <v>80</v>
      </c>
      <c r="H7" s="38" t="s">
        <v>81</v>
      </c>
      <c r="J7" s="38" t="s">
        <v>9</v>
      </c>
    </row>
    <row r="9" spans="2:10" s="38" customFormat="1" x14ac:dyDescent="0.2">
      <c r="B9" s="38" t="s">
        <v>68</v>
      </c>
    </row>
    <row r="10" spans="2:10" x14ac:dyDescent="0.2">
      <c r="H10" s="42"/>
    </row>
    <row r="11" spans="2:10" x14ac:dyDescent="0.2">
      <c r="B11" s="41" t="s">
        <v>74</v>
      </c>
      <c r="H11" s="42"/>
    </row>
    <row r="12" spans="2:10" x14ac:dyDescent="0.2">
      <c r="B12" s="42" t="s">
        <v>140</v>
      </c>
      <c r="C12" s="42" t="s">
        <v>4</v>
      </c>
      <c r="E12" s="36">
        <f>Parameters!E49</f>
        <v>6.0899999999999954E-2</v>
      </c>
      <c r="H12" s="42"/>
    </row>
    <row r="13" spans="2:10" x14ac:dyDescent="0.2">
      <c r="B13" s="41"/>
      <c r="H13" s="42"/>
    </row>
    <row r="14" spans="2:10" x14ac:dyDescent="0.2">
      <c r="B14" s="42" t="s">
        <v>62</v>
      </c>
      <c r="C14" s="42" t="s">
        <v>4</v>
      </c>
      <c r="E14" s="66">
        <f>Parameters!E39</f>
        <v>0.5</v>
      </c>
      <c r="H14" s="42"/>
    </row>
    <row r="15" spans="2:10" x14ac:dyDescent="0.2">
      <c r="H15" s="42"/>
    </row>
    <row r="16" spans="2:10" x14ac:dyDescent="0.2">
      <c r="B16" s="60" t="s">
        <v>102</v>
      </c>
      <c r="H16" s="42"/>
    </row>
    <row r="17" spans="2:10" x14ac:dyDescent="0.2">
      <c r="B17" s="42" t="s">
        <v>141</v>
      </c>
      <c r="C17" s="42" t="s">
        <v>234</v>
      </c>
      <c r="G17" s="61">
        <f>'Estimation for 2021'!G28</f>
        <v>0.2677815135981198</v>
      </c>
      <c r="H17" s="54"/>
    </row>
    <row r="18" spans="2:10" x14ac:dyDescent="0.2">
      <c r="B18" s="42" t="s">
        <v>142</v>
      </c>
      <c r="C18" s="42" t="s">
        <v>234</v>
      </c>
      <c r="G18" s="61">
        <f>'Estimation for 2021'!G29</f>
        <v>0.30204637051803163</v>
      </c>
      <c r="H18" s="54"/>
    </row>
    <row r="19" spans="2:10" x14ac:dyDescent="0.2">
      <c r="B19" s="42" t="s">
        <v>143</v>
      </c>
      <c r="C19" s="42" t="s">
        <v>12</v>
      </c>
      <c r="G19" s="62">
        <f>(G17+G18)/2</f>
        <v>0.28491394205807574</v>
      </c>
      <c r="H19" s="54"/>
      <c r="J19" s="16" t="s">
        <v>116</v>
      </c>
    </row>
    <row r="20" spans="2:10" x14ac:dyDescent="0.2">
      <c r="B20" s="42" t="s">
        <v>144</v>
      </c>
      <c r="C20" s="42" t="s">
        <v>11</v>
      </c>
      <c r="G20" s="43">
        <f>'Realization of 2021'!G23</f>
        <v>9117879.7100000009</v>
      </c>
      <c r="H20" s="54"/>
      <c r="J20" s="16"/>
    </row>
    <row r="21" spans="2:10" x14ac:dyDescent="0.2">
      <c r="H21" s="42"/>
      <c r="J21" s="16"/>
    </row>
    <row r="22" spans="2:10" x14ac:dyDescent="0.2">
      <c r="B22" s="42" t="s">
        <v>145</v>
      </c>
      <c r="C22" s="42" t="s">
        <v>4</v>
      </c>
      <c r="G22" s="54"/>
      <c r="H22" s="36">
        <f>'Estimation for 2021'!H26</f>
        <v>7.9277824895729071E-2</v>
      </c>
      <c r="J22" s="16"/>
    </row>
    <row r="23" spans="2:10" x14ac:dyDescent="0.2">
      <c r="B23" s="42" t="s">
        <v>146</v>
      </c>
      <c r="C23" s="42" t="s">
        <v>4</v>
      </c>
      <c r="G23" s="54"/>
      <c r="H23" s="36">
        <f>'Realization of 2021'!H25</f>
        <v>7.9311526692645948E-2</v>
      </c>
      <c r="J23" s="16"/>
    </row>
    <row r="24" spans="2:10" x14ac:dyDescent="0.2">
      <c r="H24" s="42"/>
      <c r="J24" s="16"/>
    </row>
    <row r="25" spans="2:10" s="38" customFormat="1" x14ac:dyDescent="0.2">
      <c r="B25" s="38" t="s">
        <v>147</v>
      </c>
      <c r="J25" s="45"/>
    </row>
    <row r="26" spans="2:10" x14ac:dyDescent="0.2">
      <c r="H26" s="42"/>
      <c r="J26" s="16"/>
    </row>
    <row r="27" spans="2:10" x14ac:dyDescent="0.2">
      <c r="B27" s="42" t="s">
        <v>148</v>
      </c>
      <c r="C27" s="42" t="s">
        <v>152</v>
      </c>
      <c r="G27" s="54"/>
      <c r="H27" s="39">
        <f>$G$19*$G$20*H22</f>
        <v>205948.80964408367</v>
      </c>
      <c r="J27" s="16"/>
    </row>
    <row r="28" spans="2:10" x14ac:dyDescent="0.2">
      <c r="B28" s="42" t="s">
        <v>149</v>
      </c>
      <c r="C28" s="42" t="s">
        <v>152</v>
      </c>
      <c r="G28" s="54"/>
      <c r="H28" s="39">
        <f>$G$19*$G$20*H23</f>
        <v>206036.36054456595</v>
      </c>
      <c r="J28" s="16"/>
    </row>
    <row r="29" spans="2:10" x14ac:dyDescent="0.2">
      <c r="H29" s="42"/>
      <c r="J29" s="16"/>
    </row>
    <row r="30" spans="2:10" x14ac:dyDescent="0.2">
      <c r="B30" s="41" t="s">
        <v>14</v>
      </c>
      <c r="H30" s="42"/>
      <c r="J30" s="16"/>
    </row>
    <row r="31" spans="2:10" x14ac:dyDescent="0.2">
      <c r="B31" s="42" t="s">
        <v>150</v>
      </c>
      <c r="C31" s="42" t="s">
        <v>152</v>
      </c>
      <c r="G31" s="54"/>
      <c r="H31" s="39">
        <f>H27-H28</f>
        <v>-87.550900482281577</v>
      </c>
      <c r="J31" s="16" t="s">
        <v>88</v>
      </c>
    </row>
    <row r="32" spans="2:10" x14ac:dyDescent="0.2">
      <c r="H32" s="42"/>
      <c r="J32" s="16"/>
    </row>
    <row r="33" spans="1:10" x14ac:dyDescent="0.2">
      <c r="B33" s="42" t="s">
        <v>151</v>
      </c>
      <c r="C33" s="42" t="s">
        <v>152</v>
      </c>
      <c r="G33" s="54"/>
      <c r="H33" s="39">
        <f>E14*H31*(-1)</f>
        <v>43.775450241140788</v>
      </c>
      <c r="J33" s="16" t="s">
        <v>173</v>
      </c>
    </row>
    <row r="34" spans="1:10" x14ac:dyDescent="0.2">
      <c r="A34" s="7"/>
      <c r="B34" s="42" t="s">
        <v>151</v>
      </c>
      <c r="C34" s="42" t="s">
        <v>129</v>
      </c>
      <c r="G34" s="54"/>
      <c r="H34" s="44">
        <f>H33*(1+$E$12)</f>
        <v>46.441375160826261</v>
      </c>
      <c r="J34" s="16" t="s">
        <v>173</v>
      </c>
    </row>
    <row r="35" spans="1:10" x14ac:dyDescent="0.2">
      <c r="H35" s="42"/>
    </row>
    <row r="36" spans="1:10" x14ac:dyDescent="0.2">
      <c r="H36" s="42"/>
    </row>
    <row r="37" spans="1:10" x14ac:dyDescent="0.2">
      <c r="H37" s="42"/>
    </row>
    <row r="38" spans="1:10" x14ac:dyDescent="0.2">
      <c r="H38" s="42"/>
    </row>
    <row r="39" spans="1:10" x14ac:dyDescent="0.2">
      <c r="H39" s="42"/>
    </row>
    <row r="40" spans="1:10" x14ac:dyDescent="0.2">
      <c r="H40" s="42"/>
    </row>
    <row r="41" spans="1:10" x14ac:dyDescent="0.2">
      <c r="H41" s="42"/>
    </row>
    <row r="42" spans="1:10" ht="12.75" customHeight="1" x14ac:dyDescent="0.2">
      <c r="H42" s="42"/>
    </row>
    <row r="43" spans="1:10" ht="12.75" customHeight="1" x14ac:dyDescent="0.2">
      <c r="H43" s="42"/>
    </row>
    <row r="44" spans="1:10" ht="12.75" customHeight="1" x14ac:dyDescent="0.2">
      <c r="H44" s="4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CCC8D9"/>
  </sheetPr>
  <dimension ref="B2:F34"/>
  <sheetViews>
    <sheetView showGridLines="0"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42" customWidth="1"/>
    <col min="2" max="2" width="19.140625" style="42" customWidth="1"/>
    <col min="3" max="3" width="20.7109375" style="42" customWidth="1"/>
    <col min="4" max="4" width="56.85546875" style="42" customWidth="1"/>
    <col min="5" max="5" width="29.85546875" style="42" customWidth="1"/>
    <col min="6" max="6" width="24.7109375" style="42" customWidth="1"/>
    <col min="7" max="7" width="37.28515625" style="42" customWidth="1"/>
    <col min="8" max="16384" width="9.140625" style="42"/>
  </cols>
  <sheetData>
    <row r="2" spans="2:6" s="5" customFormat="1" ht="18" x14ac:dyDescent="0.2">
      <c r="B2" s="5" t="s">
        <v>27</v>
      </c>
    </row>
    <row r="4" spans="2:6" s="38" customFormat="1" x14ac:dyDescent="0.2">
      <c r="B4" s="38" t="s">
        <v>28</v>
      </c>
    </row>
    <row r="6" spans="2:6" x14ac:dyDescent="0.2">
      <c r="B6" s="16" t="s">
        <v>128</v>
      </c>
    </row>
    <row r="9" spans="2:6" s="38" customFormat="1" x14ac:dyDescent="0.2">
      <c r="B9" s="38" t="s">
        <v>29</v>
      </c>
    </row>
    <row r="10" spans="2:6" x14ac:dyDescent="0.2">
      <c r="C10" s="7"/>
    </row>
    <row r="11" spans="2:6" x14ac:dyDescent="0.2">
      <c r="B11" s="20" t="s">
        <v>30</v>
      </c>
      <c r="C11" s="7"/>
      <c r="D11" s="20" t="s">
        <v>31</v>
      </c>
      <c r="F11" s="9"/>
    </row>
    <row r="12" spans="2:6" x14ac:dyDescent="0.2">
      <c r="C12" s="7"/>
    </row>
    <row r="13" spans="2:6" x14ac:dyDescent="0.2">
      <c r="B13" s="25">
        <v>123</v>
      </c>
      <c r="C13" s="7"/>
      <c r="D13" s="16" t="s">
        <v>32</v>
      </c>
    </row>
    <row r="14" spans="2:6" x14ac:dyDescent="0.2">
      <c r="B14" s="26">
        <f>B13</f>
        <v>123</v>
      </c>
      <c r="C14" s="7"/>
      <c r="D14" s="42" t="s">
        <v>33</v>
      </c>
    </row>
    <row r="15" spans="2:6" x14ac:dyDescent="0.2">
      <c r="B15" s="24">
        <f>B14+B13</f>
        <v>246</v>
      </c>
      <c r="C15" s="7"/>
      <c r="D15" s="42" t="s">
        <v>34</v>
      </c>
    </row>
    <row r="16" spans="2:6" x14ac:dyDescent="0.2">
      <c r="B16" s="23">
        <f>B14+B15</f>
        <v>369</v>
      </c>
      <c r="C16" s="7"/>
      <c r="D16" s="16" t="s">
        <v>35</v>
      </c>
      <c r="E16" s="9"/>
      <c r="F16" s="3"/>
    </row>
    <row r="17" spans="2:5" x14ac:dyDescent="0.2">
      <c r="B17" s="10"/>
      <c r="C17" s="7"/>
      <c r="D17" s="16" t="s">
        <v>36</v>
      </c>
      <c r="E17" s="9"/>
    </row>
    <row r="18" spans="2:5" x14ac:dyDescent="0.2">
      <c r="B18" s="7"/>
      <c r="C18" s="7"/>
    </row>
    <row r="19" spans="2:5" x14ac:dyDescent="0.2">
      <c r="B19" s="21" t="s">
        <v>37</v>
      </c>
      <c r="C19" s="7"/>
    </row>
    <row r="20" spans="2:5" x14ac:dyDescent="0.2">
      <c r="B20" s="27">
        <f>B16+16</f>
        <v>385</v>
      </c>
      <c r="C20" s="7"/>
      <c r="D20" s="42" t="s">
        <v>38</v>
      </c>
    </row>
    <row r="21" spans="2:5" x14ac:dyDescent="0.2">
      <c r="B21" s="28">
        <f>B14*PI()</f>
        <v>386.41589639154455</v>
      </c>
      <c r="C21" s="12"/>
      <c r="D21" s="42" t="s">
        <v>39</v>
      </c>
    </row>
    <row r="22" spans="2:5" x14ac:dyDescent="0.2">
      <c r="B22" s="12"/>
      <c r="C22" s="12"/>
    </row>
    <row r="24" spans="2:5" x14ac:dyDescent="0.2">
      <c r="B24" s="20" t="s">
        <v>40</v>
      </c>
    </row>
    <row r="25" spans="2:5" x14ac:dyDescent="0.2">
      <c r="B25" s="41"/>
    </row>
    <row r="26" spans="2:5" x14ac:dyDescent="0.2">
      <c r="B26" s="21" t="s">
        <v>41</v>
      </c>
    </row>
    <row r="27" spans="2:5" x14ac:dyDescent="0.2">
      <c r="B27" s="49" t="s">
        <v>42</v>
      </c>
      <c r="C27" s="7"/>
      <c r="D27" s="16" t="s">
        <v>43</v>
      </c>
    </row>
    <row r="28" spans="2:5" x14ac:dyDescent="0.2">
      <c r="B28" s="50" t="s">
        <v>0</v>
      </c>
      <c r="C28" s="7"/>
      <c r="D28" s="16" t="s">
        <v>44</v>
      </c>
    </row>
    <row r="29" spans="2:5" x14ac:dyDescent="0.2">
      <c r="B29" s="51" t="s">
        <v>45</v>
      </c>
      <c r="C29" s="7"/>
      <c r="D29" s="16" t="s">
        <v>46</v>
      </c>
    </row>
    <row r="30" spans="2:5" x14ac:dyDescent="0.2">
      <c r="B30" s="11" t="s">
        <v>45</v>
      </c>
      <c r="C30" s="7"/>
      <c r="D30" s="16" t="s">
        <v>47</v>
      </c>
    </row>
    <row r="31" spans="2:5" x14ac:dyDescent="0.2">
      <c r="C31" s="7"/>
      <c r="D31" s="16"/>
    </row>
    <row r="32" spans="2:5" x14ac:dyDescent="0.2">
      <c r="B32" s="21" t="s">
        <v>48</v>
      </c>
      <c r="C32" s="7"/>
      <c r="D32" s="16"/>
    </row>
    <row r="33" spans="2:4" x14ac:dyDescent="0.2">
      <c r="B33" s="15" t="s">
        <v>1</v>
      </c>
      <c r="C33" s="7"/>
      <c r="D33" s="16" t="s">
        <v>49</v>
      </c>
    </row>
    <row r="34" spans="2:4" x14ac:dyDescent="0.2">
      <c r="B34" s="52" t="s">
        <v>50</v>
      </c>
      <c r="D34" s="16" t="s">
        <v>51</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C8D9"/>
  </sheetPr>
  <dimension ref="A2:K31"/>
  <sheetViews>
    <sheetView showGridLines="0" zoomScale="85" zoomScaleNormal="85" workbookViewId="0">
      <pane ySplit="3" topLeftCell="A4" activePane="bottomLeft" state="frozen"/>
      <selection activeCell="A4" sqref="A4"/>
      <selection pane="bottomLeft" activeCell="A4" sqref="A4"/>
    </sheetView>
  </sheetViews>
  <sheetFormatPr defaultRowHeight="12.75" x14ac:dyDescent="0.2"/>
  <cols>
    <col min="1" max="1" width="2.85546875" style="1" customWidth="1"/>
    <col min="2" max="2" width="7.5703125" style="1" customWidth="1"/>
    <col min="3" max="3" width="50" style="1" bestFit="1" customWidth="1"/>
    <col min="4" max="4" width="54.42578125" style="1" customWidth="1"/>
    <col min="5" max="5" width="118.28515625" style="1" customWidth="1"/>
    <col min="6" max="6" width="4.5703125" style="1" customWidth="1"/>
    <col min="7" max="7" width="43.42578125" style="1" customWidth="1"/>
    <col min="8" max="8" width="28.7109375" style="1" customWidth="1"/>
    <col min="9" max="9" width="18.42578125" style="1" customWidth="1"/>
    <col min="10" max="11" width="58.42578125" style="1" customWidth="1"/>
    <col min="12" max="16384" width="9.140625" style="1"/>
  </cols>
  <sheetData>
    <row r="2" spans="2:11" s="5" customFormat="1" ht="18" x14ac:dyDescent="0.2">
      <c r="B2" s="5" t="s">
        <v>52</v>
      </c>
    </row>
    <row r="3" spans="2:11" s="42" customFormat="1" x14ac:dyDescent="0.2"/>
    <row r="4" spans="2:11" s="38" customFormat="1" x14ac:dyDescent="0.2">
      <c r="B4" s="38" t="s">
        <v>53</v>
      </c>
    </row>
    <row r="5" spans="2:11" s="42" customFormat="1" x14ac:dyDescent="0.2"/>
    <row r="6" spans="2:11" s="42" customFormat="1" x14ac:dyDescent="0.2">
      <c r="B6" s="2" t="s">
        <v>76</v>
      </c>
    </row>
    <row r="7" spans="2:11" s="42" customFormat="1" x14ac:dyDescent="0.2">
      <c r="B7" s="2" t="s">
        <v>54</v>
      </c>
    </row>
    <row r="8" spans="2:11" x14ac:dyDescent="0.2">
      <c r="G8" s="42"/>
      <c r="H8" s="42"/>
      <c r="I8" s="42"/>
      <c r="J8" s="42"/>
      <c r="K8" s="42"/>
    </row>
    <row r="9" spans="2:11" s="42" customFormat="1" x14ac:dyDescent="0.2">
      <c r="B9" s="53" t="s">
        <v>22</v>
      </c>
      <c r="C9" s="53" t="s">
        <v>55</v>
      </c>
      <c r="D9" s="53" t="s">
        <v>56</v>
      </c>
      <c r="E9" s="53" t="s">
        <v>57</v>
      </c>
    </row>
    <row r="10" spans="2:11" s="42" customFormat="1" x14ac:dyDescent="0.2">
      <c r="B10" s="17"/>
      <c r="C10" s="17" t="s">
        <v>58</v>
      </c>
      <c r="D10" s="17" t="s">
        <v>59</v>
      </c>
      <c r="E10" s="17" t="s">
        <v>60</v>
      </c>
    </row>
    <row r="11" spans="2:11" x14ac:dyDescent="0.2">
      <c r="B11" s="18">
        <v>1</v>
      </c>
      <c r="C11" s="18" t="s">
        <v>79</v>
      </c>
      <c r="D11" s="71" t="s">
        <v>103</v>
      </c>
      <c r="E11" s="74" t="s">
        <v>104</v>
      </c>
      <c r="G11" s="42"/>
      <c r="H11" s="42"/>
      <c r="I11" s="42"/>
      <c r="J11" s="42"/>
      <c r="K11" s="42"/>
    </row>
    <row r="12" spans="2:11" s="42" customFormat="1" x14ac:dyDescent="0.2">
      <c r="B12" s="18">
        <v>2</v>
      </c>
      <c r="C12" s="18" t="s">
        <v>119</v>
      </c>
      <c r="D12" s="81"/>
      <c r="E12" s="74" t="s">
        <v>120</v>
      </c>
    </row>
    <row r="13" spans="2:11" s="42" customFormat="1" x14ac:dyDescent="0.2">
      <c r="B13" s="18">
        <v>3</v>
      </c>
      <c r="C13" s="18" t="s">
        <v>123</v>
      </c>
      <c r="D13" s="81"/>
      <c r="E13" s="74" t="s">
        <v>124</v>
      </c>
    </row>
    <row r="14" spans="2:11" ht="12.75" customHeight="1" x14ac:dyDescent="0.2">
      <c r="B14" s="4">
        <v>4</v>
      </c>
      <c r="C14" s="18" t="s">
        <v>105</v>
      </c>
      <c r="D14" s="71" t="s">
        <v>107</v>
      </c>
      <c r="E14" s="74" t="s">
        <v>106</v>
      </c>
      <c r="G14" s="42"/>
      <c r="H14" s="42"/>
      <c r="I14" s="42"/>
      <c r="J14" s="42"/>
      <c r="K14" s="42"/>
    </row>
    <row r="15" spans="2:11" s="42" customFormat="1" x14ac:dyDescent="0.2">
      <c r="B15" s="4">
        <v>5</v>
      </c>
      <c r="C15" s="16" t="s">
        <v>110</v>
      </c>
      <c r="D15" s="71" t="s">
        <v>109</v>
      </c>
      <c r="E15" s="74" t="s">
        <v>108</v>
      </c>
    </row>
    <row r="16" spans="2:11" s="42" customFormat="1" x14ac:dyDescent="0.2">
      <c r="B16" s="18">
        <v>6</v>
      </c>
      <c r="C16" s="18" t="s">
        <v>239</v>
      </c>
      <c r="D16" s="71" t="s">
        <v>240</v>
      </c>
      <c r="E16" s="74" t="s">
        <v>241</v>
      </c>
    </row>
    <row r="17" spans="1:11" s="42" customFormat="1" x14ac:dyDescent="0.2">
      <c r="B17" s="18">
        <v>7</v>
      </c>
      <c r="C17" s="72" t="s">
        <v>242</v>
      </c>
      <c r="D17" s="18" t="s">
        <v>243</v>
      </c>
      <c r="E17" s="74" t="s">
        <v>244</v>
      </c>
    </row>
    <row r="18" spans="1:11" x14ac:dyDescent="0.2">
      <c r="B18" s="18">
        <v>8</v>
      </c>
      <c r="C18" s="72" t="s">
        <v>245</v>
      </c>
      <c r="D18" s="71" t="s">
        <v>246</v>
      </c>
      <c r="E18" s="74" t="s">
        <v>241</v>
      </c>
      <c r="G18" s="42"/>
      <c r="H18" s="42"/>
      <c r="I18" s="42"/>
      <c r="J18" s="42"/>
      <c r="K18" s="42"/>
    </row>
    <row r="19" spans="1:11" s="42" customFormat="1" x14ac:dyDescent="0.2">
      <c r="B19" s="18">
        <v>9</v>
      </c>
      <c r="C19" s="72" t="s">
        <v>221</v>
      </c>
      <c r="D19" s="71" t="s">
        <v>222</v>
      </c>
      <c r="E19" s="4" t="s">
        <v>266</v>
      </c>
    </row>
    <row r="20" spans="1:11" x14ac:dyDescent="0.2">
      <c r="A20" s="42"/>
      <c r="B20" s="4">
        <v>10</v>
      </c>
      <c r="C20" s="18" t="s">
        <v>214</v>
      </c>
      <c r="D20" s="71" t="s">
        <v>215</v>
      </c>
      <c r="E20" s="18"/>
      <c r="G20" s="42"/>
      <c r="H20" s="42"/>
      <c r="I20" s="42"/>
      <c r="J20" s="42"/>
      <c r="K20" s="42"/>
    </row>
    <row r="21" spans="1:11" s="42" customFormat="1" x14ac:dyDescent="0.2">
      <c r="B21" s="18">
        <v>11</v>
      </c>
      <c r="C21" s="18" t="s">
        <v>218</v>
      </c>
      <c r="D21" s="71" t="s">
        <v>219</v>
      </c>
      <c r="E21" s="4"/>
    </row>
    <row r="22" spans="1:11" s="42" customFormat="1" x14ac:dyDescent="0.2">
      <c r="B22" s="18">
        <v>12</v>
      </c>
      <c r="C22" s="18" t="s">
        <v>267</v>
      </c>
      <c r="D22" s="81"/>
      <c r="E22" s="4" t="s">
        <v>266</v>
      </c>
    </row>
    <row r="23" spans="1:11" s="42" customFormat="1" x14ac:dyDescent="0.2">
      <c r="B23" s="4">
        <v>13</v>
      </c>
      <c r="C23" s="18" t="s">
        <v>111</v>
      </c>
      <c r="D23" s="71" t="s">
        <v>112</v>
      </c>
      <c r="E23" s="4" t="s">
        <v>266</v>
      </c>
    </row>
    <row r="24" spans="1:11" x14ac:dyDescent="0.2">
      <c r="C24" s="14"/>
      <c r="E24" s="42"/>
      <c r="G24" s="42"/>
      <c r="H24" s="42"/>
      <c r="I24" s="42"/>
      <c r="J24" s="42"/>
      <c r="K24" s="42"/>
    </row>
    <row r="25" spans="1:11" x14ac:dyDescent="0.2">
      <c r="D25" s="42"/>
      <c r="E25" s="42"/>
      <c r="G25" s="42"/>
      <c r="H25" s="42"/>
      <c r="I25" s="42"/>
      <c r="J25" s="42"/>
      <c r="K25" s="42"/>
    </row>
    <row r="26" spans="1:11" s="38" customFormat="1" x14ac:dyDescent="0.2">
      <c r="B26" s="38" t="s">
        <v>96</v>
      </c>
    </row>
    <row r="27" spans="1:11" s="42" customFormat="1" x14ac:dyDescent="0.2"/>
    <row r="28" spans="1:11" s="42" customFormat="1" x14ac:dyDescent="0.2">
      <c r="B28" s="21" t="s">
        <v>97</v>
      </c>
    </row>
    <row r="29" spans="1:11" s="42" customFormat="1" x14ac:dyDescent="0.2">
      <c r="B29" s="21" t="s">
        <v>98</v>
      </c>
    </row>
    <row r="30" spans="1:11" s="42" customFormat="1" x14ac:dyDescent="0.2"/>
    <row r="31" spans="1:11" s="42" customFormat="1" x14ac:dyDescent="0.2"/>
  </sheetData>
  <hyperlinks>
    <hyperlink ref="E11" r:id="rId1" location="/CBS/nl/dataset/84046NED/table?fromstatweb" xr:uid="{DFB03AA0-9A77-4969-96EB-98A770653813}"/>
    <hyperlink ref="E14" r:id="rId2" xr:uid="{AADB73E4-B461-42C0-A97C-25D7C7FFBB77}"/>
    <hyperlink ref="E15" r:id="rId3" xr:uid="{06BA930C-EB9A-4121-B7B1-05E6CC94FD41}"/>
    <hyperlink ref="E12" r:id="rId4" xr:uid="{C395FC7A-E0FE-4966-B40F-6AE016B50D9A}"/>
    <hyperlink ref="E13" r:id="rId5" xr:uid="{1B546E91-7AD8-40F0-B16B-495A87F820B1}"/>
    <hyperlink ref="E16" r:id="rId6" xr:uid="{D4BA20F7-8A8A-4609-BCE1-BF3DDE3F568F}"/>
    <hyperlink ref="E17" r:id="rId7" xr:uid="{DAB82817-7904-48DD-8BD4-E9A5DA2FFA6F}"/>
    <hyperlink ref="E18" r:id="rId8" xr:uid="{9E539AB4-D2F7-4352-8134-4FE7A7FAD91B}"/>
  </hyperlinks>
  <pageMargins left="0.75" right="0.75" top="1" bottom="1" header="0.5" footer="0.5"/>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CCFFFF"/>
  </sheetPr>
  <dimension ref="A2:J42"/>
  <sheetViews>
    <sheetView showGridLines="0" zoomScale="85" zoomScaleNormal="85" workbookViewId="0">
      <pane xSplit="3" ySplit="8" topLeftCell="D9" activePane="bottomRight" state="frozen"/>
      <selection activeCell="Q51" sqref="Q51"/>
      <selection pane="topRight" activeCell="Q51" sqref="Q51"/>
      <selection pane="bottomLeft" activeCell="Q51" sqref="Q51"/>
      <selection pane="bottomRight" activeCell="D9" sqref="D9"/>
    </sheetView>
  </sheetViews>
  <sheetFormatPr defaultRowHeight="12.75" x14ac:dyDescent="0.2"/>
  <cols>
    <col min="1" max="1" width="2.7109375" style="42" customWidth="1"/>
    <col min="2" max="2" width="54.7109375" style="1" customWidth="1"/>
    <col min="3" max="3" width="13.7109375" style="1" customWidth="1"/>
    <col min="4" max="4" width="2.7109375" style="1" customWidth="1"/>
    <col min="5" max="5" width="13.7109375" style="1" customWidth="1"/>
    <col min="6" max="6" width="2.7109375" style="1" customWidth="1"/>
    <col min="7" max="8" width="21.7109375" style="1" customWidth="1"/>
    <col min="9" max="9" width="2.7109375" style="1" customWidth="1"/>
    <col min="10" max="18" width="12.5703125" style="1" customWidth="1"/>
    <col min="19" max="21" width="2.7109375" style="1" customWidth="1"/>
    <col min="22" max="36" width="13.7109375" style="1" customWidth="1"/>
    <col min="37" max="16384" width="9.140625" style="1"/>
  </cols>
  <sheetData>
    <row r="2" spans="1:10" s="13" customFormat="1" ht="18" x14ac:dyDescent="0.2">
      <c r="A2" s="5"/>
      <c r="B2" s="13" t="s">
        <v>42</v>
      </c>
    </row>
    <row r="4" spans="1:10" x14ac:dyDescent="0.2">
      <c r="B4" s="20" t="s">
        <v>61</v>
      </c>
    </row>
    <row r="5" spans="1:10" x14ac:dyDescent="0.2">
      <c r="B5" s="16" t="s">
        <v>261</v>
      </c>
      <c r="E5" s="14"/>
    </row>
    <row r="7" spans="1:10" s="38" customFormat="1" x14ac:dyDescent="0.2">
      <c r="B7" s="38" t="s">
        <v>6</v>
      </c>
      <c r="C7" s="38" t="s">
        <v>10</v>
      </c>
      <c r="E7" s="38" t="s">
        <v>7</v>
      </c>
      <c r="G7" s="38" t="s">
        <v>80</v>
      </c>
      <c r="H7" s="38" t="s">
        <v>81</v>
      </c>
      <c r="J7" s="38" t="s">
        <v>9</v>
      </c>
    </row>
    <row r="9" spans="1:10" s="38" customFormat="1" x14ac:dyDescent="0.2">
      <c r="B9" s="38" t="s">
        <v>130</v>
      </c>
    </row>
    <row r="11" spans="1:10" s="42" customFormat="1" x14ac:dyDescent="0.2">
      <c r="B11" s="41" t="s">
        <v>131</v>
      </c>
      <c r="J11" s="16"/>
    </row>
    <row r="12" spans="1:10" s="42" customFormat="1" x14ac:dyDescent="0.2">
      <c r="B12" s="42" t="s">
        <v>75</v>
      </c>
      <c r="C12" s="42" t="s">
        <v>129</v>
      </c>
      <c r="G12" s="44">
        <f>'Volume-effect 2021'!G27</f>
        <v>-54351.556217056735</v>
      </c>
      <c r="H12" s="44">
        <f>'Volume-effect 2021'!H27</f>
        <v>-33557.854029989714</v>
      </c>
      <c r="J12" s="16" t="s">
        <v>132</v>
      </c>
    </row>
    <row r="13" spans="1:10" s="42" customFormat="1" x14ac:dyDescent="0.2">
      <c r="B13" s="42" t="s">
        <v>82</v>
      </c>
      <c r="C13" s="42" t="s">
        <v>129</v>
      </c>
      <c r="G13" s="44">
        <f>'Profit sharing 2021'!G44</f>
        <v>-3268.9817498480438</v>
      </c>
      <c r="H13" s="44">
        <f>'Profit sharing 2021'!H44</f>
        <v>32333.393126089759</v>
      </c>
      <c r="J13" s="16" t="s">
        <v>133</v>
      </c>
    </row>
    <row r="14" spans="1:10" s="42" customFormat="1" x14ac:dyDescent="0.2">
      <c r="B14" s="42" t="s">
        <v>83</v>
      </c>
      <c r="C14" s="42" t="s">
        <v>129</v>
      </c>
      <c r="G14" s="59"/>
      <c r="H14" s="44">
        <f>'Network loss 2021'!H34</f>
        <v>46.441375160826261</v>
      </c>
      <c r="J14" s="16" t="s">
        <v>134</v>
      </c>
    </row>
    <row r="15" spans="1:10" s="42" customFormat="1" x14ac:dyDescent="0.2"/>
    <row r="16" spans="1:10" s="42" customFormat="1" x14ac:dyDescent="0.2"/>
    <row r="17" s="42" customFormat="1" x14ac:dyDescent="0.2"/>
    <row r="18" s="42" customFormat="1" x14ac:dyDescent="0.2"/>
    <row r="19" s="42" customFormat="1" x14ac:dyDescent="0.2"/>
    <row r="20" s="42" customFormat="1" x14ac:dyDescent="0.2"/>
    <row r="21" s="42" customFormat="1" x14ac:dyDescent="0.2"/>
    <row r="22" s="42" customFormat="1" x14ac:dyDescent="0.2"/>
    <row r="23" s="42" customFormat="1" x14ac:dyDescent="0.2"/>
    <row r="24" s="42" customFormat="1" x14ac:dyDescent="0.2"/>
    <row r="25" s="42" customFormat="1" x14ac:dyDescent="0.2"/>
    <row r="26" s="42" customFormat="1" x14ac:dyDescent="0.2"/>
    <row r="27" s="42" customFormat="1" x14ac:dyDescent="0.2"/>
    <row r="28" s="42" customFormat="1" x14ac:dyDescent="0.2"/>
    <row r="29" s="42" customFormat="1" x14ac:dyDescent="0.2"/>
    <row r="30" s="42" customFormat="1" x14ac:dyDescent="0.2"/>
    <row r="31" s="42" customFormat="1" x14ac:dyDescent="0.2"/>
    <row r="32" s="42" customFormat="1" x14ac:dyDescent="0.2"/>
    <row r="33" s="42" customFormat="1" x14ac:dyDescent="0.2"/>
    <row r="34" s="42" customFormat="1" x14ac:dyDescent="0.2"/>
    <row r="35" s="42" customFormat="1" x14ac:dyDescent="0.2"/>
    <row r="36" s="42" customFormat="1" x14ac:dyDescent="0.2"/>
    <row r="37" s="42" customFormat="1" x14ac:dyDescent="0.2"/>
    <row r="38" s="42" customFormat="1" x14ac:dyDescent="0.2"/>
    <row r="39" s="42" customFormat="1" x14ac:dyDescent="0.2"/>
    <row r="40" s="42" customFormat="1" x14ac:dyDescent="0.2"/>
    <row r="41" s="42" customFormat="1" x14ac:dyDescent="0.2"/>
    <row r="42" s="42" customFormat="1" x14ac:dyDescent="0.2"/>
  </sheetData>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0" tint="-4.9989318521683403E-2"/>
  </sheetPr>
  <dimension ref="A1"/>
  <sheetViews>
    <sheetView showGridLines="0" zoomScale="85" zoomScaleNormal="85" workbookViewId="0"/>
  </sheetViews>
  <sheetFormatPr defaultRowHeight="12.75" x14ac:dyDescent="0.2"/>
  <cols>
    <col min="1" max="16384" width="9.140625" style="1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2:L60"/>
  <sheetViews>
    <sheetView showGridLines="0" zoomScale="85" zoomScaleNormal="85" workbookViewId="0">
      <pane xSplit="3" ySplit="13" topLeftCell="D14" activePane="bottomRight" state="frozen"/>
      <selection pane="topRight" activeCell="G1" sqref="G1"/>
      <selection pane="bottomLeft" activeCell="A14" sqref="A14"/>
      <selection pane="bottomRight" activeCell="D14" sqref="D14"/>
    </sheetView>
  </sheetViews>
  <sheetFormatPr defaultRowHeight="12.75" x14ac:dyDescent="0.2"/>
  <cols>
    <col min="1" max="1" width="4.5703125" style="42" customWidth="1"/>
    <col min="2" max="2" width="52.5703125" style="42" customWidth="1"/>
    <col min="3" max="3" width="13.7109375" style="42" customWidth="1"/>
    <col min="4" max="4" width="2.7109375" style="42" customWidth="1"/>
    <col min="5" max="5" width="13.7109375" style="42" customWidth="1"/>
    <col min="6" max="6" width="2.7109375" style="42" customWidth="1"/>
    <col min="7" max="8" width="21.7109375" style="42" customWidth="1"/>
    <col min="9" max="9" width="2.7109375" style="42" customWidth="1"/>
    <col min="10" max="10" width="30.7109375" style="42" customWidth="1"/>
    <col min="11" max="11" width="2.7109375" style="42" customWidth="1"/>
    <col min="12" max="12" width="30.7109375" style="42" customWidth="1"/>
    <col min="13" max="13" width="2.7109375" style="42" customWidth="1"/>
    <col min="14" max="28" width="13.7109375" style="42" customWidth="1"/>
    <col min="29" max="16384" width="9.140625" style="42"/>
  </cols>
  <sheetData>
    <row r="2" spans="1:12" s="13" customFormat="1" ht="18" x14ac:dyDescent="0.2">
      <c r="A2" s="5"/>
      <c r="B2" s="13" t="s">
        <v>74</v>
      </c>
    </row>
    <row r="4" spans="1:12" ht="12.75" customHeight="1" x14ac:dyDescent="0.2">
      <c r="B4" s="20" t="s">
        <v>69</v>
      </c>
      <c r="I4" s="55"/>
    </row>
    <row r="5" spans="1:12" x14ac:dyDescent="0.2">
      <c r="B5" s="16" t="s">
        <v>262</v>
      </c>
      <c r="E5" s="14"/>
    </row>
    <row r="6" spans="1:12" x14ac:dyDescent="0.2">
      <c r="B6" s="16"/>
      <c r="E6" s="14"/>
    </row>
    <row r="7" spans="1:12" x14ac:dyDescent="0.2">
      <c r="B7" s="21" t="s">
        <v>28</v>
      </c>
      <c r="E7" s="14"/>
    </row>
    <row r="8" spans="1:12" x14ac:dyDescent="0.2">
      <c r="B8" s="16" t="s">
        <v>70</v>
      </c>
    </row>
    <row r="9" spans="1:12" x14ac:dyDescent="0.2">
      <c r="B9" s="16" t="s">
        <v>92</v>
      </c>
    </row>
    <row r="11" spans="1:12" x14ac:dyDescent="0.2">
      <c r="B11" s="2" t="s">
        <v>254</v>
      </c>
    </row>
    <row r="13" spans="1:12" s="38" customFormat="1" x14ac:dyDescent="0.2">
      <c r="B13" s="38" t="s">
        <v>31</v>
      </c>
      <c r="C13" s="38" t="s">
        <v>64</v>
      </c>
      <c r="E13" s="38" t="s">
        <v>7</v>
      </c>
      <c r="G13" s="38" t="s">
        <v>80</v>
      </c>
      <c r="H13" s="38" t="s">
        <v>81</v>
      </c>
      <c r="J13" s="38" t="s">
        <v>8</v>
      </c>
      <c r="L13" s="38" t="s">
        <v>9</v>
      </c>
    </row>
    <row r="15" spans="1:12" s="38" customFormat="1" x14ac:dyDescent="0.2">
      <c r="B15" s="38" t="s">
        <v>71</v>
      </c>
    </row>
    <row r="17" spans="1:12" x14ac:dyDescent="0.2">
      <c r="B17" s="41" t="s">
        <v>258</v>
      </c>
    </row>
    <row r="18" spans="1:12" x14ac:dyDescent="0.2">
      <c r="A18" s="7"/>
      <c r="B18" s="42" t="s">
        <v>117</v>
      </c>
      <c r="E18" s="29">
        <v>103.58</v>
      </c>
      <c r="J18" s="16" t="s">
        <v>79</v>
      </c>
    </row>
    <row r="19" spans="1:12" x14ac:dyDescent="0.2">
      <c r="B19" s="42" t="s">
        <v>255</v>
      </c>
      <c r="E19" s="29">
        <v>101.93</v>
      </c>
      <c r="J19" s="16" t="s">
        <v>79</v>
      </c>
    </row>
    <row r="20" spans="1:12" x14ac:dyDescent="0.2">
      <c r="B20" s="42" t="s">
        <v>256</v>
      </c>
      <c r="E20" s="29">
        <v>105.22</v>
      </c>
      <c r="J20" s="16" t="s">
        <v>79</v>
      </c>
    </row>
    <row r="21" spans="1:12" x14ac:dyDescent="0.2">
      <c r="B21" s="42" t="s">
        <v>257</v>
      </c>
      <c r="E21" s="29">
        <v>115.46</v>
      </c>
      <c r="J21" s="16" t="s">
        <v>79</v>
      </c>
    </row>
    <row r="23" spans="1:12" x14ac:dyDescent="0.2">
      <c r="A23" s="7"/>
      <c r="B23" s="42" t="s">
        <v>118</v>
      </c>
      <c r="E23" s="29">
        <v>103.79</v>
      </c>
      <c r="J23" s="42" t="s">
        <v>119</v>
      </c>
    </row>
    <row r="24" spans="1:12" x14ac:dyDescent="0.2">
      <c r="B24" s="42" t="s">
        <v>260</v>
      </c>
      <c r="E24" s="68">
        <f>E23*(E20/E19)</f>
        <v>107.14003531835573</v>
      </c>
    </row>
    <row r="26" spans="1:12" x14ac:dyDescent="0.2">
      <c r="B26" s="41" t="s">
        <v>253</v>
      </c>
    </row>
    <row r="27" spans="1:12" x14ac:dyDescent="0.2">
      <c r="B27" s="42" t="s">
        <v>72</v>
      </c>
      <c r="C27" s="42" t="s">
        <v>4</v>
      </c>
      <c r="E27" s="63">
        <v>4.3999999999999997E-2</v>
      </c>
      <c r="J27" s="16" t="s">
        <v>79</v>
      </c>
    </row>
    <row r="28" spans="1:12" x14ac:dyDescent="0.2">
      <c r="B28" s="42" t="s">
        <v>78</v>
      </c>
      <c r="C28" s="42" t="s">
        <v>4</v>
      </c>
      <c r="E28" s="63">
        <v>3.0000000000000001E-3</v>
      </c>
      <c r="J28" s="16" t="s">
        <v>79</v>
      </c>
    </row>
    <row r="29" spans="1:12" x14ac:dyDescent="0.2">
      <c r="A29" s="7"/>
      <c r="B29" s="42" t="s">
        <v>89</v>
      </c>
      <c r="C29" s="42" t="s">
        <v>4</v>
      </c>
      <c r="E29" s="78">
        <f>ROUND(E23/E18-1,3)</f>
        <v>2E-3</v>
      </c>
      <c r="J29" s="16" t="s">
        <v>79</v>
      </c>
      <c r="L29" s="42" t="s">
        <v>252</v>
      </c>
    </row>
    <row r="30" spans="1:12" x14ac:dyDescent="0.2">
      <c r="B30" s="42" t="s">
        <v>101</v>
      </c>
      <c r="C30" s="42" t="s">
        <v>4</v>
      </c>
      <c r="E30" s="63">
        <v>3.2000000000000001E-2</v>
      </c>
      <c r="J30" s="16" t="s">
        <v>79</v>
      </c>
    </row>
    <row r="31" spans="1:12" x14ac:dyDescent="0.2">
      <c r="B31" s="42" t="s">
        <v>135</v>
      </c>
      <c r="C31" s="42" t="s">
        <v>4</v>
      </c>
      <c r="E31" s="78">
        <f>ROUND(E21/E24-1,3)</f>
        <v>7.8E-2</v>
      </c>
      <c r="J31" s="16" t="s">
        <v>79</v>
      </c>
      <c r="L31" s="42" t="s">
        <v>259</v>
      </c>
    </row>
    <row r="33" spans="1:10" s="38" customFormat="1" x14ac:dyDescent="0.2">
      <c r="B33" s="38" t="s">
        <v>73</v>
      </c>
      <c r="E33" s="56"/>
      <c r="I33" s="56"/>
    </row>
    <row r="35" spans="1:10" x14ac:dyDescent="0.2">
      <c r="B35" s="42" t="s">
        <v>136</v>
      </c>
      <c r="C35" s="42" t="s">
        <v>4</v>
      </c>
      <c r="E35" s="83">
        <v>0.06</v>
      </c>
      <c r="J35" s="42" t="s">
        <v>105</v>
      </c>
    </row>
    <row r="37" spans="1:10" s="38" customFormat="1" x14ac:dyDescent="0.2">
      <c r="B37" s="38" t="s">
        <v>14</v>
      </c>
    </row>
    <row r="39" spans="1:10" x14ac:dyDescent="0.2">
      <c r="B39" s="42" t="s">
        <v>62</v>
      </c>
      <c r="C39" s="42" t="s">
        <v>4</v>
      </c>
      <c r="E39" s="64">
        <v>0.5</v>
      </c>
      <c r="J39" s="42" t="s">
        <v>110</v>
      </c>
    </row>
    <row r="41" spans="1:10" s="38" customFormat="1" x14ac:dyDescent="0.2">
      <c r="B41" s="38" t="s">
        <v>121</v>
      </c>
    </row>
    <row r="43" spans="1:10" x14ac:dyDescent="0.2">
      <c r="A43" s="7"/>
      <c r="B43" s="42" t="s">
        <v>122</v>
      </c>
      <c r="C43" s="42" t="s">
        <v>4</v>
      </c>
      <c r="E43" s="30">
        <v>0.03</v>
      </c>
      <c r="J43" s="42" t="s">
        <v>123</v>
      </c>
    </row>
    <row r="44" spans="1:10" x14ac:dyDescent="0.2">
      <c r="A44" s="7"/>
    </row>
    <row r="45" spans="1:10" x14ac:dyDescent="0.2">
      <c r="A45" s="7"/>
      <c r="B45" s="16" t="s">
        <v>248</v>
      </c>
      <c r="C45" s="42" t="s">
        <v>4</v>
      </c>
      <c r="E45" s="79">
        <f>((1+$E$43)^6)-1</f>
        <v>0.19405229652899991</v>
      </c>
    </row>
    <row r="46" spans="1:10" x14ac:dyDescent="0.2">
      <c r="A46" s="7"/>
      <c r="B46" s="16" t="s">
        <v>249</v>
      </c>
      <c r="C46" s="42" t="s">
        <v>4</v>
      </c>
      <c r="E46" s="79">
        <f>((1+$E$43)^5)-1</f>
        <v>0.15927407429999985</v>
      </c>
    </row>
    <row r="47" spans="1:10" x14ac:dyDescent="0.2">
      <c r="A47" s="7"/>
      <c r="B47" s="16" t="s">
        <v>250</v>
      </c>
      <c r="C47" s="42" t="s">
        <v>4</v>
      </c>
      <c r="E47" s="79">
        <f>((1+$E$43)^4)-1</f>
        <v>0.12550880999999992</v>
      </c>
    </row>
    <row r="48" spans="1:10" x14ac:dyDescent="0.2">
      <c r="A48" s="7"/>
      <c r="B48" s="16" t="s">
        <v>251</v>
      </c>
      <c r="C48" s="42" t="s">
        <v>4</v>
      </c>
      <c r="E48" s="79">
        <f>((1+$E$43)^3)-1</f>
        <v>9.2727000000000004E-2</v>
      </c>
    </row>
    <row r="49" spans="1:12" x14ac:dyDescent="0.2">
      <c r="A49" s="7"/>
      <c r="B49" s="16" t="s">
        <v>140</v>
      </c>
      <c r="C49" s="42" t="s">
        <v>4</v>
      </c>
      <c r="E49" s="79">
        <f>((1+$E$43)^2)-1</f>
        <v>6.0899999999999954E-2</v>
      </c>
    </row>
    <row r="50" spans="1:12" x14ac:dyDescent="0.2">
      <c r="A50" s="7"/>
      <c r="B50" s="16" t="s">
        <v>137</v>
      </c>
      <c r="C50" s="42" t="s">
        <v>4</v>
      </c>
      <c r="E50" s="79">
        <f>(1+$E$43)-1</f>
        <v>3.0000000000000027E-2</v>
      </c>
    </row>
    <row r="52" spans="1:12" s="38" customFormat="1" x14ac:dyDescent="0.2">
      <c r="B52" s="38" t="s">
        <v>77</v>
      </c>
    </row>
    <row r="54" spans="1:12" x14ac:dyDescent="0.2">
      <c r="B54" s="16" t="s">
        <v>247</v>
      </c>
      <c r="C54" s="42" t="s">
        <v>4</v>
      </c>
      <c r="G54" s="64">
        <v>0.25</v>
      </c>
      <c r="H54" s="64">
        <v>0.25</v>
      </c>
      <c r="J54" s="16" t="s">
        <v>267</v>
      </c>
      <c r="K54" s="16"/>
      <c r="L54" s="16" t="s">
        <v>268</v>
      </c>
    </row>
    <row r="55" spans="1:12" x14ac:dyDescent="0.2">
      <c r="B55" s="16" t="s">
        <v>192</v>
      </c>
      <c r="C55" s="42" t="s">
        <v>4</v>
      </c>
      <c r="G55" s="64">
        <v>0</v>
      </c>
      <c r="H55" s="64">
        <v>0.5</v>
      </c>
      <c r="J55" s="16" t="s">
        <v>267</v>
      </c>
      <c r="K55" s="16"/>
      <c r="L55" s="16" t="s">
        <v>268</v>
      </c>
    </row>
    <row r="60" spans="1:12" x14ac:dyDescent="0.2">
      <c r="B60" s="42" t="s">
        <v>93</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rgb="FFCCFFCC"/>
  </sheetPr>
  <dimension ref="A2:L30"/>
  <sheetViews>
    <sheetView showGridLines="0" zoomScale="85" zoomScaleNormal="85" workbookViewId="0">
      <pane xSplit="3" ySplit="8" topLeftCell="D9" activePane="bottomRight" state="frozen"/>
      <selection pane="topRight" activeCell="D1" sqref="D1"/>
      <selection pane="bottomLeft" activeCell="A8" sqref="A8"/>
      <selection pane="bottomRight" activeCell="D9" sqref="D9"/>
    </sheetView>
  </sheetViews>
  <sheetFormatPr defaultRowHeight="12.75" x14ac:dyDescent="0.2"/>
  <cols>
    <col min="1" max="1" width="4.5703125" style="42" customWidth="1"/>
    <col min="2" max="2" width="50.7109375" style="1" customWidth="1"/>
    <col min="3" max="3" width="16.28515625" style="1" customWidth="1"/>
    <col min="4" max="4" width="2.7109375" style="1" customWidth="1"/>
    <col min="5" max="5" width="13.7109375" style="42" customWidth="1"/>
    <col min="6" max="6" width="2.7109375" style="42" customWidth="1"/>
    <col min="7" max="7" width="21.7109375" style="42" customWidth="1"/>
    <col min="8" max="8" width="21.7109375" style="1" customWidth="1"/>
    <col min="9" max="9" width="2.7109375" style="1" customWidth="1"/>
    <col min="10" max="10" width="30.7109375" style="1" customWidth="1"/>
    <col min="11" max="11" width="2.7109375" style="1" customWidth="1"/>
    <col min="12" max="12" width="30.7109375" style="1" customWidth="1"/>
    <col min="13" max="13" width="2.7109375" style="1" customWidth="1"/>
    <col min="14" max="28" width="13.7109375" style="1" customWidth="1"/>
    <col min="29" max="16384" width="9.140625" style="1"/>
  </cols>
  <sheetData>
    <row r="2" spans="1:12" s="13" customFormat="1" ht="18" x14ac:dyDescent="0.2">
      <c r="B2" s="13" t="s">
        <v>224</v>
      </c>
    </row>
    <row r="4" spans="1:12" x14ac:dyDescent="0.2">
      <c r="B4" s="20" t="s">
        <v>2</v>
      </c>
    </row>
    <row r="5" spans="1:12" x14ac:dyDescent="0.2">
      <c r="B5" s="16" t="s">
        <v>263</v>
      </c>
      <c r="H5" s="14"/>
    </row>
    <row r="6" spans="1:12" s="42" customFormat="1" x14ac:dyDescent="0.2">
      <c r="B6" s="16" t="s">
        <v>84</v>
      </c>
      <c r="H6" s="14"/>
    </row>
    <row r="8" spans="1:12" s="6" customFormat="1" x14ac:dyDescent="0.2">
      <c r="A8" s="38"/>
      <c r="B8" s="6" t="s">
        <v>6</v>
      </c>
      <c r="C8" s="6" t="s">
        <v>10</v>
      </c>
      <c r="E8" s="6" t="s">
        <v>7</v>
      </c>
      <c r="F8" s="38"/>
      <c r="G8" s="38" t="s">
        <v>80</v>
      </c>
      <c r="H8" s="38" t="s">
        <v>81</v>
      </c>
      <c r="J8" s="6" t="s">
        <v>8</v>
      </c>
      <c r="L8" s="6" t="s">
        <v>9</v>
      </c>
    </row>
    <row r="10" spans="1:12" s="6" customFormat="1" x14ac:dyDescent="0.2">
      <c r="A10" s="38"/>
      <c r="B10" s="6" t="s">
        <v>185</v>
      </c>
      <c r="E10" s="38"/>
      <c r="F10" s="38"/>
      <c r="G10" s="38"/>
    </row>
    <row r="12" spans="1:12" x14ac:dyDescent="0.2">
      <c r="B12" s="20" t="s">
        <v>3</v>
      </c>
      <c r="J12" s="16"/>
    </row>
    <row r="13" spans="1:12" x14ac:dyDescent="0.2">
      <c r="B13" s="1" t="s">
        <v>186</v>
      </c>
      <c r="C13" s="42" t="s">
        <v>187</v>
      </c>
      <c r="G13" s="31">
        <v>2435322.9712092979</v>
      </c>
      <c r="H13" s="31">
        <v>3930704.97591291</v>
      </c>
      <c r="J13" s="16" t="s">
        <v>229</v>
      </c>
    </row>
    <row r="14" spans="1:12" x14ac:dyDescent="0.2">
      <c r="B14" s="1" t="s">
        <v>188</v>
      </c>
      <c r="C14" s="42" t="s">
        <v>187</v>
      </c>
      <c r="G14" s="31">
        <v>112482.70404425287</v>
      </c>
      <c r="H14" s="31">
        <v>264522.66101660288</v>
      </c>
      <c r="J14" s="16" t="s">
        <v>230</v>
      </c>
    </row>
    <row r="15" spans="1:12" x14ac:dyDescent="0.2">
      <c r="J15" s="16"/>
    </row>
    <row r="16" spans="1:12" x14ac:dyDescent="0.2">
      <c r="B16" s="20" t="s">
        <v>5</v>
      </c>
      <c r="J16" s="16"/>
    </row>
    <row r="17" spans="1:10" x14ac:dyDescent="0.2">
      <c r="B17" s="1" t="s">
        <v>225</v>
      </c>
      <c r="C17" s="42" t="s">
        <v>187</v>
      </c>
      <c r="G17" s="31">
        <v>1341632.665</v>
      </c>
      <c r="H17" s="31">
        <v>858263.92500000005</v>
      </c>
      <c r="J17" s="16" t="s">
        <v>231</v>
      </c>
    </row>
    <row r="18" spans="1:10" x14ac:dyDescent="0.2">
      <c r="B18" s="1" t="s">
        <v>190</v>
      </c>
      <c r="C18" s="42" t="s">
        <v>187</v>
      </c>
      <c r="G18" s="31">
        <v>5287.08</v>
      </c>
      <c r="H18" s="31">
        <v>91965.91</v>
      </c>
      <c r="J18" s="16" t="s">
        <v>232</v>
      </c>
    </row>
    <row r="19" spans="1:10" x14ac:dyDescent="0.2">
      <c r="J19" s="14"/>
    </row>
    <row r="20" spans="1:10" s="6" customFormat="1" x14ac:dyDescent="0.2">
      <c r="A20" s="45"/>
      <c r="B20" s="45" t="s">
        <v>226</v>
      </c>
      <c r="E20" s="38"/>
      <c r="F20" s="38"/>
      <c r="G20" s="38"/>
      <c r="J20" s="82"/>
    </row>
    <row r="21" spans="1:10" x14ac:dyDescent="0.2">
      <c r="J21" s="14"/>
    </row>
    <row r="22" spans="1:10" s="42" customFormat="1" x14ac:dyDescent="0.2">
      <c r="B22" s="41" t="s">
        <v>63</v>
      </c>
      <c r="J22" s="14"/>
    </row>
    <row r="23" spans="1:10" s="21" customFormat="1" x14ac:dyDescent="0.2">
      <c r="B23" s="42" t="s">
        <v>193</v>
      </c>
      <c r="C23" s="42" t="s">
        <v>65</v>
      </c>
      <c r="D23" s="42"/>
      <c r="E23" s="42"/>
      <c r="F23" s="42"/>
      <c r="G23" s="31">
        <v>9137706.3000000007</v>
      </c>
      <c r="H23" s="73">
        <v>11528.715384615381</v>
      </c>
      <c r="I23" s="42"/>
      <c r="J23" s="16" t="s">
        <v>238</v>
      </c>
    </row>
    <row r="24" spans="1:10" s="42" customFormat="1" x14ac:dyDescent="0.2">
      <c r="A24" s="21"/>
      <c r="B24" s="42" t="s">
        <v>178</v>
      </c>
      <c r="C24" s="42" t="s">
        <v>65</v>
      </c>
      <c r="G24" s="31">
        <v>8763212.9773076437</v>
      </c>
      <c r="H24" s="73">
        <v>11552.371428571427</v>
      </c>
      <c r="J24" s="16" t="s">
        <v>235</v>
      </c>
    </row>
    <row r="25" spans="1:10" s="42" customFormat="1" x14ac:dyDescent="0.2">
      <c r="J25" s="14"/>
    </row>
    <row r="26" spans="1:10" s="42" customFormat="1" x14ac:dyDescent="0.2">
      <c r="B26" s="42" t="s">
        <v>145</v>
      </c>
      <c r="C26" s="42" t="s">
        <v>4</v>
      </c>
      <c r="G26" s="54"/>
      <c r="H26" s="30">
        <v>7.9277824895729071E-2</v>
      </c>
      <c r="J26" s="16" t="s">
        <v>236</v>
      </c>
    </row>
    <row r="27" spans="1:10" x14ac:dyDescent="0.2">
      <c r="J27" s="14"/>
    </row>
    <row r="28" spans="1:10" x14ac:dyDescent="0.2">
      <c r="B28" s="1" t="s">
        <v>227</v>
      </c>
      <c r="C28" s="1" t="s">
        <v>234</v>
      </c>
      <c r="G28" s="37">
        <v>0.2677815135981198</v>
      </c>
      <c r="H28" s="54"/>
      <c r="J28" s="16" t="s">
        <v>237</v>
      </c>
    </row>
    <row r="29" spans="1:10" x14ac:dyDescent="0.2">
      <c r="B29" s="42" t="s">
        <v>228</v>
      </c>
      <c r="C29" s="42" t="s">
        <v>234</v>
      </c>
      <c r="G29" s="37">
        <v>0.30204637051803163</v>
      </c>
      <c r="H29" s="54"/>
      <c r="J29" s="16" t="s">
        <v>233</v>
      </c>
    </row>
    <row r="30" spans="1:10" x14ac:dyDescent="0.2">
      <c r="J30" s="1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tabColor rgb="FFCCFFCC"/>
  </sheetPr>
  <dimension ref="A2:Q31"/>
  <sheetViews>
    <sheetView showGridLines="0" zoomScale="85" zoomScaleNormal="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4.5703125" style="42" customWidth="1"/>
    <col min="2" max="2" width="50.7109375" style="1" customWidth="1"/>
    <col min="3" max="3" width="13.7109375" style="1" customWidth="1"/>
    <col min="4" max="4" width="2.7109375" style="42" customWidth="1"/>
    <col min="5" max="5" width="13.7109375" style="42" customWidth="1"/>
    <col min="6" max="6" width="2.7109375" style="42" customWidth="1"/>
    <col min="7" max="8" width="21.7109375" style="1" customWidth="1"/>
    <col min="9" max="9" width="2.7109375" style="1" customWidth="1"/>
    <col min="10" max="10" width="30.7109375" style="1" customWidth="1"/>
    <col min="11" max="11" width="2.7109375" style="1" customWidth="1"/>
    <col min="12" max="12" width="30.7109375" style="1" customWidth="1"/>
    <col min="13" max="13" width="2.7109375" style="1" customWidth="1"/>
    <col min="14" max="28" width="13.7109375" style="1" customWidth="1"/>
    <col min="29" max="16384" width="9.140625" style="1"/>
  </cols>
  <sheetData>
    <row r="2" spans="1:17" s="13" customFormat="1" ht="18" x14ac:dyDescent="0.2">
      <c r="B2" s="13" t="s">
        <v>208</v>
      </c>
    </row>
    <row r="4" spans="1:17" x14ac:dyDescent="0.2">
      <c r="B4" s="20" t="s">
        <v>2</v>
      </c>
    </row>
    <row r="5" spans="1:17" x14ac:dyDescent="0.2">
      <c r="B5" s="16" t="s">
        <v>209</v>
      </c>
      <c r="H5" s="14"/>
    </row>
    <row r="7" spans="1:17" s="6" customFormat="1" x14ac:dyDescent="0.2">
      <c r="A7" s="38"/>
      <c r="B7" s="6" t="s">
        <v>6</v>
      </c>
      <c r="C7" s="6" t="s">
        <v>10</v>
      </c>
      <c r="D7" s="38"/>
      <c r="E7" s="38" t="s">
        <v>7</v>
      </c>
      <c r="F7" s="38"/>
      <c r="G7" s="38" t="s">
        <v>80</v>
      </c>
      <c r="H7" s="38" t="s">
        <v>81</v>
      </c>
      <c r="J7" s="6" t="s">
        <v>8</v>
      </c>
      <c r="L7" s="6" t="s">
        <v>9</v>
      </c>
    </row>
    <row r="8" spans="1:17" x14ac:dyDescent="0.2">
      <c r="D8" s="67"/>
    </row>
    <row r="9" spans="1:17" s="6" customFormat="1" x14ac:dyDescent="0.2">
      <c r="A9" s="38"/>
      <c r="B9" s="6" t="s">
        <v>210</v>
      </c>
      <c r="D9" s="38"/>
      <c r="E9" s="38"/>
      <c r="F9" s="38"/>
    </row>
    <row r="11" spans="1:17" x14ac:dyDescent="0.2">
      <c r="B11" s="20" t="s">
        <v>3</v>
      </c>
    </row>
    <row r="12" spans="1:17" x14ac:dyDescent="0.2">
      <c r="B12" s="42" t="s">
        <v>158</v>
      </c>
      <c r="C12" s="42" t="s">
        <v>152</v>
      </c>
      <c r="G12" s="75">
        <v>2639944.3789506657</v>
      </c>
      <c r="H12" s="32">
        <v>3724718.473810961</v>
      </c>
      <c r="J12" s="16" t="s">
        <v>212</v>
      </c>
    </row>
    <row r="13" spans="1:17" x14ac:dyDescent="0.2">
      <c r="B13" s="1" t="s">
        <v>159</v>
      </c>
      <c r="C13" s="42" t="s">
        <v>152</v>
      </c>
      <c r="G13" s="31">
        <v>151977.48804965636</v>
      </c>
      <c r="H13" s="31">
        <v>292082.02750820102</v>
      </c>
      <c r="J13" s="16" t="s">
        <v>213</v>
      </c>
    </row>
    <row r="14" spans="1:17" x14ac:dyDescent="0.2">
      <c r="J14" s="14"/>
    </row>
    <row r="15" spans="1:17" x14ac:dyDescent="0.2">
      <c r="B15" s="20" t="s">
        <v>5</v>
      </c>
      <c r="J15" s="14"/>
    </row>
    <row r="16" spans="1:17" x14ac:dyDescent="0.2">
      <c r="A16" s="7"/>
      <c r="B16" s="1" t="s">
        <v>160</v>
      </c>
      <c r="C16" s="1" t="s">
        <v>152</v>
      </c>
      <c r="G16" s="32">
        <v>1325806.69</v>
      </c>
      <c r="H16" s="32">
        <v>951943.21000000008</v>
      </c>
      <c r="J16" s="16" t="s">
        <v>216</v>
      </c>
      <c r="L16" s="19"/>
      <c r="P16" s="80"/>
      <c r="Q16" s="80"/>
    </row>
    <row r="17" spans="1:14" x14ac:dyDescent="0.2">
      <c r="B17" s="1" t="s">
        <v>161</v>
      </c>
      <c r="C17" s="1" t="s">
        <v>152</v>
      </c>
      <c r="G17" s="32">
        <v>40142.92</v>
      </c>
      <c r="H17" s="32">
        <v>114221.8</v>
      </c>
      <c r="J17" s="16" t="s">
        <v>217</v>
      </c>
      <c r="L17" s="42"/>
    </row>
    <row r="18" spans="1:14" x14ac:dyDescent="0.2">
      <c r="J18" s="16"/>
    </row>
    <row r="19" spans="1:14" s="6" customFormat="1" x14ac:dyDescent="0.2">
      <c r="A19" s="38"/>
      <c r="B19" s="6" t="s">
        <v>211</v>
      </c>
      <c r="D19" s="38"/>
      <c r="E19" s="38"/>
      <c r="F19" s="38"/>
      <c r="J19" s="45"/>
    </row>
    <row r="20" spans="1:14" x14ac:dyDescent="0.2">
      <c r="J20" s="16"/>
    </row>
    <row r="21" spans="1:14" s="42" customFormat="1" x14ac:dyDescent="0.2">
      <c r="B21" s="41" t="s">
        <v>63</v>
      </c>
      <c r="J21" s="16"/>
    </row>
    <row r="22" spans="1:14" s="21" customFormat="1" x14ac:dyDescent="0.2">
      <c r="B22" s="21" t="s">
        <v>64</v>
      </c>
      <c r="C22" s="21" t="s">
        <v>65</v>
      </c>
      <c r="G22" s="21" t="s">
        <v>11</v>
      </c>
      <c r="H22" s="21" t="s">
        <v>66</v>
      </c>
      <c r="J22" s="70"/>
    </row>
    <row r="23" spans="1:14" s="42" customFormat="1" x14ac:dyDescent="0.2">
      <c r="A23" s="7"/>
      <c r="B23" s="42" t="s">
        <v>144</v>
      </c>
      <c r="C23" s="42" t="s">
        <v>65</v>
      </c>
      <c r="G23" s="31">
        <v>9117879.7100000009</v>
      </c>
      <c r="H23" s="31">
        <v>12005.784615384611</v>
      </c>
      <c r="J23" s="16" t="s">
        <v>220</v>
      </c>
      <c r="N23" s="14"/>
    </row>
    <row r="24" spans="1:14" s="42" customFormat="1" x14ac:dyDescent="0.2">
      <c r="J24" s="14"/>
    </row>
    <row r="25" spans="1:14" s="42" customFormat="1" x14ac:dyDescent="0.2">
      <c r="B25" s="42" t="s">
        <v>146</v>
      </c>
      <c r="C25" s="42" t="s">
        <v>4</v>
      </c>
      <c r="G25" s="54"/>
      <c r="H25" s="30">
        <v>7.9311526692645948E-2</v>
      </c>
      <c r="J25" s="16" t="s">
        <v>223</v>
      </c>
    </row>
    <row r="26" spans="1:14" s="42" customFormat="1" x14ac:dyDescent="0.2">
      <c r="J26" s="16"/>
    </row>
    <row r="29" spans="1:14" x14ac:dyDescent="0.2">
      <c r="G29" s="42"/>
    </row>
    <row r="31" spans="1:14" x14ac:dyDescent="0.2">
      <c r="B31" s="42"/>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0" tint="-4.9989318521683403E-2"/>
  </sheetPr>
  <dimension ref="A1"/>
  <sheetViews>
    <sheetView showGridLines="0" zoomScale="85" zoomScaleNormal="85" workbookViewId="0"/>
  </sheetViews>
  <sheetFormatPr defaultRowHeight="12.75" x14ac:dyDescent="0.2"/>
  <cols>
    <col min="1" max="16384" width="9.140625" style="15"/>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9CDAB9D1-B815-4B0E-93E7-4496A7FE99F6}">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Cover sheet</vt:lpstr>
      <vt:lpstr>Explanation</vt:lpstr>
      <vt:lpstr>Sources and applications</vt:lpstr>
      <vt:lpstr>Result</vt:lpstr>
      <vt:lpstr>Input --&gt;</vt:lpstr>
      <vt:lpstr>Parameters</vt:lpstr>
      <vt:lpstr>Estimation for 2021</vt:lpstr>
      <vt:lpstr>Realization of 2021</vt:lpstr>
      <vt:lpstr>Calculations 2021 --&gt;</vt:lpstr>
      <vt:lpstr>Fixed-variable costs 2021</vt:lpstr>
      <vt:lpstr>Volume-effect 2021</vt:lpstr>
      <vt:lpstr>Profit sharing 2021</vt:lpstr>
      <vt:lpstr>Network loss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2022-12-21T22:05:55Z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