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5" windowWidth="14805" windowHeight="4770" tabRatio="886"/>
  </bookViews>
  <sheets>
    <sheet name="Toelichting" sheetId="1" r:id="rId1"/>
    <sheet name="Parameters" sheetId="10" r:id="rId2"/>
    <sheet name="GAW" sheetId="23" r:id="rId3"/>
    <sheet name="OPEX" sheetId="21" r:id="rId4"/>
    <sheet name="Begininkomsten obv tarieven" sheetId="14" r:id="rId5"/>
    <sheet name="Kosten art 41c, lid 4" sheetId="24" r:id="rId6"/>
    <sheet name="Efficiënte kosten 2014-2016" sheetId="25" r:id="rId7"/>
    <sheet name="X-factor berekening" sheetId="4" r:id="rId8"/>
    <sheet name="aanleidingstoets " sheetId="19" r:id="rId9"/>
    <sheet name="Overzicht parameters" sheetId="26" r:id="rId10"/>
  </sheets>
  <definedNames>
    <definedName name="_xlnm.Print_Area" localSheetId="8">'aanleidingstoets '!$A$1:$F$26</definedName>
    <definedName name="_xlnm.Print_Area" localSheetId="4">'Begininkomsten obv tarieven'!$A$1:$G$62</definedName>
    <definedName name="_xlnm.Print_Area" localSheetId="6">'Efficiënte kosten 2014-2016'!$A$1:$L$145</definedName>
    <definedName name="_xlnm.Print_Area" localSheetId="5">'Kosten art 41c, lid 4'!$A$1:$I$151</definedName>
    <definedName name="_xlnm.Print_Area" localSheetId="3">OPEX!$A$1:$G$47</definedName>
    <definedName name="_xlnm.Print_Area" localSheetId="9">'Overzicht parameters'!$A$1:$F$20</definedName>
    <definedName name="_xlnm.Print_Area" localSheetId="1">Parameters!$A$1:$T$58</definedName>
    <definedName name="_xlnm.Print_Area" localSheetId="0">Toelichting!$A$1:$L$16</definedName>
    <definedName name="_xlnm.Print_Area" localSheetId="7">'X-factor berekening'!$A$1:$F$24</definedName>
  </definedNames>
  <calcPr calcId="145621"/>
</workbook>
</file>

<file path=xl/calcChain.xml><?xml version="1.0" encoding="utf-8"?>
<calcChain xmlns="http://schemas.openxmlformats.org/spreadsheetml/2006/main">
  <c r="D7" i="21" l="1"/>
  <c r="D14" i="26" l="1"/>
  <c r="D6" i="26" l="1"/>
  <c r="D10" i="26"/>
  <c r="D8" i="26"/>
  <c r="G96" i="25" l="1"/>
  <c r="G96" i="24"/>
  <c r="F56" i="23" l="1"/>
  <c r="E56" i="23"/>
  <c r="D56" i="23"/>
  <c r="E25" i="23"/>
  <c r="F25" i="23"/>
  <c r="D25" i="23"/>
  <c r="F41" i="21" l="1"/>
  <c r="E41" i="21"/>
  <c r="E43" i="21" s="1"/>
  <c r="D41" i="21"/>
  <c r="D43" i="21" s="1"/>
  <c r="F32" i="21"/>
  <c r="E32" i="21"/>
  <c r="D32" i="21"/>
  <c r="F18" i="21"/>
  <c r="F20" i="21" s="1"/>
  <c r="F21" i="21" s="1"/>
  <c r="E18" i="21"/>
  <c r="E20" i="21" s="1"/>
  <c r="E21" i="21" s="1"/>
  <c r="D18" i="21"/>
  <c r="D20" i="21" s="1"/>
  <c r="F9" i="21"/>
  <c r="E9" i="21"/>
  <c r="D9" i="21"/>
  <c r="D21" i="21" l="1"/>
  <c r="D44" i="21"/>
  <c r="E44" i="21"/>
  <c r="F43" i="21"/>
  <c r="F44" i="21" s="1"/>
  <c r="J15" i="25" l="1"/>
  <c r="K15" i="25"/>
  <c r="I15" i="25"/>
  <c r="C8" i="25"/>
  <c r="G115" i="25"/>
  <c r="G111" i="25"/>
  <c r="F111" i="25"/>
  <c r="E111" i="25"/>
  <c r="E112" i="25" s="1"/>
  <c r="G109" i="25"/>
  <c r="F109" i="25"/>
  <c r="E109" i="25"/>
  <c r="G108" i="25"/>
  <c r="F108" i="25"/>
  <c r="E108" i="25"/>
  <c r="G84" i="25"/>
  <c r="G83" i="25"/>
  <c r="G79" i="25"/>
  <c r="F79" i="25"/>
  <c r="E79" i="25"/>
  <c r="G77" i="25"/>
  <c r="F77" i="25"/>
  <c r="E77" i="25"/>
  <c r="G76" i="25"/>
  <c r="F76" i="25"/>
  <c r="E76" i="25"/>
  <c r="H14" i="25"/>
  <c r="G13" i="25"/>
  <c r="F13" i="25"/>
  <c r="E13" i="25"/>
  <c r="C11" i="25"/>
  <c r="C10" i="25"/>
  <c r="C9" i="25"/>
  <c r="H7" i="25"/>
  <c r="F112" i="25" l="1"/>
  <c r="H116" i="25"/>
  <c r="H138" i="25" s="1"/>
  <c r="F78" i="25"/>
  <c r="E110" i="25"/>
  <c r="G110" i="25"/>
  <c r="G80" i="25"/>
  <c r="E80" i="25"/>
  <c r="H85" i="25"/>
  <c r="H127" i="25" s="1"/>
  <c r="E78" i="25"/>
  <c r="G78" i="25"/>
  <c r="F110" i="25"/>
  <c r="F80" i="25"/>
  <c r="G112" i="25"/>
  <c r="G84" i="24"/>
  <c r="H113" i="25" l="1"/>
  <c r="H136" i="25" s="1"/>
  <c r="K127" i="25"/>
  <c r="J127" i="25"/>
  <c r="I127" i="25"/>
  <c r="J138" i="25"/>
  <c r="I138" i="25"/>
  <c r="K138" i="25"/>
  <c r="H81" i="25"/>
  <c r="H125" i="25" s="1"/>
  <c r="K125" i="25" l="1"/>
  <c r="I125" i="25"/>
  <c r="J125" i="25"/>
  <c r="J136" i="25"/>
  <c r="K136" i="25"/>
  <c r="I136" i="25"/>
  <c r="G115" i="24"/>
  <c r="F111" i="24"/>
  <c r="G111" i="24"/>
  <c r="E111" i="24"/>
  <c r="G109" i="24"/>
  <c r="F109" i="24"/>
  <c r="E109" i="24"/>
  <c r="F108" i="24"/>
  <c r="G108" i="24"/>
  <c r="E108" i="24"/>
  <c r="G83" i="24"/>
  <c r="F77" i="24"/>
  <c r="G77" i="24"/>
  <c r="E77" i="24"/>
  <c r="F76" i="24"/>
  <c r="G76" i="24"/>
  <c r="E76" i="24"/>
  <c r="F79" i="24"/>
  <c r="G79" i="24"/>
  <c r="E79" i="24"/>
  <c r="H14" i="24" l="1"/>
  <c r="H85" i="24" s="1"/>
  <c r="H127" i="24" s="1"/>
  <c r="G13" i="24"/>
  <c r="F13" i="24"/>
  <c r="E13" i="24"/>
  <c r="C11" i="24"/>
  <c r="C10" i="24"/>
  <c r="C9" i="24"/>
  <c r="C8" i="24"/>
  <c r="H7" i="24"/>
  <c r="H116" i="24" l="1"/>
  <c r="G112" i="24"/>
  <c r="F112" i="24"/>
  <c r="E112" i="24"/>
  <c r="H138" i="24"/>
  <c r="F110" i="24"/>
  <c r="G110" i="24"/>
  <c r="E110" i="24"/>
  <c r="F80" i="24"/>
  <c r="E80" i="24"/>
  <c r="G80" i="24"/>
  <c r="F78" i="24"/>
  <c r="G78" i="24"/>
  <c r="E78" i="24"/>
  <c r="H113" i="24" l="1"/>
  <c r="H136" i="24" s="1"/>
  <c r="H81" i="24"/>
  <c r="H125" i="24" s="1"/>
  <c r="G71" i="25" l="1"/>
  <c r="G71" i="24"/>
  <c r="E103" i="24"/>
  <c r="E103" i="25"/>
  <c r="F103" i="24"/>
  <c r="F103" i="25"/>
  <c r="G103" i="24"/>
  <c r="G103" i="25"/>
  <c r="G31" i="25"/>
  <c r="F31" i="25"/>
  <c r="E31" i="25"/>
  <c r="H104" i="24" l="1"/>
  <c r="H32" i="25"/>
  <c r="F71" i="25"/>
  <c r="F71" i="24"/>
  <c r="E71" i="25"/>
  <c r="H72" i="25" s="1"/>
  <c r="E71" i="24"/>
  <c r="F52" i="24"/>
  <c r="F52" i="25"/>
  <c r="H104" i="25"/>
  <c r="E31" i="24"/>
  <c r="G31" i="24"/>
  <c r="F31" i="24"/>
  <c r="G52" i="24" l="1"/>
  <c r="G52" i="25"/>
  <c r="E52" i="24"/>
  <c r="E52" i="25"/>
  <c r="H53" i="25" s="1"/>
  <c r="H32" i="24"/>
  <c r="H72" i="24"/>
  <c r="H53" i="24" l="1"/>
  <c r="G61" i="24"/>
  <c r="G61" i="25"/>
  <c r="G90" i="24"/>
  <c r="G90" i="25"/>
  <c r="G92" i="24"/>
  <c r="G92" i="25"/>
  <c r="G91" i="24"/>
  <c r="G91" i="25"/>
  <c r="G93" i="24" l="1"/>
  <c r="G60" i="24"/>
  <c r="G62" i="24" s="1"/>
  <c r="G60" i="25"/>
  <c r="G62" i="25" s="1"/>
  <c r="G93" i="25"/>
  <c r="G65" i="25"/>
  <c r="G25" i="24" l="1"/>
  <c r="G25" i="25"/>
  <c r="G97" i="24"/>
  <c r="G97" i="25"/>
  <c r="G46" i="24"/>
  <c r="G46" i="25"/>
  <c r="G66" i="24"/>
  <c r="G66" i="25"/>
  <c r="G67" i="25" s="1"/>
  <c r="H69" i="25" s="1"/>
  <c r="H74" i="25" s="1"/>
  <c r="H124" i="25" s="1"/>
  <c r="G45" i="24"/>
  <c r="G45" i="25"/>
  <c r="G98" i="24"/>
  <c r="G98" i="25"/>
  <c r="G47" i="24"/>
  <c r="G47" i="25"/>
  <c r="G65" i="24"/>
  <c r="G48" i="24" l="1"/>
  <c r="G67" i="24"/>
  <c r="H69" i="24" s="1"/>
  <c r="G99" i="24"/>
  <c r="H101" i="24" s="1"/>
  <c r="H106" i="24" s="1"/>
  <c r="H135" i="24" s="1"/>
  <c r="G48" i="25"/>
  <c r="K124" i="25"/>
  <c r="I124" i="25"/>
  <c r="J124" i="25"/>
  <c r="G26" i="24"/>
  <c r="G27" i="24" s="1"/>
  <c r="G26" i="25"/>
  <c r="G27" i="25" s="1"/>
  <c r="G41" i="24"/>
  <c r="G41" i="25"/>
  <c r="G20" i="24"/>
  <c r="G20" i="25"/>
  <c r="G40" i="24"/>
  <c r="G40" i="25"/>
  <c r="G21" i="24"/>
  <c r="G21" i="25"/>
  <c r="G39" i="24"/>
  <c r="G39" i="25"/>
  <c r="G99" i="25"/>
  <c r="H101" i="25" s="1"/>
  <c r="H106" i="25" s="1"/>
  <c r="H135" i="25" s="1"/>
  <c r="H74" i="24" l="1"/>
  <c r="H124" i="24" s="1"/>
  <c r="G42" i="24"/>
  <c r="H50" i="24" s="1"/>
  <c r="H55" i="24" s="1"/>
  <c r="H132" i="24" s="1"/>
  <c r="G42" i="25"/>
  <c r="H50" i="25" s="1"/>
  <c r="H55" i="25" s="1"/>
  <c r="H132" i="25" s="1"/>
  <c r="J135" i="25"/>
  <c r="K135" i="25"/>
  <c r="I135" i="25"/>
  <c r="G22" i="25"/>
  <c r="H29" i="25" s="1"/>
  <c r="H34" i="25" s="1"/>
  <c r="H121" i="25" s="1"/>
  <c r="H142" i="25" s="1"/>
  <c r="G22" i="24"/>
  <c r="H29" i="24" l="1"/>
  <c r="H34" i="24" s="1"/>
  <c r="H121" i="24" s="1"/>
  <c r="H143" i="25"/>
  <c r="H143" i="24" l="1"/>
  <c r="H149" i="24"/>
  <c r="D14" i="19" s="1"/>
  <c r="H142" i="24"/>
  <c r="D23" i="19" s="1"/>
  <c r="H148" i="24"/>
  <c r="H144" i="25"/>
  <c r="H150" i="24" l="1"/>
  <c r="D7" i="19" s="1"/>
  <c r="H144" i="24"/>
  <c r="D6" i="19"/>
  <c r="D20" i="19" s="1"/>
  <c r="D22" i="19" s="1"/>
  <c r="H51" i="10" l="1"/>
  <c r="I7" i="25" s="1"/>
  <c r="D39" i="14"/>
  <c r="D35" i="14"/>
  <c r="I121" i="25" l="1"/>
  <c r="I132" i="25"/>
  <c r="I51" i="10"/>
  <c r="D41" i="14"/>
  <c r="D29" i="14"/>
  <c r="D43" i="14" s="1"/>
  <c r="D47" i="14" s="1"/>
  <c r="D27" i="10"/>
  <c r="C28" i="10"/>
  <c r="I142" i="25" l="1"/>
  <c r="J51" i="10"/>
  <c r="K7" i="25" s="1"/>
  <c r="J7" i="25"/>
  <c r="I143" i="25"/>
  <c r="D31" i="14"/>
  <c r="K132" i="25" l="1"/>
  <c r="K121" i="25"/>
  <c r="I144" i="25"/>
  <c r="J132" i="25"/>
  <c r="J121" i="25"/>
  <c r="K142" i="25" l="1"/>
  <c r="J142" i="25"/>
  <c r="J143" i="25"/>
  <c r="K143" i="25"/>
  <c r="D9" i="4"/>
  <c r="D8" i="4"/>
  <c r="D7" i="4"/>
  <c r="K144" i="25" l="1"/>
  <c r="D14" i="4" s="1"/>
  <c r="D16" i="26" s="1"/>
  <c r="J144" i="25"/>
  <c r="D59" i="14" l="1"/>
  <c r="D54" i="14" l="1"/>
  <c r="D49" i="14"/>
  <c r="D56" i="14"/>
  <c r="D48" i="14"/>
  <c r="D55" i="14"/>
  <c r="D51" i="14"/>
  <c r="D58" i="14"/>
  <c r="D52" i="14"/>
  <c r="D61" i="14" l="1"/>
  <c r="D13" i="4" s="1"/>
  <c r="C41" i="10" l="1"/>
  <c r="C42" i="10"/>
  <c r="C43" i="10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B28" i="10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8" i="10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C40" i="10"/>
  <c r="C39" i="10"/>
  <c r="C38" i="10"/>
  <c r="C37" i="10"/>
  <c r="M36" i="10" s="1"/>
  <c r="C36" i="10"/>
  <c r="L35" i="10" s="1"/>
  <c r="C35" i="10"/>
  <c r="K34" i="10" s="1"/>
  <c r="C34" i="10"/>
  <c r="C33" i="10"/>
  <c r="I32" i="10" s="1"/>
  <c r="C32" i="10"/>
  <c r="C31" i="10"/>
  <c r="G30" i="10" s="1"/>
  <c r="C30" i="10"/>
  <c r="F29" i="10" s="1"/>
  <c r="C29" i="10"/>
  <c r="E28" i="10" s="1"/>
  <c r="E27" i="10" s="1"/>
  <c r="P39" i="10" l="1"/>
  <c r="L34" i="10"/>
  <c r="S42" i="10"/>
  <c r="S41" i="10" s="1"/>
  <c r="S40" i="10" s="1"/>
  <c r="S39" i="10" s="1"/>
  <c r="Q40" i="10"/>
  <c r="I31" i="10"/>
  <c r="I30" i="10" s="1"/>
  <c r="H31" i="10"/>
  <c r="H30" i="10" s="1"/>
  <c r="M35" i="10"/>
  <c r="R41" i="10"/>
  <c r="R40" i="10" s="1"/>
  <c r="R39" i="10" s="1"/>
  <c r="O38" i="10"/>
  <c r="F28" i="10"/>
  <c r="F27" i="10" s="1"/>
  <c r="N37" i="10"/>
  <c r="G29" i="10"/>
  <c r="J33" i="10"/>
  <c r="K33" i="10"/>
  <c r="C23" i="10" l="1"/>
  <c r="Q39" i="10"/>
  <c r="L33" i="10"/>
  <c r="O37" i="10"/>
  <c r="P38" i="10"/>
  <c r="P37" i="10" s="1"/>
  <c r="P36" i="10" s="1"/>
  <c r="P35" i="10" s="1"/>
  <c r="P34" i="10" s="1"/>
  <c r="P33" i="10" s="1"/>
  <c r="P32" i="10" s="1"/>
  <c r="P31" i="10" s="1"/>
  <c r="P30" i="10" s="1"/>
  <c r="P29" i="10" s="1"/>
  <c r="P28" i="10" s="1"/>
  <c r="P27" i="10" s="1"/>
  <c r="R38" i="10"/>
  <c r="S38" i="10"/>
  <c r="M34" i="10"/>
  <c r="K32" i="10"/>
  <c r="H29" i="10"/>
  <c r="J32" i="10"/>
  <c r="G28" i="10"/>
  <c r="I29" i="10"/>
  <c r="N36" i="10"/>
  <c r="Q38" i="10" l="1"/>
  <c r="D6" i="4"/>
  <c r="L32" i="10"/>
  <c r="L31" i="10" s="1"/>
  <c r="Q37" i="10"/>
  <c r="Q36" i="10" s="1"/>
  <c r="Q35" i="10" s="1"/>
  <c r="Q34" i="10" s="1"/>
  <c r="Q33" i="10" s="1"/>
  <c r="Q32" i="10" s="1"/>
  <c r="Q31" i="10" s="1"/>
  <c r="Q30" i="10" s="1"/>
  <c r="Q29" i="10" s="1"/>
  <c r="Q28" i="10" s="1"/>
  <c r="Q27" i="10" s="1"/>
  <c r="O36" i="10"/>
  <c r="O35" i="10" s="1"/>
  <c r="O34" i="10" s="1"/>
  <c r="S37" i="10"/>
  <c r="S36" i="10" s="1"/>
  <c r="S35" i="10" s="1"/>
  <c r="S34" i="10" s="1"/>
  <c r="S33" i="10" s="1"/>
  <c r="S32" i="10" s="1"/>
  <c r="S31" i="10" s="1"/>
  <c r="S30" i="10" s="1"/>
  <c r="S29" i="10" s="1"/>
  <c r="S28" i="10" s="1"/>
  <c r="S27" i="10" s="1"/>
  <c r="R37" i="10"/>
  <c r="R36" i="10" s="1"/>
  <c r="R35" i="10" s="1"/>
  <c r="R34" i="10" s="1"/>
  <c r="R33" i="10" s="1"/>
  <c r="R32" i="10" s="1"/>
  <c r="R31" i="10" s="1"/>
  <c r="R30" i="10" s="1"/>
  <c r="R29" i="10" s="1"/>
  <c r="R28" i="10" s="1"/>
  <c r="R27" i="10" s="1"/>
  <c r="M33" i="10"/>
  <c r="G27" i="10"/>
  <c r="J31" i="10"/>
  <c r="K31" i="10"/>
  <c r="N35" i="10"/>
  <c r="I28" i="10"/>
  <c r="H28" i="10"/>
  <c r="M32" i="10" l="1"/>
  <c r="I27" i="10"/>
  <c r="K30" i="10"/>
  <c r="L30" i="10"/>
  <c r="N34" i="10"/>
  <c r="H27" i="10"/>
  <c r="J30" i="10"/>
  <c r="M31" i="10" l="1"/>
  <c r="O33" i="10"/>
  <c r="K29" i="10"/>
  <c r="L29" i="10"/>
  <c r="J29" i="10"/>
  <c r="N33" i="10"/>
  <c r="M30" i="10" l="1"/>
  <c r="K28" i="10"/>
  <c r="J28" i="10"/>
  <c r="O32" i="10"/>
  <c r="N32" i="10"/>
  <c r="L28" i="10"/>
  <c r="D15" i="19" l="1"/>
  <c r="D24" i="19"/>
  <c r="M29" i="10"/>
  <c r="L27" i="10"/>
  <c r="N31" i="10"/>
  <c r="J27" i="10"/>
  <c r="O31" i="10"/>
  <c r="K27" i="10"/>
  <c r="D8" i="19" l="1"/>
  <c r="M28" i="10"/>
  <c r="N30" i="10"/>
  <c r="O30" i="10"/>
  <c r="M27" i="10" l="1"/>
  <c r="O29" i="10"/>
  <c r="N29" i="10"/>
  <c r="N28" i="10" l="1"/>
  <c r="O28" i="10"/>
  <c r="N27" i="10" l="1"/>
  <c r="O27" i="10"/>
  <c r="D16" i="4" l="1"/>
  <c r="D18" i="4" s="1"/>
  <c r="D18" i="26" s="1"/>
  <c r="D20" i="4" l="1"/>
  <c r="D21" i="4" s="1"/>
  <c r="D22" i="4" s="1"/>
</calcChain>
</file>

<file path=xl/sharedStrings.xml><?xml version="1.0" encoding="utf-8"?>
<sst xmlns="http://schemas.openxmlformats.org/spreadsheetml/2006/main" count="700" uniqueCount="248">
  <si>
    <t>CPI</t>
  </si>
  <si>
    <t>Berekende waarde</t>
  </si>
  <si>
    <t>Toelichting</t>
  </si>
  <si>
    <t>EUR</t>
  </si>
  <si>
    <t>Jaar</t>
  </si>
  <si>
    <t>Bron: CBS</t>
  </si>
  <si>
    <t>1+cpi</t>
  </si>
  <si>
    <t>Bronwaarde</t>
  </si>
  <si>
    <t>Verwijzing</t>
  </si>
  <si>
    <t>Eindresultaat</t>
  </si>
  <si>
    <t>Niet van toepassing</t>
  </si>
  <si>
    <t>VAN</t>
  </si>
  <si>
    <t>NAAR</t>
  </si>
  <si>
    <t>EHS</t>
  </si>
  <si>
    <t>HS</t>
  </si>
  <si>
    <t>1 + %</t>
  </si>
  <si>
    <t>GAW, INVESTERINGEN EN AFSCHRIJVINGEN EHS EN HS</t>
  </si>
  <si>
    <t>OPERATIONELE KOSTEN EHS EN HS</t>
  </si>
  <si>
    <t>(7)</t>
  </si>
  <si>
    <t xml:space="preserve">Algemene operationele kosten HS </t>
  </si>
  <si>
    <t>PARAMETERS</t>
  </si>
  <si>
    <t>LEGENDA</t>
  </si>
  <si>
    <r>
      <t xml:space="preserve">Begininkomsten 2013 </t>
    </r>
    <r>
      <rPr>
        <i/>
        <sz val="8"/>
        <rFont val="Arial"/>
        <family val="2"/>
      </rPr>
      <t>(BI</t>
    </r>
    <r>
      <rPr>
        <i/>
        <vertAlign val="subscript"/>
        <sz val="8"/>
        <rFont val="Arial"/>
        <family val="2"/>
      </rPr>
      <t>2013</t>
    </r>
    <r>
      <rPr>
        <i/>
        <sz val="8"/>
        <rFont val="Arial"/>
        <family val="2"/>
      </rPr>
      <t>)</t>
    </r>
  </si>
  <si>
    <r>
      <t>x</t>
    </r>
    <r>
      <rPr>
        <vertAlign val="subscript"/>
        <sz val="8"/>
        <rFont val="Arial"/>
        <family val="2"/>
      </rPr>
      <t>2014,…,2016</t>
    </r>
  </si>
  <si>
    <r>
      <t>x</t>
    </r>
    <r>
      <rPr>
        <b/>
        <vertAlign val="subscript"/>
        <sz val="8"/>
        <rFont val="Arial"/>
        <family val="2"/>
      </rPr>
      <t>2014,…,2016</t>
    </r>
    <r>
      <rPr>
        <b/>
        <sz val="8"/>
        <rFont val="Arial"/>
        <family val="2"/>
      </rPr>
      <t xml:space="preserve"> (afgerond)</t>
    </r>
  </si>
  <si>
    <r>
      <t xml:space="preserve">Aandeel beheerkosten systeemdiensten </t>
    </r>
    <r>
      <rPr>
        <i/>
        <sz val="8"/>
        <rFont val="Arial"/>
        <family val="2"/>
      </rPr>
      <t>(d)</t>
    </r>
  </si>
  <si>
    <t>cpi</t>
  </si>
  <si>
    <r>
      <t>Frontier shift (</t>
    </r>
    <r>
      <rPr>
        <i/>
        <sz val="8"/>
        <rFont val="Arial"/>
        <family val="2"/>
      </rPr>
      <t>f</t>
    </r>
    <r>
      <rPr>
        <sz val="8"/>
        <rFont val="Arial"/>
        <family val="2"/>
      </rPr>
      <t>)</t>
    </r>
  </si>
  <si>
    <t>cpi van jaar t naar 2012</t>
  </si>
  <si>
    <t xml:space="preserve">Overige operationele kosten EHS </t>
  </si>
  <si>
    <r>
      <t>cpi^</t>
    </r>
    <r>
      <rPr>
        <vertAlign val="subscript"/>
        <sz val="8"/>
        <rFont val="Arial"/>
        <family val="2"/>
      </rPr>
      <t>2014,…,2016</t>
    </r>
  </si>
  <si>
    <t>BEGININKOMSTEN</t>
  </si>
  <si>
    <t>TARIEVEN EN REKENVOLUMES</t>
  </si>
  <si>
    <t>Afnemers EHS (220-380 kV)</t>
  </si>
  <si>
    <t>Afnemers EHS (220-380 kV) maximaal 600 uur per jaar</t>
  </si>
  <si>
    <t>Afnemers HS (110-150 kV)</t>
  </si>
  <si>
    <t>Vastrecht transportdienst per jaar</t>
  </si>
  <si>
    <t>kW gecontracteerd per jaar</t>
  </si>
  <si>
    <t>kW max per maand</t>
  </si>
  <si>
    <t>kW max per week</t>
  </si>
  <si>
    <t>Afnemers HS (110-150 kV) maximaal 600 uur per jaar</t>
  </si>
  <si>
    <t xml:space="preserve">kW max per week </t>
  </si>
  <si>
    <t>BEREKENING BEGININKOMSTEN</t>
  </si>
  <si>
    <r>
      <t>Verschil in inkomsten rekenvolumes 2013 versus rekenvolumes periode 2014-2016</t>
    </r>
    <r>
      <rPr>
        <i/>
        <sz val="8"/>
        <rFont val="Arial"/>
        <family val="2"/>
      </rPr>
      <t xml:space="preserve"> (VI</t>
    </r>
    <r>
      <rPr>
        <i/>
        <vertAlign val="superscript"/>
        <sz val="8"/>
        <rFont val="Arial"/>
        <family val="2"/>
      </rPr>
      <t>2013</t>
    </r>
    <r>
      <rPr>
        <i/>
        <sz val="8"/>
        <rFont val="Arial"/>
        <family val="2"/>
      </rPr>
      <t xml:space="preserve"> </t>
    </r>
    <r>
      <rPr>
        <i/>
        <vertAlign val="subscript"/>
        <sz val="8"/>
        <rFont val="Arial"/>
        <family val="2"/>
      </rPr>
      <t>2014-2016</t>
    </r>
    <r>
      <rPr>
        <i/>
        <sz val="8"/>
        <rFont val="Arial"/>
        <family val="2"/>
      </rPr>
      <t>)</t>
    </r>
  </si>
  <si>
    <r>
      <rPr>
        <b/>
        <sz val="8"/>
        <rFont val="Arial"/>
        <family val="2"/>
      </rPr>
      <t>Correctiefactor 2013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(C</t>
    </r>
    <r>
      <rPr>
        <i/>
        <vertAlign val="subscript"/>
        <sz val="8"/>
        <rFont val="Arial"/>
        <family val="2"/>
      </rPr>
      <t>2013</t>
    </r>
    <r>
      <rPr>
        <i/>
        <sz val="8"/>
        <rFont val="Arial"/>
        <family val="2"/>
      </rPr>
      <t>)</t>
    </r>
  </si>
  <si>
    <t>(8)</t>
  </si>
  <si>
    <r>
      <rPr>
        <b/>
        <sz val="8"/>
        <rFont val="Arial"/>
        <family val="2"/>
      </rPr>
      <t>Begininkomsten 2013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(BI</t>
    </r>
    <r>
      <rPr>
        <i/>
        <vertAlign val="subscript"/>
        <sz val="8"/>
        <rFont val="Arial"/>
        <family val="2"/>
      </rPr>
      <t>2013</t>
    </r>
    <r>
      <rPr>
        <i/>
        <sz val="8"/>
        <rFont val="Arial"/>
        <family val="2"/>
      </rPr>
      <t>)</t>
    </r>
  </si>
  <si>
    <r>
      <t>RV</t>
    </r>
    <r>
      <rPr>
        <vertAlign val="subscript"/>
        <sz val="8"/>
        <rFont val="Arial"/>
        <family val="2"/>
      </rPr>
      <t>2011,…2013</t>
    </r>
  </si>
  <si>
    <r>
      <t>RV</t>
    </r>
    <r>
      <rPr>
        <vertAlign val="subscript"/>
        <sz val="8"/>
        <rFont val="Arial"/>
        <family val="2"/>
      </rPr>
      <t>2014,…2016</t>
    </r>
  </si>
  <si>
    <t>Tarieven en Rekenvolumes</t>
  </si>
  <si>
    <t>cpi van jaar 2012 naar t</t>
  </si>
  <si>
    <t>VERREKENINGEN</t>
  </si>
  <si>
    <t>Verrekeningen van (o.a) nacalculaties in de tarieven in het jaar 2013</t>
  </si>
  <si>
    <r>
      <t>Totaal van de verrekeningen van (o.a) nacalculaties in detarieven in het jaar 2013</t>
    </r>
    <r>
      <rPr>
        <i/>
        <sz val="8"/>
        <rFont val="Arial"/>
        <family val="2"/>
      </rPr>
      <t xml:space="preserve"> (VN</t>
    </r>
    <r>
      <rPr>
        <i/>
        <vertAlign val="subscript"/>
        <sz val="8"/>
        <rFont val="Arial"/>
        <family val="2"/>
      </rPr>
      <t>2013</t>
    </r>
    <r>
      <rPr>
        <i/>
        <sz val="8"/>
        <rFont val="Arial"/>
        <family val="2"/>
      </rPr>
      <t>)</t>
    </r>
  </si>
  <si>
    <r>
      <t>Gecorrigeerde tarieven</t>
    </r>
    <r>
      <rPr>
        <sz val="8"/>
        <rFont val="Arial"/>
        <family val="2"/>
      </rPr>
      <t xml:space="preserve"> (t</t>
    </r>
    <r>
      <rPr>
        <sz val="8"/>
        <rFont val="Calibri"/>
        <family val="2"/>
      </rPr>
      <t>̃</t>
    </r>
    <r>
      <rPr>
        <vertAlign val="subscript"/>
        <sz val="8"/>
        <rFont val="Arial"/>
        <family val="2"/>
      </rPr>
      <t>2013</t>
    </r>
    <r>
      <rPr>
        <sz val="8"/>
        <rFont val="Arial"/>
        <family val="2"/>
      </rPr>
      <t>)</t>
    </r>
  </si>
  <si>
    <t>Parameters</t>
  </si>
  <si>
    <t>Overige operationele kosten HS</t>
  </si>
  <si>
    <t>Nacalculatie inkomsten 2011 in prijspeil 2013 (inclusief heffingsrente)</t>
  </si>
  <si>
    <t>Toelichting bij dit bestand</t>
  </si>
  <si>
    <t>Theta van 2012 naar t</t>
  </si>
  <si>
    <t>Inkomsten AI in 2013</t>
  </si>
  <si>
    <t>Kosten AI 2013</t>
  </si>
  <si>
    <t>Correctie</t>
  </si>
  <si>
    <t>Schatting, zie WACC bijlage laatste tabel</t>
  </si>
  <si>
    <t>Theta (EHS en HS)</t>
  </si>
  <si>
    <t>WACC 2011-2013</t>
  </si>
  <si>
    <t>WACC 2014-2016</t>
  </si>
  <si>
    <t>OPEX reg.uitbreidingsinvesteringen</t>
  </si>
  <si>
    <t>Afschrijvingen geïndexeerd prijspeil 2012</t>
  </si>
  <si>
    <t>GAW EHS OUD ultimo geïndexeerd prijspeil 2012</t>
  </si>
  <si>
    <t>Afschrijvingen (incl. AI) geïndexeerd prijspeil 2012</t>
  </si>
  <si>
    <t>GAW EHS NIEUW (incl. AI) ultimo geïndexeerd prijspeil 2012</t>
  </si>
  <si>
    <t>Gerealiseerde reguliere uitbreidingsinvesteringen (uitgaven)</t>
  </si>
  <si>
    <t>Afschrijving in jaar t op gerealiseerde reg. uitbreidingsinv. in jaar t</t>
  </si>
  <si>
    <t>GAW HS OUD ultimo geïndexeerd prijspeil 2012</t>
  </si>
  <si>
    <t>GAW HS 2007 ultimo geïndexeerd prijspeil 2012</t>
  </si>
  <si>
    <t>Operationele kosten reguliere uitbreidingsinvesteringen</t>
  </si>
  <si>
    <t>Theta</t>
  </si>
  <si>
    <t>Gerealiseerde reguliere uitbreidingsinvesteringen (uitgaven) EHS</t>
  </si>
  <si>
    <t>Gerealiseerde reguliere uitbreidingsinvesteringen (uitgaven) HS</t>
  </si>
  <si>
    <t>Verschil</t>
  </si>
  <si>
    <t>GAW ultimo jaar t van reg. UI in jaar t</t>
  </si>
  <si>
    <t>GAW HS NIEUW (incl. AI) ultimo geïndexeerd prijspeil 2012</t>
  </si>
  <si>
    <t>Operationele kosten EHS volgens PRD</t>
  </si>
  <si>
    <t>Kosten EHS InterTSO Compensation volgens PRD 2012</t>
  </si>
  <si>
    <t>TI2014 met verwachte cpi</t>
  </si>
  <si>
    <t>TI2015 met verwachte cpi</t>
  </si>
  <si>
    <t>Operationele kosten HS volgens PRD</t>
  </si>
  <si>
    <t>Inkoopkosten naastgelegen netten</t>
  </si>
  <si>
    <t>%</t>
  </si>
  <si>
    <t>Tarieven 2013</t>
  </si>
  <si>
    <t>Reële WACC 2011-2013</t>
  </si>
  <si>
    <t>Kosten of opbrengsten EHS Inter TSO Compensation</t>
  </si>
  <si>
    <t>GAW HS OUD geïndexeerd</t>
  </si>
  <si>
    <t>GAW HS NIEUW geïndexeerd</t>
  </si>
  <si>
    <t>Afschrijvingen HS OUD geïndexeerd</t>
  </si>
  <si>
    <t>Afschrijvingen HS 2007 geïndexeerd</t>
  </si>
  <si>
    <t>Afschrijvingen HS NIEUW geïndexeerd</t>
  </si>
  <si>
    <t xml:space="preserve">PARAMETERS </t>
  </si>
  <si>
    <t>cpi 2014</t>
  </si>
  <si>
    <t>cpi 2015</t>
  </si>
  <si>
    <t>cpi 2016</t>
  </si>
  <si>
    <t>Begininkomsten 2013</t>
  </si>
  <si>
    <t>Eindinkomsten 2016</t>
  </si>
  <si>
    <t>X-FACTOR TRANSPORTTAKEN TENNET ZESDE REGULERINGSPERIODE</t>
  </si>
  <si>
    <t>Aftrek prognose omzet aansluitdienst en meterhuur EHS 2013</t>
  </si>
  <si>
    <t>Aftrek prognose omzet aansluitdienst en meterhuur HS 2013</t>
  </si>
  <si>
    <t>Totaal</t>
  </si>
  <si>
    <t>Verrekeningen voor het jaar 2013 niet zijnde aftrek prognose omzet aansluitdienst en meterhuur 2013</t>
  </si>
  <si>
    <t>Totale correcties in tarievenbesluit 2013</t>
  </si>
  <si>
    <t>(29)</t>
  </si>
  <si>
    <t>(30)</t>
  </si>
  <si>
    <t>Aantal jaren</t>
  </si>
  <si>
    <t>Theta int 2025</t>
  </si>
  <si>
    <t>EFFICIËNTE KOSTEN 2013 tbv art.  41c, 4e lid, E-wet</t>
  </si>
  <si>
    <t>Overige nacalculaties tm 2012 in prijspeil 2013 (inclusief hefiingsrente)</t>
  </si>
  <si>
    <t>(3)</t>
  </si>
  <si>
    <t>(5)</t>
  </si>
  <si>
    <t>(6)</t>
  </si>
  <si>
    <t>(4)</t>
  </si>
  <si>
    <t>Budget beheerkosten 2013</t>
  </si>
  <si>
    <t>bron: tarievenbesluit 2013</t>
  </si>
  <si>
    <t>Efficiënte beheerkosten 2013 naar systeemtaken</t>
  </si>
  <si>
    <t>Efficiëntebeheerkosten 2013 naar transporttaken</t>
  </si>
  <si>
    <t>BEREKENING X-FACTOR</t>
  </si>
  <si>
    <t>TI2016 met verwachte cpi</t>
  </si>
  <si>
    <t>BEREKENING AANLEIDINGSTOETS NETBEHEERDER</t>
  </si>
  <si>
    <t>BEREKENING TOEPASSINGSVOORWAARDE TRANSPORTTAKEN</t>
  </si>
  <si>
    <t>BEREKENING TOEPASSINGSVOORWAARDE SYSTEEMTAKEN</t>
  </si>
  <si>
    <t>Begininkomsten 2013 transporttaken</t>
  </si>
  <si>
    <t>Budget beheerkosten 2013 systeemtaken</t>
  </si>
  <si>
    <t>(26)</t>
  </si>
  <si>
    <t>(28)</t>
  </si>
  <si>
    <t xml:space="preserve">Dit Excelbestand bevat het model waarmee de x-factor en het rekenvolume voor de netbeheerder van het landelijk hoogspanningsnet, TenneT TSO B.V., worden berekend, </t>
  </si>
  <si>
    <t>Geschatte werkelijke kosten 2013</t>
  </si>
  <si>
    <t>(9)</t>
  </si>
  <si>
    <t>Totale inkomsten beheertaken 2013</t>
  </si>
  <si>
    <t>AANLEIDINGSTOETS</t>
  </si>
  <si>
    <t>Totaal inkoopkosten HS E&amp;V</t>
  </si>
  <si>
    <t>Totaal inkoopkosten EHS E&amp;V</t>
  </si>
  <si>
    <t>Planningskosten</t>
  </si>
  <si>
    <t>EHS OUD - buiten scope</t>
  </si>
  <si>
    <t>EHS OUD - binnen scope</t>
  </si>
  <si>
    <t>EHS NIEUW - buiten scope</t>
  </si>
  <si>
    <t>EHS NIEUW - binnen scope</t>
  </si>
  <si>
    <t>Reguliere uitbreidingsinvesteringen (buiten scope)</t>
  </si>
  <si>
    <t>HS OUD - buiten scope</t>
  </si>
  <si>
    <t>HS OUD - binnen scope</t>
  </si>
  <si>
    <t>HS 2007 - buiten scope</t>
  </si>
  <si>
    <t>HS 2007 - binnen scope</t>
  </si>
  <si>
    <t>HS NIEUW - buiten scope</t>
  </si>
  <si>
    <t>HS NIEUW - binnen scope</t>
  </si>
  <si>
    <t>waarvan buiten-scope kostencategorieen:</t>
  </si>
  <si>
    <t>Compensatievergoedingen landeigenaren</t>
  </si>
  <si>
    <t>Belastingen en heffingen</t>
  </si>
  <si>
    <t>Voorziening dubieuze debiteuren</t>
  </si>
  <si>
    <t>Zakelijk recht overeenkomsten</t>
  </si>
  <si>
    <t>Algemene operationele kosten EHS: buiten scope</t>
  </si>
  <si>
    <t>Algemene operationele kosten EHS</t>
  </si>
  <si>
    <t>Algemene operationele kosten HS (excl. Inkoopkosten n.n., inkoop E&amp;V)</t>
  </si>
  <si>
    <t>Algemene operationele kosten EHS (excl. InterTSO compensation)</t>
  </si>
  <si>
    <t>waarvan buiten-scope kostencategorieën:</t>
  </si>
  <si>
    <t>Belastigen en heffingen</t>
  </si>
  <si>
    <t>Precario</t>
  </si>
  <si>
    <t>Algemene operationele kosten HS: buiten scope</t>
  </si>
  <si>
    <t>Algemene operationele kosten HS: binnen scope</t>
  </si>
  <si>
    <t>Totaal inkoopkosten EHS E&amp;V (buiten scope)</t>
  </si>
  <si>
    <t>Totaal inkoopkosten HS E&amp;V (buiten scope)</t>
  </si>
  <si>
    <t>GAW EHS - binnen scope</t>
  </si>
  <si>
    <t>GAW EHS OUD geïndexeerd</t>
  </si>
  <si>
    <t>GAW EHS NIEUW geïndexeerd</t>
  </si>
  <si>
    <t>GAW EHS OUD en NIEUW ultimo geïndexeerd</t>
  </si>
  <si>
    <t>Afschrijvingen - binnen scope</t>
  </si>
  <si>
    <t>Afschrijvingen EHS OUD geïndexeerd</t>
  </si>
  <si>
    <t>Afschrijvingen EHS NIEUW geïndexeerd</t>
  </si>
  <si>
    <t>Afschrijvingen EHS OUD en NIEUW geïndexeerd</t>
  </si>
  <si>
    <t>Beheerkosten instandhouding bestaande EHS-netten</t>
  </si>
  <si>
    <t>HUIDIGE KOSTEN obv oude WACC HS - buiten scope</t>
  </si>
  <si>
    <t>HUIDIGE KOSTEN obv oude WACC EHS - binnen scope</t>
  </si>
  <si>
    <t>GAW HS -binnen scope</t>
  </si>
  <si>
    <t>GAW HS OUD, HS 2007 en HS NIEUW geïndexeerd</t>
  </si>
  <si>
    <t>Afschrijvingen HS OUD, HS 2007 en HS NIEUW geïndexeerd</t>
  </si>
  <si>
    <t>Kapitaalkosten instandhouding HS OUD, HS 2007 en HS NIEUW, prijspeil 2013</t>
  </si>
  <si>
    <t>Kapitaalkosten instandhouding bestaand EHS OUD en EHS NIEUW, prijspeil 2013</t>
  </si>
  <si>
    <t>Algemene operationele kosten HS - binnen scope</t>
  </si>
  <si>
    <t>Beheerkosten instandhouding bestaande HS-netten</t>
  </si>
  <si>
    <t>GAW HS 2007 geïndexeerd</t>
  </si>
  <si>
    <t>Gemiddelde algemene operationele kosten, prijspeil 2013 - binnen scope</t>
  </si>
  <si>
    <t>HUIDIGE KOSTEN obv oude WACC EHS - buiten scope</t>
  </si>
  <si>
    <t>GAW EHS - buiten scope</t>
  </si>
  <si>
    <t>Afschrijvingen - buiten scope</t>
  </si>
  <si>
    <t>Gemiddelde algemene operationele kosten, prijspeil 2013 - buiten scope</t>
  </si>
  <si>
    <t>EHS ultimo jaar t van reguliere uitbreidingsinvesteringen in jaar t</t>
  </si>
  <si>
    <t>Afschrijving in jaar t op EHS gerealiseerde reguliere uitbreidingsinvesteringen in jaar t</t>
  </si>
  <si>
    <t xml:space="preserve">Kapitaalkosten EHS reguliere uitbreidingsinvesteringen </t>
  </si>
  <si>
    <t>Gemiddelde kosten reguliere uitbreidingsinvesteringen EHS, prijspeil 2013</t>
  </si>
  <si>
    <t>Gemiddelde inkoopkosten EHS E&amp;V, prijspeil 2013</t>
  </si>
  <si>
    <t>Algemene operationele kosten HS - buiten scope</t>
  </si>
  <si>
    <t>Verwachten kosten 2013 EHS</t>
  </si>
  <si>
    <t>Beheerkosten - binnen scope</t>
  </si>
  <si>
    <t>Verwachte beheerkosten instandhouding bestaande activa</t>
  </si>
  <si>
    <t>Beheerkosten - buiten scope</t>
  </si>
  <si>
    <t>Verwachte beheerkosten reguliere uitbreidingsinvesteringen</t>
  </si>
  <si>
    <t>Verwachten kosten 2013 HS</t>
  </si>
  <si>
    <t>Verwachte werkelijke kosten 2013</t>
  </si>
  <si>
    <t>Verwachte werkelijke beheerkosten 2013 naar systeemtaken</t>
  </si>
  <si>
    <t>Verwachte werkelijke kosten 2013 naar transporttaken</t>
  </si>
  <si>
    <t>Verwachte kosten 2013 tbv art. 41c, 4e lid, E-wet</t>
  </si>
  <si>
    <t>Verwachte efficiënte kosten 2016</t>
  </si>
  <si>
    <t>Verwachte efficiënte beheerkosten 2016 naar systeemtaken</t>
  </si>
  <si>
    <t>Verwachte efficiënte kosten 2016 naar transporttaken</t>
  </si>
  <si>
    <t>Afschrijving in jaar t op HS gerealiseerde reguliere uitbreidingsinvesteringen in jaar t</t>
  </si>
  <si>
    <t xml:space="preserve">Kapitaalkosten HS reguliere uitbreidingsinvesteringen </t>
  </si>
  <si>
    <t>HS ultimo jaar t van reguliere uitbreidingsinvesteringen in jaar t</t>
  </si>
  <si>
    <t>Gemiddelde kosten reguliere uitbreidingsinvesteringen HS, prijspeil 2013</t>
  </si>
  <si>
    <t>Gemiddelde inkoopkosten HS E&amp;V, prijspeil 2013</t>
  </si>
  <si>
    <t>HUIDIGE KOSTEN obv oude WACC HS - binnen scope</t>
  </si>
  <si>
    <t>Overige operationele kosten EHS: inkoopkosten E&amp;V &amp; InterTSO compensation</t>
  </si>
  <si>
    <t>Overige operationele kosten HS: Inkoopkosten E&amp;V</t>
  </si>
  <si>
    <t>cpi van jaar 2013 naar t</t>
  </si>
  <si>
    <t>Verwachte efficiënte kosten 2013</t>
  </si>
  <si>
    <t>Verwachte efficiënte beheerkosten 2013 naar systeemtaken</t>
  </si>
  <si>
    <t>Verwachte efficiënte kosten 2013 naar transporttaken</t>
  </si>
  <si>
    <t>Efficiënte kosten 2013 tbv art. 41c, 4e lid, E-wet</t>
  </si>
  <si>
    <t>HUIDIGE KOSTEN EHS - binnen scope</t>
  </si>
  <si>
    <t>HUIDIGE KOSTEN HS - binnen scope</t>
  </si>
  <si>
    <t>HUIDIGE KOSTEN EHS - buiten scope</t>
  </si>
  <si>
    <t>HUIDIGE KOSTEN HS - buiten scope</t>
  </si>
  <si>
    <t>EFFICIËNTE KOSTEN 2016 EHS</t>
  </si>
  <si>
    <t>EFFICIËNTE KOSTEN 2016 HS</t>
  </si>
  <si>
    <t>bron: bron: PRD TenneT 2010, 2011, 2012</t>
  </si>
  <si>
    <t>bron:  Invulmodule niet-gebenchmarkte kosten 2000-2015, tabel 5</t>
  </si>
  <si>
    <t>bron: PRD TenneT 2010, 2011, 2012</t>
  </si>
  <si>
    <t>bron: GAW TenneT 2016 - excl. Stedin en Liander</t>
  </si>
  <si>
    <r>
      <t xml:space="preserve">zoals dat is beschreven in de 2e wijziging methodebesluit TenneT 2014-2016 transport  met kenmerk </t>
    </r>
    <r>
      <rPr>
        <sz val="8"/>
        <rFont val="Arial"/>
        <family val="2"/>
      </rPr>
      <t>ACM/DE/2016/207921</t>
    </r>
  </si>
  <si>
    <t>Bijlage 1 - Overzicht parameters x-factor en resultaten</t>
  </si>
  <si>
    <t>Parameters transport- en systeemtaken</t>
  </si>
  <si>
    <t>Frontier shift</t>
  </si>
  <si>
    <t>Begin- en eindinkomsten transporttaken</t>
  </si>
  <si>
    <t>EUR, pp 2016</t>
  </si>
  <si>
    <r>
      <t>x</t>
    </r>
    <r>
      <rPr>
        <vertAlign val="subscript"/>
        <sz val="8"/>
        <rFont val="Arial"/>
        <family val="2"/>
      </rPr>
      <t>2017,…,2021</t>
    </r>
    <r>
      <rPr>
        <sz val="8"/>
        <rFont val="Arial"/>
        <family val="2"/>
      </rPr>
      <t xml:space="preserve"> (afgerond)</t>
    </r>
  </si>
  <si>
    <r>
      <t>WACC</t>
    </r>
    <r>
      <rPr>
        <vertAlign val="subscript"/>
        <sz val="8"/>
        <rFont val="Arial"/>
        <family val="2"/>
      </rPr>
      <t>2014,…,2016</t>
    </r>
    <r>
      <rPr>
        <vertAlign val="superscript"/>
        <sz val="8"/>
        <rFont val="Arial"/>
        <family val="2"/>
      </rPr>
      <t>reëel</t>
    </r>
  </si>
  <si>
    <t>Theta (EHS en HS) t/m 2016</t>
  </si>
  <si>
    <t>EUR, pp 2013</t>
  </si>
  <si>
    <t>Algemene operationele kosten EHS: binnen scope</t>
  </si>
  <si>
    <t>GAW HS - binnen scope</t>
  </si>
  <si>
    <t>GAW HS - buiten scope</t>
  </si>
  <si>
    <t>bron: PRD TenneT 2010, 2011, 2012 + email dd 16/6/17 met kenmerk 2017304512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</si>
</sst>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164" formatCode="_-* #,##0.00_-;_-* #,##0.00\-;_-* &quot;-&quot;??_-;_-@_-"/>
    <numFmt numFmtId="165" formatCode="0.00000"/>
    <numFmt numFmtId="166" formatCode="0.000"/>
    <numFmt numFmtId="167" formatCode="&quot;WACC reëel: &quot;0.0%&quot;, nom:&quot;"/>
    <numFmt numFmtId="168" formatCode="0.0%"/>
    <numFmt numFmtId="169" formatCode="_-[$€]\ * #,##0.00_-;_-[$€]\ * #,##0.00\-;_-[$€]\ * &quot;-&quot;??_-;_-@_-"/>
    <numFmt numFmtId="170" formatCode="#,##0.000000"/>
    <numFmt numFmtId="171" formatCode="0.0000"/>
    <numFmt numFmtId="172" formatCode="_ * #,##0_ ;_ * \-#,##0_ ;_ * &quot;-&quot;??_ ;_ @_ "/>
    <numFmt numFmtId="173" formatCode="0.0"/>
    <numFmt numFmtId="174" formatCode="_ * #,##0.0_ ;_ * \-#,##0.0_ ;_ * &quot;-&quot;??_ ;_ @_ "/>
    <numFmt numFmtId="175" formatCode="_ * #,##0.000_ ;_ * \-#,##0.000_ ;_ * &quot;-&quot;??_ ;_ @_ "/>
    <numFmt numFmtId="176" formatCode="_([$€]* #,##0.00_);_([$€]* \(#,##0.00\);_([$€]* &quot;-&quot;??_);_(@_)"/>
    <numFmt numFmtId="177" formatCode="_(* #,##0.00_);_(* \(#,##0.00\);_(* &quot;-&quot;??_);_(@_)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name val="Arial"/>
      <family val="2"/>
    </font>
    <font>
      <sz val="8"/>
      <color indexed="23"/>
      <name val="Arial"/>
      <family val="2"/>
    </font>
    <font>
      <sz val="12"/>
      <name val="Times New Roman"/>
      <family val="1"/>
    </font>
    <font>
      <vertAlign val="subscript"/>
      <sz val="8"/>
      <name val="Arial"/>
      <family val="2"/>
    </font>
    <font>
      <sz val="10"/>
      <name val="DTLArgoT"/>
    </font>
    <font>
      <sz val="10"/>
      <color indexed="8"/>
      <name val="MS Sans Serif"/>
      <family val="2"/>
    </font>
    <font>
      <sz val="10"/>
      <name val="Comic Sans MS"/>
      <family val="4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2"/>
      <color indexed="12"/>
      <name val="Times New Roman"/>
      <family val="1"/>
    </font>
    <font>
      <sz val="8"/>
      <name val="Arial"/>
      <family val="2"/>
    </font>
    <font>
      <i/>
      <vertAlign val="superscript"/>
      <sz val="8"/>
      <name val="Arial"/>
      <family val="2"/>
    </font>
    <font>
      <i/>
      <vertAlign val="subscript"/>
      <sz val="8"/>
      <name val="Arial"/>
      <family val="2"/>
    </font>
    <font>
      <b/>
      <vertAlign val="subscript"/>
      <sz val="8"/>
      <name val="Arial"/>
      <family val="2"/>
    </font>
    <font>
      <b/>
      <sz val="8"/>
      <color indexed="9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9">
    <xf numFmtId="0" fontId="0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26" fillId="2" borderId="0" applyNumberFormat="0" applyBorder="0" applyAlignment="0" applyProtection="0"/>
    <xf numFmtId="0" fontId="30" fillId="5" borderId="1" applyNumberFormat="0" applyAlignment="0" applyProtection="0"/>
    <xf numFmtId="0" fontId="32" fillId="6" borderId="2" applyNumberFormat="0" applyAlignment="0" applyProtection="0"/>
    <xf numFmtId="169" fontId="1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11" fillId="0" borderId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8" fillId="4" borderId="1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1" fillId="0" borderId="3" applyNumberFormat="0" applyFill="0" applyAlignment="0" applyProtection="0"/>
    <xf numFmtId="0" fontId="27" fillId="7" borderId="0" applyNumberFormat="0" applyBorder="0" applyAlignment="0" applyProtection="0"/>
    <xf numFmtId="0" fontId="20" fillId="0" borderId="0"/>
    <xf numFmtId="0" fontId="4" fillId="8" borderId="7" applyNumberFormat="0" applyFont="0" applyAlignment="0" applyProtection="0"/>
    <xf numFmtId="0" fontId="29" fillId="5" borderId="8" applyNumberFormat="0" applyAlignment="0" applyProtection="0"/>
    <xf numFmtId="168" fontId="4" fillId="9" borderId="9" applyBorder="0" applyProtection="0">
      <alignment horizontal="center" vertical="center"/>
    </xf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21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6" fillId="0" borderId="0"/>
    <xf numFmtId="176" fontId="46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0" fontId="11" fillId="0" borderId="0"/>
    <xf numFmtId="9" fontId="4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8">
    <xf numFmtId="0" fontId="0" fillId="0" borderId="0" xfId="0"/>
    <xf numFmtId="0" fontId="8" fillId="0" borderId="0" xfId="0" applyFont="1"/>
    <xf numFmtId="0" fontId="10" fillId="0" borderId="0" xfId="1" applyFont="1" applyFill="1" applyBorder="1"/>
    <xf numFmtId="0" fontId="5" fillId="11" borderId="0" xfId="1" applyFont="1" applyFill="1"/>
    <xf numFmtId="0" fontId="5" fillId="11" borderId="0" xfId="1" applyFont="1" applyFill="1" applyBorder="1"/>
    <xf numFmtId="0" fontId="5" fillId="0" borderId="0" xfId="1" applyFont="1" applyFill="1"/>
    <xf numFmtId="0" fontId="11" fillId="11" borderId="0" xfId="1" applyFont="1" applyFill="1" applyBorder="1"/>
    <xf numFmtId="0" fontId="5" fillId="0" borderId="0" xfId="0" applyFont="1"/>
    <xf numFmtId="0" fontId="12" fillId="11" borderId="0" xfId="1" applyFont="1" applyFill="1"/>
    <xf numFmtId="0" fontId="11" fillId="11" borderId="0" xfId="1" applyFont="1" applyFill="1" applyBorder="1" applyAlignment="1">
      <alignment horizontal="right"/>
    </xf>
    <xf numFmtId="0" fontId="12" fillId="11" borderId="0" xfId="1" applyFont="1" applyFill="1" applyBorder="1" applyAlignment="1">
      <alignment horizontal="right"/>
    </xf>
    <xf numFmtId="0" fontId="12" fillId="11" borderId="0" xfId="1" applyFont="1" applyFill="1" applyBorder="1"/>
    <xf numFmtId="0" fontId="13" fillId="0" borderId="0" xfId="1" applyFont="1" applyBorder="1" applyProtection="1"/>
    <xf numFmtId="0" fontId="13" fillId="0" borderId="0" xfId="1" applyFont="1" applyProtection="1"/>
    <xf numFmtId="0" fontId="5" fillId="11" borderId="0" xfId="1" applyFont="1" applyFill="1" applyProtection="1"/>
    <xf numFmtId="2" fontId="12" fillId="11" borderId="0" xfId="1" applyNumberFormat="1" applyFont="1" applyFill="1" applyProtection="1"/>
    <xf numFmtId="166" fontId="12" fillId="12" borderId="0" xfId="1" applyNumberFormat="1" applyFont="1" applyFill="1" applyBorder="1" applyProtection="1"/>
    <xf numFmtId="0" fontId="12" fillId="0" borderId="0" xfId="1" applyFont="1" applyBorder="1" applyProtection="1"/>
    <xf numFmtId="0" fontId="5" fillId="9" borderId="0" xfId="1" applyFont="1" applyFill="1" applyBorder="1"/>
    <xf numFmtId="0" fontId="5" fillId="13" borderId="0" xfId="0" applyFont="1" applyFill="1"/>
    <xf numFmtId="0" fontId="5" fillId="12" borderId="0" xfId="1" applyFont="1" applyFill="1" applyBorder="1"/>
    <xf numFmtId="0" fontId="5" fillId="14" borderId="0" xfId="1" applyFont="1" applyFill="1" applyBorder="1"/>
    <xf numFmtId="0" fontId="5" fillId="10" borderId="0" xfId="1" applyFont="1" applyFill="1" applyBorder="1"/>
    <xf numFmtId="0" fontId="5" fillId="0" borderId="0" xfId="0" applyFont="1" applyFill="1" applyBorder="1"/>
    <xf numFmtId="0" fontId="5" fillId="11" borderId="0" xfId="0" applyFont="1" applyFill="1" applyBorder="1"/>
    <xf numFmtId="0" fontId="11" fillId="0" borderId="0" xfId="1" applyFont="1" applyBorder="1" applyAlignment="1" applyProtection="1">
      <alignment horizontal="right"/>
    </xf>
    <xf numFmtId="0" fontId="11" fillId="0" borderId="0" xfId="0" applyFont="1"/>
    <xf numFmtId="3" fontId="11" fillId="0" borderId="0" xfId="1" applyNumberFormat="1" applyFont="1" applyFill="1" applyBorder="1" applyProtection="1"/>
    <xf numFmtId="0" fontId="5" fillId="0" borderId="0" xfId="0" applyFont="1" applyFill="1"/>
    <xf numFmtId="167" fontId="5" fillId="0" borderId="0" xfId="47" applyNumberFormat="1" applyFont="1" applyFill="1" applyBorder="1" applyAlignment="1" applyProtection="1"/>
    <xf numFmtId="3" fontId="12" fillId="9" borderId="0" xfId="1" applyNumberFormat="1" applyFont="1" applyFill="1" applyBorder="1" applyProtection="1"/>
    <xf numFmtId="3" fontId="5" fillId="0" borderId="0" xfId="0" applyNumberFormat="1" applyFont="1"/>
    <xf numFmtId="3" fontId="5" fillId="12" borderId="0" xfId="1" applyNumberFormat="1" applyFont="1" applyFill="1" applyBorder="1"/>
    <xf numFmtId="3" fontId="5" fillId="0" borderId="0" xfId="1" applyNumberFormat="1" applyFont="1" applyFill="1" applyBorder="1"/>
    <xf numFmtId="3" fontId="12" fillId="11" borderId="0" xfId="1" applyNumberFormat="1" applyFont="1" applyFill="1"/>
    <xf numFmtId="3" fontId="12" fillId="11" borderId="0" xfId="1" applyNumberFormat="1" applyFont="1" applyFill="1" applyBorder="1"/>
    <xf numFmtId="3" fontId="11" fillId="0" borderId="0" xfId="0" applyNumberFormat="1" applyFont="1"/>
    <xf numFmtId="3" fontId="14" fillId="0" borderId="0" xfId="0" applyNumberFormat="1" applyFont="1"/>
    <xf numFmtId="3" fontId="5" fillId="13" borderId="0" xfId="0" applyNumberFormat="1" applyFont="1" applyFill="1"/>
    <xf numFmtId="3" fontId="5" fillId="0" borderId="0" xfId="1" applyNumberFormat="1" applyFont="1" applyFill="1" applyBorder="1" applyProtection="1"/>
    <xf numFmtId="3" fontId="11" fillId="0" borderId="0" xfId="1" applyNumberFormat="1" applyFont="1" applyFill="1" applyBorder="1" applyAlignment="1" applyProtection="1">
      <alignment horizontal="left"/>
    </xf>
    <xf numFmtId="3" fontId="5" fillId="0" borderId="0" xfId="0" applyNumberFormat="1" applyFont="1" applyFill="1"/>
    <xf numFmtId="0" fontId="15" fillId="0" borderId="0" xfId="0" applyFont="1"/>
    <xf numFmtId="3" fontId="5" fillId="14" borderId="0" xfId="1" applyNumberFormat="1" applyFont="1" applyFill="1" applyBorder="1"/>
    <xf numFmtId="3" fontId="5" fillId="9" borderId="0" xfId="1" applyNumberFormat="1" applyFont="1" applyFill="1" applyBorder="1" applyProtection="1"/>
    <xf numFmtId="0" fontId="14" fillId="0" borderId="0" xfId="0" applyFont="1"/>
    <xf numFmtId="0" fontId="5" fillId="0" borderId="0" xfId="1" applyFont="1" applyFill="1" applyBorder="1" applyProtection="1"/>
    <xf numFmtId="0" fontId="11" fillId="0" borderId="0" xfId="1" applyFont="1" applyFill="1" applyBorder="1" applyProtection="1"/>
    <xf numFmtId="0" fontId="11" fillId="0" borderId="12" xfId="1" applyFont="1" applyFill="1" applyBorder="1" applyAlignment="1" applyProtection="1">
      <alignment horizontal="left"/>
    </xf>
    <xf numFmtId="0" fontId="11" fillId="11" borderId="0" xfId="1" applyFont="1" applyFill="1"/>
    <xf numFmtId="3" fontId="13" fillId="0" borderId="0" xfId="0" applyNumberFormat="1" applyFont="1"/>
    <xf numFmtId="168" fontId="5" fillId="13" borderId="0" xfId="47" applyNumberFormat="1" applyFont="1" applyFill="1"/>
    <xf numFmtId="9" fontId="5" fillId="13" borderId="0" xfId="47" applyNumberFormat="1" applyFont="1" applyFill="1"/>
    <xf numFmtId="0" fontId="5" fillId="0" borderId="0" xfId="0" applyFont="1" applyAlignment="1">
      <alignment horizontal="right"/>
    </xf>
    <xf numFmtId="166" fontId="5" fillId="13" borderId="0" xfId="0" applyNumberFormat="1" applyFont="1" applyFill="1" applyAlignment="1">
      <alignment horizontal="right"/>
    </xf>
    <xf numFmtId="0" fontId="12" fillId="11" borderId="0" xfId="1" applyFont="1" applyFill="1" applyBorder="1" applyAlignment="1">
      <alignment horizontal="center"/>
    </xf>
    <xf numFmtId="166" fontId="5" fillId="10" borderId="0" xfId="1" applyNumberFormat="1" applyFont="1" applyFill="1" applyBorder="1"/>
    <xf numFmtId="0" fontId="15" fillId="0" borderId="0" xfId="0" applyFont="1" applyAlignment="1">
      <alignment horizontal="right"/>
    </xf>
    <xf numFmtId="0" fontId="5" fillId="11" borderId="0" xfId="1" applyFont="1" applyFill="1" applyAlignment="1">
      <alignment horizontal="right"/>
    </xf>
    <xf numFmtId="166" fontId="12" fillId="9" borderId="0" xfId="1" applyNumberFormat="1" applyFont="1" applyFill="1" applyBorder="1"/>
    <xf numFmtId="166" fontId="12" fillId="12" borderId="0" xfId="1" applyNumberFormat="1" applyFont="1" applyFill="1" applyBorder="1"/>
    <xf numFmtId="166" fontId="12" fillId="9" borderId="0" xfId="1" applyNumberFormat="1" applyFont="1" applyFill="1" applyBorder="1" applyProtection="1"/>
    <xf numFmtId="166" fontId="12" fillId="10" borderId="0" xfId="1" applyNumberFormat="1" applyFont="1" applyFill="1" applyBorder="1" applyProtection="1"/>
    <xf numFmtId="166" fontId="12" fillId="10" borderId="0" xfId="1" applyNumberFormat="1" applyFont="1" applyFill="1" applyBorder="1"/>
    <xf numFmtId="0" fontId="42" fillId="0" borderId="0" xfId="0" applyFont="1" applyFill="1" applyBorder="1"/>
    <xf numFmtId="165" fontId="5" fillId="12" borderId="0" xfId="0" applyNumberFormat="1" applyFont="1" applyFill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5" fillId="0" borderId="0" xfId="0" quotePrefix="1" applyFont="1" applyAlignment="1">
      <alignment horizontal="left" indent="1"/>
    </xf>
    <xf numFmtId="170" fontId="5" fillId="0" borderId="0" xfId="0" applyNumberFormat="1" applyFont="1"/>
    <xf numFmtId="3" fontId="11" fillId="0" borderId="0" xfId="0" quotePrefix="1" applyNumberFormat="1" applyFont="1" applyFill="1"/>
    <xf numFmtId="3" fontId="5" fillId="0" borderId="0" xfId="76" applyNumberFormat="1" applyFont="1" applyBorder="1" applyAlignment="1" applyProtection="1">
      <alignment horizontal="left" vertical="center" indent="1"/>
    </xf>
    <xf numFmtId="4" fontId="5" fillId="12" borderId="0" xfId="1" applyNumberFormat="1" applyFont="1" applyFill="1" applyBorder="1"/>
    <xf numFmtId="0" fontId="15" fillId="0" borderId="0" xfId="0" applyFont="1" applyFill="1"/>
    <xf numFmtId="168" fontId="5" fillId="9" borderId="0" xfId="47" applyNumberFormat="1" applyFont="1" applyFill="1" applyBorder="1" applyProtection="1"/>
    <xf numFmtId="3" fontId="5" fillId="0" borderId="0" xfId="76" applyNumberFormat="1" applyFont="1" applyBorder="1" applyAlignment="1" applyProtection="1">
      <alignment horizontal="left" vertical="center" indent="2"/>
    </xf>
    <xf numFmtId="9" fontId="5" fillId="9" borderId="0" xfId="47" applyNumberFormat="1" applyFont="1" applyFill="1" applyBorder="1" applyProtection="1"/>
    <xf numFmtId="0" fontId="8" fillId="0" borderId="0" xfId="0" applyFont="1" applyFill="1"/>
    <xf numFmtId="0" fontId="11" fillId="11" borderId="0" xfId="1" applyFont="1" applyFill="1" applyAlignment="1">
      <alignment horizontal="left" vertical="top" wrapText="1"/>
    </xf>
    <xf numFmtId="0" fontId="13" fillId="11" borderId="0" xfId="1" applyFont="1" applyFill="1" applyBorder="1" applyProtection="1"/>
    <xf numFmtId="3" fontId="5" fillId="0" borderId="0" xfId="0" quotePrefix="1" applyNumberFormat="1" applyFont="1" applyFill="1" applyAlignment="1">
      <alignment horizontal="center"/>
    </xf>
    <xf numFmtId="3" fontId="5" fillId="0" borderId="0" xfId="0" applyNumberFormat="1" applyFont="1" applyFill="1" applyBorder="1"/>
    <xf numFmtId="3" fontId="12" fillId="0" borderId="0" xfId="1" applyNumberFormat="1" applyFont="1" applyFill="1" applyBorder="1" applyProtection="1"/>
    <xf numFmtId="0" fontId="5" fillId="0" borderId="0" xfId="0" applyFont="1" applyFill="1" applyAlignment="1">
      <alignment horizontal="right"/>
    </xf>
    <xf numFmtId="0" fontId="5" fillId="0" borderId="0" xfId="0" quotePrefix="1" applyFont="1" applyFill="1" applyAlignment="1">
      <alignment horizontal="right"/>
    </xf>
    <xf numFmtId="1" fontId="12" fillId="15" borderId="0" xfId="1" applyNumberFormat="1" applyFont="1" applyFill="1" applyBorder="1"/>
    <xf numFmtId="0" fontId="13" fillId="0" borderId="0" xfId="1" applyFont="1" applyFill="1" applyBorder="1" applyProtection="1"/>
    <xf numFmtId="3" fontId="5" fillId="17" borderId="0" xfId="0" applyNumberFormat="1" applyFont="1" applyFill="1"/>
    <xf numFmtId="0" fontId="5" fillId="0" borderId="0" xfId="9" applyFont="1" applyBorder="1" applyAlignment="1"/>
    <xf numFmtId="166" fontId="5" fillId="0" borderId="0" xfId="0" applyNumberFormat="1" applyFont="1" applyFill="1" applyAlignment="1">
      <alignment horizontal="right"/>
    </xf>
    <xf numFmtId="0" fontId="11" fillId="0" borderId="0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10" fontId="5" fillId="0" borderId="0" xfId="47" applyNumberFormat="1" applyFont="1" applyFill="1" applyBorder="1"/>
    <xf numFmtId="43" fontId="11" fillId="16" borderId="0" xfId="80" applyFont="1" applyFill="1"/>
    <xf numFmtId="3" fontId="5" fillId="17" borderId="0" xfId="0" applyNumberFormat="1" applyFont="1" applyFill="1" applyBorder="1"/>
    <xf numFmtId="3" fontId="5" fillId="0" borderId="0" xfId="2" applyNumberFormat="1" applyFont="1" applyFill="1" applyBorder="1" applyProtection="1"/>
    <xf numFmtId="0" fontId="5" fillId="11" borderId="0" xfId="1" applyFont="1" applyFill="1" applyBorder="1" applyAlignment="1">
      <alignment horizontal="right"/>
    </xf>
    <xf numFmtId="0" fontId="9" fillId="19" borderId="11" xfId="0" applyFont="1" applyFill="1" applyBorder="1"/>
    <xf numFmtId="0" fontId="9" fillId="20" borderId="11" xfId="0" applyFont="1" applyFill="1" applyBorder="1"/>
    <xf numFmtId="0" fontId="11" fillId="21" borderId="0" xfId="0" applyFont="1" applyFill="1" applyBorder="1"/>
    <xf numFmtId="3" fontId="5" fillId="21" borderId="0" xfId="1" applyNumberFormat="1" applyFont="1" applyFill="1" applyBorder="1"/>
    <xf numFmtId="4" fontId="5" fillId="9" borderId="0" xfId="1" applyNumberFormat="1" applyFont="1" applyFill="1" applyBorder="1" applyProtection="1"/>
    <xf numFmtId="3" fontId="5" fillId="0" borderId="0" xfId="76" applyNumberFormat="1" applyFont="1" applyBorder="1" applyAlignment="1" applyProtection="1">
      <alignment vertical="center"/>
    </xf>
    <xf numFmtId="172" fontId="5" fillId="0" borderId="0" xfId="80" applyNumberFormat="1" applyFont="1"/>
    <xf numFmtId="172" fontId="5" fillId="0" borderId="0" xfId="0" applyNumberFormat="1" applyFont="1"/>
    <xf numFmtId="0" fontId="5" fillId="0" borderId="0" xfId="1" quotePrefix="1" applyFont="1" applyFill="1" applyBorder="1" applyAlignment="1" applyProtection="1">
      <alignment horizontal="right"/>
    </xf>
    <xf numFmtId="0" fontId="45" fillId="0" borderId="0" xfId="1" applyFont="1" applyBorder="1"/>
    <xf numFmtId="0" fontId="0" fillId="11" borderId="0" xfId="0" applyFill="1"/>
    <xf numFmtId="0" fontId="0" fillId="0" borderId="0" xfId="0" applyFill="1" applyBorder="1"/>
    <xf numFmtId="0" fontId="45" fillId="0" borderId="0" xfId="1" applyFont="1" applyFill="1" applyBorder="1"/>
    <xf numFmtId="0" fontId="13" fillId="0" borderId="0" xfId="1" applyFont="1" applyFill="1" applyBorder="1"/>
    <xf numFmtId="173" fontId="12" fillId="9" borderId="0" xfId="1" applyNumberFormat="1" applyFont="1" applyFill="1" applyBorder="1" applyProtection="1"/>
    <xf numFmtId="173" fontId="5" fillId="9" borderId="0" xfId="1" applyNumberFormat="1" applyFont="1" applyFill="1" applyBorder="1" applyProtection="1"/>
    <xf numFmtId="174" fontId="5" fillId="17" borderId="0" xfId="80" applyNumberFormat="1" applyFont="1" applyFill="1" applyBorder="1" applyProtection="1"/>
    <xf numFmtId="175" fontId="12" fillId="17" borderId="0" xfId="1" applyNumberFormat="1" applyFont="1" applyFill="1"/>
    <xf numFmtId="0" fontId="9" fillId="0" borderId="0" xfId="0" applyFont="1" applyFill="1" applyBorder="1"/>
    <xf numFmtId="174" fontId="5" fillId="18" borderId="0" xfId="80" applyNumberFormat="1" applyFont="1" applyFill="1" applyBorder="1"/>
    <xf numFmtId="0" fontId="5" fillId="0" borderId="0" xfId="0" quotePrefix="1" applyFont="1" applyAlignment="1">
      <alignment horizontal="right"/>
    </xf>
    <xf numFmtId="3" fontId="5" fillId="15" borderId="0" xfId="0" applyNumberFormat="1" applyFont="1" applyFill="1"/>
    <xf numFmtId="3" fontId="5" fillId="18" borderId="0" xfId="0" applyNumberFormat="1" applyFont="1" applyFill="1"/>
    <xf numFmtId="0" fontId="11" fillId="0" borderId="0" xfId="0" applyFont="1" applyAlignment="1">
      <alignment horizontal="right"/>
    </xf>
    <xf numFmtId="3" fontId="11" fillId="17" borderId="0" xfId="0" applyNumberFormat="1" applyFont="1" applyFill="1"/>
    <xf numFmtId="10" fontId="5" fillId="0" borderId="0" xfId="47" applyNumberFormat="1" applyFont="1" applyFill="1" applyAlignment="1">
      <alignment horizontal="right"/>
    </xf>
    <xf numFmtId="0" fontId="5" fillId="0" borderId="0" xfId="2" applyFont="1" applyFill="1" applyBorder="1" applyProtection="1"/>
    <xf numFmtId="0" fontId="11" fillId="0" borderId="12" xfId="2" applyFont="1" applyFill="1" applyBorder="1" applyAlignment="1" applyProtection="1">
      <alignment horizontal="left"/>
    </xf>
    <xf numFmtId="0" fontId="11" fillId="0" borderId="0" xfId="2" applyFont="1" applyFill="1" applyBorder="1" applyProtection="1"/>
    <xf numFmtId="0" fontId="5" fillId="11" borderId="0" xfId="2" applyFont="1" applyFill="1" applyBorder="1"/>
    <xf numFmtId="0" fontId="11" fillId="11" borderId="0" xfId="2" applyFont="1" applyFill="1" applyBorder="1"/>
    <xf numFmtId="3" fontId="11" fillId="0" borderId="0" xfId="0" applyNumberFormat="1" applyFont="1" applyFill="1"/>
    <xf numFmtId="1" fontId="5" fillId="18" borderId="0" xfId="0" applyNumberFormat="1" applyFont="1" applyFill="1" applyAlignment="1">
      <alignment horizontal="right"/>
    </xf>
    <xf numFmtId="0" fontId="5" fillId="0" borderId="0" xfId="0" quotePrefix="1" applyFont="1"/>
    <xf numFmtId="0" fontId="5" fillId="0" borderId="0" xfId="2" quotePrefix="1" applyFont="1" applyFill="1" applyBorder="1" applyProtection="1"/>
    <xf numFmtId="0" fontId="0" fillId="0" borderId="0" xfId="0"/>
    <xf numFmtId="0" fontId="10" fillId="0" borderId="0" xfId="83" applyFont="1" applyFill="1" applyBorder="1"/>
    <xf numFmtId="0" fontId="10" fillId="0" borderId="0" xfId="83" applyFont="1" applyFill="1" applyBorder="1"/>
    <xf numFmtId="3" fontId="5" fillId="15" borderId="0" xfId="1" applyNumberFormat="1" applyFont="1" applyFill="1" applyBorder="1"/>
    <xf numFmtId="3" fontId="5" fillId="15" borderId="0" xfId="1" applyNumberFormat="1" applyFont="1" applyFill="1" applyBorder="1" applyProtection="1"/>
    <xf numFmtId="43" fontId="12" fillId="15" borderId="0" xfId="80" applyFont="1" applyFill="1" applyBorder="1"/>
    <xf numFmtId="3" fontId="12" fillId="15" borderId="0" xfId="1" applyNumberFormat="1" applyFont="1" applyFill="1" applyBorder="1" applyProtection="1"/>
    <xf numFmtId="3" fontId="5" fillId="15" borderId="0" xfId="2" applyNumberFormat="1" applyFont="1" applyFill="1" applyBorder="1" applyProtection="1"/>
    <xf numFmtId="3" fontId="5" fillId="15" borderId="0" xfId="0" applyNumberFormat="1" applyFont="1" applyFill="1" applyBorder="1"/>
    <xf numFmtId="0" fontId="13" fillId="11" borderId="0" xfId="1" applyFont="1" applyFill="1" applyBorder="1"/>
    <xf numFmtId="0" fontId="5" fillId="0" borderId="0" xfId="1" applyFont="1" applyFill="1" applyBorder="1"/>
    <xf numFmtId="172" fontId="5" fillId="0" borderId="0" xfId="80" applyNumberFormat="1" applyFont="1" applyFill="1"/>
    <xf numFmtId="172" fontId="5" fillId="0" borderId="0" xfId="0" applyNumberFormat="1" applyFont="1" applyFill="1"/>
    <xf numFmtId="0" fontId="5" fillId="0" borderId="0" xfId="89" applyFont="1" applyAlignment="1">
      <alignment horizontal="left"/>
    </xf>
    <xf numFmtId="0" fontId="5" fillId="0" borderId="0" xfId="89" applyFont="1"/>
    <xf numFmtId="3" fontId="5" fillId="0" borderId="0" xfId="89" applyNumberFormat="1" applyFont="1"/>
    <xf numFmtId="0" fontId="11" fillId="0" borderId="0" xfId="89" applyFont="1"/>
    <xf numFmtId="3" fontId="14" fillId="0" borderId="0" xfId="0" applyNumberFormat="1" applyFont="1" applyFill="1"/>
    <xf numFmtId="166" fontId="5" fillId="18" borderId="0" xfId="0" applyNumberFormat="1" applyFont="1" applyFill="1" applyAlignment="1">
      <alignment horizontal="right"/>
    </xf>
    <xf numFmtId="171" fontId="5" fillId="18" borderId="0" xfId="0" applyNumberFormat="1" applyFont="1" applyFill="1" applyAlignment="1">
      <alignment horizontal="right"/>
    </xf>
    <xf numFmtId="0" fontId="15" fillId="22" borderId="0" xfId="0" applyFont="1" applyFill="1"/>
    <xf numFmtId="3" fontId="5" fillId="17" borderId="0" xfId="1" applyNumberFormat="1" applyFont="1" applyFill="1" applyBorder="1"/>
    <xf numFmtId="3" fontId="5" fillId="17" borderId="0" xfId="1" applyNumberFormat="1" applyFont="1" applyFill="1" applyBorder="1" applyProtection="1"/>
    <xf numFmtId="166" fontId="5" fillId="0" borderId="0" xfId="1" applyNumberFormat="1" applyFont="1" applyFill="1" applyBorder="1"/>
    <xf numFmtId="3" fontId="5" fillId="17" borderId="0" xfId="2" applyNumberFormat="1" applyFont="1" applyFill="1" applyBorder="1" applyProtection="1"/>
    <xf numFmtId="3" fontId="5" fillId="18" borderId="0" xfId="2" applyNumberFormat="1" applyFont="1" applyFill="1" applyBorder="1" applyProtection="1"/>
    <xf numFmtId="3" fontId="5" fillId="22" borderId="0" xfId="2" applyNumberFormat="1" applyFont="1" applyFill="1" applyBorder="1" applyProtection="1"/>
    <xf numFmtId="3" fontId="5" fillId="16" borderId="0" xfId="0" applyNumberFormat="1" applyFont="1" applyFill="1"/>
    <xf numFmtId="43" fontId="5" fillId="18" borderId="0" xfId="47" applyNumberFormat="1" applyFont="1" applyFill="1" applyBorder="1"/>
    <xf numFmtId="0" fontId="5" fillId="0" borderId="0" xfId="2" applyFont="1" applyFill="1" applyBorder="1" applyProtection="1"/>
    <xf numFmtId="0" fontId="5" fillId="11" borderId="0" xfId="2" applyFont="1" applyFill="1" applyBorder="1"/>
    <xf numFmtId="0" fontId="49" fillId="23" borderId="13" xfId="89" applyFont="1" applyFill="1" applyBorder="1"/>
    <xf numFmtId="0" fontId="5" fillId="11" borderId="0" xfId="2" applyFont="1" applyFill="1"/>
    <xf numFmtId="0" fontId="9" fillId="20" borderId="13" xfId="89" applyFont="1" applyFill="1" applyBorder="1"/>
    <xf numFmtId="0" fontId="5" fillId="11" borderId="0" xfId="2" applyFont="1" applyFill="1" applyBorder="1" applyAlignment="1">
      <alignment horizontal="right"/>
    </xf>
    <xf numFmtId="0" fontId="5" fillId="0" borderId="0" xfId="89" applyFont="1"/>
    <xf numFmtId="0" fontId="50" fillId="23" borderId="13" xfId="89" applyFont="1" applyFill="1" applyBorder="1"/>
    <xf numFmtId="0" fontId="5" fillId="0" borderId="0" xfId="89" applyFont="1" applyFill="1" applyAlignment="1">
      <alignment horizontal="right"/>
    </xf>
    <xf numFmtId="0" fontId="5" fillId="0" borderId="0" xfId="89" applyFont="1" applyAlignment="1">
      <alignment horizontal="right"/>
    </xf>
    <xf numFmtId="0" fontId="4" fillId="0" borderId="0" xfId="89"/>
    <xf numFmtId="0" fontId="5" fillId="11" borderId="0" xfId="2" applyFont="1" applyFill="1" applyAlignment="1">
      <alignment horizontal="right"/>
    </xf>
    <xf numFmtId="168" fontId="5" fillId="18" borderId="0" xfId="47" applyNumberFormat="1" applyFont="1" applyFill="1" applyBorder="1"/>
    <xf numFmtId="175" fontId="5" fillId="18" borderId="0" xfId="108" applyNumberFormat="1" applyFont="1" applyFill="1" applyBorder="1"/>
    <xf numFmtId="172" fontId="5" fillId="18" borderId="0" xfId="108" applyNumberFormat="1" applyFont="1" applyFill="1" applyBorder="1"/>
    <xf numFmtId="175" fontId="5" fillId="0" borderId="0" xfId="108" applyNumberFormat="1" applyFont="1" applyFill="1" applyBorder="1"/>
    <xf numFmtId="3" fontId="12" fillId="17" borderId="0" xfId="1" applyNumberFormat="1" applyFont="1" applyFill="1" applyBorder="1" applyProtection="1"/>
  </cellXfs>
  <cellStyles count="109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10" xfId="2"/>
    <cellStyle name="_x000d__x000a_JournalTemplate=C:\COMFO\CTALK\JOURSTD.TPL_x000d__x000a_LbStateAddress=3 3 0 251 1 89 2 311_x000d__x000a_LbStateJou 11" xfId="3"/>
    <cellStyle name="_x000d__x000a_JournalTemplate=C:\COMFO\CTALK\JOURSTD.TPL_x000d__x000a_LbStateAddress=3 3 0 251 1 89 2 311_x000d__x000a_LbStateJou 12" xfId="4"/>
    <cellStyle name="_x000d__x000a_JournalTemplate=C:\COMFO\CTALK\JOURSTD.TPL_x000d__x000a_LbStateAddress=3 3 0 251 1 89 2 311_x000d__x000a_LbStateJou 13" xfId="5"/>
    <cellStyle name="_x000d__x000a_JournalTemplate=C:\COMFO\CTALK\JOURSTD.TPL_x000d__x000a_LbStateAddress=3 3 0 251 1 89 2 311_x000d__x000a_LbStateJou 14" xfId="6"/>
    <cellStyle name="_x000d__x000a_JournalTemplate=C:\COMFO\CTALK\JOURSTD.TPL_x000d__x000a_LbStateAddress=3 3 0 251 1 89 2 311_x000d__x000a_LbStateJou 15" xfId="7"/>
    <cellStyle name="_x000d__x000a_JournalTemplate=C:\COMFO\CTALK\JOURSTD.TPL_x000d__x000a_LbStateAddress=3 3 0 251 1 89 2 311_x000d__x000a_LbStateJou 16" xfId="8"/>
    <cellStyle name="_x000d__x000a_JournalTemplate=C:\COMFO\CTALK\JOURSTD.TPL_x000d__x000a_LbStateAddress=3 3 0 251 1 89 2 311_x000d__x000a_LbStateJou 17" xfId="83"/>
    <cellStyle name="_x000d__x000a_JournalTemplate=C:\COMFO\CTALK\JOURSTD.TPL_x000d__x000a_LbStateAddress=3 3 0 251 1 89 2 311_x000d__x000a_LbStateJou 17 2" xfId="98"/>
    <cellStyle name="_x000d__x000a_JournalTemplate=C:\COMFO\CTALK\JOURSTD.TPL_x000d__x000a_LbStateAddress=3 3 0 251 1 89 2 311_x000d__x000a_LbStateJou 2" xfId="9"/>
    <cellStyle name="_x000d__x000a_JournalTemplate=C:\COMFO\CTALK\JOURSTD.TPL_x000d__x000a_LbStateAddress=3 3 0 251 1 89 2 311_x000d__x000a_LbStateJou 2 2" xfId="10"/>
    <cellStyle name="_x000d__x000a_JournalTemplate=C:\COMFO\CTALK\JOURSTD.TPL_x000d__x000a_LbStateAddress=3 3 0 251 1 89 2 311_x000d__x000a_LbStateJou 3" xfId="11"/>
    <cellStyle name="_x000d__x000a_JournalTemplate=C:\COMFO\CTALK\JOURSTD.TPL_x000d__x000a_LbStateAddress=3 3 0 251 1 89 2 311_x000d__x000a_LbStateJou 4" xfId="12"/>
    <cellStyle name="_x000d__x000a_JournalTemplate=C:\COMFO\CTALK\JOURSTD.TPL_x000d__x000a_LbStateAddress=3 3 0 251 1 89 2 311_x000d__x000a_LbStateJou 5" xfId="13"/>
    <cellStyle name="_x000d__x000a_JournalTemplate=C:\COMFO\CTALK\JOURSTD.TPL_x000d__x000a_LbStateAddress=3 3 0 251 1 89 2 311_x000d__x000a_LbStateJou 6" xfId="14"/>
    <cellStyle name="_x000d__x000a_JournalTemplate=C:\COMFO\CTALK\JOURSTD.TPL_x000d__x000a_LbStateAddress=3 3 0 251 1 89 2 311_x000d__x000a_LbStateJou 7" xfId="15"/>
    <cellStyle name="_x000d__x000a_JournalTemplate=C:\COMFO\CTALK\JOURSTD.TPL_x000d__x000a_LbStateAddress=3 3 0 251 1 89 2 311_x000d__x000a_LbStateJou 8" xfId="16"/>
    <cellStyle name="_x000d__x000a_JournalTemplate=C:\COMFO\CTALK\JOURSTD.TPL_x000d__x000a_LbStateAddress=3 3 0 251 1 89 2 311_x000d__x000a_LbStateJou 9" xfId="17"/>
    <cellStyle name="_x000d__x000a_JournalTemplate=C:\COMFO\CTALK\JOURSTD.TPL_x000d__x000a_LbStateAddress=3 3 0 251 1 89 2 311_x000d__x000a_LbStateJou_01. TS-TAR(i)-12-09" xfId="18"/>
    <cellStyle name="Bad" xfId="19"/>
    <cellStyle name="Calculation" xfId="20"/>
    <cellStyle name="Check Cell" xfId="21"/>
    <cellStyle name="Comma 2" xfId="90"/>
    <cellStyle name="Comma 2 2" xfId="104"/>
    <cellStyle name="Comma 3" xfId="106"/>
    <cellStyle name="Comma 4" xfId="108"/>
    <cellStyle name="Euro" xfId="22"/>
    <cellStyle name="Euro 2" xfId="84"/>
    <cellStyle name="Euro 2 2" xfId="99"/>
    <cellStyle name="Explanatory Text" xfId="23"/>
    <cellStyle name="Good" xfId="24"/>
    <cellStyle name="Header" xfId="25"/>
    <cellStyle name="Header 2" xfId="85"/>
    <cellStyle name="Header 2 2" xfId="100"/>
    <cellStyle name="Heading 1" xfId="26"/>
    <cellStyle name="Heading 2" xfId="27"/>
    <cellStyle name="Heading 3" xfId="28"/>
    <cellStyle name="Heading 4" xfId="29"/>
    <cellStyle name="Hyperlink 2" xfId="30"/>
    <cellStyle name="Input" xfId="31"/>
    <cellStyle name="Komma" xfId="80" builtinId="3"/>
    <cellStyle name="Komma 10" xfId="32"/>
    <cellStyle name="Komma 10 2" xfId="107"/>
    <cellStyle name="Komma 11" xfId="97"/>
    <cellStyle name="Komma 13" xfId="33"/>
    <cellStyle name="Komma 2" xfId="34"/>
    <cellStyle name="Komma 2 2" xfId="35"/>
    <cellStyle name="Komma 3" xfId="36"/>
    <cellStyle name="Komma 4" xfId="37"/>
    <cellStyle name="Komma 5" xfId="38"/>
    <cellStyle name="Komma 6" xfId="39"/>
    <cellStyle name="Komma 7" xfId="40"/>
    <cellStyle name="Komma 8" xfId="82"/>
    <cellStyle name="Komma 9" xfId="93"/>
    <cellStyle name="Linked Cell" xfId="41"/>
    <cellStyle name="Neutral" xfId="42"/>
    <cellStyle name="Normal 2" xfId="89"/>
    <cellStyle name="Normal 3" xfId="92"/>
    <cellStyle name="Normal 3 2" xfId="102"/>
    <cellStyle name="Normal 4" xfId="105"/>
    <cellStyle name="Normal_# klanten" xfId="43"/>
    <cellStyle name="Note" xfId="44"/>
    <cellStyle name="Output" xfId="45"/>
    <cellStyle name="Percent 2" xfId="103"/>
    <cellStyle name="Percentages_oorzaken" xfId="46"/>
    <cellStyle name="Procent" xfId="47" builtinId="5"/>
    <cellStyle name="Procent 2" xfId="48"/>
    <cellStyle name="Procent 2 2" xfId="49"/>
    <cellStyle name="Procent 3" xfId="50"/>
    <cellStyle name="Procent 4" xfId="51"/>
    <cellStyle name="Procent 5" xfId="86"/>
    <cellStyle name="Procent 5 2" xfId="101"/>
    <cellStyle name="Procent 6" xfId="88"/>
    <cellStyle name="Procent 7" xfId="96"/>
    <cellStyle name="Standaard" xfId="0" builtinId="0"/>
    <cellStyle name="Standaard 10" xfId="87"/>
    <cellStyle name="Standaard 11" xfId="52"/>
    <cellStyle name="Standaard 12" xfId="53"/>
    <cellStyle name="Standaard 13" xfId="54"/>
    <cellStyle name="Standaard 14" xfId="55"/>
    <cellStyle name="Standaard 15" xfId="56"/>
    <cellStyle name="Standaard 16" xfId="57"/>
    <cellStyle name="Standaard 17" xfId="58"/>
    <cellStyle name="Standaard 18" xfId="59"/>
    <cellStyle name="Standaard 19" xfId="60"/>
    <cellStyle name="Standaard 2" xfId="61"/>
    <cellStyle name="Standaard 2 2" xfId="62"/>
    <cellStyle name="Standaard 2 2 2" xfId="91"/>
    <cellStyle name="Standaard 2 3" xfId="81"/>
    <cellStyle name="Standaard 20" xfId="63"/>
    <cellStyle name="Standaard 21" xfId="64"/>
    <cellStyle name="Standaard 22" xfId="65"/>
    <cellStyle name="Standaard 23" xfId="66"/>
    <cellStyle name="Standaard 24" xfId="67"/>
    <cellStyle name="Standaard 25" xfId="68"/>
    <cellStyle name="Standaard 26" xfId="95"/>
    <cellStyle name="Standaard 3" xfId="69"/>
    <cellStyle name="Standaard 4" xfId="70"/>
    <cellStyle name="Standaard 5" xfId="71"/>
    <cellStyle name="Standaard 6" xfId="72"/>
    <cellStyle name="Standaard 6 2" xfId="94"/>
    <cellStyle name="Standaard 7" xfId="73"/>
    <cellStyle name="Standaard 8" xfId="74"/>
    <cellStyle name="Standaard 9" xfId="75"/>
    <cellStyle name="Standaard_Handboek TSO (260202)" xfId="76"/>
    <cellStyle name="Title" xfId="77"/>
    <cellStyle name="Total" xfId="78"/>
    <cellStyle name="Warning Text" xfId="79"/>
  </cellStyles>
  <dxfs count="2">
    <dxf>
      <font>
        <condense val="0"/>
        <extend val="0"/>
        <color indexed="55"/>
      </font>
      <fill>
        <patternFill>
          <bgColor indexed="55"/>
        </patternFill>
      </fill>
      <border>
        <left/>
        <right/>
        <top/>
        <bottom/>
      </border>
    </dxf>
    <dxf>
      <font>
        <condense val="0"/>
        <extend val="0"/>
        <color indexed="55"/>
      </font>
      <fill>
        <patternFill>
          <bgColor indexed="5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99"/>
      <color rgb="FFCCFFFF"/>
      <color rgb="FFCCFFCC"/>
      <color rgb="FFFFCC99"/>
      <color rgb="FFFF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</xdr:row>
          <xdr:rowOff>114300</xdr:rowOff>
        </xdr:from>
        <xdr:to>
          <xdr:col>0</xdr:col>
          <xdr:colOff>133350</xdr:colOff>
          <xdr:row>4</xdr:row>
          <xdr:rowOff>133350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</xdr:row>
          <xdr:rowOff>114300</xdr:rowOff>
        </xdr:from>
        <xdr:to>
          <xdr:col>0</xdr:col>
          <xdr:colOff>133350</xdr:colOff>
          <xdr:row>4</xdr:row>
          <xdr:rowOff>133350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</xdr:row>
          <xdr:rowOff>114300</xdr:rowOff>
        </xdr:from>
        <xdr:to>
          <xdr:col>0</xdr:col>
          <xdr:colOff>133350</xdr:colOff>
          <xdr:row>4</xdr:row>
          <xdr:rowOff>133350</xdr:rowOff>
        </xdr:to>
        <xdr:sp macro="" textlink="">
          <xdr:nvSpPr>
            <xdr:cNvPr id="22531" name="Object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</xdr:row>
          <xdr:rowOff>114300</xdr:rowOff>
        </xdr:from>
        <xdr:to>
          <xdr:col>0</xdr:col>
          <xdr:colOff>133350</xdr:colOff>
          <xdr:row>4</xdr:row>
          <xdr:rowOff>133350</xdr:rowOff>
        </xdr:to>
        <xdr:sp macro="" textlink="">
          <xdr:nvSpPr>
            <xdr:cNvPr id="22532" name="Object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25</xdr:row>
          <xdr:rowOff>0</xdr:rowOff>
        </xdr:from>
        <xdr:to>
          <xdr:col>0</xdr:col>
          <xdr:colOff>133350</xdr:colOff>
          <xdr:row>25</xdr:row>
          <xdr:rowOff>19050</xdr:rowOff>
        </xdr:to>
        <xdr:sp macro="" textlink="">
          <xdr:nvSpPr>
            <xdr:cNvPr id="22533" name="Object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25</xdr:row>
          <xdr:rowOff>0</xdr:rowOff>
        </xdr:from>
        <xdr:to>
          <xdr:col>0</xdr:col>
          <xdr:colOff>133350</xdr:colOff>
          <xdr:row>25</xdr:row>
          <xdr:rowOff>19050</xdr:rowOff>
        </xdr:to>
        <xdr:sp macro="" textlink="">
          <xdr:nvSpPr>
            <xdr:cNvPr id="22534" name="Object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25</xdr:row>
          <xdr:rowOff>0</xdr:rowOff>
        </xdr:from>
        <xdr:to>
          <xdr:col>0</xdr:col>
          <xdr:colOff>133350</xdr:colOff>
          <xdr:row>25</xdr:row>
          <xdr:rowOff>19050</xdr:rowOff>
        </xdr:to>
        <xdr:sp macro="" textlink="">
          <xdr:nvSpPr>
            <xdr:cNvPr id="22535" name="Object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25</xdr:row>
          <xdr:rowOff>0</xdr:rowOff>
        </xdr:from>
        <xdr:to>
          <xdr:col>0</xdr:col>
          <xdr:colOff>133350</xdr:colOff>
          <xdr:row>25</xdr:row>
          <xdr:rowOff>19050</xdr:rowOff>
        </xdr:to>
        <xdr:sp macro="" textlink="">
          <xdr:nvSpPr>
            <xdr:cNvPr id="22536" name="Object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theme="0" tint="-0.34998626667073579"/>
  </sheetPr>
  <dimension ref="A1:I21"/>
  <sheetViews>
    <sheetView showGridLines="0" tabSelected="1" zoomScale="110" zoomScaleNormal="110" zoomScaleSheetLayoutView="100" workbookViewId="0"/>
  </sheetViews>
  <sheetFormatPr defaultRowHeight="11.25"/>
  <cols>
    <col min="1" max="1" width="3.7109375" style="1" customWidth="1"/>
    <col min="2" max="2" width="70.7109375" style="1" customWidth="1"/>
    <col min="3" max="3" width="5.5703125" style="1" customWidth="1"/>
    <col min="4" max="4" width="9.140625" style="1"/>
    <col min="5" max="5" width="5.28515625" style="1" customWidth="1"/>
    <col min="6" max="6" width="27.85546875" style="1" customWidth="1"/>
    <col min="7" max="7" width="27.140625" style="1" customWidth="1"/>
    <col min="8" max="16384" width="9.140625" style="1"/>
  </cols>
  <sheetData>
    <row r="1" spans="2:9" ht="12" customHeight="1"/>
    <row r="2" spans="2:9" s="97" customFormat="1" ht="15" customHeight="1">
      <c r="B2" s="97" t="s">
        <v>2</v>
      </c>
    </row>
    <row r="3" spans="2:9" s="23" customFormat="1">
      <c r="B3" s="2"/>
      <c r="C3" s="24"/>
      <c r="D3" s="24"/>
    </row>
    <row r="4" spans="2:9" s="98" customFormat="1" ht="12.75">
      <c r="B4" s="98" t="s">
        <v>58</v>
      </c>
    </row>
    <row r="5" spans="2:9" customFormat="1" ht="12.75"/>
    <row r="6" spans="2:9" customFormat="1" ht="12.75">
      <c r="B6" s="133" t="s">
        <v>133</v>
      </c>
    </row>
    <row r="7" spans="2:9" s="132" customFormat="1" ht="12.75">
      <c r="B7" s="134" t="s">
        <v>234</v>
      </c>
    </row>
    <row r="8" spans="2:9" customFormat="1" ht="12.75"/>
    <row r="9" spans="2:9" s="98" customFormat="1" ht="12.75">
      <c r="B9" s="98" t="s">
        <v>21</v>
      </c>
    </row>
    <row r="11" spans="2:9">
      <c r="B11" s="18" t="s">
        <v>7</v>
      </c>
      <c r="F11" s="109"/>
      <c r="G11" s="110"/>
      <c r="H11" s="106"/>
      <c r="I11" s="106"/>
    </row>
    <row r="12" spans="2:9">
      <c r="B12" s="19" t="s">
        <v>8</v>
      </c>
      <c r="F12" s="109"/>
      <c r="G12" s="110"/>
      <c r="H12" s="106"/>
      <c r="I12" s="106"/>
    </row>
    <row r="13" spans="2:9">
      <c r="B13" s="20" t="s">
        <v>1</v>
      </c>
      <c r="F13" s="109"/>
      <c r="G13" s="110"/>
      <c r="H13" s="106"/>
      <c r="I13" s="106"/>
    </row>
    <row r="14" spans="2:9">
      <c r="B14" s="21" t="s">
        <v>9</v>
      </c>
      <c r="F14" s="109"/>
      <c r="G14" s="110"/>
      <c r="H14" s="106"/>
      <c r="I14" s="106"/>
    </row>
    <row r="15" spans="2:9" ht="12.75">
      <c r="B15" s="22" t="s">
        <v>10</v>
      </c>
      <c r="F15" s="107"/>
      <c r="G15" s="107"/>
      <c r="H15" s="107"/>
      <c r="I15" s="108"/>
    </row>
    <row r="16" spans="2:9">
      <c r="B16" s="28"/>
    </row>
    <row r="17" spans="1:3">
      <c r="C17" s="7"/>
    </row>
    <row r="18" spans="1:3">
      <c r="B18" s="7"/>
      <c r="C18" s="7"/>
    </row>
    <row r="20" spans="1:3">
      <c r="A20" s="77"/>
    </row>
    <row r="21" spans="1:3">
      <c r="A21" s="77"/>
    </row>
  </sheetData>
  <phoneticPr fontId="5" type="noConversion"/>
  <pageMargins left="0.75" right="0.75" top="1" bottom="1" header="0.5" footer="0.5"/>
  <pageSetup paperSize="9" scale="5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E18"/>
  <sheetViews>
    <sheetView showGridLines="0" zoomScale="110" zoomScaleNormal="110" workbookViewId="0"/>
  </sheetViews>
  <sheetFormatPr defaultRowHeight="12.75"/>
  <cols>
    <col min="1" max="1" width="3.7109375" customWidth="1"/>
    <col min="2" max="2" width="56.5703125" customWidth="1"/>
    <col min="3" max="3" width="13.85546875" customWidth="1"/>
    <col min="4" max="4" width="11.7109375" customWidth="1"/>
    <col min="5" max="5" width="3.85546875" bestFit="1" customWidth="1"/>
  </cols>
  <sheetData>
    <row r="1" spans="1:5">
      <c r="A1" s="167"/>
      <c r="B1" s="167"/>
      <c r="C1" s="167"/>
      <c r="D1" s="170"/>
      <c r="E1" s="171"/>
    </row>
    <row r="2" spans="1:5" ht="15.75">
      <c r="A2" s="168"/>
      <c r="B2" s="163" t="s">
        <v>235</v>
      </c>
      <c r="C2" s="168"/>
      <c r="D2" s="168"/>
      <c r="E2" s="168"/>
    </row>
    <row r="3" spans="1:5">
      <c r="A3" s="169"/>
      <c r="B3" s="164"/>
      <c r="C3" s="162"/>
      <c r="D3" s="172"/>
      <c r="E3" s="164"/>
    </row>
    <row r="4" spans="1:5">
      <c r="A4" s="165"/>
      <c r="B4" s="165" t="s">
        <v>236</v>
      </c>
      <c r="C4" s="165"/>
      <c r="D4" s="165"/>
      <c r="E4" s="165"/>
    </row>
    <row r="5" spans="1:5">
      <c r="A5" s="164"/>
      <c r="B5" s="164"/>
      <c r="C5" s="162"/>
      <c r="D5" s="172"/>
      <c r="E5" s="164"/>
    </row>
    <row r="6" spans="1:5">
      <c r="A6" s="169"/>
      <c r="B6" s="164" t="s">
        <v>241</v>
      </c>
      <c r="C6" s="166" t="s">
        <v>89</v>
      </c>
      <c r="D6" s="173">
        <f>Parameters!G54</f>
        <v>3.5999999999999997E-2</v>
      </c>
      <c r="E6" s="164"/>
    </row>
    <row r="7" spans="1:5">
      <c r="A7" s="169"/>
      <c r="B7" s="164"/>
      <c r="C7" s="166"/>
      <c r="D7" s="166"/>
      <c r="E7" s="164"/>
    </row>
    <row r="8" spans="1:5">
      <c r="A8" s="169"/>
      <c r="B8" s="164" t="s">
        <v>242</v>
      </c>
      <c r="C8" s="166"/>
      <c r="D8" s="174">
        <f>Parameters!J51</f>
        <v>0.98750000000000004</v>
      </c>
      <c r="E8" s="164"/>
    </row>
    <row r="9" spans="1:5" s="132" customFormat="1">
      <c r="A9" s="169"/>
      <c r="B9" s="164"/>
      <c r="C9" s="166"/>
      <c r="D9" s="176"/>
      <c r="E9" s="164"/>
    </row>
    <row r="10" spans="1:5">
      <c r="A10" s="169"/>
      <c r="B10" s="164" t="s">
        <v>237</v>
      </c>
      <c r="C10" s="166" t="s">
        <v>89</v>
      </c>
      <c r="D10" s="173">
        <f>Parameters!G55</f>
        <v>1.0999999999999999E-2</v>
      </c>
      <c r="E10" s="164"/>
    </row>
    <row r="11" spans="1:5">
      <c r="A11" s="164"/>
      <c r="B11" s="164"/>
      <c r="C11" s="162"/>
      <c r="D11" s="172"/>
      <c r="E11" s="164"/>
    </row>
    <row r="12" spans="1:5">
      <c r="A12" s="165"/>
      <c r="B12" s="165" t="s">
        <v>238</v>
      </c>
      <c r="C12" s="165"/>
      <c r="D12" s="165"/>
      <c r="E12" s="165"/>
    </row>
    <row r="13" spans="1:5">
      <c r="A13" s="164"/>
      <c r="B13" s="164"/>
      <c r="C13" s="162"/>
      <c r="D13" s="172"/>
      <c r="E13" s="164"/>
    </row>
    <row r="14" spans="1:5">
      <c r="A14" s="169"/>
      <c r="B14" s="161" t="s">
        <v>102</v>
      </c>
      <c r="C14" s="170" t="s">
        <v>243</v>
      </c>
      <c r="D14" s="175">
        <f>'X-factor berekening'!D13</f>
        <v>435864102.57657951</v>
      </c>
      <c r="E14" s="164"/>
    </row>
    <row r="15" spans="1:5">
      <c r="A15" s="169"/>
      <c r="B15" s="161"/>
      <c r="C15" s="170"/>
      <c r="D15" s="170"/>
      <c r="E15" s="164"/>
    </row>
    <row r="16" spans="1:5">
      <c r="A16" s="169"/>
      <c r="B16" s="162" t="s">
        <v>103</v>
      </c>
      <c r="C16" s="170" t="s">
        <v>239</v>
      </c>
      <c r="D16" s="175">
        <f>'X-factor berekening'!D14</f>
        <v>380080358.82743526</v>
      </c>
      <c r="E16" s="164"/>
    </row>
    <row r="17" spans="1:5">
      <c r="A17" s="169"/>
      <c r="B17" s="164"/>
      <c r="C17" s="164"/>
      <c r="D17" s="164"/>
      <c r="E17" s="164"/>
    </row>
    <row r="18" spans="1:5">
      <c r="A18" s="169"/>
      <c r="B18" s="162" t="s">
        <v>240</v>
      </c>
      <c r="C18" s="164"/>
      <c r="D18" s="160">
        <f>'X-factor berekening'!D18</f>
        <v>6.46</v>
      </c>
      <c r="E18" s="164"/>
    </row>
  </sheetData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tabColor rgb="FFCCFFCC"/>
  </sheetPr>
  <dimension ref="A1:T57"/>
  <sheetViews>
    <sheetView showGridLines="0" zoomScale="110" zoomScaleNormal="110" zoomScaleSheetLayoutView="110" workbookViewId="0"/>
  </sheetViews>
  <sheetFormatPr defaultRowHeight="11.25"/>
  <cols>
    <col min="1" max="1" width="3.7109375" style="8" customWidth="1"/>
    <col min="2" max="2" width="9.5703125" style="11" customWidth="1"/>
    <col min="3" max="3" width="9" style="8" customWidth="1"/>
    <col min="4" max="7" width="5.42578125" style="8" customWidth="1"/>
    <col min="8" max="18" width="6.5703125" style="8" customWidth="1"/>
    <col min="19" max="19" width="6.85546875" style="8" customWidth="1"/>
    <col min="20" max="20" width="9.140625" style="8" customWidth="1"/>
    <col min="21" max="16384" width="9.140625" style="8"/>
  </cols>
  <sheetData>
    <row r="1" spans="2:9" s="23" customFormat="1" ht="12" customHeight="1">
      <c r="B1" s="64"/>
      <c r="C1" s="28"/>
      <c r="D1" s="28"/>
    </row>
    <row r="2" spans="2:9" s="97" customFormat="1" ht="15" customHeight="1">
      <c r="B2" s="97" t="s">
        <v>20</v>
      </c>
    </row>
    <row r="4" spans="2:9" s="98" customFormat="1" ht="12.75">
      <c r="B4" s="98" t="s">
        <v>0</v>
      </c>
    </row>
    <row r="5" spans="2:9">
      <c r="H5" s="55"/>
      <c r="I5" s="55"/>
    </row>
    <row r="6" spans="2:9">
      <c r="B6" s="9" t="s">
        <v>4</v>
      </c>
      <c r="C6" s="9" t="s">
        <v>26</v>
      </c>
      <c r="D6" s="10"/>
    </row>
    <row r="7" spans="2:9">
      <c r="B7" s="17">
        <v>2001</v>
      </c>
      <c r="C7" s="111">
        <v>2.5</v>
      </c>
      <c r="D7" s="12" t="s">
        <v>5</v>
      </c>
    </row>
    <row r="8" spans="2:9">
      <c r="B8" s="17">
        <f>B7+1</f>
        <v>2002</v>
      </c>
      <c r="C8" s="111">
        <v>4.7</v>
      </c>
      <c r="D8" s="12" t="s">
        <v>5</v>
      </c>
    </row>
    <row r="9" spans="2:9">
      <c r="B9" s="17">
        <f t="shared" ref="B9:B22" si="0">B8+1</f>
        <v>2003</v>
      </c>
      <c r="C9" s="111">
        <v>3.3</v>
      </c>
      <c r="D9" s="12" t="s">
        <v>5</v>
      </c>
    </row>
    <row r="10" spans="2:9">
      <c r="B10" s="17">
        <f t="shared" si="0"/>
        <v>2004</v>
      </c>
      <c r="C10" s="111">
        <v>2.1</v>
      </c>
      <c r="D10" s="12" t="s">
        <v>5</v>
      </c>
    </row>
    <row r="11" spans="2:9">
      <c r="B11" s="17">
        <f t="shared" si="0"/>
        <v>2005</v>
      </c>
      <c r="C11" s="111">
        <v>1.1000000000000001</v>
      </c>
      <c r="D11" s="12" t="s">
        <v>5</v>
      </c>
    </row>
    <row r="12" spans="2:9">
      <c r="B12" s="17">
        <f t="shared" si="0"/>
        <v>2006</v>
      </c>
      <c r="C12" s="111">
        <v>1.8</v>
      </c>
      <c r="D12" s="12" t="s">
        <v>5</v>
      </c>
    </row>
    <row r="13" spans="2:9">
      <c r="B13" s="17">
        <f t="shared" si="0"/>
        <v>2007</v>
      </c>
      <c r="C13" s="111">
        <v>1.4</v>
      </c>
      <c r="D13" s="12" t="s">
        <v>5</v>
      </c>
    </row>
    <row r="14" spans="2:9">
      <c r="B14" s="17">
        <f t="shared" si="0"/>
        <v>2008</v>
      </c>
      <c r="C14" s="111">
        <v>1.1000000000000001</v>
      </c>
      <c r="D14" s="12" t="s">
        <v>5</v>
      </c>
      <c r="E14" s="13"/>
    </row>
    <row r="15" spans="2:9">
      <c r="B15" s="17">
        <f t="shared" si="0"/>
        <v>2009</v>
      </c>
      <c r="C15" s="111">
        <v>3.2</v>
      </c>
      <c r="D15" s="12" t="s">
        <v>5</v>
      </c>
      <c r="E15" s="13"/>
    </row>
    <row r="16" spans="2:9">
      <c r="B16" s="17">
        <f t="shared" si="0"/>
        <v>2010</v>
      </c>
      <c r="C16" s="111">
        <v>0.3</v>
      </c>
      <c r="D16" s="12" t="s">
        <v>5</v>
      </c>
      <c r="E16" s="13"/>
    </row>
    <row r="17" spans="2:19">
      <c r="B17" s="17">
        <f t="shared" si="0"/>
        <v>2011</v>
      </c>
      <c r="C17" s="112">
        <v>1.5</v>
      </c>
      <c r="D17" s="12" t="s">
        <v>5</v>
      </c>
      <c r="E17" s="14"/>
    </row>
    <row r="18" spans="2:19">
      <c r="B18" s="17">
        <f t="shared" si="0"/>
        <v>2012</v>
      </c>
      <c r="C18" s="112">
        <v>2.6</v>
      </c>
      <c r="D18" s="12" t="s">
        <v>5</v>
      </c>
      <c r="E18" s="13"/>
    </row>
    <row r="19" spans="2:19">
      <c r="B19" s="17">
        <f t="shared" si="0"/>
        <v>2013</v>
      </c>
      <c r="C19" s="112">
        <v>2.2999999999999998</v>
      </c>
      <c r="D19" s="12" t="s">
        <v>5</v>
      </c>
      <c r="E19" s="13"/>
    </row>
    <row r="20" spans="2:19">
      <c r="B20" s="17">
        <f t="shared" si="0"/>
        <v>2014</v>
      </c>
      <c r="C20" s="112">
        <v>2</v>
      </c>
      <c r="D20" s="79" t="s">
        <v>63</v>
      </c>
      <c r="E20" s="13"/>
    </row>
    <row r="21" spans="2:19">
      <c r="B21" s="17">
        <f t="shared" si="0"/>
        <v>2015</v>
      </c>
      <c r="C21" s="112">
        <v>2</v>
      </c>
      <c r="D21" s="79" t="s">
        <v>63</v>
      </c>
      <c r="E21" s="13"/>
    </row>
    <row r="22" spans="2:19">
      <c r="B22" s="17">
        <f t="shared" si="0"/>
        <v>2016</v>
      </c>
      <c r="C22" s="112">
        <v>2</v>
      </c>
      <c r="D22" s="79" t="s">
        <v>63</v>
      </c>
      <c r="E22" s="13"/>
    </row>
    <row r="23" spans="2:19">
      <c r="B23" s="4" t="s">
        <v>30</v>
      </c>
      <c r="C23" s="113">
        <f>((Q40*R41*S42)^(1/3)-1)*100</f>
        <v>2.0000000000000018</v>
      </c>
      <c r="D23" s="86"/>
      <c r="E23" s="13"/>
    </row>
    <row r="24" spans="2:19">
      <c r="C24" s="15"/>
    </row>
    <row r="25" spans="2:19">
      <c r="C25" s="11"/>
      <c r="D25" s="25" t="s">
        <v>12</v>
      </c>
      <c r="E25" s="11"/>
      <c r="F25" s="11"/>
      <c r="G25" s="11"/>
      <c r="H25" s="11"/>
      <c r="I25" s="11"/>
      <c r="J25" s="11"/>
      <c r="K25" s="11"/>
      <c r="L25" s="11"/>
    </row>
    <row r="26" spans="2:19">
      <c r="B26" s="25" t="s">
        <v>11</v>
      </c>
      <c r="C26" s="9" t="s">
        <v>6</v>
      </c>
      <c r="D26" s="11">
        <v>2001</v>
      </c>
      <c r="E26" s="11">
        <f>D26+1</f>
        <v>2002</v>
      </c>
      <c r="F26" s="11">
        <f t="shared" ref="F26:S26" si="1">E26+1</f>
        <v>2003</v>
      </c>
      <c r="G26" s="11">
        <f t="shared" si="1"/>
        <v>2004</v>
      </c>
      <c r="H26" s="11">
        <f t="shared" si="1"/>
        <v>2005</v>
      </c>
      <c r="I26" s="11">
        <f t="shared" si="1"/>
        <v>2006</v>
      </c>
      <c r="J26" s="11">
        <f t="shared" si="1"/>
        <v>2007</v>
      </c>
      <c r="K26" s="11">
        <f t="shared" si="1"/>
        <v>2008</v>
      </c>
      <c r="L26" s="11">
        <f t="shared" si="1"/>
        <v>2009</v>
      </c>
      <c r="M26" s="11">
        <f t="shared" si="1"/>
        <v>2010</v>
      </c>
      <c r="N26" s="11">
        <f t="shared" si="1"/>
        <v>2011</v>
      </c>
      <c r="O26" s="11">
        <f t="shared" si="1"/>
        <v>2012</v>
      </c>
      <c r="P26" s="11">
        <f t="shared" si="1"/>
        <v>2013</v>
      </c>
      <c r="Q26" s="11">
        <f>P26+1</f>
        <v>2014</v>
      </c>
      <c r="R26" s="11">
        <f t="shared" si="1"/>
        <v>2015</v>
      </c>
      <c r="S26" s="11">
        <f t="shared" si="1"/>
        <v>2016</v>
      </c>
    </row>
    <row r="27" spans="2:19">
      <c r="B27" s="11">
        <v>2000</v>
      </c>
      <c r="C27" s="59">
        <v>1</v>
      </c>
      <c r="D27" s="16">
        <f>D28*$C28</f>
        <v>1.0249999999999999</v>
      </c>
      <c r="E27" s="16">
        <f>E28*$C28</f>
        <v>1.0731749999999998</v>
      </c>
      <c r="F27" s="16">
        <f>F28*$C28</f>
        <v>1.1085897749999998</v>
      </c>
      <c r="G27" s="16">
        <f t="shared" ref="G27:S27" si="2">G28*$C28</f>
        <v>1.1318701602749996</v>
      </c>
      <c r="H27" s="16">
        <f t="shared" si="2"/>
        <v>1.1443207320380246</v>
      </c>
      <c r="I27" s="16">
        <f t="shared" si="2"/>
        <v>1.1649185052147089</v>
      </c>
      <c r="J27" s="16">
        <f t="shared" si="2"/>
        <v>1.1812273642877147</v>
      </c>
      <c r="K27" s="16">
        <f t="shared" si="2"/>
        <v>1.1942208652948796</v>
      </c>
      <c r="L27" s="16">
        <f t="shared" si="2"/>
        <v>1.2324359329843158</v>
      </c>
      <c r="M27" s="16">
        <f t="shared" si="2"/>
        <v>1.2361332407832686</v>
      </c>
      <c r="N27" s="16">
        <f t="shared" si="2"/>
        <v>1.2546752393950178</v>
      </c>
      <c r="O27" s="16">
        <f t="shared" si="2"/>
        <v>1.2872967956192884</v>
      </c>
      <c r="P27" s="16">
        <f t="shared" si="2"/>
        <v>1.3169046219185316</v>
      </c>
      <c r="Q27" s="16">
        <f t="shared" si="2"/>
        <v>1.3432427143569019</v>
      </c>
      <c r="R27" s="16">
        <f t="shared" si="2"/>
        <v>1.3701075686440403</v>
      </c>
      <c r="S27" s="16">
        <f t="shared" si="2"/>
        <v>1.3975097200169211</v>
      </c>
    </row>
    <row r="28" spans="2:19">
      <c r="B28" s="11">
        <f>B27+1</f>
        <v>2001</v>
      </c>
      <c r="C28" s="60">
        <f>1+C7/100</f>
        <v>1.0249999999999999</v>
      </c>
      <c r="D28" s="61">
        <v>1</v>
      </c>
      <c r="E28" s="16">
        <f>E29*$C29</f>
        <v>1.0469999999999999</v>
      </c>
      <c r="F28" s="16">
        <f t="shared" ref="F28:S28" si="3">F29*$C29</f>
        <v>1.0815509999999999</v>
      </c>
      <c r="G28" s="16">
        <f t="shared" si="3"/>
        <v>1.1042635709999997</v>
      </c>
      <c r="H28" s="16">
        <f t="shared" si="3"/>
        <v>1.1164104702809998</v>
      </c>
      <c r="I28" s="16">
        <f t="shared" si="3"/>
        <v>1.1365058587460575</v>
      </c>
      <c r="J28" s="16">
        <f t="shared" si="3"/>
        <v>1.1524169407685023</v>
      </c>
      <c r="K28" s="16">
        <f t="shared" si="3"/>
        <v>1.1650935271169558</v>
      </c>
      <c r="L28" s="16">
        <f t="shared" si="3"/>
        <v>1.2023765199846983</v>
      </c>
      <c r="M28" s="16">
        <f t="shared" si="3"/>
        <v>1.2059836495446523</v>
      </c>
      <c r="N28" s="16">
        <f t="shared" si="3"/>
        <v>1.2240734042878223</v>
      </c>
      <c r="O28" s="16">
        <f t="shared" si="3"/>
        <v>1.2558993127993059</v>
      </c>
      <c r="P28" s="16">
        <f t="shared" si="3"/>
        <v>1.2847849969936895</v>
      </c>
      <c r="Q28" s="16">
        <f t="shared" si="3"/>
        <v>1.3104806969335629</v>
      </c>
      <c r="R28" s="16">
        <f t="shared" si="3"/>
        <v>1.3366903108722346</v>
      </c>
      <c r="S28" s="16">
        <f t="shared" si="3"/>
        <v>1.3634241170896793</v>
      </c>
    </row>
    <row r="29" spans="2:19">
      <c r="B29" s="11">
        <f t="shared" ref="B29:B43" si="4">B28+1</f>
        <v>2002</v>
      </c>
      <c r="C29" s="60">
        <f t="shared" ref="C29:C43" si="5">1+C8/100</f>
        <v>1.0469999999999999</v>
      </c>
      <c r="D29" s="62"/>
      <c r="E29" s="61">
        <v>1</v>
      </c>
      <c r="F29" s="16">
        <f t="shared" ref="F29:S29" si="6">F30*$C30</f>
        <v>1.0329999999999999</v>
      </c>
      <c r="G29" s="16">
        <f t="shared" si="6"/>
        <v>1.0546929999999999</v>
      </c>
      <c r="H29" s="16">
        <f t="shared" si="6"/>
        <v>1.0662946229999999</v>
      </c>
      <c r="I29" s="16">
        <f t="shared" si="6"/>
        <v>1.0854879262139996</v>
      </c>
      <c r="J29" s="16">
        <f t="shared" si="6"/>
        <v>1.1006847571809957</v>
      </c>
      <c r="K29" s="16">
        <f t="shared" si="6"/>
        <v>1.1127922895099864</v>
      </c>
      <c r="L29" s="16">
        <f t="shared" si="6"/>
        <v>1.148401642774306</v>
      </c>
      <c r="M29" s="16">
        <f t="shared" si="6"/>
        <v>1.1518468477026289</v>
      </c>
      <c r="N29" s="16">
        <f t="shared" si="6"/>
        <v>1.1691245504181684</v>
      </c>
      <c r="O29" s="16">
        <f t="shared" si="6"/>
        <v>1.199521788729041</v>
      </c>
      <c r="P29" s="16">
        <f t="shared" si="6"/>
        <v>1.2271107898698086</v>
      </c>
      <c r="Q29" s="16">
        <f t="shared" si="6"/>
        <v>1.2516530056672044</v>
      </c>
      <c r="R29" s="16">
        <f t="shared" si="6"/>
        <v>1.2766860657805488</v>
      </c>
      <c r="S29" s="16">
        <f t="shared" si="6"/>
        <v>1.3022197870961598</v>
      </c>
    </row>
    <row r="30" spans="2:19">
      <c r="B30" s="11">
        <f t="shared" si="4"/>
        <v>2003</v>
      </c>
      <c r="C30" s="60">
        <f t="shared" si="5"/>
        <v>1.0329999999999999</v>
      </c>
      <c r="D30" s="62"/>
      <c r="E30" s="62"/>
      <c r="F30" s="61">
        <v>1</v>
      </c>
      <c r="G30" s="16">
        <f t="shared" ref="G30:S30" si="7">G31*$C31</f>
        <v>1.0209999999999999</v>
      </c>
      <c r="H30" s="16">
        <f t="shared" si="7"/>
        <v>1.0322309999999999</v>
      </c>
      <c r="I30" s="16">
        <f t="shared" si="7"/>
        <v>1.0508111579999997</v>
      </c>
      <c r="J30" s="16">
        <f t="shared" si="7"/>
        <v>1.0655225142119997</v>
      </c>
      <c r="K30" s="16">
        <f t="shared" si="7"/>
        <v>1.0772432618683316</v>
      </c>
      <c r="L30" s="16">
        <f t="shared" si="7"/>
        <v>1.1117150462481182</v>
      </c>
      <c r="M30" s="16">
        <f t="shared" si="7"/>
        <v>1.1150501913868625</v>
      </c>
      <c r="N30" s="16">
        <f t="shared" si="7"/>
        <v>1.1317759442576656</v>
      </c>
      <c r="O30" s="16">
        <f t="shared" si="7"/>
        <v>1.161202118808365</v>
      </c>
      <c r="P30" s="16">
        <f t="shared" si="7"/>
        <v>1.1879097675409571</v>
      </c>
      <c r="Q30" s="16">
        <f t="shared" si="7"/>
        <v>1.2116679628917759</v>
      </c>
      <c r="R30" s="16">
        <f t="shared" si="7"/>
        <v>1.2359013221496118</v>
      </c>
      <c r="S30" s="16">
        <f t="shared" si="7"/>
        <v>1.260619348592604</v>
      </c>
    </row>
    <row r="31" spans="2:19">
      <c r="B31" s="11">
        <f t="shared" si="4"/>
        <v>2004</v>
      </c>
      <c r="C31" s="60">
        <f t="shared" si="5"/>
        <v>1.0209999999999999</v>
      </c>
      <c r="D31" s="62"/>
      <c r="E31" s="62"/>
      <c r="F31" s="62"/>
      <c r="G31" s="61">
        <v>1</v>
      </c>
      <c r="H31" s="16">
        <f t="shared" ref="H31:S31" si="8">H32*$C32</f>
        <v>1.0109999999999999</v>
      </c>
      <c r="I31" s="16">
        <f t="shared" si="8"/>
        <v>1.0291979999999998</v>
      </c>
      <c r="J31" s="16">
        <f t="shared" si="8"/>
        <v>1.0436067719999997</v>
      </c>
      <c r="K31" s="16">
        <f t="shared" si="8"/>
        <v>1.0550864464919998</v>
      </c>
      <c r="L31" s="16">
        <f t="shared" si="8"/>
        <v>1.0888492127797438</v>
      </c>
      <c r="M31" s="16">
        <f t="shared" si="8"/>
        <v>1.0921157604180829</v>
      </c>
      <c r="N31" s="16">
        <f t="shared" si="8"/>
        <v>1.1084974968243542</v>
      </c>
      <c r="O31" s="16">
        <f t="shared" si="8"/>
        <v>1.1373184317417875</v>
      </c>
      <c r="P31" s="16">
        <f t="shared" si="8"/>
        <v>1.1634767556718484</v>
      </c>
      <c r="Q31" s="16">
        <f t="shared" si="8"/>
        <v>1.186746290785285</v>
      </c>
      <c r="R31" s="16">
        <f t="shared" si="8"/>
        <v>1.2104812166009911</v>
      </c>
      <c r="S31" s="16">
        <f t="shared" si="8"/>
        <v>1.2346908409330108</v>
      </c>
    </row>
    <row r="32" spans="2:19">
      <c r="B32" s="11">
        <f t="shared" si="4"/>
        <v>2005</v>
      </c>
      <c r="C32" s="60">
        <f t="shared" si="5"/>
        <v>1.0109999999999999</v>
      </c>
      <c r="D32" s="62"/>
      <c r="E32" s="62"/>
      <c r="F32" s="62"/>
      <c r="G32" s="62"/>
      <c r="H32" s="61">
        <v>1</v>
      </c>
      <c r="I32" s="16">
        <f t="shared" ref="I32:S32" si="9">I33*$C33</f>
        <v>1.018</v>
      </c>
      <c r="J32" s="16">
        <f t="shared" si="9"/>
        <v>1.0322519999999999</v>
      </c>
      <c r="K32" s="16">
        <f t="shared" si="9"/>
        <v>1.043606772</v>
      </c>
      <c r="L32" s="16">
        <f t="shared" si="9"/>
        <v>1.077002188704</v>
      </c>
      <c r="M32" s="16">
        <f t="shared" si="9"/>
        <v>1.0802331952701119</v>
      </c>
      <c r="N32" s="16">
        <f t="shared" si="9"/>
        <v>1.0964366931991634</v>
      </c>
      <c r="O32" s="16">
        <f t="shared" si="9"/>
        <v>1.1249440472223418</v>
      </c>
      <c r="P32" s="16">
        <f t="shared" si="9"/>
        <v>1.1508177603084555</v>
      </c>
      <c r="Q32" s="16">
        <f t="shared" si="9"/>
        <v>1.1738341155146244</v>
      </c>
      <c r="R32" s="16">
        <f t="shared" si="9"/>
        <v>1.1973107978249171</v>
      </c>
      <c r="S32" s="16">
        <f t="shared" si="9"/>
        <v>1.2212570137814154</v>
      </c>
    </row>
    <row r="33" spans="1:20">
      <c r="B33" s="11">
        <f t="shared" si="4"/>
        <v>2006</v>
      </c>
      <c r="C33" s="60">
        <f t="shared" si="5"/>
        <v>1.018</v>
      </c>
      <c r="D33" s="62"/>
      <c r="E33" s="62"/>
      <c r="F33" s="62"/>
      <c r="G33" s="62"/>
      <c r="H33" s="62"/>
      <c r="I33" s="61">
        <v>1</v>
      </c>
      <c r="J33" s="16">
        <f t="shared" ref="J33:S33" si="10">J34*$C34</f>
        <v>1.014</v>
      </c>
      <c r="K33" s="16">
        <f t="shared" si="10"/>
        <v>1.0251539999999999</v>
      </c>
      <c r="L33" s="16">
        <f t="shared" si="10"/>
        <v>1.0579589279999999</v>
      </c>
      <c r="M33" s="16">
        <f t="shared" si="10"/>
        <v>1.0611328047839999</v>
      </c>
      <c r="N33" s="16">
        <f t="shared" si="10"/>
        <v>1.0770497968557597</v>
      </c>
      <c r="O33" s="16">
        <f t="shared" si="10"/>
        <v>1.1050530915740095</v>
      </c>
      <c r="P33" s="16">
        <f t="shared" si="10"/>
        <v>1.1304693126802117</v>
      </c>
      <c r="Q33" s="16">
        <f t="shared" si="10"/>
        <v>1.1530786989338158</v>
      </c>
      <c r="R33" s="16">
        <f t="shared" si="10"/>
        <v>1.1761402729124923</v>
      </c>
      <c r="S33" s="16">
        <f t="shared" si="10"/>
        <v>1.199663078370742</v>
      </c>
    </row>
    <row r="34" spans="1:20">
      <c r="B34" s="11">
        <f t="shared" si="4"/>
        <v>2007</v>
      </c>
      <c r="C34" s="60">
        <f t="shared" si="5"/>
        <v>1.014</v>
      </c>
      <c r="D34" s="62"/>
      <c r="E34" s="62"/>
      <c r="F34" s="62"/>
      <c r="G34" s="62"/>
      <c r="H34" s="62"/>
      <c r="I34" s="62"/>
      <c r="J34" s="61">
        <v>1</v>
      </c>
      <c r="K34" s="16">
        <f t="shared" ref="K34:S34" si="11">K35*$C35</f>
        <v>1.0109999999999999</v>
      </c>
      <c r="L34" s="16">
        <f t="shared" si="11"/>
        <v>1.0433519999999998</v>
      </c>
      <c r="M34" s="16">
        <f t="shared" si="11"/>
        <v>1.0464820559999999</v>
      </c>
      <c r="N34" s="16">
        <f t="shared" si="11"/>
        <v>1.0621792868399997</v>
      </c>
      <c r="O34" s="16">
        <f>O35*$C35</f>
        <v>1.0897959482978399</v>
      </c>
      <c r="P34" s="16">
        <f t="shared" si="11"/>
        <v>1.1148612551086901</v>
      </c>
      <c r="Q34" s="16">
        <f t="shared" si="11"/>
        <v>1.1371584802108636</v>
      </c>
      <c r="R34" s="16">
        <f t="shared" si="11"/>
        <v>1.1599016498150811</v>
      </c>
      <c r="S34" s="16">
        <f t="shared" si="11"/>
        <v>1.1830996828113827</v>
      </c>
    </row>
    <row r="35" spans="1:20">
      <c r="B35" s="11">
        <f t="shared" si="4"/>
        <v>2008</v>
      </c>
      <c r="C35" s="60">
        <f t="shared" si="5"/>
        <v>1.0109999999999999</v>
      </c>
      <c r="D35" s="62"/>
      <c r="E35" s="62"/>
      <c r="F35" s="62"/>
      <c r="G35" s="62"/>
      <c r="H35" s="62"/>
      <c r="I35" s="62"/>
      <c r="J35" s="62"/>
      <c r="K35" s="61">
        <v>1</v>
      </c>
      <c r="L35" s="16">
        <f t="shared" ref="L35:S35" si="12">L36*$C36</f>
        <v>1.032</v>
      </c>
      <c r="M35" s="16">
        <f t="shared" si="12"/>
        <v>1.035096</v>
      </c>
      <c r="N35" s="16">
        <f t="shared" si="12"/>
        <v>1.0506224399999999</v>
      </c>
      <c r="O35" s="16">
        <f t="shared" si="12"/>
        <v>1.0779386234399999</v>
      </c>
      <c r="P35" s="16">
        <f t="shared" si="12"/>
        <v>1.1027312117791199</v>
      </c>
      <c r="Q35" s="16">
        <f t="shared" si="12"/>
        <v>1.1247858360147021</v>
      </c>
      <c r="R35" s="16">
        <f t="shared" si="12"/>
        <v>1.1472815527349962</v>
      </c>
      <c r="S35" s="16">
        <f t="shared" si="12"/>
        <v>1.170227183789696</v>
      </c>
    </row>
    <row r="36" spans="1:20">
      <c r="B36" s="11">
        <f t="shared" si="4"/>
        <v>2009</v>
      </c>
      <c r="C36" s="60">
        <f t="shared" si="5"/>
        <v>1.032</v>
      </c>
      <c r="D36" s="62"/>
      <c r="E36" s="62"/>
      <c r="F36" s="62"/>
      <c r="G36" s="62"/>
      <c r="H36" s="62"/>
      <c r="I36" s="62"/>
      <c r="J36" s="62"/>
      <c r="K36" s="62"/>
      <c r="L36" s="61">
        <v>1</v>
      </c>
      <c r="M36" s="16">
        <f t="shared" ref="M36:S36" si="13">M37*$C37</f>
        <v>1.0029999999999999</v>
      </c>
      <c r="N36" s="16">
        <f t="shared" si="13"/>
        <v>1.0180449999999999</v>
      </c>
      <c r="O36" s="16">
        <f t="shared" si="13"/>
        <v>1.0445141699999998</v>
      </c>
      <c r="P36" s="16">
        <f t="shared" si="13"/>
        <v>1.0685379959099999</v>
      </c>
      <c r="Q36" s="16">
        <f t="shared" si="13"/>
        <v>1.0899087558281997</v>
      </c>
      <c r="R36" s="16">
        <f t="shared" si="13"/>
        <v>1.1117069309447638</v>
      </c>
      <c r="S36" s="16">
        <f t="shared" si="13"/>
        <v>1.1339410695636589</v>
      </c>
    </row>
    <row r="37" spans="1:20">
      <c r="B37" s="11">
        <f t="shared" si="4"/>
        <v>2010</v>
      </c>
      <c r="C37" s="60">
        <f t="shared" si="5"/>
        <v>1.0029999999999999</v>
      </c>
      <c r="D37" s="63"/>
      <c r="E37" s="63"/>
      <c r="F37" s="63"/>
      <c r="G37" s="63"/>
      <c r="H37" s="63"/>
      <c r="I37" s="63"/>
      <c r="J37" s="63"/>
      <c r="K37" s="63"/>
      <c r="L37" s="63"/>
      <c r="M37" s="59">
        <v>1</v>
      </c>
      <c r="N37" s="16">
        <f t="shared" ref="N37:S37" si="14">N38*$C38</f>
        <v>1.0149999999999999</v>
      </c>
      <c r="O37" s="16">
        <f t="shared" si="14"/>
        <v>1.0413899999999998</v>
      </c>
      <c r="P37" s="16">
        <f t="shared" si="14"/>
        <v>1.06534197</v>
      </c>
      <c r="Q37" s="16">
        <f t="shared" si="14"/>
        <v>1.0866488093999997</v>
      </c>
      <c r="R37" s="16">
        <f t="shared" si="14"/>
        <v>1.1083817855879998</v>
      </c>
      <c r="S37" s="16">
        <f t="shared" si="14"/>
        <v>1.1305494212997598</v>
      </c>
    </row>
    <row r="38" spans="1:20">
      <c r="B38" s="11">
        <f t="shared" si="4"/>
        <v>2011</v>
      </c>
      <c r="C38" s="60">
        <f t="shared" si="5"/>
        <v>1.0149999999999999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59">
        <v>1</v>
      </c>
      <c r="O38" s="16">
        <f>O39*$C39</f>
        <v>1.026</v>
      </c>
      <c r="P38" s="16">
        <f>P39*$C39</f>
        <v>1.049598</v>
      </c>
      <c r="Q38" s="16">
        <f>Q39*$C39</f>
        <v>1.07058996</v>
      </c>
      <c r="R38" s="16">
        <f>R39*$C39</f>
        <v>1.0920017592</v>
      </c>
      <c r="S38" s="16">
        <f>S39*$C39</f>
        <v>1.1138417943839998</v>
      </c>
    </row>
    <row r="39" spans="1:20">
      <c r="B39" s="11">
        <f t="shared" si="4"/>
        <v>2012</v>
      </c>
      <c r="C39" s="60">
        <f t="shared" si="5"/>
        <v>1.026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59">
        <v>1</v>
      </c>
      <c r="P39" s="16">
        <f>P40*$C40</f>
        <v>1.0229999999999999</v>
      </c>
      <c r="Q39" s="16">
        <f>Q40*$C40</f>
        <v>1.0434599999999998</v>
      </c>
      <c r="R39" s="16">
        <f>R40*$C40</f>
        <v>1.0643292</v>
      </c>
      <c r="S39" s="16">
        <f>S40*$C40</f>
        <v>1.0856157839999998</v>
      </c>
    </row>
    <row r="40" spans="1:20">
      <c r="B40" s="11">
        <f t="shared" si="4"/>
        <v>2013</v>
      </c>
      <c r="C40" s="60">
        <f t="shared" si="5"/>
        <v>1.0229999999999999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59">
        <v>1</v>
      </c>
      <c r="Q40" s="16">
        <f>Q41*$C41</f>
        <v>1.02</v>
      </c>
      <c r="R40" s="16">
        <f>R41*$C41</f>
        <v>1.0404</v>
      </c>
      <c r="S40" s="16">
        <f>S41*$C41</f>
        <v>1.0612079999999999</v>
      </c>
    </row>
    <row r="41" spans="1:20">
      <c r="B41" s="11">
        <f t="shared" si="4"/>
        <v>2014</v>
      </c>
      <c r="C41" s="60">
        <f t="shared" si="5"/>
        <v>1.02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59">
        <v>1</v>
      </c>
      <c r="R41" s="16">
        <f>R42*$C42</f>
        <v>1.02</v>
      </c>
      <c r="S41" s="16">
        <f>S42*$C42</f>
        <v>1.0404</v>
      </c>
    </row>
    <row r="42" spans="1:20">
      <c r="B42" s="11">
        <f t="shared" si="4"/>
        <v>2015</v>
      </c>
      <c r="C42" s="60">
        <f t="shared" si="5"/>
        <v>1.02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59">
        <v>1</v>
      </c>
      <c r="S42" s="16">
        <f>S43*$C43</f>
        <v>1.02</v>
      </c>
    </row>
    <row r="43" spans="1:20">
      <c r="B43" s="11">
        <f t="shared" si="4"/>
        <v>2016</v>
      </c>
      <c r="C43" s="60">
        <f t="shared" si="5"/>
        <v>1.02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59">
        <v>1</v>
      </c>
    </row>
    <row r="44" spans="1:20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20">
      <c r="C45" s="15"/>
    </row>
    <row r="46" spans="1:20" s="98" customFormat="1" ht="12.75">
      <c r="B46" s="98" t="s">
        <v>20</v>
      </c>
    </row>
    <row r="48" spans="1:20">
      <c r="A48" s="5"/>
      <c r="B48" s="49" t="s">
        <v>59</v>
      </c>
      <c r="F48" s="11"/>
      <c r="G48" s="11">
        <v>2013</v>
      </c>
      <c r="H48" s="11">
        <v>2014</v>
      </c>
      <c r="I48" s="11">
        <v>2015</v>
      </c>
      <c r="J48" s="11">
        <v>2016</v>
      </c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>
      <c r="A49" s="5"/>
      <c r="B49" s="3" t="s">
        <v>113</v>
      </c>
      <c r="F49" s="137">
        <v>0.95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>
      <c r="A50" s="5"/>
      <c r="B50" s="3" t="s">
        <v>112</v>
      </c>
      <c r="F50" s="85">
        <v>12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>
      <c r="A51" s="5"/>
      <c r="B51" s="3" t="s">
        <v>64</v>
      </c>
      <c r="F51" s="11"/>
      <c r="G51" s="85">
        <v>1</v>
      </c>
      <c r="H51" s="114">
        <f>G51-(1-$F$49)/$F$50</f>
        <v>0.99583333333333335</v>
      </c>
      <c r="I51" s="114">
        <f t="shared" ref="I51:J51" si="15">H51-(1-$F$49)/$F$50</f>
        <v>0.9916666666666667</v>
      </c>
      <c r="J51" s="114">
        <f t="shared" si="15"/>
        <v>0.98750000000000004</v>
      </c>
      <c r="L51" s="3"/>
    </row>
    <row r="52" spans="1:20">
      <c r="B52" s="8"/>
      <c r="C52" s="78"/>
    </row>
    <row r="53" spans="1:20">
      <c r="B53" s="3" t="s">
        <v>65</v>
      </c>
      <c r="G53" s="74">
        <v>0.06</v>
      </c>
    </row>
    <row r="54" spans="1:20">
      <c r="B54" s="3" t="s">
        <v>66</v>
      </c>
      <c r="G54" s="74">
        <v>3.5999999999999997E-2</v>
      </c>
    </row>
    <row r="55" spans="1:20">
      <c r="B55" s="29" t="s">
        <v>27</v>
      </c>
      <c r="G55" s="74">
        <v>1.0999999999999999E-2</v>
      </c>
    </row>
    <row r="56" spans="1:20">
      <c r="B56" s="29" t="s">
        <v>25</v>
      </c>
      <c r="G56" s="76">
        <v>0.4</v>
      </c>
    </row>
    <row r="57" spans="1:20">
      <c r="B57" s="4" t="s">
        <v>67</v>
      </c>
      <c r="G57" s="76">
        <v>0.01</v>
      </c>
    </row>
  </sheetData>
  <phoneticPr fontId="38" type="noConversion"/>
  <pageMargins left="0.75" right="0.75" top="1" bottom="1" header="0.5" footer="0.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  <pageSetUpPr fitToPage="1"/>
  </sheetPr>
  <dimension ref="B1:H56"/>
  <sheetViews>
    <sheetView showGridLines="0" zoomScale="110" zoomScaleNormal="110" workbookViewId="0"/>
  </sheetViews>
  <sheetFormatPr defaultRowHeight="11.25"/>
  <cols>
    <col min="1" max="1" width="3.7109375" style="31" customWidth="1"/>
    <col min="2" max="2" width="53.140625" style="31" bestFit="1" customWidth="1"/>
    <col min="3" max="3" width="3.85546875" style="31" bestFit="1" customWidth="1"/>
    <col min="4" max="6" width="10.28515625" style="31" customWidth="1"/>
    <col min="7" max="7" width="3.85546875" style="31" bestFit="1" customWidth="1"/>
    <col min="8" max="8" width="9.140625" style="31"/>
    <col min="9" max="9" width="10.42578125" style="31" customWidth="1"/>
    <col min="10" max="10" width="10.28515625" style="31" customWidth="1"/>
    <col min="11" max="16384" width="9.140625" style="31"/>
  </cols>
  <sheetData>
    <row r="1" spans="2:8" ht="12" customHeight="1"/>
    <row r="2" spans="2:8" s="97" customFormat="1" ht="15" customHeight="1">
      <c r="B2" s="97" t="s">
        <v>16</v>
      </c>
      <c r="D2" s="97">
        <v>2010</v>
      </c>
      <c r="E2" s="97">
        <v>2011</v>
      </c>
      <c r="F2" s="97">
        <v>2012</v>
      </c>
    </row>
    <row r="3" spans="2:8" s="34" customFormat="1">
      <c r="B3" s="35"/>
    </row>
    <row r="4" spans="2:8" s="98" customFormat="1" ht="12.75">
      <c r="B4" s="98" t="s">
        <v>13</v>
      </c>
    </row>
    <row r="6" spans="2:8">
      <c r="B6" s="36" t="s">
        <v>141</v>
      </c>
    </row>
    <row r="7" spans="2:8">
      <c r="B7" s="31" t="s">
        <v>69</v>
      </c>
      <c r="C7" s="31" t="s">
        <v>3</v>
      </c>
      <c r="D7" s="33"/>
      <c r="E7" s="33"/>
      <c r="F7" s="118">
        <v>58477743.792647012</v>
      </c>
      <c r="G7" s="80"/>
      <c r="H7" s="41" t="s">
        <v>233</v>
      </c>
    </row>
    <row r="8" spans="2:8">
      <c r="B8" s="31" t="s">
        <v>68</v>
      </c>
      <c r="C8" s="31" t="s">
        <v>3</v>
      </c>
      <c r="D8" s="33"/>
      <c r="E8" s="33"/>
      <c r="F8" s="118">
        <v>4498287.98404977</v>
      </c>
      <c r="G8" s="80"/>
      <c r="H8" s="41"/>
    </row>
    <row r="9" spans="2:8">
      <c r="H9" s="41"/>
    </row>
    <row r="10" spans="2:8">
      <c r="B10" s="36" t="s">
        <v>142</v>
      </c>
      <c r="H10" s="41"/>
    </row>
    <row r="11" spans="2:8">
      <c r="B11" s="31" t="s">
        <v>69</v>
      </c>
      <c r="C11" s="31" t="s">
        <v>3</v>
      </c>
      <c r="D11" s="33"/>
      <c r="E11" s="33"/>
      <c r="F11" s="118">
        <v>481672157.71049321</v>
      </c>
      <c r="G11" s="80"/>
      <c r="H11" s="41"/>
    </row>
    <row r="12" spans="2:8">
      <c r="B12" s="31" t="s">
        <v>68</v>
      </c>
      <c r="C12" s="31" t="s">
        <v>3</v>
      </c>
      <c r="D12" s="33"/>
      <c r="E12" s="33"/>
      <c r="F12" s="118">
        <v>37051704.439268701</v>
      </c>
      <c r="G12" s="80"/>
      <c r="H12" s="41"/>
    </row>
    <row r="13" spans="2:8">
      <c r="H13" s="41"/>
    </row>
    <row r="14" spans="2:8">
      <c r="B14" s="36" t="s">
        <v>143</v>
      </c>
      <c r="H14" s="41"/>
    </row>
    <row r="15" spans="2:8">
      <c r="B15" s="31" t="s">
        <v>71</v>
      </c>
      <c r="C15" s="31" t="s">
        <v>3</v>
      </c>
      <c r="D15" s="33"/>
      <c r="E15" s="33"/>
      <c r="F15" s="118">
        <v>127279894.44369283</v>
      </c>
      <c r="G15" s="80"/>
      <c r="H15" s="41"/>
    </row>
    <row r="16" spans="2:8">
      <c r="B16" s="31" t="s">
        <v>70</v>
      </c>
      <c r="C16" s="31" t="s">
        <v>3</v>
      </c>
      <c r="D16" s="33"/>
      <c r="E16" s="33"/>
      <c r="F16" s="118">
        <v>4579015.8875722503</v>
      </c>
      <c r="G16" s="80"/>
      <c r="H16" s="41"/>
    </row>
    <row r="17" spans="2:8">
      <c r="H17" s="41"/>
    </row>
    <row r="18" spans="2:8">
      <c r="B18" s="36" t="s">
        <v>144</v>
      </c>
      <c r="H18" s="41"/>
    </row>
    <row r="19" spans="2:8">
      <c r="B19" s="31" t="s">
        <v>71</v>
      </c>
      <c r="C19" s="31" t="s">
        <v>3</v>
      </c>
      <c r="D19" s="33"/>
      <c r="E19" s="33"/>
      <c r="F19" s="118">
        <v>398231659.93784869</v>
      </c>
      <c r="G19" s="80"/>
      <c r="H19" s="41"/>
    </row>
    <row r="20" spans="2:8">
      <c r="B20" s="31" t="s">
        <v>70</v>
      </c>
      <c r="C20" s="31" t="s">
        <v>3</v>
      </c>
      <c r="D20" s="33"/>
      <c r="E20" s="33"/>
      <c r="F20" s="118">
        <v>12525336.402059</v>
      </c>
      <c r="G20" s="80"/>
      <c r="H20" s="41"/>
    </row>
    <row r="21" spans="2:8">
      <c r="D21" s="33"/>
      <c r="E21" s="33"/>
      <c r="F21" s="100"/>
      <c r="G21" s="80"/>
      <c r="H21" s="41"/>
    </row>
    <row r="22" spans="2:8">
      <c r="B22" s="99" t="s">
        <v>145</v>
      </c>
      <c r="H22" s="41"/>
    </row>
    <row r="23" spans="2:8">
      <c r="B23" s="31" t="s">
        <v>78</v>
      </c>
      <c r="C23" s="31" t="s">
        <v>3</v>
      </c>
      <c r="D23" s="135">
        <v>1807497</v>
      </c>
      <c r="E23" s="135">
        <v>8757265.8463406824</v>
      </c>
      <c r="F23" s="135">
        <v>3371439.0043589156</v>
      </c>
      <c r="H23" s="41"/>
    </row>
    <row r="24" spans="2:8">
      <c r="B24" s="31" t="s">
        <v>73</v>
      </c>
      <c r="C24" s="31" t="s">
        <v>3</v>
      </c>
      <c r="D24" s="135">
        <v>10779.880000000003</v>
      </c>
      <c r="E24" s="135">
        <v>204722.76299900087</v>
      </c>
      <c r="F24" s="135">
        <v>307871.62919168413</v>
      </c>
      <c r="G24" s="80"/>
      <c r="H24" s="41"/>
    </row>
    <row r="25" spans="2:8">
      <c r="B25" s="31" t="s">
        <v>81</v>
      </c>
      <c r="C25" s="31" t="s">
        <v>3</v>
      </c>
      <c r="D25" s="153">
        <f>D23-D24</f>
        <v>1796717.12</v>
      </c>
      <c r="E25" s="153">
        <f t="shared" ref="E25:F25" si="0">E23-E24</f>
        <v>8552543.0833416823</v>
      </c>
      <c r="F25" s="153">
        <f t="shared" si="0"/>
        <v>3063567.3751672315</v>
      </c>
      <c r="G25" s="80"/>
      <c r="H25" s="41"/>
    </row>
    <row r="26" spans="2:8" ht="10.5" customHeight="1">
      <c r="B26" s="36"/>
      <c r="G26" s="37"/>
      <c r="H26" s="41"/>
    </row>
    <row r="27" spans="2:8" s="98" customFormat="1" ht="12.75">
      <c r="B27" s="98" t="s">
        <v>14</v>
      </c>
    </row>
    <row r="28" spans="2:8" s="39" customFormat="1">
      <c r="B28" s="40"/>
      <c r="C28" s="27"/>
    </row>
    <row r="29" spans="2:8" s="39" customFormat="1">
      <c r="B29" s="40" t="s">
        <v>146</v>
      </c>
      <c r="C29" s="27"/>
    </row>
    <row r="30" spans="2:8" s="39" customFormat="1">
      <c r="B30" s="31" t="s">
        <v>74</v>
      </c>
      <c r="C30" s="31" t="s">
        <v>3</v>
      </c>
      <c r="D30" s="33"/>
      <c r="E30" s="33"/>
      <c r="F30" s="118">
        <v>88007048.823799416</v>
      </c>
      <c r="G30" s="37"/>
      <c r="H30" s="41"/>
    </row>
    <row r="31" spans="2:8" s="39" customFormat="1">
      <c r="B31" s="31" t="s">
        <v>68</v>
      </c>
      <c r="C31" s="31" t="s">
        <v>3</v>
      </c>
      <c r="D31" s="33"/>
      <c r="E31" s="33"/>
      <c r="F31" s="136">
        <v>5614405.1603534715</v>
      </c>
      <c r="G31" s="37"/>
    </row>
    <row r="32" spans="2:8" s="39" customFormat="1">
      <c r="B32" s="31"/>
      <c r="C32" s="31"/>
      <c r="D32" s="33"/>
      <c r="E32" s="33"/>
      <c r="F32" s="41"/>
      <c r="G32" s="37"/>
    </row>
    <row r="33" spans="2:8" s="39" customFormat="1">
      <c r="B33" s="36" t="s">
        <v>147</v>
      </c>
      <c r="C33" s="31"/>
      <c r="D33" s="33"/>
      <c r="E33" s="33"/>
      <c r="F33" s="41"/>
      <c r="G33" s="37"/>
    </row>
    <row r="34" spans="2:8" s="39" customFormat="1">
      <c r="B34" s="31" t="s">
        <v>74</v>
      </c>
      <c r="C34" s="31" t="s">
        <v>3</v>
      </c>
      <c r="D34" s="33"/>
      <c r="E34" s="33"/>
      <c r="F34" s="118">
        <v>575785451.91340816</v>
      </c>
      <c r="G34" s="37"/>
      <c r="H34" s="41"/>
    </row>
    <row r="35" spans="2:8" s="39" customFormat="1">
      <c r="B35" s="31" t="s">
        <v>68</v>
      </c>
      <c r="C35" s="31" t="s">
        <v>3</v>
      </c>
      <c r="D35" s="33"/>
      <c r="E35" s="33"/>
      <c r="F35" s="136">
        <v>36732203.336931914</v>
      </c>
      <c r="G35" s="37"/>
    </row>
    <row r="36" spans="2:8" s="39" customFormat="1">
      <c r="B36" s="40"/>
      <c r="C36" s="27"/>
    </row>
    <row r="37" spans="2:8">
      <c r="B37" s="36" t="s">
        <v>148</v>
      </c>
      <c r="H37" s="41"/>
    </row>
    <row r="38" spans="2:8">
      <c r="B38" s="31" t="s">
        <v>75</v>
      </c>
      <c r="C38" s="31" t="s">
        <v>3</v>
      </c>
      <c r="D38" s="33"/>
      <c r="E38" s="33"/>
      <c r="F38" s="118">
        <v>9987177.4268070552</v>
      </c>
      <c r="G38" s="37"/>
      <c r="H38" s="41"/>
    </row>
    <row r="39" spans="2:8">
      <c r="B39" s="31" t="s">
        <v>68</v>
      </c>
      <c r="C39" s="31" t="s">
        <v>3</v>
      </c>
      <c r="D39" s="33"/>
      <c r="E39" s="33"/>
      <c r="F39" s="118">
        <v>312096.29835464997</v>
      </c>
      <c r="G39" s="37"/>
      <c r="H39" s="41"/>
    </row>
    <row r="40" spans="2:8">
      <c r="D40" s="33"/>
      <c r="E40" s="33"/>
      <c r="F40" s="41"/>
      <c r="G40" s="37"/>
      <c r="H40" s="41"/>
    </row>
    <row r="41" spans="2:8">
      <c r="B41" s="36" t="s">
        <v>149</v>
      </c>
      <c r="D41" s="33"/>
      <c r="E41" s="33"/>
      <c r="F41" s="41"/>
      <c r="G41" s="37"/>
      <c r="H41" s="41"/>
    </row>
    <row r="42" spans="2:8">
      <c r="B42" s="31" t="s">
        <v>75</v>
      </c>
      <c r="C42" s="31" t="s">
        <v>3</v>
      </c>
      <c r="D42" s="33"/>
      <c r="E42" s="33"/>
      <c r="F42" s="118">
        <v>99269745.406511933</v>
      </c>
      <c r="G42" s="37"/>
      <c r="H42" s="41"/>
    </row>
    <row r="43" spans="2:8">
      <c r="B43" s="31" t="s">
        <v>68</v>
      </c>
      <c r="C43" s="31" t="s">
        <v>3</v>
      </c>
      <c r="D43" s="33"/>
      <c r="E43" s="33"/>
      <c r="F43" s="118">
        <v>3080162.7703216099</v>
      </c>
      <c r="G43" s="37"/>
      <c r="H43" s="41"/>
    </row>
    <row r="44" spans="2:8">
      <c r="H44" s="41"/>
    </row>
    <row r="45" spans="2:8">
      <c r="B45" s="36" t="s">
        <v>150</v>
      </c>
      <c r="H45" s="41"/>
    </row>
    <row r="46" spans="2:8">
      <c r="B46" s="31" t="s">
        <v>82</v>
      </c>
      <c r="C46" s="31" t="s">
        <v>3</v>
      </c>
      <c r="D46" s="33"/>
      <c r="E46" s="33"/>
      <c r="F46" s="118">
        <v>95889238.342178658</v>
      </c>
      <c r="G46" s="37"/>
      <c r="H46" s="41"/>
    </row>
    <row r="47" spans="2:8">
      <c r="B47" s="31" t="s">
        <v>70</v>
      </c>
      <c r="C47" s="31" t="s">
        <v>3</v>
      </c>
      <c r="D47" s="33"/>
      <c r="E47" s="33"/>
      <c r="F47" s="118">
        <v>7434174.1064226599</v>
      </c>
      <c r="G47" s="37"/>
      <c r="H47" s="41"/>
    </row>
    <row r="48" spans="2:8">
      <c r="D48" s="33"/>
      <c r="E48" s="33"/>
      <c r="F48" s="33"/>
      <c r="G48" s="37"/>
      <c r="H48" s="41"/>
    </row>
    <row r="49" spans="2:8">
      <c r="B49" s="36" t="s">
        <v>151</v>
      </c>
      <c r="D49" s="33"/>
      <c r="E49" s="33"/>
      <c r="F49" s="33"/>
      <c r="G49" s="37"/>
      <c r="H49" s="41"/>
    </row>
    <row r="50" spans="2:8">
      <c r="B50" s="31" t="s">
        <v>82</v>
      </c>
      <c r="C50" s="31" t="s">
        <v>3</v>
      </c>
      <c r="D50" s="33"/>
      <c r="E50" s="33"/>
      <c r="F50" s="118">
        <v>292671035.14569229</v>
      </c>
      <c r="G50" s="37"/>
      <c r="H50" s="41"/>
    </row>
    <row r="51" spans="2:8">
      <c r="B51" s="31" t="s">
        <v>70</v>
      </c>
      <c r="C51" s="31" t="s">
        <v>3</v>
      </c>
      <c r="D51" s="33"/>
      <c r="E51" s="33"/>
      <c r="F51" s="118">
        <v>10149655.601941099</v>
      </c>
      <c r="G51" s="37"/>
      <c r="H51" s="41"/>
    </row>
    <row r="52" spans="2:8">
      <c r="H52" s="41"/>
    </row>
    <row r="53" spans="2:8">
      <c r="B53" s="99" t="s">
        <v>145</v>
      </c>
      <c r="H53" s="41"/>
    </row>
    <row r="54" spans="2:8">
      <c r="B54" s="31" t="s">
        <v>79</v>
      </c>
      <c r="C54" s="31" t="s">
        <v>3</v>
      </c>
      <c r="D54" s="136">
        <v>544690.69577080489</v>
      </c>
      <c r="E54" s="136">
        <v>51087810.023304015</v>
      </c>
      <c r="F54" s="136">
        <v>48100735.665635809</v>
      </c>
      <c r="H54" s="41"/>
    </row>
    <row r="55" spans="2:8">
      <c r="B55" s="31" t="s">
        <v>73</v>
      </c>
      <c r="C55" s="31" t="s">
        <v>3</v>
      </c>
      <c r="D55" s="136">
        <v>21787.627830832196</v>
      </c>
      <c r="E55" s="136">
        <v>1139876.3166098932</v>
      </c>
      <c r="F55" s="136">
        <v>1227726.393840078</v>
      </c>
      <c r="G55" s="33"/>
    </row>
    <row r="56" spans="2:8">
      <c r="B56" s="31" t="s">
        <v>81</v>
      </c>
      <c r="C56" s="31" t="s">
        <v>3</v>
      </c>
      <c r="D56" s="154">
        <f>D54-D55</f>
        <v>522903.06793997268</v>
      </c>
      <c r="E56" s="154">
        <f t="shared" ref="E56:F56" si="1">E54-E55</f>
        <v>49947933.706694119</v>
      </c>
      <c r="F56" s="154">
        <f t="shared" si="1"/>
        <v>46873009.271795735</v>
      </c>
      <c r="G56" s="37"/>
    </row>
  </sheetData>
  <pageMargins left="0.7" right="0.7" top="0.75" bottom="0.75" header="0.3" footer="0.3"/>
  <pageSetup paperSize="9" scale="78"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22529" r:id="rId4">
          <objectPr defaultSize="0" autoPict="0" r:id="rId5">
            <anchor moveWithCells="1">
              <from>
                <xdr:col>0</xdr:col>
                <xdr:colOff>114300</xdr:colOff>
                <xdr:row>4</xdr:row>
                <xdr:rowOff>114300</xdr:rowOff>
              </from>
              <to>
                <xdr:col>0</xdr:col>
                <xdr:colOff>133350</xdr:colOff>
                <xdr:row>4</xdr:row>
                <xdr:rowOff>133350</xdr:rowOff>
              </to>
            </anchor>
          </objectPr>
        </oleObject>
      </mc:Choice>
      <mc:Fallback>
        <oleObject progId="Paint.Picture" shapeId="22529" r:id="rId4"/>
      </mc:Fallback>
    </mc:AlternateContent>
    <mc:AlternateContent xmlns:mc="http://schemas.openxmlformats.org/markup-compatibility/2006">
      <mc:Choice Requires="x14">
        <oleObject progId="Paint.Picture" shapeId="22530" r:id="rId6">
          <objectPr defaultSize="0" autoPict="0" r:id="rId5">
            <anchor moveWithCells="1">
              <from>
                <xdr:col>0</xdr:col>
                <xdr:colOff>114300</xdr:colOff>
                <xdr:row>4</xdr:row>
                <xdr:rowOff>114300</xdr:rowOff>
              </from>
              <to>
                <xdr:col>0</xdr:col>
                <xdr:colOff>133350</xdr:colOff>
                <xdr:row>4</xdr:row>
                <xdr:rowOff>133350</xdr:rowOff>
              </to>
            </anchor>
          </objectPr>
        </oleObject>
      </mc:Choice>
      <mc:Fallback>
        <oleObject progId="Paint.Picture" shapeId="22530" r:id="rId6"/>
      </mc:Fallback>
    </mc:AlternateContent>
    <mc:AlternateContent xmlns:mc="http://schemas.openxmlformats.org/markup-compatibility/2006">
      <mc:Choice Requires="x14">
        <oleObject progId="Paint.Picture" shapeId="22531" r:id="rId7">
          <objectPr defaultSize="0" autoPict="0" r:id="rId5">
            <anchor moveWithCells="1">
              <from>
                <xdr:col>0</xdr:col>
                <xdr:colOff>114300</xdr:colOff>
                <xdr:row>4</xdr:row>
                <xdr:rowOff>114300</xdr:rowOff>
              </from>
              <to>
                <xdr:col>0</xdr:col>
                <xdr:colOff>133350</xdr:colOff>
                <xdr:row>4</xdr:row>
                <xdr:rowOff>133350</xdr:rowOff>
              </to>
            </anchor>
          </objectPr>
        </oleObject>
      </mc:Choice>
      <mc:Fallback>
        <oleObject progId="Paint.Picture" shapeId="22531" r:id="rId7"/>
      </mc:Fallback>
    </mc:AlternateContent>
    <mc:AlternateContent xmlns:mc="http://schemas.openxmlformats.org/markup-compatibility/2006">
      <mc:Choice Requires="x14">
        <oleObject progId="Paint.Picture" shapeId="22532" r:id="rId8">
          <objectPr defaultSize="0" autoPict="0" r:id="rId5">
            <anchor moveWithCells="1">
              <from>
                <xdr:col>0</xdr:col>
                <xdr:colOff>114300</xdr:colOff>
                <xdr:row>4</xdr:row>
                <xdr:rowOff>114300</xdr:rowOff>
              </from>
              <to>
                <xdr:col>0</xdr:col>
                <xdr:colOff>133350</xdr:colOff>
                <xdr:row>4</xdr:row>
                <xdr:rowOff>133350</xdr:rowOff>
              </to>
            </anchor>
          </objectPr>
        </oleObject>
      </mc:Choice>
      <mc:Fallback>
        <oleObject progId="Paint.Picture" shapeId="22532" r:id="rId8"/>
      </mc:Fallback>
    </mc:AlternateContent>
    <mc:AlternateContent xmlns:mc="http://schemas.openxmlformats.org/markup-compatibility/2006">
      <mc:Choice Requires="x14">
        <oleObject progId="Paint.Picture" shapeId="22533" r:id="rId9">
          <objectPr defaultSize="0" autoPict="0" r:id="rId5">
            <anchor moveWithCells="1">
              <from>
                <xdr:col>0</xdr:col>
                <xdr:colOff>114300</xdr:colOff>
                <xdr:row>25</xdr:row>
                <xdr:rowOff>0</xdr:rowOff>
              </from>
              <to>
                <xdr:col>0</xdr:col>
                <xdr:colOff>133350</xdr:colOff>
                <xdr:row>25</xdr:row>
                <xdr:rowOff>19050</xdr:rowOff>
              </to>
            </anchor>
          </objectPr>
        </oleObject>
      </mc:Choice>
      <mc:Fallback>
        <oleObject progId="Paint.Picture" shapeId="22533" r:id="rId9"/>
      </mc:Fallback>
    </mc:AlternateContent>
    <mc:AlternateContent xmlns:mc="http://schemas.openxmlformats.org/markup-compatibility/2006">
      <mc:Choice Requires="x14">
        <oleObject progId="Paint.Picture" shapeId="22534" r:id="rId10">
          <objectPr defaultSize="0" autoPict="0" r:id="rId5">
            <anchor moveWithCells="1">
              <from>
                <xdr:col>0</xdr:col>
                <xdr:colOff>114300</xdr:colOff>
                <xdr:row>25</xdr:row>
                <xdr:rowOff>0</xdr:rowOff>
              </from>
              <to>
                <xdr:col>0</xdr:col>
                <xdr:colOff>133350</xdr:colOff>
                <xdr:row>25</xdr:row>
                <xdr:rowOff>19050</xdr:rowOff>
              </to>
            </anchor>
          </objectPr>
        </oleObject>
      </mc:Choice>
      <mc:Fallback>
        <oleObject progId="Paint.Picture" shapeId="22534" r:id="rId10"/>
      </mc:Fallback>
    </mc:AlternateContent>
    <mc:AlternateContent xmlns:mc="http://schemas.openxmlformats.org/markup-compatibility/2006">
      <mc:Choice Requires="x14">
        <oleObject progId="Paint.Picture" shapeId="22535" r:id="rId11">
          <objectPr defaultSize="0" autoPict="0" r:id="rId5">
            <anchor moveWithCells="1">
              <from>
                <xdr:col>0</xdr:col>
                <xdr:colOff>114300</xdr:colOff>
                <xdr:row>25</xdr:row>
                <xdr:rowOff>0</xdr:rowOff>
              </from>
              <to>
                <xdr:col>0</xdr:col>
                <xdr:colOff>133350</xdr:colOff>
                <xdr:row>25</xdr:row>
                <xdr:rowOff>19050</xdr:rowOff>
              </to>
            </anchor>
          </objectPr>
        </oleObject>
      </mc:Choice>
      <mc:Fallback>
        <oleObject progId="Paint.Picture" shapeId="22535" r:id="rId11"/>
      </mc:Fallback>
    </mc:AlternateContent>
    <mc:AlternateContent xmlns:mc="http://schemas.openxmlformats.org/markup-compatibility/2006">
      <mc:Choice Requires="x14">
        <oleObject progId="Paint.Picture" shapeId="22536" r:id="rId12">
          <objectPr defaultSize="0" autoPict="0" r:id="rId5">
            <anchor moveWithCells="1">
              <from>
                <xdr:col>0</xdr:col>
                <xdr:colOff>114300</xdr:colOff>
                <xdr:row>25</xdr:row>
                <xdr:rowOff>0</xdr:rowOff>
              </from>
              <to>
                <xdr:col>0</xdr:col>
                <xdr:colOff>133350</xdr:colOff>
                <xdr:row>25</xdr:row>
                <xdr:rowOff>19050</xdr:rowOff>
              </to>
            </anchor>
          </objectPr>
        </oleObject>
      </mc:Choice>
      <mc:Fallback>
        <oleObject progId="Paint.Picture" shapeId="22536" r:id="rId1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M47"/>
  <sheetViews>
    <sheetView showGridLines="0" zoomScale="110" zoomScaleNormal="110" workbookViewId="0"/>
  </sheetViews>
  <sheetFormatPr defaultRowHeight="11.25"/>
  <cols>
    <col min="1" max="1" width="3.7109375" style="4" customWidth="1"/>
    <col min="2" max="2" width="53.85546875" style="4" customWidth="1"/>
    <col min="3" max="3" width="3.85546875" style="4" bestFit="1" customWidth="1"/>
    <col min="4" max="6" width="10.28515625" style="24" customWidth="1"/>
    <col min="7" max="7" width="4.140625" style="24" customWidth="1"/>
    <col min="8" max="16384" width="9.140625" style="24"/>
  </cols>
  <sheetData>
    <row r="1" spans="1:13" ht="12" customHeight="1">
      <c r="A1" s="24"/>
    </row>
    <row r="2" spans="1:13" s="97" customFormat="1" ht="15" customHeight="1">
      <c r="B2" s="97" t="s">
        <v>17</v>
      </c>
      <c r="D2" s="97">
        <v>2010</v>
      </c>
      <c r="E2" s="97">
        <v>2011</v>
      </c>
      <c r="F2" s="97">
        <v>2012</v>
      </c>
    </row>
    <row r="4" spans="1:13" s="98" customFormat="1" ht="12.75">
      <c r="B4" s="98" t="s">
        <v>13</v>
      </c>
    </row>
    <row r="6" spans="1:13">
      <c r="B6" s="6" t="s">
        <v>158</v>
      </c>
    </row>
    <row r="7" spans="1:13" s="31" customFormat="1">
      <c r="B7" s="31" t="s">
        <v>83</v>
      </c>
      <c r="C7" s="31" t="s">
        <v>3</v>
      </c>
      <c r="D7" s="177">
        <f>39589512.6371103+1498000</f>
        <v>41087512.6371103</v>
      </c>
      <c r="E7" s="138">
        <v>37587575.550188303</v>
      </c>
      <c r="F7" s="139">
        <v>61801512.389103301</v>
      </c>
      <c r="G7" s="24"/>
      <c r="H7" s="41" t="s">
        <v>247</v>
      </c>
      <c r="L7" s="95"/>
      <c r="M7" s="41"/>
    </row>
    <row r="8" spans="1:13">
      <c r="A8" s="24"/>
      <c r="B8" s="4" t="s">
        <v>84</v>
      </c>
      <c r="C8" s="31" t="s">
        <v>3</v>
      </c>
      <c r="D8" s="139">
        <v>-1271000</v>
      </c>
      <c r="E8" s="139">
        <v>-2858655</v>
      </c>
      <c r="F8" s="139">
        <v>4901018.62</v>
      </c>
      <c r="L8" s="23"/>
      <c r="M8" s="23"/>
    </row>
    <row r="9" spans="1:13">
      <c r="A9" s="24"/>
      <c r="B9" s="31" t="s">
        <v>160</v>
      </c>
      <c r="C9" s="31" t="s">
        <v>3</v>
      </c>
      <c r="D9" s="94">
        <f>D7-D8</f>
        <v>42358512.6371103</v>
      </c>
      <c r="E9" s="94">
        <f>E7-E8</f>
        <v>40446230.550188303</v>
      </c>
      <c r="F9" s="94">
        <f>F7-F8</f>
        <v>56900493.769103304</v>
      </c>
    </row>
    <row r="10" spans="1:13">
      <c r="A10" s="24"/>
      <c r="B10" s="31"/>
      <c r="C10" s="31"/>
      <c r="D10" s="81"/>
      <c r="E10" s="81"/>
      <c r="F10" s="81"/>
    </row>
    <row r="11" spans="1:13">
      <c r="A11" s="24"/>
      <c r="B11" s="50" t="s">
        <v>152</v>
      </c>
      <c r="C11" s="31"/>
      <c r="D11" s="81"/>
      <c r="E11" s="81"/>
      <c r="F11" s="81"/>
    </row>
    <row r="12" spans="1:13">
      <c r="A12" s="24"/>
      <c r="B12" s="31" t="s">
        <v>140</v>
      </c>
      <c r="C12" s="31" t="s">
        <v>3</v>
      </c>
      <c r="D12" s="139">
        <v>12091488.564040648</v>
      </c>
      <c r="E12" s="139">
        <v>9098157.4632066004</v>
      </c>
      <c r="F12" s="139">
        <v>1977311.1952000004</v>
      </c>
      <c r="H12" s="24" t="s">
        <v>231</v>
      </c>
    </row>
    <row r="13" spans="1:13">
      <c r="A13" s="24"/>
      <c r="B13" s="31" t="s">
        <v>153</v>
      </c>
      <c r="C13" s="31" t="s">
        <v>3</v>
      </c>
      <c r="D13" s="139">
        <v>0</v>
      </c>
      <c r="E13" s="139">
        <v>0</v>
      </c>
      <c r="F13" s="139">
        <v>0</v>
      </c>
    </row>
    <row r="14" spans="1:13">
      <c r="A14" s="24"/>
      <c r="B14" s="31" t="s">
        <v>154</v>
      </c>
      <c r="C14" s="31" t="s">
        <v>3</v>
      </c>
      <c r="D14" s="139">
        <v>694467.4</v>
      </c>
      <c r="E14" s="139">
        <v>978544.38</v>
      </c>
      <c r="F14" s="139">
        <v>800684.06</v>
      </c>
    </row>
    <row r="15" spans="1:13">
      <c r="A15" s="24"/>
      <c r="B15" s="31" t="s">
        <v>163</v>
      </c>
      <c r="C15" s="31" t="s">
        <v>3</v>
      </c>
      <c r="D15" s="139">
        <v>12235.555200000001</v>
      </c>
      <c r="E15" s="139">
        <v>67002.381600000008</v>
      </c>
      <c r="F15" s="139">
        <v>165007.70000000001</v>
      </c>
    </row>
    <row r="16" spans="1:13">
      <c r="A16" s="24"/>
      <c r="B16" s="31" t="s">
        <v>155</v>
      </c>
      <c r="C16" s="31" t="s">
        <v>3</v>
      </c>
      <c r="D16" s="139">
        <v>0</v>
      </c>
      <c r="E16" s="139">
        <v>0</v>
      </c>
      <c r="F16" s="139">
        <v>0</v>
      </c>
    </row>
    <row r="17" spans="1:8">
      <c r="A17" s="24"/>
      <c r="B17" s="41" t="s">
        <v>156</v>
      </c>
      <c r="C17" s="31" t="s">
        <v>3</v>
      </c>
      <c r="D17" s="139">
        <v>0</v>
      </c>
      <c r="E17" s="139">
        <v>0</v>
      </c>
      <c r="F17" s="139">
        <v>0</v>
      </c>
    </row>
    <row r="18" spans="1:8">
      <c r="A18" s="24"/>
      <c r="B18" s="31" t="s">
        <v>157</v>
      </c>
      <c r="C18" s="31" t="s">
        <v>3</v>
      </c>
      <c r="D18" s="156">
        <f t="shared" ref="D18:F18" si="0">SUM(D12:D17)</f>
        <v>12798191.519240648</v>
      </c>
      <c r="E18" s="156">
        <f t="shared" si="0"/>
        <v>10143704.224806601</v>
      </c>
      <c r="F18" s="156">
        <f t="shared" si="0"/>
        <v>2943002.9552000007</v>
      </c>
    </row>
    <row r="19" spans="1:8">
      <c r="A19" s="24"/>
      <c r="B19" s="31"/>
      <c r="C19" s="31"/>
      <c r="D19" s="81"/>
      <c r="E19" s="81"/>
      <c r="F19" s="81"/>
    </row>
    <row r="20" spans="1:8">
      <c r="A20" s="24"/>
      <c r="B20" s="36" t="s">
        <v>157</v>
      </c>
      <c r="C20" s="31" t="s">
        <v>3</v>
      </c>
      <c r="D20" s="157">
        <f t="shared" ref="D20:F20" si="1">D18</f>
        <v>12798191.519240648</v>
      </c>
      <c r="E20" s="157">
        <f t="shared" si="1"/>
        <v>10143704.224806601</v>
      </c>
      <c r="F20" s="157">
        <f t="shared" si="1"/>
        <v>2943002.9552000007</v>
      </c>
    </row>
    <row r="21" spans="1:8">
      <c r="A21" s="24"/>
      <c r="B21" s="36" t="s">
        <v>244</v>
      </c>
      <c r="C21" s="31" t="s">
        <v>3</v>
      </c>
      <c r="D21" s="156">
        <f>D9-D20</f>
        <v>29560321.117869653</v>
      </c>
      <c r="E21" s="156">
        <f t="shared" ref="E21:F21" si="2">E9-E20</f>
        <v>30302526.325381704</v>
      </c>
      <c r="F21" s="156">
        <f t="shared" si="2"/>
        <v>53957490.813903302</v>
      </c>
    </row>
    <row r="22" spans="1:8">
      <c r="A22" s="24"/>
      <c r="D22" s="95"/>
      <c r="E22" s="95"/>
      <c r="F22" s="95"/>
    </row>
    <row r="23" spans="1:8">
      <c r="A23" s="24"/>
      <c r="B23" s="6" t="s">
        <v>29</v>
      </c>
    </row>
    <row r="24" spans="1:8">
      <c r="A24" s="24"/>
      <c r="B24" s="4" t="s">
        <v>166</v>
      </c>
      <c r="C24" s="31" t="s">
        <v>3</v>
      </c>
      <c r="D24" s="39"/>
      <c r="E24" s="82"/>
      <c r="F24" s="140">
        <v>47338243.009999998</v>
      </c>
      <c r="G24" s="37"/>
      <c r="H24" s="41" t="s">
        <v>230</v>
      </c>
    </row>
    <row r="25" spans="1:8">
      <c r="A25" s="24"/>
      <c r="B25" s="142" t="s">
        <v>84</v>
      </c>
      <c r="C25" s="41" t="s">
        <v>3</v>
      </c>
      <c r="D25" s="39"/>
      <c r="E25" s="39"/>
      <c r="F25" s="139">
        <v>4901018.62</v>
      </c>
      <c r="G25" s="149"/>
    </row>
    <row r="27" spans="1:8" s="98" customFormat="1" ht="12.75">
      <c r="B27" s="98" t="s">
        <v>14</v>
      </c>
    </row>
    <row r="29" spans="1:8" ht="12" customHeight="1">
      <c r="A29" s="24"/>
      <c r="B29" s="36" t="s">
        <v>19</v>
      </c>
    </row>
    <row r="30" spans="1:8" s="31" customFormat="1">
      <c r="B30" s="31" t="s">
        <v>87</v>
      </c>
      <c r="C30" s="31" t="s">
        <v>3</v>
      </c>
      <c r="D30" s="139">
        <v>98513456.805742726</v>
      </c>
      <c r="E30" s="139">
        <v>91787285.718226999</v>
      </c>
      <c r="F30" s="139">
        <v>107599543.12609699</v>
      </c>
      <c r="G30" s="37"/>
      <c r="H30" s="41" t="s">
        <v>232</v>
      </c>
    </row>
    <row r="31" spans="1:8" s="31" customFormat="1">
      <c r="B31" s="31" t="s">
        <v>88</v>
      </c>
      <c r="C31" s="31" t="s">
        <v>3</v>
      </c>
      <c r="D31" s="158"/>
      <c r="E31" s="139">
        <v>25590000</v>
      </c>
      <c r="F31" s="139">
        <v>14113737.74</v>
      </c>
      <c r="G31" s="37"/>
    </row>
    <row r="32" spans="1:8" s="31" customFormat="1">
      <c r="B32" s="31" t="s">
        <v>159</v>
      </c>
      <c r="C32" s="31" t="s">
        <v>3</v>
      </c>
      <c r="D32" s="156">
        <f>D30-D31</f>
        <v>98513456.805742726</v>
      </c>
      <c r="E32" s="156">
        <f t="shared" ref="E32:F32" si="3">E30-E31</f>
        <v>66197285.718226999</v>
      </c>
      <c r="F32" s="156">
        <f t="shared" si="3"/>
        <v>93485805.386096999</v>
      </c>
      <c r="G32" s="37"/>
    </row>
    <row r="34" spans="1:8">
      <c r="B34" s="141" t="s">
        <v>161</v>
      </c>
      <c r="C34" s="142"/>
      <c r="D34" s="82"/>
      <c r="E34" s="82"/>
      <c r="F34" s="82"/>
    </row>
    <row r="35" spans="1:8">
      <c r="B35" s="4" t="s">
        <v>140</v>
      </c>
      <c r="C35" s="4" t="s">
        <v>3</v>
      </c>
      <c r="D35" s="139">
        <v>9053898.6121010967</v>
      </c>
      <c r="E35" s="139">
        <v>6799433.9147820426</v>
      </c>
      <c r="F35" s="139">
        <v>7010466.9648000021</v>
      </c>
      <c r="H35" s="24" t="s">
        <v>231</v>
      </c>
    </row>
    <row r="36" spans="1:8">
      <c r="B36" s="4" t="s">
        <v>153</v>
      </c>
      <c r="C36" s="4" t="s">
        <v>3</v>
      </c>
      <c r="D36" s="139">
        <v>0</v>
      </c>
      <c r="E36" s="139">
        <v>0</v>
      </c>
      <c r="F36" s="139">
        <v>0</v>
      </c>
    </row>
    <row r="37" spans="1:8">
      <c r="B37" s="4" t="s">
        <v>162</v>
      </c>
      <c r="C37" s="4" t="s">
        <v>3</v>
      </c>
      <c r="D37" s="139">
        <v>2462202.6</v>
      </c>
      <c r="E37" s="139">
        <v>3469384.62</v>
      </c>
      <c r="F37" s="139">
        <v>2838788.94</v>
      </c>
    </row>
    <row r="38" spans="1:8">
      <c r="B38" s="4" t="s">
        <v>163</v>
      </c>
      <c r="C38" s="4" t="s">
        <v>3</v>
      </c>
      <c r="D38" s="139">
        <v>43380.604800000001</v>
      </c>
      <c r="E38" s="139">
        <v>237553.89840000003</v>
      </c>
      <c r="F38" s="139">
        <v>585027.30000000005</v>
      </c>
    </row>
    <row r="39" spans="1:8">
      <c r="B39" s="4" t="s">
        <v>155</v>
      </c>
      <c r="C39" s="4" t="s">
        <v>3</v>
      </c>
      <c r="D39" s="139">
        <v>0</v>
      </c>
      <c r="E39" s="139">
        <v>0</v>
      </c>
      <c r="F39" s="139">
        <v>0</v>
      </c>
    </row>
    <row r="40" spans="1:8">
      <c r="B40" s="142" t="s">
        <v>156</v>
      </c>
      <c r="C40" s="4" t="s">
        <v>3</v>
      </c>
      <c r="D40" s="139">
        <v>0</v>
      </c>
      <c r="E40" s="139">
        <v>0</v>
      </c>
      <c r="F40" s="139">
        <v>0</v>
      </c>
    </row>
    <row r="41" spans="1:8">
      <c r="B41" s="4" t="s">
        <v>164</v>
      </c>
      <c r="C41" s="4" t="s">
        <v>3</v>
      </c>
      <c r="D41" s="156">
        <f t="shared" ref="D41:F41" si="4">SUM(D35:D40)</f>
        <v>11559481.816901097</v>
      </c>
      <c r="E41" s="156">
        <f t="shared" si="4"/>
        <v>10506372.433182042</v>
      </c>
      <c r="F41" s="156">
        <f t="shared" si="4"/>
        <v>10434283.204800002</v>
      </c>
    </row>
    <row r="43" spans="1:8">
      <c r="B43" s="6" t="s">
        <v>164</v>
      </c>
      <c r="C43" s="4" t="s">
        <v>3</v>
      </c>
      <c r="D43" s="157">
        <f>D41</f>
        <v>11559481.816901097</v>
      </c>
      <c r="E43" s="157">
        <f t="shared" ref="E43:F43" si="5">E41</f>
        <v>10506372.433182042</v>
      </c>
      <c r="F43" s="157">
        <f t="shared" si="5"/>
        <v>10434283.204800002</v>
      </c>
    </row>
    <row r="44" spans="1:8">
      <c r="B44" s="6" t="s">
        <v>165</v>
      </c>
      <c r="C44" s="4" t="s">
        <v>3</v>
      </c>
      <c r="D44" s="94">
        <f>D32-D43</f>
        <v>86953974.988841623</v>
      </c>
      <c r="E44" s="94">
        <f t="shared" ref="E44:F44" si="6">E32-E43</f>
        <v>55690913.285044953</v>
      </c>
      <c r="F44" s="94">
        <f t="shared" si="6"/>
        <v>83051522.181297004</v>
      </c>
    </row>
    <row r="46" spans="1:8">
      <c r="A46" s="24"/>
      <c r="B46" s="6" t="s">
        <v>56</v>
      </c>
    </row>
    <row r="47" spans="1:8">
      <c r="A47" s="24"/>
      <c r="B47" s="4" t="s">
        <v>167</v>
      </c>
      <c r="C47" s="4" t="s">
        <v>3</v>
      </c>
      <c r="D47" s="23"/>
      <c r="E47" s="23"/>
      <c r="F47" s="140">
        <v>25610093.009999983</v>
      </c>
      <c r="H47" s="41" t="s">
        <v>232</v>
      </c>
    </row>
  </sheetData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tabColor rgb="FFCCFFCC"/>
  </sheetPr>
  <dimension ref="A1:J62"/>
  <sheetViews>
    <sheetView showGridLines="0" zoomScale="110" zoomScaleNormal="110" zoomScaleSheetLayoutView="100" workbookViewId="0"/>
  </sheetViews>
  <sheetFormatPr defaultRowHeight="11.25"/>
  <cols>
    <col min="1" max="1" width="3.7109375" style="7" customWidth="1"/>
    <col min="2" max="2" width="81.140625" style="7" bestFit="1" customWidth="1"/>
    <col min="3" max="3" width="4.28515625" style="7" customWidth="1"/>
    <col min="4" max="4" width="11" style="7" customWidth="1"/>
    <col min="5" max="5" width="9.85546875" style="7" customWidth="1"/>
    <col min="6" max="6" width="10.140625" style="7" customWidth="1"/>
    <col min="7" max="7" width="5.28515625" style="7" customWidth="1"/>
    <col min="8" max="8" width="11.42578125" style="7" customWidth="1"/>
    <col min="9" max="10" width="9.5703125" style="7" bestFit="1" customWidth="1"/>
    <col min="11" max="16384" width="9.140625" style="7"/>
  </cols>
  <sheetData>
    <row r="1" spans="2:10" ht="12" customHeight="1"/>
    <row r="2" spans="2:10" s="97" customFormat="1" ht="15" customHeight="1">
      <c r="B2" s="97" t="s">
        <v>31</v>
      </c>
    </row>
    <row r="4" spans="2:10" s="98" customFormat="1" ht="12.75">
      <c r="B4" s="98" t="s">
        <v>32</v>
      </c>
    </row>
    <row r="6" spans="2:10">
      <c r="B6" s="26" t="s">
        <v>49</v>
      </c>
    </row>
    <row r="7" spans="2:10">
      <c r="B7" s="7" t="s">
        <v>33</v>
      </c>
      <c r="D7" s="7" t="s">
        <v>90</v>
      </c>
      <c r="E7" s="7" t="s">
        <v>47</v>
      </c>
      <c r="F7" s="7" t="s">
        <v>48</v>
      </c>
    </row>
    <row r="8" spans="2:10">
      <c r="B8" s="68" t="s">
        <v>36</v>
      </c>
      <c r="C8" s="7" t="s">
        <v>3</v>
      </c>
      <c r="D8" s="101">
        <v>12478.96</v>
      </c>
      <c r="E8" s="44">
        <v>44</v>
      </c>
      <c r="F8" s="44">
        <v>45</v>
      </c>
      <c r="H8" s="7" t="s">
        <v>121</v>
      </c>
    </row>
    <row r="9" spans="2:10">
      <c r="B9" s="66" t="s">
        <v>37</v>
      </c>
      <c r="C9" s="7" t="s">
        <v>3</v>
      </c>
      <c r="D9" s="101">
        <v>4.62</v>
      </c>
      <c r="E9" s="44">
        <v>1100561</v>
      </c>
      <c r="F9" s="44">
        <v>1270102</v>
      </c>
      <c r="J9" s="31"/>
    </row>
    <row r="10" spans="2:10">
      <c r="B10" s="66" t="s">
        <v>38</v>
      </c>
      <c r="C10" s="7" t="s">
        <v>3</v>
      </c>
      <c r="D10" s="101">
        <v>0.47</v>
      </c>
      <c r="E10" s="44">
        <v>10786802</v>
      </c>
      <c r="F10" s="44">
        <v>11315122</v>
      </c>
      <c r="J10" s="31"/>
    </row>
    <row r="11" spans="2:10">
      <c r="B11" s="7" t="s">
        <v>34</v>
      </c>
      <c r="D11" s="67"/>
    </row>
    <row r="12" spans="2:10">
      <c r="B12" s="66" t="s">
        <v>37</v>
      </c>
      <c r="C12" s="7" t="s">
        <v>3</v>
      </c>
      <c r="D12" s="101">
        <v>2.31</v>
      </c>
      <c r="E12" s="44">
        <v>43291</v>
      </c>
      <c r="F12" s="44">
        <v>59727</v>
      </c>
      <c r="J12" s="31"/>
    </row>
    <row r="13" spans="2:10">
      <c r="B13" s="66" t="s">
        <v>39</v>
      </c>
      <c r="C13" s="7" t="s">
        <v>3</v>
      </c>
      <c r="D13" s="101">
        <v>0.15</v>
      </c>
      <c r="E13" s="44">
        <v>358667</v>
      </c>
      <c r="F13" s="44">
        <v>723044</v>
      </c>
      <c r="J13" s="31"/>
    </row>
    <row r="14" spans="2:10">
      <c r="B14" s="7" t="s">
        <v>35</v>
      </c>
      <c r="D14" s="67"/>
    </row>
    <row r="15" spans="2:10">
      <c r="B15" s="66" t="s">
        <v>36</v>
      </c>
      <c r="C15" s="7" t="s">
        <v>3</v>
      </c>
      <c r="D15" s="101">
        <v>2760</v>
      </c>
      <c r="E15" s="44">
        <v>146</v>
      </c>
      <c r="F15" s="44">
        <v>144</v>
      </c>
    </row>
    <row r="16" spans="2:10">
      <c r="B16" s="66" t="s">
        <v>37</v>
      </c>
      <c r="C16" s="7" t="s">
        <v>3</v>
      </c>
      <c r="D16" s="101">
        <v>12.99</v>
      </c>
      <c r="E16" s="44">
        <v>14258456</v>
      </c>
      <c r="F16" s="44">
        <v>14304080</v>
      </c>
      <c r="J16" s="31"/>
    </row>
    <row r="17" spans="1:10">
      <c r="B17" s="66" t="s">
        <v>38</v>
      </c>
      <c r="C17" s="7" t="s">
        <v>3</v>
      </c>
      <c r="D17" s="101">
        <v>1.26</v>
      </c>
      <c r="E17" s="44">
        <v>147430301</v>
      </c>
      <c r="F17" s="44">
        <v>153115871</v>
      </c>
      <c r="J17" s="31"/>
    </row>
    <row r="18" spans="1:10">
      <c r="B18" s="7" t="s">
        <v>40</v>
      </c>
      <c r="D18" s="67"/>
    </row>
    <row r="19" spans="1:10">
      <c r="B19" s="7" t="s">
        <v>37</v>
      </c>
      <c r="C19" s="7" t="s">
        <v>3</v>
      </c>
      <c r="D19" s="101">
        <v>6.49</v>
      </c>
      <c r="E19" s="44">
        <v>238138</v>
      </c>
      <c r="F19" s="44">
        <v>461113</v>
      </c>
    </row>
    <row r="20" spans="1:10">
      <c r="B20" s="7" t="s">
        <v>41</v>
      </c>
      <c r="C20" s="7" t="s">
        <v>3</v>
      </c>
      <c r="D20" s="101">
        <v>0.44</v>
      </c>
      <c r="E20" s="44">
        <v>2031772</v>
      </c>
      <c r="F20" s="44">
        <v>5186816</v>
      </c>
    </row>
    <row r="22" spans="1:10" s="98" customFormat="1" ht="12.75">
      <c r="B22" s="98" t="s">
        <v>51</v>
      </c>
    </row>
    <row r="23" spans="1:10">
      <c r="H23" s="69"/>
    </row>
    <row r="24" spans="1:10">
      <c r="B24" s="70" t="s">
        <v>52</v>
      </c>
      <c r="F24" s="28"/>
      <c r="H24" s="28"/>
      <c r="I24" s="28"/>
    </row>
    <row r="25" spans="1:10">
      <c r="B25" s="102" t="s">
        <v>57</v>
      </c>
      <c r="C25" s="7" t="s">
        <v>3</v>
      </c>
      <c r="D25" s="30">
        <v>-20847521.488109265</v>
      </c>
      <c r="H25" s="45"/>
    </row>
    <row r="26" spans="1:10">
      <c r="B26" s="102" t="s">
        <v>115</v>
      </c>
      <c r="C26" s="7" t="s">
        <v>3</v>
      </c>
      <c r="D26" s="30">
        <v>-26520584.75547104</v>
      </c>
      <c r="H26" s="45"/>
    </row>
    <row r="27" spans="1:10">
      <c r="A27" s="28"/>
      <c r="B27" s="102" t="s">
        <v>105</v>
      </c>
      <c r="C27" s="7" t="s">
        <v>3</v>
      </c>
      <c r="D27" s="30">
        <v>-582616</v>
      </c>
      <c r="H27" s="45"/>
    </row>
    <row r="28" spans="1:10">
      <c r="A28" s="28"/>
      <c r="B28" s="102" t="s">
        <v>106</v>
      </c>
      <c r="C28" s="7" t="s">
        <v>3</v>
      </c>
      <c r="D28" s="30">
        <v>-6672180.4375975598</v>
      </c>
      <c r="H28" s="45"/>
    </row>
    <row r="29" spans="1:10">
      <c r="A29" s="28"/>
      <c r="B29" s="102" t="s">
        <v>107</v>
      </c>
      <c r="C29" s="7" t="s">
        <v>3</v>
      </c>
      <c r="D29" s="32">
        <f>SUM(D25:D28)</f>
        <v>-54622902.681177862</v>
      </c>
      <c r="H29" s="45"/>
    </row>
    <row r="30" spans="1:10">
      <c r="A30" s="28"/>
      <c r="B30" s="102" t="s">
        <v>108</v>
      </c>
      <c r="C30" s="7" t="s">
        <v>3</v>
      </c>
      <c r="D30" s="30">
        <v>26687050.262164898</v>
      </c>
      <c r="H30" s="45"/>
    </row>
    <row r="31" spans="1:10">
      <c r="A31" s="28"/>
      <c r="B31" s="102" t="s">
        <v>109</v>
      </c>
      <c r="C31" s="7" t="s">
        <v>3</v>
      </c>
      <c r="D31" s="32">
        <f>D29+D30</f>
        <v>-27935852.419012964</v>
      </c>
    </row>
    <row r="32" spans="1:10">
      <c r="B32" s="102"/>
      <c r="H32" s="45"/>
    </row>
    <row r="33" spans="1:9">
      <c r="A33" s="28"/>
      <c r="B33" s="102" t="s">
        <v>60</v>
      </c>
      <c r="C33" s="7" t="s">
        <v>3</v>
      </c>
      <c r="D33" s="30">
        <v>11566924.360919999</v>
      </c>
    </row>
    <row r="34" spans="1:9">
      <c r="A34" s="28"/>
      <c r="B34" s="102" t="s">
        <v>61</v>
      </c>
      <c r="C34" s="7" t="s">
        <v>3</v>
      </c>
      <c r="D34" s="30">
        <v>8128880.9963217303</v>
      </c>
    </row>
    <row r="35" spans="1:9">
      <c r="A35" s="28"/>
      <c r="B35" s="102" t="s">
        <v>62</v>
      </c>
      <c r="C35" s="7" t="s">
        <v>3</v>
      </c>
      <c r="D35" s="32">
        <f>D33-D34</f>
        <v>3438043.3645982686</v>
      </c>
      <c r="H35" s="45"/>
    </row>
    <row r="36" spans="1:9">
      <c r="B36" s="75"/>
      <c r="H36" s="45"/>
    </row>
    <row r="37" spans="1:9" s="98" customFormat="1" ht="12.75">
      <c r="B37" s="98" t="s">
        <v>42</v>
      </c>
    </row>
    <row r="38" spans="1:9">
      <c r="A38" s="28"/>
      <c r="B38" s="71"/>
      <c r="H38" s="45"/>
    </row>
    <row r="39" spans="1:9">
      <c r="A39" s="28"/>
      <c r="B39" s="70" t="s">
        <v>53</v>
      </c>
      <c r="C39" s="7" t="s">
        <v>3</v>
      </c>
      <c r="D39" s="32">
        <f>D29+D35</f>
        <v>-51184859.316579595</v>
      </c>
      <c r="H39" s="45"/>
    </row>
    <row r="40" spans="1:9">
      <c r="A40" s="28"/>
    </row>
    <row r="41" spans="1:9">
      <c r="A41" s="28"/>
      <c r="B41" s="70" t="s">
        <v>43</v>
      </c>
      <c r="C41" s="7" t="s">
        <v>3</v>
      </c>
      <c r="D41" s="32">
        <f>SUMPRODUCT(D8:D20,F8:F20)-SUMPRODUCT(D8:D20,E8:E20)</f>
        <v>11722973.560000062</v>
      </c>
      <c r="G41" s="84" t="s">
        <v>18</v>
      </c>
      <c r="H41" s="45"/>
      <c r="I41" s="31"/>
    </row>
    <row r="42" spans="1:9">
      <c r="A42" s="28"/>
      <c r="G42" s="28"/>
    </row>
    <row r="43" spans="1:9">
      <c r="A43" s="28"/>
      <c r="B43" s="7" t="s">
        <v>44</v>
      </c>
      <c r="D43" s="72">
        <f>1-(D39+D41)/SUMPRODUCT(D8:D20,F8:F20)</f>
        <v>1.0995501137030688</v>
      </c>
      <c r="G43" s="84" t="s">
        <v>118</v>
      </c>
    </row>
    <row r="44" spans="1:9">
      <c r="A44" s="28"/>
      <c r="G44" s="28"/>
    </row>
    <row r="45" spans="1:9">
      <c r="A45" s="28"/>
      <c r="B45" s="26" t="s">
        <v>54</v>
      </c>
      <c r="G45" s="84" t="s">
        <v>117</v>
      </c>
    </row>
    <row r="46" spans="1:9">
      <c r="A46" s="28"/>
      <c r="B46" s="7" t="s">
        <v>33</v>
      </c>
      <c r="G46" s="28"/>
    </row>
    <row r="47" spans="1:9">
      <c r="A47" s="28"/>
      <c r="B47" s="68" t="s">
        <v>36</v>
      </c>
      <c r="C47" s="7" t="s">
        <v>3</v>
      </c>
      <c r="D47" s="72">
        <f>D8*$D$43</f>
        <v>13721.241886896047</v>
      </c>
      <c r="G47" s="28"/>
    </row>
    <row r="48" spans="1:9">
      <c r="A48" s="28"/>
      <c r="B48" s="66" t="s">
        <v>37</v>
      </c>
      <c r="C48" s="7" t="s">
        <v>3</v>
      </c>
      <c r="D48" s="72">
        <f>D9*$D$43</f>
        <v>5.079921525308178</v>
      </c>
      <c r="G48" s="28"/>
    </row>
    <row r="49" spans="1:9">
      <c r="A49" s="28"/>
      <c r="B49" s="66" t="s">
        <v>38</v>
      </c>
      <c r="C49" s="7" t="s">
        <v>3</v>
      </c>
      <c r="D49" s="72">
        <f>D10*$D$43</f>
        <v>0.51678855344044228</v>
      </c>
      <c r="G49" s="28"/>
    </row>
    <row r="50" spans="1:9">
      <c r="A50" s="28"/>
      <c r="B50" s="7" t="s">
        <v>34</v>
      </c>
      <c r="G50" s="28"/>
    </row>
    <row r="51" spans="1:9">
      <c r="A51" s="28"/>
      <c r="B51" s="66" t="s">
        <v>37</v>
      </c>
      <c r="C51" s="7" t="s">
        <v>3</v>
      </c>
      <c r="D51" s="72">
        <f>D12*$D$43</f>
        <v>2.539960762654089</v>
      </c>
      <c r="G51" s="28"/>
    </row>
    <row r="52" spans="1:9">
      <c r="A52" s="28"/>
      <c r="B52" s="66" t="s">
        <v>39</v>
      </c>
      <c r="C52" s="7" t="s">
        <v>3</v>
      </c>
      <c r="D52" s="72">
        <f>D13*$D$43</f>
        <v>0.1649325170554603</v>
      </c>
      <c r="G52" s="28"/>
    </row>
    <row r="53" spans="1:9">
      <c r="A53" s="28"/>
      <c r="B53" s="7" t="s">
        <v>35</v>
      </c>
      <c r="G53" s="28"/>
    </row>
    <row r="54" spans="1:9">
      <c r="A54" s="28"/>
      <c r="B54" s="66" t="s">
        <v>36</v>
      </c>
      <c r="C54" s="7" t="s">
        <v>3</v>
      </c>
      <c r="D54" s="72">
        <f>D15*$D$43</f>
        <v>3034.75831382047</v>
      </c>
      <c r="G54" s="28"/>
    </row>
    <row r="55" spans="1:9">
      <c r="A55" s="28"/>
      <c r="B55" s="66" t="s">
        <v>37</v>
      </c>
      <c r="C55" s="7" t="s">
        <v>3</v>
      </c>
      <c r="D55" s="72">
        <f>D16*$D$43</f>
        <v>14.283155977002863</v>
      </c>
      <c r="F55" s="31"/>
      <c r="G55" s="28"/>
    </row>
    <row r="56" spans="1:9">
      <c r="A56" s="28"/>
      <c r="B56" s="66" t="s">
        <v>38</v>
      </c>
      <c r="C56" s="7" t="s">
        <v>3</v>
      </c>
      <c r="D56" s="72">
        <f>D17*$D$43</f>
        <v>1.3854331432658666</v>
      </c>
      <c r="G56" s="28"/>
    </row>
    <row r="57" spans="1:9">
      <c r="A57" s="28"/>
      <c r="B57" s="7" t="s">
        <v>40</v>
      </c>
      <c r="G57" s="28"/>
    </row>
    <row r="58" spans="1:9">
      <c r="A58" s="28"/>
      <c r="B58" s="66" t="s">
        <v>37</v>
      </c>
      <c r="C58" s="7" t="s">
        <v>3</v>
      </c>
      <c r="D58" s="72">
        <f>D19*$D$43</f>
        <v>7.1360802379329167</v>
      </c>
      <c r="G58" s="28"/>
    </row>
    <row r="59" spans="1:9">
      <c r="A59" s="28"/>
      <c r="B59" s="66" t="s">
        <v>41</v>
      </c>
      <c r="C59" s="7" t="s">
        <v>3</v>
      </c>
      <c r="D59" s="72">
        <f>D20*$D$43</f>
        <v>0.48380205002935028</v>
      </c>
      <c r="G59" s="28"/>
    </row>
    <row r="60" spans="1:9">
      <c r="A60" s="28"/>
      <c r="D60" s="104"/>
      <c r="G60" s="28"/>
      <c r="I60" s="31"/>
    </row>
    <row r="61" spans="1:9">
      <c r="A61" s="28"/>
      <c r="B61" s="7" t="s">
        <v>46</v>
      </c>
      <c r="C61" s="7" t="s">
        <v>3</v>
      </c>
      <c r="D61" s="43">
        <f>SUMPRODUCT(D47:D59,F8:F20)</f>
        <v>435864102.57657951</v>
      </c>
      <c r="E61" s="31"/>
      <c r="G61" s="84" t="s">
        <v>119</v>
      </c>
      <c r="I61" s="31"/>
    </row>
    <row r="62" spans="1:9">
      <c r="D62" s="103"/>
    </row>
  </sheetData>
  <phoneticPr fontId="38" type="noConversion"/>
  <pageMargins left="0.75" right="0.75" top="1" bottom="1" header="0.5" footer="0.5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W151"/>
  <sheetViews>
    <sheetView showGridLines="0" zoomScale="110" zoomScaleNormal="110" zoomScaleSheetLayoutView="100" workbookViewId="0">
      <pane ySplit="3" topLeftCell="A4" activePane="bottomLeft" state="frozen"/>
      <selection activeCell="A4" sqref="A4"/>
      <selection pane="bottomLeft"/>
    </sheetView>
  </sheetViews>
  <sheetFormatPr defaultRowHeight="11.25" customHeight="1"/>
  <cols>
    <col min="1" max="1" width="3.7109375" style="28" customWidth="1"/>
    <col min="2" max="2" width="63" style="7" bestFit="1" customWidth="1"/>
    <col min="3" max="3" width="6.28515625" style="7" customWidth="1"/>
    <col min="4" max="4" width="5" style="7" bestFit="1" customWidth="1"/>
    <col min="5" max="8" width="10.7109375" style="7" customWidth="1"/>
    <col min="9" max="9" width="8" style="53" bestFit="1" customWidth="1"/>
    <col min="10" max="10" width="9.5703125" style="7" bestFit="1" customWidth="1"/>
    <col min="11" max="11" width="10.7109375" style="7" bestFit="1" customWidth="1"/>
    <col min="12" max="12" width="11.85546875" style="7" customWidth="1"/>
    <col min="13" max="14" width="13.42578125" style="7" customWidth="1"/>
    <col min="15" max="16384" width="9.140625" style="7"/>
  </cols>
  <sheetData>
    <row r="1" spans="1:12" ht="12" customHeight="1"/>
    <row r="2" spans="1:12" s="97" customFormat="1" ht="15" customHeight="1">
      <c r="B2" s="97" t="s">
        <v>114</v>
      </c>
      <c r="E2" s="97">
        <v>2010</v>
      </c>
      <c r="F2" s="97">
        <v>2011</v>
      </c>
      <c r="G2" s="97">
        <v>2012</v>
      </c>
      <c r="H2" s="97">
        <v>2013</v>
      </c>
    </row>
    <row r="3" spans="1:12" ht="11.25" customHeight="1">
      <c r="A3" s="53"/>
    </row>
    <row r="4" spans="1:12" s="98" customFormat="1" ht="12.75">
      <c r="B4" s="98" t="s">
        <v>98</v>
      </c>
    </row>
    <row r="6" spans="1:12" ht="11.25" customHeight="1">
      <c r="B6" s="26" t="s">
        <v>55</v>
      </c>
    </row>
    <row r="7" spans="1:12" ht="11.25" customHeight="1">
      <c r="B7" s="7" t="s">
        <v>77</v>
      </c>
      <c r="H7" s="129">
        <f>Parameters!G51</f>
        <v>1</v>
      </c>
    </row>
    <row r="8" spans="1:12" ht="11.25" customHeight="1">
      <c r="B8" s="88" t="s">
        <v>91</v>
      </c>
      <c r="C8" s="51">
        <f>Parameters!G53</f>
        <v>0.06</v>
      </c>
      <c r="J8" s="28"/>
      <c r="K8" s="28"/>
      <c r="L8" s="28"/>
    </row>
    <row r="9" spans="1:12" ht="11.25" customHeight="1">
      <c r="B9" s="29" t="s">
        <v>27</v>
      </c>
      <c r="C9" s="51">
        <f>Parameters!G55</f>
        <v>1.0999999999999999E-2</v>
      </c>
      <c r="J9" s="28"/>
      <c r="K9" s="28"/>
      <c r="L9" s="28"/>
    </row>
    <row r="10" spans="1:12" ht="11.25" customHeight="1">
      <c r="B10" s="29" t="s">
        <v>25</v>
      </c>
      <c r="C10" s="52">
        <f>Parameters!G56</f>
        <v>0.4</v>
      </c>
      <c r="J10" s="28"/>
      <c r="K10" s="28"/>
      <c r="L10" s="28"/>
    </row>
    <row r="11" spans="1:12" ht="11.25" customHeight="1">
      <c r="B11" s="4" t="s">
        <v>67</v>
      </c>
      <c r="C11" s="52">
        <f>Parameters!G57</f>
        <v>0.01</v>
      </c>
      <c r="J11" s="28"/>
      <c r="K11" s="28"/>
      <c r="L11" s="28"/>
    </row>
    <row r="12" spans="1:12" ht="11.25" customHeight="1">
      <c r="D12" s="53"/>
      <c r="E12" s="53"/>
      <c r="F12" s="53"/>
      <c r="G12" s="53"/>
      <c r="H12" s="53"/>
      <c r="J12" s="83"/>
      <c r="K12" s="83"/>
      <c r="L12" s="83"/>
    </row>
    <row r="13" spans="1:12" ht="11.25" customHeight="1">
      <c r="B13" s="7" t="s">
        <v>28</v>
      </c>
      <c r="D13" s="7" t="s">
        <v>15</v>
      </c>
      <c r="E13" s="54">
        <f>Parameters!O37</f>
        <v>1.0413899999999998</v>
      </c>
      <c r="F13" s="54">
        <f>Parameters!O38</f>
        <v>1.026</v>
      </c>
      <c r="G13" s="54">
        <f>Parameters!O39</f>
        <v>1</v>
      </c>
      <c r="H13" s="56"/>
      <c r="J13" s="28"/>
      <c r="K13" s="28"/>
      <c r="L13" s="28"/>
    </row>
    <row r="14" spans="1:12" ht="11.25" customHeight="1">
      <c r="B14" s="7" t="s">
        <v>50</v>
      </c>
      <c r="D14" s="7" t="s">
        <v>15</v>
      </c>
      <c r="E14" s="56"/>
      <c r="F14" s="56"/>
      <c r="G14" s="56"/>
      <c r="H14" s="54">
        <f>Parameters!P39</f>
        <v>1.0229999999999999</v>
      </c>
      <c r="J14" s="89"/>
      <c r="K14" s="89"/>
      <c r="L14" s="89"/>
    </row>
    <row r="15" spans="1:12" ht="11.25" customHeight="1">
      <c r="E15" s="155"/>
      <c r="F15" s="155"/>
      <c r="G15" s="155"/>
      <c r="H15" s="89"/>
      <c r="J15" s="89"/>
      <c r="K15" s="89"/>
      <c r="L15" s="89"/>
    </row>
    <row r="16" spans="1:12" s="42" customFormat="1" ht="11.25" customHeight="1">
      <c r="A16" s="73"/>
      <c r="I16" s="57"/>
    </row>
    <row r="17" spans="1:20" s="98" customFormat="1" ht="12.75">
      <c r="B17" s="98" t="s">
        <v>178</v>
      </c>
    </row>
    <row r="18" spans="1:20" s="42" customFormat="1" ht="11.25" customHeight="1">
      <c r="A18" s="28"/>
      <c r="B18" s="7"/>
      <c r="C18" s="7"/>
      <c r="D18" s="7"/>
      <c r="E18" s="7"/>
      <c r="F18" s="7"/>
      <c r="G18" s="7"/>
      <c r="H18" s="7"/>
      <c r="I18" s="53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s="42" customFormat="1" ht="11.25" customHeight="1">
      <c r="A19" s="28"/>
      <c r="B19" s="26" t="s">
        <v>168</v>
      </c>
      <c r="C19" s="7"/>
      <c r="D19" s="7"/>
      <c r="E19" s="7"/>
      <c r="F19" s="7"/>
      <c r="G19" s="7"/>
      <c r="H19" s="7"/>
      <c r="I19" s="5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s="42" customFormat="1" ht="11.25" customHeight="1">
      <c r="A20" s="28"/>
      <c r="B20" s="7" t="s">
        <v>169</v>
      </c>
      <c r="C20" s="7"/>
      <c r="D20" s="7" t="s">
        <v>3</v>
      </c>
      <c r="E20" s="7"/>
      <c r="F20" s="7"/>
      <c r="G20" s="119">
        <f>GAW!F11</f>
        <v>481672157.71049321</v>
      </c>
      <c r="H20" s="7"/>
      <c r="I20" s="53"/>
      <c r="J20" s="7"/>
      <c r="K20" s="7"/>
      <c r="L20" s="31"/>
      <c r="M20" s="7"/>
      <c r="N20" s="7"/>
      <c r="O20" s="7"/>
      <c r="P20" s="7"/>
      <c r="Q20" s="7"/>
      <c r="R20" s="7"/>
      <c r="S20" s="7"/>
      <c r="T20" s="7"/>
    </row>
    <row r="21" spans="1:20" s="42" customFormat="1" ht="11.25" customHeight="1">
      <c r="A21" s="28"/>
      <c r="B21" s="7" t="s">
        <v>170</v>
      </c>
      <c r="C21" s="7"/>
      <c r="D21" s="7" t="s">
        <v>3</v>
      </c>
      <c r="E21" s="7"/>
      <c r="F21" s="7"/>
      <c r="G21" s="119">
        <f>GAW!F19</f>
        <v>398231659.93784869</v>
      </c>
      <c r="H21" s="7"/>
      <c r="I21" s="53"/>
      <c r="J21" s="7"/>
      <c r="K21" s="7"/>
      <c r="L21" s="31"/>
      <c r="M21" s="7"/>
      <c r="N21" s="7"/>
      <c r="O21" s="7"/>
      <c r="P21" s="7"/>
      <c r="Q21" s="7"/>
      <c r="R21" s="7"/>
      <c r="S21" s="7"/>
      <c r="T21" s="7"/>
    </row>
    <row r="22" spans="1:20" s="42" customFormat="1" ht="11.25" customHeight="1">
      <c r="A22" s="28"/>
      <c r="B22" s="7" t="s">
        <v>171</v>
      </c>
      <c r="C22" s="7"/>
      <c r="D22" s="7" t="s">
        <v>3</v>
      </c>
      <c r="E22" s="7"/>
      <c r="F22" s="7"/>
      <c r="G22" s="87">
        <f>G20+G21</f>
        <v>879903817.64834189</v>
      </c>
      <c r="H22" s="7"/>
      <c r="I22" s="53"/>
      <c r="J22" s="7"/>
      <c r="K22" s="7"/>
      <c r="L22" s="31"/>
      <c r="M22" s="7"/>
      <c r="N22" s="7"/>
      <c r="O22" s="7"/>
      <c r="P22" s="7"/>
      <c r="Q22" s="7"/>
      <c r="R22" s="7"/>
      <c r="S22" s="7"/>
      <c r="T22" s="7"/>
    </row>
    <row r="23" spans="1:20" s="42" customFormat="1" ht="11.25" customHeight="1">
      <c r="A23" s="28"/>
      <c r="B23" s="7"/>
      <c r="C23" s="7"/>
      <c r="D23" s="7"/>
      <c r="E23" s="7"/>
      <c r="F23" s="7"/>
      <c r="G23" s="7"/>
      <c r="H23" s="7"/>
      <c r="I23" s="53"/>
      <c r="J23" s="7"/>
      <c r="K23" s="7"/>
      <c r="L23" s="31"/>
      <c r="M23" s="7"/>
      <c r="N23" s="7"/>
      <c r="O23" s="7"/>
      <c r="P23" s="7"/>
      <c r="Q23" s="7"/>
      <c r="R23" s="7"/>
      <c r="S23" s="7"/>
      <c r="T23" s="7"/>
    </row>
    <row r="24" spans="1:20" s="42" customFormat="1" ht="11.25" customHeight="1">
      <c r="A24" s="28"/>
      <c r="B24" s="26" t="s">
        <v>172</v>
      </c>
      <c r="C24" s="7"/>
      <c r="D24" s="7"/>
      <c r="E24" s="7"/>
      <c r="F24" s="7"/>
      <c r="G24" s="7"/>
      <c r="H24" s="7"/>
      <c r="I24" s="53"/>
      <c r="J24" s="7"/>
      <c r="K24" s="7"/>
      <c r="L24" s="31"/>
      <c r="M24" s="7"/>
      <c r="N24" s="7"/>
      <c r="O24" s="7"/>
      <c r="P24" s="7"/>
      <c r="Q24" s="7"/>
      <c r="R24" s="7"/>
      <c r="S24" s="7"/>
      <c r="T24" s="7"/>
    </row>
    <row r="25" spans="1:20" s="42" customFormat="1" ht="11.25" customHeight="1">
      <c r="A25" s="28"/>
      <c r="B25" s="7" t="s">
        <v>173</v>
      </c>
      <c r="C25" s="7"/>
      <c r="D25" s="7" t="s">
        <v>3</v>
      </c>
      <c r="E25" s="7"/>
      <c r="F25" s="7"/>
      <c r="G25" s="119">
        <f>GAW!F12</f>
        <v>37051704.439268701</v>
      </c>
      <c r="H25" s="7"/>
      <c r="I25" s="53"/>
      <c r="J25" s="7"/>
      <c r="K25" s="7"/>
      <c r="L25" s="31"/>
      <c r="M25" s="7"/>
      <c r="N25" s="7"/>
      <c r="O25" s="7"/>
      <c r="P25" s="7"/>
      <c r="Q25" s="7"/>
      <c r="R25" s="7"/>
      <c r="S25" s="7"/>
      <c r="T25" s="7"/>
    </row>
    <row r="26" spans="1:20" s="42" customFormat="1" ht="11.25" customHeight="1">
      <c r="A26" s="28"/>
      <c r="B26" s="7" t="s">
        <v>174</v>
      </c>
      <c r="C26" s="7"/>
      <c r="D26" s="7" t="s">
        <v>3</v>
      </c>
      <c r="E26" s="7"/>
      <c r="F26" s="7"/>
      <c r="G26" s="119">
        <f>GAW!F20</f>
        <v>12525336.402059</v>
      </c>
      <c r="H26" s="7"/>
      <c r="I26" s="53"/>
      <c r="J26" s="7"/>
      <c r="K26" s="7"/>
      <c r="L26" s="31"/>
      <c r="M26" s="7"/>
      <c r="N26" s="7"/>
      <c r="O26" s="7"/>
      <c r="P26" s="7"/>
      <c r="Q26" s="7"/>
      <c r="R26" s="7"/>
      <c r="S26" s="7"/>
      <c r="T26" s="7"/>
    </row>
    <row r="27" spans="1:20" s="42" customFormat="1" ht="11.25" customHeight="1">
      <c r="A27" s="28"/>
      <c r="B27" s="7" t="s">
        <v>175</v>
      </c>
      <c r="C27" s="7"/>
      <c r="D27" s="7" t="s">
        <v>3</v>
      </c>
      <c r="E27" s="7"/>
      <c r="F27" s="7"/>
      <c r="G27" s="87">
        <f>G25+G26</f>
        <v>49577040.841327697</v>
      </c>
      <c r="H27" s="7"/>
      <c r="I27" s="53"/>
      <c r="J27" s="7"/>
      <c r="K27" s="7"/>
      <c r="L27" s="31"/>
      <c r="M27" s="7"/>
      <c r="N27" s="7"/>
      <c r="O27" s="7"/>
      <c r="P27" s="7"/>
      <c r="Q27" s="7"/>
      <c r="R27" s="7"/>
      <c r="S27" s="7"/>
      <c r="T27" s="7"/>
    </row>
    <row r="28" spans="1:20" s="42" customFormat="1" ht="11.25" customHeight="1">
      <c r="A28" s="28"/>
      <c r="B28" s="7"/>
      <c r="C28" s="7"/>
      <c r="D28" s="7"/>
      <c r="E28" s="7"/>
      <c r="F28" s="7"/>
      <c r="G28" s="7"/>
      <c r="H28" s="7"/>
      <c r="I28" s="5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42" customFormat="1" ht="11.25" customHeight="1">
      <c r="A29" s="28"/>
      <c r="B29" s="26" t="s">
        <v>183</v>
      </c>
      <c r="C29" s="7"/>
      <c r="D29" s="7" t="s">
        <v>3</v>
      </c>
      <c r="E29" s="7"/>
      <c r="F29" s="7"/>
      <c r="G29" s="143"/>
      <c r="H29" s="87">
        <f>(G22*$C$8+G27)*($H$14*(1-$C$9)^1)</f>
        <v>103573825.20774618</v>
      </c>
      <c r="I29" s="5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s="42" customFormat="1" ht="11.25" customHeight="1">
      <c r="A30" s="28"/>
      <c r="B30" s="7"/>
      <c r="C30" s="7"/>
      <c r="D30" s="7"/>
      <c r="E30" s="7"/>
      <c r="F30" s="7"/>
      <c r="G30" s="7"/>
      <c r="H30" s="7"/>
      <c r="I30" s="5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42" customFormat="1" ht="11.25" customHeight="1">
      <c r="A31" s="28"/>
      <c r="B31" s="7" t="s">
        <v>158</v>
      </c>
      <c r="C31" s="7"/>
      <c r="D31" s="7" t="s">
        <v>3</v>
      </c>
      <c r="E31" s="119">
        <f>OPEX!D21</f>
        <v>29560321.117869653</v>
      </c>
      <c r="F31" s="119">
        <f>OPEX!E21</f>
        <v>30302526.325381704</v>
      </c>
      <c r="G31" s="119">
        <f>OPEX!F21</f>
        <v>53957490.813903302</v>
      </c>
      <c r="H31" s="7"/>
      <c r="I31" s="5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s="42" customFormat="1" ht="11.25" customHeight="1">
      <c r="A32" s="28"/>
      <c r="B32" s="26" t="s">
        <v>187</v>
      </c>
      <c r="C32" s="7"/>
      <c r="D32" s="7" t="s">
        <v>3</v>
      </c>
      <c r="E32" s="7"/>
      <c r="F32" s="7"/>
      <c r="G32" s="7"/>
      <c r="H32" s="87">
        <f>((E31*$E$13*(1-$C$9)^2+F31*$F$13*(1-$C$9)+G31*$G$13)/3)*($H$14*(1-$C$9)^1)</f>
        <v>38721645.956494242</v>
      </c>
      <c r="I32" s="5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s="42" customFormat="1" ht="11.25" customHeight="1">
      <c r="A33" s="28"/>
      <c r="B33" s="7"/>
      <c r="C33" s="7"/>
      <c r="D33" s="7"/>
      <c r="E33" s="7"/>
      <c r="F33" s="7"/>
      <c r="G33" s="7"/>
      <c r="H33" s="7"/>
      <c r="I33" s="5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s="42" customFormat="1" ht="11.25" customHeight="1">
      <c r="A34" s="28"/>
      <c r="B34" s="26" t="s">
        <v>176</v>
      </c>
      <c r="C34" s="7"/>
      <c r="D34" s="7" t="s">
        <v>3</v>
      </c>
      <c r="E34" s="7"/>
      <c r="F34" s="7"/>
      <c r="G34" s="7"/>
      <c r="H34" s="87">
        <f>H29+H32</f>
        <v>142295471.16424042</v>
      </c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s="42" customFormat="1" ht="11.25" customHeight="1">
      <c r="A35" s="28"/>
      <c r="B35" s="7"/>
      <c r="C35" s="7"/>
      <c r="D35" s="7"/>
      <c r="E35" s="7"/>
      <c r="F35" s="7"/>
      <c r="G35" s="7"/>
      <c r="H35" s="7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s="98" customFormat="1" ht="12.75">
      <c r="B36" s="98" t="s">
        <v>216</v>
      </c>
    </row>
    <row r="37" spans="1:20" s="42" customFormat="1" ht="11.25" customHeight="1">
      <c r="A37" s="28"/>
      <c r="B37" s="7"/>
      <c r="C37" s="7"/>
      <c r="D37" s="7"/>
      <c r="E37" s="7"/>
      <c r="F37" s="7"/>
      <c r="G37" s="7"/>
      <c r="H37" s="7"/>
      <c r="I37" s="5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s="42" customFormat="1" ht="11.25" customHeight="1">
      <c r="A38" s="28"/>
      <c r="B38" s="26" t="s">
        <v>245</v>
      </c>
      <c r="C38" s="7"/>
      <c r="D38" s="7"/>
      <c r="E38" s="7"/>
      <c r="F38" s="7"/>
      <c r="G38" s="7"/>
      <c r="H38" s="7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s="42" customFormat="1" ht="11.25" customHeight="1">
      <c r="A39" s="28"/>
      <c r="B39" s="7" t="s">
        <v>93</v>
      </c>
      <c r="C39" s="7"/>
      <c r="D39" s="7" t="s">
        <v>3</v>
      </c>
      <c r="E39" s="7"/>
      <c r="F39" s="7"/>
      <c r="G39" s="119">
        <f>GAW!F34</f>
        <v>575785451.91340816</v>
      </c>
      <c r="H39" s="7"/>
      <c r="I39" s="5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s="42" customFormat="1" ht="11.25" customHeight="1">
      <c r="A40" s="28"/>
      <c r="B40" s="7" t="s">
        <v>186</v>
      </c>
      <c r="C40" s="7"/>
      <c r="D40" s="7" t="s">
        <v>3</v>
      </c>
      <c r="E40" s="7"/>
      <c r="F40" s="7"/>
      <c r="G40" s="119">
        <f>GAW!F42</f>
        <v>99269745.406511933</v>
      </c>
      <c r="H40" s="7"/>
      <c r="I40" s="5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s="42" customFormat="1" ht="11.25" customHeight="1">
      <c r="A41" s="28"/>
      <c r="B41" s="7" t="s">
        <v>94</v>
      </c>
      <c r="C41" s="7"/>
      <c r="D41" s="7" t="s">
        <v>3</v>
      </c>
      <c r="E41" s="7"/>
      <c r="F41" s="7"/>
      <c r="G41" s="119">
        <f>GAW!F50</f>
        <v>292671035.14569229</v>
      </c>
      <c r="H41" s="7"/>
      <c r="I41" s="5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s="42" customFormat="1" ht="11.25" customHeight="1">
      <c r="A42" s="28"/>
      <c r="B42" s="7" t="s">
        <v>180</v>
      </c>
      <c r="C42" s="7"/>
      <c r="D42" s="7" t="s">
        <v>3</v>
      </c>
      <c r="E42" s="7"/>
      <c r="F42" s="7"/>
      <c r="G42" s="87">
        <f>G39+G40+G41</f>
        <v>967726232.46561241</v>
      </c>
      <c r="H42" s="7"/>
      <c r="I42" s="53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s="42" customFormat="1" ht="11.25" customHeight="1">
      <c r="A43" s="28"/>
      <c r="B43" s="7"/>
      <c r="C43" s="7"/>
      <c r="D43" s="7"/>
      <c r="E43" s="7"/>
      <c r="F43" s="7"/>
      <c r="G43" s="7"/>
      <c r="H43" s="7"/>
      <c r="I43" s="5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s="42" customFormat="1" ht="11.25" customHeight="1">
      <c r="A44" s="28"/>
      <c r="B44" s="26" t="s">
        <v>172</v>
      </c>
      <c r="C44" s="7"/>
      <c r="D44" s="7"/>
      <c r="E44" s="7"/>
      <c r="F44" s="7"/>
      <c r="G44" s="7"/>
      <c r="H44" s="7"/>
      <c r="I44" s="5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s="42" customFormat="1" ht="11.25" customHeight="1">
      <c r="A45" s="28"/>
      <c r="B45" s="7" t="s">
        <v>95</v>
      </c>
      <c r="C45" s="7"/>
      <c r="D45" s="7" t="s">
        <v>3</v>
      </c>
      <c r="E45" s="7"/>
      <c r="F45" s="7"/>
      <c r="G45" s="119">
        <f>GAW!F35</f>
        <v>36732203.336931914</v>
      </c>
      <c r="H45" s="7"/>
      <c r="I45" s="5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s="42" customFormat="1" ht="11.25" customHeight="1">
      <c r="A46" s="28"/>
      <c r="B46" s="7" t="s">
        <v>96</v>
      </c>
      <c r="C46" s="7"/>
      <c r="D46" s="7" t="s">
        <v>3</v>
      </c>
      <c r="E46" s="7"/>
      <c r="F46" s="7"/>
      <c r="G46" s="119">
        <f>GAW!F43</f>
        <v>3080162.7703216099</v>
      </c>
      <c r="H46" s="7"/>
      <c r="I46" s="5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s="42" customFormat="1" ht="11.25" customHeight="1">
      <c r="A47" s="28"/>
      <c r="B47" s="7" t="s">
        <v>97</v>
      </c>
      <c r="C47" s="7"/>
      <c r="D47" s="7" t="s">
        <v>3</v>
      </c>
      <c r="E47" s="7"/>
      <c r="F47" s="7"/>
      <c r="G47" s="119">
        <f>GAW!F51</f>
        <v>10149655.601941099</v>
      </c>
      <c r="H47" s="7"/>
      <c r="I47" s="5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s="42" customFormat="1" ht="11.25" customHeight="1">
      <c r="A48" s="28"/>
      <c r="B48" s="7" t="s">
        <v>181</v>
      </c>
      <c r="C48" s="7"/>
      <c r="D48" s="7" t="s">
        <v>3</v>
      </c>
      <c r="E48" s="7"/>
      <c r="F48" s="7"/>
      <c r="G48" s="87">
        <f>G45+G46+G47</f>
        <v>49962021.709194623</v>
      </c>
      <c r="H48" s="7"/>
      <c r="I48" s="5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3" s="42" customFormat="1" ht="11.25" customHeight="1">
      <c r="A49" s="28"/>
      <c r="B49" s="7"/>
      <c r="C49" s="7"/>
      <c r="D49" s="7"/>
      <c r="E49" s="7"/>
      <c r="F49" s="7"/>
      <c r="G49" s="7"/>
      <c r="H49" s="7"/>
      <c r="I49" s="5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3" s="42" customFormat="1" ht="11.25" customHeight="1">
      <c r="A50" s="28"/>
      <c r="B50" s="26" t="s">
        <v>182</v>
      </c>
      <c r="C50" s="7"/>
      <c r="D50" s="7" t="s">
        <v>3</v>
      </c>
      <c r="E50" s="7"/>
      <c r="F50" s="7"/>
      <c r="G50" s="7"/>
      <c r="H50" s="87">
        <f>(G42*$C$8+G48)*($H$14*(1-$C$9)^1)</f>
        <v>109294572.32931569</v>
      </c>
      <c r="I50" s="5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3" s="42" customFormat="1" ht="11.25" customHeight="1">
      <c r="A51" s="28"/>
      <c r="B51" s="7"/>
      <c r="C51" s="7"/>
      <c r="D51" s="7"/>
      <c r="E51" s="7"/>
      <c r="F51" s="7"/>
      <c r="G51" s="7"/>
      <c r="H51" s="7"/>
      <c r="I51" s="5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3" s="42" customFormat="1" ht="11.25" customHeight="1">
      <c r="A52" s="28"/>
      <c r="B52" s="7" t="s">
        <v>184</v>
      </c>
      <c r="C52" s="7"/>
      <c r="D52" s="7" t="s">
        <v>3</v>
      </c>
      <c r="E52" s="119">
        <f>OPEX!D44</f>
        <v>86953974.988841623</v>
      </c>
      <c r="F52" s="119">
        <f>OPEX!E44</f>
        <v>55690913.285044953</v>
      </c>
      <c r="G52" s="119">
        <f>OPEX!F44</f>
        <v>83051522.181297004</v>
      </c>
      <c r="H52" s="7"/>
      <c r="I52" s="5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3" s="42" customFormat="1" ht="11.25" customHeight="1">
      <c r="A53" s="28"/>
      <c r="B53" s="26" t="s">
        <v>187</v>
      </c>
      <c r="C53" s="7"/>
      <c r="D53" s="7" t="s">
        <v>3</v>
      </c>
      <c r="E53" s="7"/>
      <c r="F53" s="7"/>
      <c r="G53" s="7"/>
      <c r="H53" s="87">
        <f>((E52*$E$13*(1-$C$9)^2+F52*$F$13*(1-$C$9)+G52*$G$13)/3)*($H$14*(1-$C$9)^1)</f>
        <v>76937849.54134284</v>
      </c>
      <c r="I53" s="5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3" s="42" customFormat="1" ht="11.25" customHeight="1">
      <c r="A54" s="28"/>
      <c r="B54" s="7"/>
      <c r="C54" s="7"/>
      <c r="D54" s="7"/>
      <c r="E54" s="7"/>
      <c r="F54" s="7"/>
      <c r="G54" s="7"/>
      <c r="H54" s="7"/>
      <c r="I54" s="5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s="42" customFormat="1" ht="11.25" customHeight="1">
      <c r="A55" s="73"/>
      <c r="B55" s="26" t="s">
        <v>185</v>
      </c>
      <c r="C55" s="7"/>
      <c r="D55" s="7" t="s">
        <v>3</v>
      </c>
      <c r="E55" s="7"/>
      <c r="F55" s="7"/>
      <c r="G55" s="7"/>
      <c r="H55" s="87">
        <f>H50+H53</f>
        <v>186232421.87065852</v>
      </c>
      <c r="I55" s="53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s="42" customFormat="1" ht="11.25" customHeight="1">
      <c r="A56" s="73"/>
      <c r="B56" s="7"/>
      <c r="C56" s="7"/>
      <c r="D56" s="7"/>
      <c r="E56" s="7"/>
      <c r="F56" s="7"/>
      <c r="G56" s="7"/>
      <c r="H56" s="7"/>
      <c r="I56" s="5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s="98" customFormat="1" ht="12.75">
      <c r="B57" s="98" t="s">
        <v>188</v>
      </c>
    </row>
    <row r="58" spans="1:23" s="42" customFormat="1" ht="11.25" customHeight="1">
      <c r="A58" s="73"/>
      <c r="B58" s="7"/>
      <c r="C58" s="7"/>
      <c r="D58" s="7"/>
      <c r="E58" s="7"/>
      <c r="F58" s="7"/>
      <c r="G58" s="7"/>
      <c r="H58" s="7"/>
      <c r="I58" s="53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s="42" customFormat="1" ht="11.25" customHeight="1">
      <c r="A59" s="73"/>
      <c r="B59" s="26" t="s">
        <v>189</v>
      </c>
      <c r="C59" s="7"/>
      <c r="D59" s="7"/>
      <c r="E59" s="7"/>
      <c r="F59" s="7"/>
      <c r="G59" s="7"/>
      <c r="H59" s="7"/>
      <c r="I59" s="53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s="42" customFormat="1" ht="11.25" customHeight="1">
      <c r="A60" s="73"/>
      <c r="B60" s="7" t="s">
        <v>169</v>
      </c>
      <c r="C60" s="7"/>
      <c r="D60" s="7" t="s">
        <v>3</v>
      </c>
      <c r="E60" s="7"/>
      <c r="F60" s="7"/>
      <c r="G60" s="119">
        <f>GAW!F7</f>
        <v>58477743.792647012</v>
      </c>
      <c r="H60" s="7"/>
      <c r="I60" s="53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s="42" customFormat="1" ht="11.25" customHeight="1">
      <c r="A61" s="73"/>
      <c r="B61" s="7" t="s">
        <v>170</v>
      </c>
      <c r="C61" s="7"/>
      <c r="D61" s="7" t="s">
        <v>3</v>
      </c>
      <c r="E61" s="7"/>
      <c r="F61" s="7"/>
      <c r="G61" s="119">
        <f>GAW!F15</f>
        <v>127279894.44369283</v>
      </c>
      <c r="H61" s="7"/>
      <c r="I61" s="53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s="42" customFormat="1" ht="11.25" customHeight="1">
      <c r="A62" s="73"/>
      <c r="B62" s="7" t="s">
        <v>171</v>
      </c>
      <c r="C62" s="7"/>
      <c r="D62" s="7" t="s">
        <v>3</v>
      </c>
      <c r="E62" s="7"/>
      <c r="F62" s="7"/>
      <c r="G62" s="87">
        <f>G60+G61</f>
        <v>185757638.23633984</v>
      </c>
      <c r="H62" s="7"/>
      <c r="I62" s="53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s="42" customFormat="1" ht="11.25" customHeight="1">
      <c r="A63" s="73"/>
      <c r="B63" s="7"/>
      <c r="C63" s="7"/>
      <c r="D63" s="7"/>
      <c r="E63" s="7"/>
      <c r="F63" s="7"/>
      <c r="G63" s="7"/>
      <c r="H63" s="7"/>
      <c r="I63" s="5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s="42" customFormat="1" ht="11.25" customHeight="1">
      <c r="A64" s="73"/>
      <c r="B64" s="26" t="s">
        <v>190</v>
      </c>
      <c r="C64" s="7"/>
      <c r="D64" s="7"/>
      <c r="E64" s="7"/>
      <c r="F64" s="7"/>
      <c r="G64" s="7"/>
      <c r="H64" s="7"/>
      <c r="I64" s="5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s="42" customFormat="1" ht="11.25" customHeight="1">
      <c r="A65" s="73"/>
      <c r="B65" s="7" t="s">
        <v>173</v>
      </c>
      <c r="C65" s="7"/>
      <c r="D65" s="7" t="s">
        <v>3</v>
      </c>
      <c r="E65" s="7"/>
      <c r="F65" s="7"/>
      <c r="G65" s="119">
        <f>GAW!F8</f>
        <v>4498287.98404977</v>
      </c>
      <c r="H65" s="7"/>
      <c r="I65" s="53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s="42" customFormat="1" ht="11.25" customHeight="1">
      <c r="A66" s="73"/>
      <c r="B66" s="7" t="s">
        <v>174</v>
      </c>
      <c r="C66" s="7"/>
      <c r="D66" s="7" t="s">
        <v>3</v>
      </c>
      <c r="E66" s="7"/>
      <c r="F66" s="7"/>
      <c r="G66" s="119">
        <f>GAW!F16</f>
        <v>4579015.8875722503</v>
      </c>
      <c r="H66" s="7"/>
      <c r="I66" s="53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s="42" customFormat="1" ht="11.25" customHeight="1">
      <c r="A67" s="73"/>
      <c r="B67" s="7" t="s">
        <v>175</v>
      </c>
      <c r="C67" s="7"/>
      <c r="D67" s="7" t="s">
        <v>3</v>
      </c>
      <c r="E67" s="7"/>
      <c r="F67" s="7"/>
      <c r="G67" s="87">
        <f>G65+G66</f>
        <v>9077303.8716220204</v>
      </c>
      <c r="H67" s="7"/>
      <c r="I67" s="53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s="42" customFormat="1" ht="11.25" customHeight="1">
      <c r="A68" s="73"/>
      <c r="B68" s="7"/>
      <c r="C68" s="7"/>
      <c r="D68" s="7"/>
      <c r="E68" s="7"/>
      <c r="F68" s="7"/>
      <c r="G68" s="7"/>
      <c r="H68" s="7"/>
      <c r="I68" s="53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s="42" customFormat="1" ht="11.25" customHeight="1">
      <c r="A69" s="73"/>
      <c r="B69" s="26" t="s">
        <v>183</v>
      </c>
      <c r="C69" s="7"/>
      <c r="D69" s="7" t="s">
        <v>3</v>
      </c>
      <c r="E69" s="7"/>
      <c r="F69" s="7"/>
      <c r="G69" s="143"/>
      <c r="H69" s="87">
        <f>(G62*$C$8+G67)*($H$14*(1-$C$9)^1)</f>
        <v>20460318.952964094</v>
      </c>
      <c r="I69" s="5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s="42" customFormat="1" ht="11.25" customHeight="1">
      <c r="A70" s="73"/>
      <c r="B70" s="7"/>
      <c r="C70" s="7"/>
      <c r="D70" s="7"/>
      <c r="E70" s="7"/>
      <c r="F70" s="7"/>
      <c r="G70" s="7"/>
      <c r="H70" s="7"/>
      <c r="I70" s="53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s="42" customFormat="1" ht="11.25" customHeight="1">
      <c r="A71" s="73"/>
      <c r="B71" s="7" t="s">
        <v>158</v>
      </c>
      <c r="C71" s="7"/>
      <c r="D71" s="7" t="s">
        <v>3</v>
      </c>
      <c r="E71" s="119">
        <f>OPEX!D20</f>
        <v>12798191.519240648</v>
      </c>
      <c r="F71" s="119">
        <f>OPEX!E20</f>
        <v>10143704.224806601</v>
      </c>
      <c r="G71" s="119">
        <f>OPEX!F20</f>
        <v>2943002.9552000007</v>
      </c>
      <c r="H71" s="7"/>
      <c r="I71" s="5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s="42" customFormat="1" ht="11.25" customHeight="1">
      <c r="A72" s="73"/>
      <c r="B72" s="26" t="s">
        <v>191</v>
      </c>
      <c r="C72" s="7"/>
      <c r="D72" s="7" t="s">
        <v>3</v>
      </c>
      <c r="E72" s="7"/>
      <c r="F72" s="7"/>
      <c r="G72" s="7"/>
      <c r="H72" s="87">
        <f>((E71*$E$13*(1-$C$9)^2+F71*$F$13*(1-$C$9)+G71*$G$13)/3)*($H$14*(1-$C$9)^1)</f>
        <v>8860296.4467952847</v>
      </c>
      <c r="I72" s="53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s="42" customFormat="1" ht="11.25" customHeight="1">
      <c r="A73" s="73"/>
      <c r="B73" s="7"/>
      <c r="C73" s="7"/>
      <c r="D73" s="7"/>
      <c r="E73" s="7"/>
      <c r="F73" s="7"/>
      <c r="G73" s="7"/>
      <c r="H73" s="7"/>
      <c r="I73" s="5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s="42" customFormat="1" ht="11.25" customHeight="1">
      <c r="A74" s="73"/>
      <c r="B74" s="26" t="s">
        <v>176</v>
      </c>
      <c r="C74" s="7"/>
      <c r="D74" s="7" t="s">
        <v>3</v>
      </c>
      <c r="E74" s="7"/>
      <c r="F74" s="7"/>
      <c r="G74" s="7"/>
      <c r="H74" s="87">
        <f>H69+H72</f>
        <v>29320615.399759378</v>
      </c>
      <c r="I74" s="53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s="42" customFormat="1" ht="11.25" customHeight="1">
      <c r="A75" s="73"/>
      <c r="B75" s="26"/>
      <c r="C75" s="7"/>
      <c r="D75" s="7"/>
      <c r="E75" s="7"/>
      <c r="F75" s="7"/>
      <c r="G75" s="7"/>
      <c r="H75" s="144"/>
      <c r="I75" s="5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s="42" customFormat="1" ht="11.25" customHeight="1">
      <c r="A76" s="73"/>
      <c r="B76" s="145" t="s">
        <v>192</v>
      </c>
      <c r="C76" s="146"/>
      <c r="D76" s="146" t="s">
        <v>3</v>
      </c>
      <c r="E76" s="119">
        <f>GAW!D25</f>
        <v>1796717.12</v>
      </c>
      <c r="F76" s="119">
        <f>GAW!E25</f>
        <v>8552543.0833416823</v>
      </c>
      <c r="G76" s="119">
        <f>GAW!F25</f>
        <v>3063567.3751672315</v>
      </c>
      <c r="H76" s="144"/>
      <c r="I76" s="53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s="42" customFormat="1" ht="11.25" customHeight="1">
      <c r="A77" s="73"/>
      <c r="B77" s="145" t="s">
        <v>193</v>
      </c>
      <c r="C77" s="146"/>
      <c r="D77" s="146" t="s">
        <v>3</v>
      </c>
      <c r="E77" s="119">
        <f>GAW!D24</f>
        <v>10779.880000000003</v>
      </c>
      <c r="F77" s="119">
        <f>GAW!E24</f>
        <v>204722.76299900087</v>
      </c>
      <c r="G77" s="119">
        <f>GAW!F24</f>
        <v>307871.62919168413</v>
      </c>
      <c r="H77" s="144"/>
      <c r="I77" s="53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s="42" customFormat="1" ht="11.25" customHeight="1">
      <c r="A78" s="73"/>
      <c r="B78" s="145" t="s">
        <v>194</v>
      </c>
      <c r="C78" s="146"/>
      <c r="D78" s="146" t="s">
        <v>3</v>
      </c>
      <c r="E78" s="87">
        <f>E76*$C$8+E77</f>
        <v>118582.9072</v>
      </c>
      <c r="F78" s="87">
        <f t="shared" ref="F78:G78" si="0">F76*$C$8+F77</f>
        <v>717875.34799950174</v>
      </c>
      <c r="G78" s="87">
        <f t="shared" si="0"/>
        <v>491685.67170171801</v>
      </c>
      <c r="H78" s="144"/>
      <c r="I78" s="53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s="42" customFormat="1" ht="11.25" customHeight="1">
      <c r="A79" s="73"/>
      <c r="B79" s="147" t="s">
        <v>72</v>
      </c>
      <c r="C79" s="146"/>
      <c r="D79" s="146" t="s">
        <v>3</v>
      </c>
      <c r="E79" s="119">
        <f>GAW!D23</f>
        <v>1807497</v>
      </c>
      <c r="F79" s="119">
        <f>GAW!E23</f>
        <v>8757265.8463406824</v>
      </c>
      <c r="G79" s="119">
        <f>GAW!F23</f>
        <v>3371439.0043589156</v>
      </c>
      <c r="H79" s="144"/>
      <c r="I79" s="53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s="42" customFormat="1" ht="11.25" customHeight="1">
      <c r="A80" s="73"/>
      <c r="B80" s="145" t="s">
        <v>76</v>
      </c>
      <c r="C80" s="146"/>
      <c r="D80" s="146" t="s">
        <v>3</v>
      </c>
      <c r="E80" s="87">
        <f>$C$11*E79</f>
        <v>18074.97</v>
      </c>
      <c r="F80" s="87">
        <f t="shared" ref="F80:G80" si="1">$C$11*F79</f>
        <v>87572.658463406828</v>
      </c>
      <c r="G80" s="87">
        <f t="shared" si="1"/>
        <v>33714.390043589156</v>
      </c>
      <c r="H80" s="144"/>
      <c r="I80" s="53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s="42" customFormat="1" ht="11.25" customHeight="1">
      <c r="A81" s="73"/>
      <c r="B81" s="148" t="s">
        <v>195</v>
      </c>
      <c r="C81" s="146"/>
      <c r="D81" s="146" t="s">
        <v>3</v>
      </c>
      <c r="E81" s="7"/>
      <c r="F81" s="7"/>
      <c r="G81" s="7"/>
      <c r="H81" s="87">
        <f>(((E78+E80)*$E$13*(1-$C$9)^2+(F78+F80)*$F$13*(1-$C$9)+(G78+G80)*$G$13)/3)*($H$14*(1-$C$9)^1)</f>
        <v>499769.25455114205</v>
      </c>
      <c r="I81" s="53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1:23" s="42" customFormat="1" ht="11.25" customHeight="1">
      <c r="A82" s="73"/>
      <c r="B82" s="26"/>
      <c r="C82" s="7"/>
      <c r="D82" s="7"/>
      <c r="E82" s="7"/>
      <c r="F82" s="7"/>
      <c r="G82" s="7"/>
      <c r="H82" s="144"/>
      <c r="I82" s="53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s="42" customFormat="1" ht="11.25" customHeight="1">
      <c r="A83" s="73"/>
      <c r="B83" s="7" t="s">
        <v>139</v>
      </c>
      <c r="C83" s="7"/>
      <c r="D83" s="7" t="s">
        <v>3</v>
      </c>
      <c r="E83" s="28"/>
      <c r="F83" s="28"/>
      <c r="G83" s="119">
        <f>OPEX!F24</f>
        <v>47338243.009999998</v>
      </c>
      <c r="H83" s="144"/>
      <c r="I83" s="53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s="42" customFormat="1" ht="11.25" customHeight="1">
      <c r="A84" s="73"/>
      <c r="B84" s="7" t="s">
        <v>92</v>
      </c>
      <c r="C84" s="7"/>
      <c r="D84" s="7" t="s">
        <v>3</v>
      </c>
      <c r="E84" s="28"/>
      <c r="F84" s="28"/>
      <c r="G84" s="119">
        <f>OPEX!F25</f>
        <v>4901018.62</v>
      </c>
      <c r="H84" s="144"/>
      <c r="I84" s="53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s="42" customFormat="1" ht="11.25" customHeight="1">
      <c r="A85" s="73"/>
      <c r="B85" s="26" t="s">
        <v>196</v>
      </c>
      <c r="C85" s="7"/>
      <c r="D85" s="7" t="s">
        <v>3</v>
      </c>
      <c r="E85" s="7"/>
      <c r="F85" s="7"/>
      <c r="G85" s="7"/>
      <c r="H85" s="87">
        <f>SUM(G83:G84)*$H$14</f>
        <v>53440764.647489987</v>
      </c>
      <c r="I85" s="53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1:23" s="42" customFormat="1" ht="11.25" customHeight="1">
      <c r="A86" s="73"/>
      <c r="B86" s="26"/>
      <c r="C86" s="7"/>
      <c r="D86" s="7"/>
      <c r="E86" s="7"/>
      <c r="F86" s="7"/>
      <c r="G86" s="7"/>
      <c r="H86" s="144"/>
      <c r="I86" s="53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1:23" s="98" customFormat="1" ht="12.75">
      <c r="B87" s="98" t="s">
        <v>177</v>
      </c>
    </row>
    <row r="88" spans="1:23" s="42" customFormat="1" ht="11.25" customHeight="1">
      <c r="A88" s="73"/>
      <c r="B88" s="26"/>
      <c r="C88" s="7"/>
      <c r="D88" s="7"/>
      <c r="E88" s="7"/>
      <c r="F88" s="7"/>
      <c r="G88" s="7"/>
      <c r="H88" s="144"/>
      <c r="I88" s="53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1:23" s="42" customFormat="1" ht="11.25" customHeight="1">
      <c r="A89" s="73"/>
      <c r="B89" s="26" t="s">
        <v>246</v>
      </c>
      <c r="C89" s="7"/>
      <c r="D89" s="7"/>
      <c r="E89" s="7"/>
      <c r="F89" s="7"/>
      <c r="G89" s="7"/>
      <c r="H89" s="7"/>
      <c r="I89" s="53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1:23" s="42" customFormat="1" ht="11.25" customHeight="1">
      <c r="A90" s="73"/>
      <c r="B90" s="7" t="s">
        <v>93</v>
      </c>
      <c r="C90" s="7"/>
      <c r="D90" s="7" t="s">
        <v>3</v>
      </c>
      <c r="E90" s="7"/>
      <c r="F90" s="7"/>
      <c r="G90" s="119">
        <f>GAW!F30</f>
        <v>88007048.823799416</v>
      </c>
      <c r="H90" s="7"/>
      <c r="I90" s="53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s="42" customFormat="1" ht="11.25" customHeight="1">
      <c r="A91" s="73"/>
      <c r="B91" s="7" t="s">
        <v>186</v>
      </c>
      <c r="C91" s="7"/>
      <c r="D91" s="7" t="s">
        <v>3</v>
      </c>
      <c r="E91" s="7"/>
      <c r="F91" s="7"/>
      <c r="G91" s="119">
        <f>GAW!F38</f>
        <v>9987177.4268070552</v>
      </c>
      <c r="H91" s="7"/>
      <c r="I91" s="53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s="42" customFormat="1" ht="11.25" customHeight="1">
      <c r="A92" s="73"/>
      <c r="B92" s="7" t="s">
        <v>94</v>
      </c>
      <c r="C92" s="7"/>
      <c r="D92" s="7" t="s">
        <v>3</v>
      </c>
      <c r="E92" s="7"/>
      <c r="F92" s="7"/>
      <c r="G92" s="119">
        <f>GAW!F46</f>
        <v>95889238.342178658</v>
      </c>
      <c r="H92" s="7"/>
      <c r="I92" s="53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s="42" customFormat="1" ht="11.25" customHeight="1">
      <c r="A93" s="73"/>
      <c r="B93" s="7" t="s">
        <v>180</v>
      </c>
      <c r="C93" s="7"/>
      <c r="D93" s="7" t="s">
        <v>3</v>
      </c>
      <c r="E93" s="7"/>
      <c r="F93" s="7"/>
      <c r="G93" s="87">
        <f>G90+G91+G92</f>
        <v>193883464.59278512</v>
      </c>
      <c r="H93" s="7"/>
      <c r="I93" s="53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s="42" customFormat="1" ht="11.25" customHeight="1">
      <c r="A94" s="73"/>
      <c r="B94" s="7"/>
      <c r="C94" s="7"/>
      <c r="D94" s="7"/>
      <c r="E94" s="7"/>
      <c r="F94" s="7"/>
      <c r="G94" s="7"/>
      <c r="H94" s="7"/>
      <c r="I94" s="53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s="42" customFormat="1" ht="11.25" customHeight="1">
      <c r="A95" s="73"/>
      <c r="B95" s="26" t="s">
        <v>190</v>
      </c>
      <c r="C95" s="7"/>
      <c r="D95" s="7"/>
      <c r="E95" s="7"/>
      <c r="F95" s="7"/>
      <c r="G95" s="7"/>
      <c r="H95" s="7"/>
      <c r="I95" s="5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s="42" customFormat="1" ht="11.25" customHeight="1">
      <c r="A96" s="73"/>
      <c r="B96" s="7" t="s">
        <v>95</v>
      </c>
      <c r="C96" s="7"/>
      <c r="D96" s="7" t="s">
        <v>3</v>
      </c>
      <c r="E96" s="7"/>
      <c r="F96" s="7"/>
      <c r="G96" s="119">
        <f>GAW!F31</f>
        <v>5614405.1603534715</v>
      </c>
      <c r="H96" s="7"/>
      <c r="I96" s="53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3" s="42" customFormat="1" ht="11.25" customHeight="1">
      <c r="A97" s="73"/>
      <c r="B97" s="7" t="s">
        <v>96</v>
      </c>
      <c r="C97" s="7"/>
      <c r="D97" s="7" t="s">
        <v>3</v>
      </c>
      <c r="E97" s="7"/>
      <c r="F97" s="7"/>
      <c r="G97" s="119">
        <f>GAW!F39</f>
        <v>312096.29835464997</v>
      </c>
      <c r="H97" s="7"/>
      <c r="I97" s="53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3" s="42" customFormat="1" ht="11.25" customHeight="1">
      <c r="A98" s="73"/>
      <c r="B98" s="7" t="s">
        <v>97</v>
      </c>
      <c r="C98" s="7"/>
      <c r="D98" s="7" t="s">
        <v>3</v>
      </c>
      <c r="E98" s="7"/>
      <c r="F98" s="7"/>
      <c r="G98" s="119">
        <f>GAW!F47</f>
        <v>7434174.1064226599</v>
      </c>
      <c r="H98" s="7"/>
      <c r="I98" s="53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1:23" s="42" customFormat="1" ht="11.25" customHeight="1">
      <c r="A99" s="73"/>
      <c r="B99" s="7" t="s">
        <v>181</v>
      </c>
      <c r="C99" s="7"/>
      <c r="D99" s="7" t="s">
        <v>3</v>
      </c>
      <c r="E99" s="7"/>
      <c r="F99" s="7"/>
      <c r="G99" s="87">
        <f>G96+G97+G98</f>
        <v>13360675.565130781</v>
      </c>
      <c r="H99" s="7"/>
      <c r="I99" s="53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s="42" customFormat="1" ht="11.25" customHeight="1">
      <c r="A100" s="73"/>
      <c r="B100" s="7"/>
      <c r="C100" s="7"/>
      <c r="D100" s="7"/>
      <c r="E100" s="7"/>
      <c r="F100" s="7"/>
      <c r="G100" s="7"/>
      <c r="H100" s="7"/>
      <c r="I100" s="53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1:23" s="42" customFormat="1" ht="11.25" customHeight="1">
      <c r="A101" s="73"/>
      <c r="B101" s="26" t="s">
        <v>182</v>
      </c>
      <c r="C101" s="7"/>
      <c r="D101" s="7" t="s">
        <v>3</v>
      </c>
      <c r="E101" s="7"/>
      <c r="F101" s="7"/>
      <c r="G101" s="7"/>
      <c r="H101" s="87">
        <f>(G93*$C$8+G99)*($H$14*(1-$C$9)^1)</f>
        <v>25287284.240075763</v>
      </c>
      <c r="I101" s="5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3" s="42" customFormat="1" ht="11.25" customHeight="1">
      <c r="A102" s="73"/>
      <c r="B102" s="7"/>
      <c r="C102" s="7"/>
      <c r="D102" s="7"/>
      <c r="E102" s="7"/>
      <c r="F102" s="7"/>
      <c r="G102" s="7"/>
      <c r="H102" s="7"/>
      <c r="I102" s="53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s="42" customFormat="1" ht="11.25" customHeight="1">
      <c r="A103" s="73"/>
      <c r="B103" s="7" t="s">
        <v>197</v>
      </c>
      <c r="C103" s="7"/>
      <c r="D103" s="7" t="s">
        <v>3</v>
      </c>
      <c r="E103" s="119">
        <f>OPEX!D43</f>
        <v>11559481.816901097</v>
      </c>
      <c r="F103" s="119">
        <f>OPEX!E43</f>
        <v>10506372.433182042</v>
      </c>
      <c r="G103" s="119">
        <f>OPEX!F43</f>
        <v>10434283.204800002</v>
      </c>
      <c r="H103" s="7"/>
      <c r="I103" s="5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s="42" customFormat="1" ht="11.25" customHeight="1">
      <c r="A104" s="73"/>
      <c r="B104" s="26" t="s">
        <v>191</v>
      </c>
      <c r="C104" s="7"/>
      <c r="D104" s="7" t="s">
        <v>3</v>
      </c>
      <c r="E104" s="7"/>
      <c r="F104" s="7"/>
      <c r="G104" s="7"/>
      <c r="H104" s="87">
        <f>((E103*$E$13*(1-$C$9)^2+F103*$F$13*(1-$C$9)+G103*$G$13)/3)*($H$14*(1-$C$9)^1)</f>
        <v>11085306.278977234</v>
      </c>
      <c r="I104" s="53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3" s="42" customFormat="1" ht="11.25" customHeight="1">
      <c r="A105" s="73"/>
      <c r="B105" s="7"/>
      <c r="C105" s="7"/>
      <c r="D105" s="7"/>
      <c r="E105" s="7"/>
      <c r="F105" s="7"/>
      <c r="G105" s="7"/>
      <c r="H105" s="7"/>
      <c r="I105" s="53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3" s="42" customFormat="1" ht="11.25" customHeight="1">
      <c r="A106" s="73"/>
      <c r="B106" s="26" t="s">
        <v>185</v>
      </c>
      <c r="C106" s="7"/>
      <c r="D106" s="7" t="s">
        <v>3</v>
      </c>
      <c r="E106" s="7"/>
      <c r="F106" s="7"/>
      <c r="G106" s="7"/>
      <c r="H106" s="87">
        <f>H101+H104</f>
        <v>36372590.519052997</v>
      </c>
      <c r="I106" s="53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3" s="42" customFormat="1" ht="11.25" customHeight="1">
      <c r="A107" s="73"/>
      <c r="B107" s="26"/>
      <c r="C107" s="7"/>
      <c r="D107" s="7"/>
      <c r="E107" s="7"/>
      <c r="F107" s="7"/>
      <c r="G107" s="7"/>
      <c r="H107" s="144"/>
      <c r="I107" s="5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3" s="42" customFormat="1" ht="11.25" customHeight="1">
      <c r="A108" s="73"/>
      <c r="B108" s="145" t="s">
        <v>213</v>
      </c>
      <c r="C108" s="146"/>
      <c r="D108" s="146" t="s">
        <v>3</v>
      </c>
      <c r="E108" s="119">
        <f>GAW!D56</f>
        <v>522903.06793997268</v>
      </c>
      <c r="F108" s="119">
        <f>GAW!E56</f>
        <v>49947933.706694119</v>
      </c>
      <c r="G108" s="119">
        <f>GAW!F56</f>
        <v>46873009.271795735</v>
      </c>
      <c r="H108" s="144"/>
      <c r="I108" s="53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s="42" customFormat="1" ht="11.25" customHeight="1">
      <c r="A109" s="73"/>
      <c r="B109" s="145" t="s">
        <v>211</v>
      </c>
      <c r="C109" s="146"/>
      <c r="D109" s="146" t="s">
        <v>3</v>
      </c>
      <c r="E109" s="119">
        <f>GAW!D55</f>
        <v>21787.627830832196</v>
      </c>
      <c r="F109" s="119">
        <f>GAW!E55</f>
        <v>1139876.3166098932</v>
      </c>
      <c r="G109" s="119">
        <f>GAW!F55</f>
        <v>1227726.393840078</v>
      </c>
      <c r="H109" s="144"/>
      <c r="I109" s="53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s="42" customFormat="1" ht="11.25" customHeight="1">
      <c r="A110" s="73"/>
      <c r="B110" s="145" t="s">
        <v>212</v>
      </c>
      <c r="C110" s="146"/>
      <c r="D110" s="146" t="s">
        <v>3</v>
      </c>
      <c r="E110" s="87">
        <f>E108*$C$8+E109</f>
        <v>53161.811907230556</v>
      </c>
      <c r="F110" s="87">
        <f t="shared" ref="F110" si="2">F108*$C$8+F109</f>
        <v>4136752.3390115406</v>
      </c>
      <c r="G110" s="87">
        <f t="shared" ref="G110" si="3">G108*$C$8+G109</f>
        <v>4040106.9501478216</v>
      </c>
      <c r="H110" s="144"/>
      <c r="I110" s="53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3" s="42" customFormat="1" ht="11.25" customHeight="1">
      <c r="A111" s="73"/>
      <c r="B111" s="147" t="s">
        <v>72</v>
      </c>
      <c r="C111" s="146"/>
      <c r="D111" s="146" t="s">
        <v>3</v>
      </c>
      <c r="E111" s="119">
        <f>GAW!D54</f>
        <v>544690.69577080489</v>
      </c>
      <c r="F111" s="119">
        <f>GAW!E54</f>
        <v>51087810.023304015</v>
      </c>
      <c r="G111" s="119">
        <f>GAW!F54</f>
        <v>48100735.665635809</v>
      </c>
      <c r="H111" s="144"/>
      <c r="I111" s="53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3" s="42" customFormat="1" ht="11.25" customHeight="1">
      <c r="A112" s="73"/>
      <c r="B112" s="145" t="s">
        <v>76</v>
      </c>
      <c r="C112" s="146"/>
      <c r="D112" s="146" t="s">
        <v>3</v>
      </c>
      <c r="E112" s="87">
        <f>$C$11*E111</f>
        <v>5446.906957708049</v>
      </c>
      <c r="F112" s="87">
        <f t="shared" ref="F112" si="4">$C$11*F111</f>
        <v>510878.10023304017</v>
      </c>
      <c r="G112" s="87">
        <f t="shared" ref="G112" si="5">$C$11*G111</f>
        <v>481007.35665635811</v>
      </c>
      <c r="H112" s="144"/>
      <c r="I112" s="53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1:23" s="42" customFormat="1" ht="11.25" customHeight="1">
      <c r="A113" s="73"/>
      <c r="B113" s="148" t="s">
        <v>214</v>
      </c>
      <c r="C113" s="146"/>
      <c r="D113" s="146" t="s">
        <v>3</v>
      </c>
      <c r="E113" s="7"/>
      <c r="F113" s="7"/>
      <c r="G113" s="7"/>
      <c r="H113" s="87">
        <f>(((E110+E112)*$E$13*(1-$C$9)^2+(F110+F112)*$F$13*(1-$C$9)+(G110+G112)*$G$13)/3)*($H$14*(1-$C$9)^1)</f>
        <v>3135346.3304695594</v>
      </c>
      <c r="I113" s="53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1:23" s="42" customFormat="1" ht="11.25" customHeight="1">
      <c r="A114" s="73"/>
      <c r="B114" s="26"/>
      <c r="C114" s="7"/>
      <c r="D114" s="7"/>
      <c r="E114" s="7"/>
      <c r="F114" s="7"/>
      <c r="G114" s="7"/>
      <c r="H114" s="144"/>
      <c r="I114" s="53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s="42" customFormat="1" ht="11.25" customHeight="1">
      <c r="A115" s="73"/>
      <c r="B115" s="7" t="s">
        <v>138</v>
      </c>
      <c r="C115" s="7"/>
      <c r="D115" s="7" t="s">
        <v>3</v>
      </c>
      <c r="E115" s="28"/>
      <c r="F115" s="28"/>
      <c r="G115" s="119">
        <f>OPEX!F47</f>
        <v>25610093.009999983</v>
      </c>
      <c r="H115" s="144"/>
      <c r="I115" s="53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1:23" s="42" customFormat="1" ht="11.25" customHeight="1">
      <c r="A116" s="73"/>
      <c r="B116" s="26" t="s">
        <v>215</v>
      </c>
      <c r="C116" s="7"/>
      <c r="D116" s="7" t="s">
        <v>3</v>
      </c>
      <c r="E116" s="7"/>
      <c r="F116" s="7"/>
      <c r="G116" s="7"/>
      <c r="H116" s="87">
        <f>SUM(G115:G115)*$H$14</f>
        <v>26199125.149229981</v>
      </c>
      <c r="I116" s="53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1:23" s="42" customFormat="1" ht="11.25" customHeight="1">
      <c r="A117" s="73"/>
      <c r="B117" s="26"/>
      <c r="C117" s="7"/>
      <c r="D117" s="7"/>
      <c r="E117" s="7"/>
      <c r="F117" s="7"/>
      <c r="G117" s="7"/>
      <c r="H117" s="144"/>
      <c r="I117" s="53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1:23" s="98" customFormat="1" ht="12.75">
      <c r="B118" s="98" t="s">
        <v>198</v>
      </c>
    </row>
    <row r="119" spans="1:23" s="42" customFormat="1" ht="11.25" customHeight="1">
      <c r="A119" s="73"/>
      <c r="B119" s="26"/>
      <c r="C119" s="7"/>
      <c r="D119" s="7"/>
      <c r="E119" s="7"/>
      <c r="F119" s="7"/>
      <c r="G119" s="7"/>
      <c r="H119" s="144"/>
      <c r="I119" s="53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1:23" s="42" customFormat="1" ht="11.25" customHeight="1">
      <c r="A120" s="73"/>
      <c r="B120" s="26" t="s">
        <v>199</v>
      </c>
      <c r="C120" s="7"/>
      <c r="D120" s="7"/>
      <c r="E120" s="7"/>
      <c r="F120" s="7"/>
      <c r="G120" s="7"/>
      <c r="H120" s="144"/>
      <c r="I120" s="5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s="42" customFormat="1" ht="11.25" customHeight="1">
      <c r="A121" s="73"/>
      <c r="B121" s="7" t="s">
        <v>200</v>
      </c>
      <c r="C121" s="7"/>
      <c r="D121" s="7" t="s">
        <v>3</v>
      </c>
      <c r="E121" s="7"/>
      <c r="F121" s="7"/>
      <c r="G121" s="7"/>
      <c r="H121" s="119">
        <f>H34</f>
        <v>142295471.16424042</v>
      </c>
      <c r="I121" s="53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1:23" s="42" customFormat="1" ht="11.25" customHeight="1">
      <c r="A122" s="73"/>
      <c r="B122" s="26"/>
      <c r="C122" s="7"/>
      <c r="D122" s="7"/>
      <c r="E122" s="7"/>
      <c r="F122" s="7"/>
      <c r="G122" s="7"/>
      <c r="H122" s="144"/>
      <c r="I122" s="5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1:23" s="42" customFormat="1" ht="11.25" customHeight="1">
      <c r="A123" s="73"/>
      <c r="B123" s="26" t="s">
        <v>201</v>
      </c>
      <c r="C123" s="7"/>
      <c r="D123" s="7"/>
      <c r="E123" s="7"/>
      <c r="F123" s="7"/>
      <c r="G123" s="7"/>
      <c r="H123" s="144"/>
      <c r="I123" s="5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s="42" customFormat="1" ht="11.25" customHeight="1">
      <c r="A124" s="73"/>
      <c r="B124" s="7" t="s">
        <v>200</v>
      </c>
      <c r="C124" s="7"/>
      <c r="D124" s="7" t="s">
        <v>3</v>
      </c>
      <c r="E124" s="7"/>
      <c r="F124" s="7"/>
      <c r="G124" s="7"/>
      <c r="H124" s="119">
        <f>H74</f>
        <v>29320615.399759378</v>
      </c>
      <c r="I124" s="53"/>
      <c r="J124" s="7"/>
      <c r="K124" s="104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1:23" s="42" customFormat="1" ht="11.25" customHeight="1">
      <c r="A125" s="73"/>
      <c r="B125" s="7" t="s">
        <v>202</v>
      </c>
      <c r="C125" s="7"/>
      <c r="D125" s="7" t="s">
        <v>3</v>
      </c>
      <c r="E125" s="7"/>
      <c r="F125" s="7"/>
      <c r="G125" s="7"/>
      <c r="H125" s="119">
        <f>H81</f>
        <v>499769.25455114205</v>
      </c>
      <c r="I125" s="53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1:23" s="42" customFormat="1" ht="11.25" customHeight="1">
      <c r="A126" s="73"/>
      <c r="B126" s="26"/>
      <c r="C126" s="7"/>
      <c r="D126" s="7"/>
      <c r="E126" s="7"/>
      <c r="F126" s="7"/>
      <c r="G126" s="7"/>
      <c r="H126" s="144"/>
      <c r="I126" s="5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1:23" s="42" customFormat="1" ht="11.25" customHeight="1">
      <c r="A127" s="73"/>
      <c r="B127" s="26" t="s">
        <v>217</v>
      </c>
      <c r="C127" s="7"/>
      <c r="D127" s="7" t="s">
        <v>3</v>
      </c>
      <c r="E127" s="7"/>
      <c r="F127" s="7"/>
      <c r="G127" s="7"/>
      <c r="H127" s="119">
        <f>H85</f>
        <v>53440764.647489987</v>
      </c>
      <c r="I127" s="5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1:23" s="42" customFormat="1" ht="11.25" customHeight="1">
      <c r="A128" s="73"/>
      <c r="B128" s="26"/>
      <c r="C128" s="7"/>
      <c r="D128" s="7"/>
      <c r="E128" s="7"/>
      <c r="F128" s="7"/>
      <c r="G128" s="7"/>
      <c r="H128" s="144"/>
      <c r="I128" s="5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1:23" s="98" customFormat="1" ht="12.75">
      <c r="B129" s="98" t="s">
        <v>203</v>
      </c>
    </row>
    <row r="130" spans="1:23" s="42" customFormat="1" ht="11.25" customHeight="1">
      <c r="A130" s="73"/>
      <c r="B130" s="26"/>
      <c r="C130" s="7"/>
      <c r="D130" s="7"/>
      <c r="E130" s="7"/>
      <c r="F130" s="7"/>
      <c r="G130" s="7"/>
      <c r="H130" s="144"/>
      <c r="I130" s="5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1:23" s="42" customFormat="1" ht="11.25" customHeight="1">
      <c r="A131" s="73"/>
      <c r="B131" s="26" t="s">
        <v>199</v>
      </c>
      <c r="C131" s="7"/>
      <c r="D131" s="7"/>
      <c r="E131" s="7"/>
      <c r="F131" s="7"/>
      <c r="G131" s="7"/>
      <c r="H131" s="144"/>
      <c r="I131" s="5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s="42" customFormat="1" ht="11.25" customHeight="1">
      <c r="A132" s="73"/>
      <c r="B132" s="7" t="s">
        <v>200</v>
      </c>
      <c r="C132" s="7"/>
      <c r="D132" s="7" t="s">
        <v>3</v>
      </c>
      <c r="E132" s="7"/>
      <c r="F132" s="7"/>
      <c r="G132" s="7"/>
      <c r="H132" s="119">
        <f>H55</f>
        <v>186232421.87065852</v>
      </c>
      <c r="I132" s="5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s="42" customFormat="1" ht="11.25" customHeight="1">
      <c r="A133" s="73"/>
      <c r="B133" s="26"/>
      <c r="C133" s="7"/>
      <c r="D133" s="7"/>
      <c r="E133" s="7"/>
      <c r="F133" s="7"/>
      <c r="G133" s="7"/>
      <c r="H133" s="144"/>
      <c r="I133" s="5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s="42" customFormat="1" ht="11.25" customHeight="1">
      <c r="A134" s="73"/>
      <c r="B134" s="26" t="s">
        <v>201</v>
      </c>
      <c r="C134" s="7"/>
      <c r="D134" s="7"/>
      <c r="E134" s="7"/>
      <c r="F134" s="7"/>
      <c r="G134" s="7"/>
      <c r="H134" s="144"/>
      <c r="I134" s="5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s="42" customFormat="1" ht="11.25" customHeight="1">
      <c r="A135" s="73"/>
      <c r="B135" s="7" t="s">
        <v>200</v>
      </c>
      <c r="C135" s="7"/>
      <c r="D135" s="7" t="s">
        <v>3</v>
      </c>
      <c r="E135" s="7"/>
      <c r="F135" s="7"/>
      <c r="G135" s="7"/>
      <c r="H135" s="119">
        <f>H106</f>
        <v>36372590.519052997</v>
      </c>
      <c r="I135" s="53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s="42" customFormat="1" ht="11.25" customHeight="1">
      <c r="A136" s="73"/>
      <c r="B136" s="7" t="s">
        <v>202</v>
      </c>
      <c r="C136" s="7"/>
      <c r="D136" s="7" t="s">
        <v>3</v>
      </c>
      <c r="E136" s="7"/>
      <c r="F136" s="7"/>
      <c r="G136" s="7"/>
      <c r="H136" s="119">
        <f>H113</f>
        <v>3135346.3304695594</v>
      </c>
      <c r="I136" s="53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s="42" customFormat="1" ht="11.25" customHeight="1">
      <c r="A137" s="73"/>
      <c r="B137" s="26"/>
      <c r="C137" s="7"/>
      <c r="D137" s="7"/>
      <c r="E137" s="7"/>
      <c r="F137" s="7"/>
      <c r="G137" s="7"/>
      <c r="H137" s="144"/>
      <c r="I137" s="5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s="42" customFormat="1" ht="11.25" customHeight="1">
      <c r="A138" s="73"/>
      <c r="B138" s="26" t="s">
        <v>218</v>
      </c>
      <c r="C138" s="7"/>
      <c r="D138" s="7" t="s">
        <v>3</v>
      </c>
      <c r="E138" s="7"/>
      <c r="F138" s="7"/>
      <c r="G138" s="7"/>
      <c r="H138" s="119">
        <f>H116</f>
        <v>26199125.149229981</v>
      </c>
      <c r="I138" s="53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s="42" customFormat="1" ht="11.25" customHeight="1">
      <c r="A139" s="73"/>
      <c r="B139" s="7"/>
      <c r="C139" s="7"/>
      <c r="D139" s="7"/>
      <c r="E139" s="7"/>
      <c r="F139" s="7"/>
      <c r="G139" s="7"/>
      <c r="H139" s="7"/>
      <c r="I139" s="5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s="98" customFormat="1" ht="12.75">
      <c r="B140" s="98" t="s">
        <v>207</v>
      </c>
    </row>
    <row r="141" spans="1:23" s="42" customFormat="1" ht="11.25" customHeight="1">
      <c r="A141" s="73"/>
      <c r="B141" s="7"/>
      <c r="C141" s="7"/>
      <c r="D141" s="7"/>
      <c r="E141" s="7"/>
      <c r="F141" s="7"/>
      <c r="G141" s="7"/>
      <c r="H141" s="7"/>
      <c r="I141" s="5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s="42" customFormat="1" ht="11.25" customHeight="1">
      <c r="A142" s="73"/>
      <c r="B142" s="146" t="s">
        <v>204</v>
      </c>
      <c r="C142" s="146"/>
      <c r="D142" s="146" t="s">
        <v>3</v>
      </c>
      <c r="E142" s="7"/>
      <c r="F142" s="7"/>
      <c r="G142" s="7"/>
      <c r="H142" s="87">
        <f>SUM(H121,H124:H125,H127,H132,H135:H136,H138)</f>
        <v>477496104.33545202</v>
      </c>
      <c r="I142" s="53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s="42" customFormat="1" ht="11.25" customHeight="1">
      <c r="A143" s="73"/>
      <c r="B143" s="146" t="s">
        <v>205</v>
      </c>
      <c r="C143" s="146"/>
      <c r="D143" s="146" t="s">
        <v>3</v>
      </c>
      <c r="E143" s="7"/>
      <c r="F143" s="7"/>
      <c r="G143" s="7"/>
      <c r="H143" s="87">
        <f>C10*(H121+H124+H125)</f>
        <v>68846342.327420384</v>
      </c>
      <c r="I143" s="53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s="42" customFormat="1" ht="11.25" customHeight="1">
      <c r="A144" s="73"/>
      <c r="B144" s="146" t="s">
        <v>206</v>
      </c>
      <c r="C144" s="146"/>
      <c r="D144" s="146" t="s">
        <v>3</v>
      </c>
      <c r="E144" s="7"/>
      <c r="F144" s="7"/>
      <c r="G144" s="7"/>
      <c r="H144" s="87">
        <f>H142-H143</f>
        <v>408649762.00803161</v>
      </c>
      <c r="I144" s="53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 s="42" customFormat="1" ht="11.25" customHeight="1">
      <c r="A145" s="73"/>
      <c r="B145" s="7"/>
      <c r="C145" s="7"/>
      <c r="D145" s="7"/>
      <c r="E145" s="7"/>
      <c r="F145" s="7"/>
      <c r="G145" s="7"/>
      <c r="H145" s="7"/>
      <c r="I145" s="5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s="98" customFormat="1" ht="12.75">
      <c r="B146" s="98" t="s">
        <v>223</v>
      </c>
    </row>
    <row r="147" spans="1:23" s="42" customFormat="1" ht="11.25" customHeight="1">
      <c r="A147" s="73"/>
      <c r="B147" s="7"/>
      <c r="C147" s="7"/>
      <c r="D147" s="7"/>
      <c r="E147" s="7"/>
      <c r="F147" s="7"/>
      <c r="G147" s="7"/>
      <c r="H147" s="7"/>
      <c r="I147" s="5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s="42" customFormat="1" ht="11.25" customHeight="1">
      <c r="A148" s="73"/>
      <c r="B148" s="146" t="s">
        <v>220</v>
      </c>
      <c r="C148" s="146"/>
      <c r="D148" s="146" t="s">
        <v>3</v>
      </c>
      <c r="E148" s="7"/>
      <c r="F148" s="7"/>
      <c r="G148" s="7"/>
      <c r="H148" s="87">
        <f>H7*(H121+H132)+SUM(H124,H125,H127)+SUM(H135,H136,H138)</f>
        <v>477496104.33545196</v>
      </c>
      <c r="I148" s="53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spans="1:23" s="42" customFormat="1" ht="11.25" customHeight="1">
      <c r="A149" s="73"/>
      <c r="B149" s="146" t="s">
        <v>221</v>
      </c>
      <c r="C149" s="146"/>
      <c r="D149" s="146" t="s">
        <v>3</v>
      </c>
      <c r="E149" s="7"/>
      <c r="F149" s="7"/>
      <c r="G149" s="7"/>
      <c r="H149" s="159">
        <f>C10*(H121*H7+H124+H125)</f>
        <v>68846342.327420384</v>
      </c>
      <c r="I149" s="53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1:23" s="42" customFormat="1" ht="11.25" customHeight="1">
      <c r="A150" s="73"/>
      <c r="B150" s="146" t="s">
        <v>222</v>
      </c>
      <c r="C150" s="146"/>
      <c r="D150" s="146" t="s">
        <v>3</v>
      </c>
      <c r="E150" s="7"/>
      <c r="F150" s="7"/>
      <c r="G150" s="7"/>
      <c r="H150" s="159">
        <f>H148-H149</f>
        <v>408649762.00803161</v>
      </c>
      <c r="I150" s="53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1:23" ht="11.25" customHeight="1">
      <c r="H151" s="31"/>
    </row>
  </sheetData>
  <conditionalFormatting sqref="B8">
    <cfRule type="expression" dxfId="1" priority="1" stopIfTrue="1">
      <formula>(#REF!="!!! selecteer nu dashboard als inputscenario !!!")</formula>
    </cfRule>
  </conditionalFormatting>
  <pageMargins left="0.75" right="0.75" top="1" bottom="1" header="0.5" footer="0.5"/>
  <pageSetup paperSize="9" scale="54" orientation="portrait" r:id="rId1"/>
  <headerFooter alignWithMargins="0"/>
  <rowBreaks count="1" manualBreakCount="1">
    <brk id="116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W145"/>
  <sheetViews>
    <sheetView showGridLines="0" zoomScale="110" zoomScaleNormal="110" zoomScaleSheetLayoutView="100" workbookViewId="0">
      <pane ySplit="3" topLeftCell="A4" activePane="bottomLeft" state="frozen"/>
      <selection activeCell="A4" sqref="A4"/>
      <selection pane="bottomLeft"/>
    </sheetView>
  </sheetViews>
  <sheetFormatPr defaultRowHeight="11.25" customHeight="1"/>
  <cols>
    <col min="1" max="1" width="3.7109375" style="28" customWidth="1"/>
    <col min="2" max="2" width="63" style="7" bestFit="1" customWidth="1"/>
    <col min="3" max="3" width="6.28515625" style="7" customWidth="1"/>
    <col min="4" max="4" width="5" style="7" bestFit="1" customWidth="1"/>
    <col min="5" max="8" width="10.7109375" style="7" customWidth="1"/>
    <col min="9" max="9" width="10.7109375" style="53" customWidth="1"/>
    <col min="10" max="11" width="10.5703125" style="7" customWidth="1"/>
    <col min="12" max="12" width="7" style="7" customWidth="1"/>
    <col min="13" max="14" width="13.42578125" style="7" customWidth="1"/>
    <col min="15" max="16384" width="9.140625" style="7"/>
  </cols>
  <sheetData>
    <row r="1" spans="1:12" ht="12" customHeight="1"/>
    <row r="2" spans="1:12" s="97" customFormat="1" ht="15" customHeight="1">
      <c r="B2" s="97" t="s">
        <v>114</v>
      </c>
      <c r="E2" s="97">
        <v>2010</v>
      </c>
      <c r="F2" s="97">
        <v>2011</v>
      </c>
      <c r="G2" s="97">
        <v>2012</v>
      </c>
      <c r="H2" s="97">
        <v>2013</v>
      </c>
      <c r="I2" s="97">
        <v>2014</v>
      </c>
      <c r="J2" s="97">
        <v>2015</v>
      </c>
      <c r="K2" s="97">
        <v>2016</v>
      </c>
    </row>
    <row r="3" spans="1:12" ht="11.25" customHeight="1">
      <c r="A3" s="53"/>
    </row>
    <row r="4" spans="1:12" s="98" customFormat="1" ht="12.75">
      <c r="B4" s="98" t="s">
        <v>98</v>
      </c>
    </row>
    <row r="6" spans="1:12" ht="11.25" customHeight="1">
      <c r="B6" s="26" t="s">
        <v>55</v>
      </c>
    </row>
    <row r="7" spans="1:12" ht="11.25" customHeight="1">
      <c r="B7" s="7" t="s">
        <v>77</v>
      </c>
      <c r="H7" s="129">
        <f>Parameters!G51</f>
        <v>1</v>
      </c>
      <c r="I7" s="151">
        <f>Parameters!H51</f>
        <v>0.99583333333333335</v>
      </c>
      <c r="J7" s="151">
        <f>Parameters!I51</f>
        <v>0.9916666666666667</v>
      </c>
      <c r="K7" s="151">
        <f>Parameters!J51</f>
        <v>0.98750000000000004</v>
      </c>
    </row>
    <row r="8" spans="1:12" ht="11.25" customHeight="1">
      <c r="B8" s="88" t="s">
        <v>91</v>
      </c>
      <c r="C8" s="51">
        <f>Parameters!G54</f>
        <v>3.5999999999999997E-2</v>
      </c>
      <c r="J8" s="28"/>
      <c r="K8" s="28"/>
      <c r="L8" s="28"/>
    </row>
    <row r="9" spans="1:12" ht="11.25" customHeight="1">
      <c r="B9" s="29" t="s">
        <v>27</v>
      </c>
      <c r="C9" s="51">
        <f>Parameters!G55</f>
        <v>1.0999999999999999E-2</v>
      </c>
      <c r="J9" s="28"/>
      <c r="K9" s="28"/>
      <c r="L9" s="28"/>
    </row>
    <row r="10" spans="1:12" ht="11.25" customHeight="1">
      <c r="B10" s="29" t="s">
        <v>25</v>
      </c>
      <c r="C10" s="52">
        <f>Parameters!G56</f>
        <v>0.4</v>
      </c>
      <c r="J10" s="28"/>
      <c r="K10" s="28"/>
      <c r="L10" s="28"/>
    </row>
    <row r="11" spans="1:12" ht="11.25" customHeight="1">
      <c r="B11" s="4" t="s">
        <v>67</v>
      </c>
      <c r="C11" s="52">
        <f>Parameters!G57</f>
        <v>0.01</v>
      </c>
      <c r="J11" s="28"/>
      <c r="K11" s="28"/>
      <c r="L11" s="28"/>
    </row>
    <row r="12" spans="1:12" ht="11.25" customHeight="1">
      <c r="D12" s="53"/>
      <c r="E12" s="53"/>
      <c r="F12" s="53"/>
      <c r="G12" s="53"/>
      <c r="H12" s="53"/>
      <c r="J12" s="83"/>
      <c r="K12" s="83"/>
      <c r="L12" s="83"/>
    </row>
    <row r="13" spans="1:12" ht="11.25" customHeight="1">
      <c r="B13" s="7" t="s">
        <v>28</v>
      </c>
      <c r="D13" s="7" t="s">
        <v>15</v>
      </c>
      <c r="E13" s="54">
        <f>Parameters!O37</f>
        <v>1.0413899999999998</v>
      </c>
      <c r="F13" s="54">
        <f>Parameters!O38</f>
        <v>1.026</v>
      </c>
      <c r="G13" s="54">
        <f>Parameters!O39</f>
        <v>1</v>
      </c>
      <c r="H13" s="152"/>
      <c r="I13" s="152"/>
      <c r="J13" s="152"/>
      <c r="K13" s="152"/>
      <c r="L13" s="28"/>
    </row>
    <row r="14" spans="1:12" ht="11.25" customHeight="1">
      <c r="B14" s="7" t="s">
        <v>50</v>
      </c>
      <c r="D14" s="7" t="s">
        <v>15</v>
      </c>
      <c r="E14" s="56"/>
      <c r="F14" s="56"/>
      <c r="G14" s="56"/>
      <c r="H14" s="54">
        <f>Parameters!P39</f>
        <v>1.0229999999999999</v>
      </c>
      <c r="I14" s="152"/>
      <c r="J14" s="152"/>
      <c r="K14" s="152"/>
      <c r="L14" s="89"/>
    </row>
    <row r="15" spans="1:12" s="42" customFormat="1" ht="11.25" customHeight="1">
      <c r="A15" s="73"/>
      <c r="B15" s="7" t="s">
        <v>219</v>
      </c>
      <c r="D15" s="7" t="s">
        <v>15</v>
      </c>
      <c r="E15" s="152"/>
      <c r="F15" s="152"/>
      <c r="G15" s="152"/>
      <c r="H15" s="152"/>
      <c r="I15" s="150">
        <f>Parameters!Q40</f>
        <v>1.02</v>
      </c>
      <c r="J15" s="150">
        <f>Parameters!R40</f>
        <v>1.0404</v>
      </c>
      <c r="K15" s="150">
        <f>Parameters!S40</f>
        <v>1.0612079999999999</v>
      </c>
    </row>
    <row r="16" spans="1:12" s="42" customFormat="1" ht="11.25" customHeight="1">
      <c r="A16" s="73"/>
      <c r="I16" s="57"/>
    </row>
    <row r="17" spans="1:20" s="98" customFormat="1" ht="12.75">
      <c r="B17" s="98" t="s">
        <v>224</v>
      </c>
    </row>
    <row r="18" spans="1:20" s="42" customFormat="1" ht="11.25" customHeight="1">
      <c r="A18" s="28"/>
      <c r="B18" s="7"/>
      <c r="C18" s="7"/>
      <c r="D18" s="7"/>
      <c r="E18" s="7"/>
      <c r="F18" s="7"/>
      <c r="G18" s="7"/>
      <c r="H18" s="7"/>
      <c r="I18" s="53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s="42" customFormat="1" ht="11.25" customHeight="1">
      <c r="A19" s="28"/>
      <c r="B19" s="26" t="s">
        <v>168</v>
      </c>
      <c r="C19" s="7"/>
      <c r="D19" s="7"/>
      <c r="E19" s="7"/>
      <c r="F19" s="7"/>
      <c r="G19" s="7"/>
      <c r="H19" s="7"/>
      <c r="I19" s="5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s="42" customFormat="1" ht="11.25" customHeight="1">
      <c r="A20" s="28"/>
      <c r="B20" s="7" t="s">
        <v>169</v>
      </c>
      <c r="C20" s="7"/>
      <c r="D20" s="7" t="s">
        <v>3</v>
      </c>
      <c r="E20" s="7"/>
      <c r="F20" s="7"/>
      <c r="G20" s="119">
        <f>GAW!F11</f>
        <v>481672157.71049321</v>
      </c>
      <c r="H20" s="7"/>
      <c r="I20" s="53"/>
      <c r="J20" s="7"/>
      <c r="K20" s="7"/>
      <c r="L20" s="31"/>
      <c r="M20" s="7"/>
      <c r="N20" s="7"/>
      <c r="O20" s="7"/>
      <c r="P20" s="7"/>
      <c r="Q20" s="7"/>
      <c r="R20" s="7"/>
      <c r="S20" s="7"/>
      <c r="T20" s="7"/>
    </row>
    <row r="21" spans="1:20" s="42" customFormat="1" ht="11.25" customHeight="1">
      <c r="A21" s="28"/>
      <c r="B21" s="7" t="s">
        <v>170</v>
      </c>
      <c r="C21" s="7"/>
      <c r="D21" s="7" t="s">
        <v>3</v>
      </c>
      <c r="E21" s="7"/>
      <c r="F21" s="7"/>
      <c r="G21" s="119">
        <f>GAW!F19</f>
        <v>398231659.93784869</v>
      </c>
      <c r="H21" s="7"/>
      <c r="I21" s="53"/>
      <c r="J21" s="7"/>
      <c r="K21" s="7"/>
      <c r="L21" s="31"/>
      <c r="M21" s="7"/>
      <c r="N21" s="7"/>
      <c r="O21" s="7"/>
      <c r="P21" s="7"/>
      <c r="Q21" s="7"/>
      <c r="R21" s="7"/>
      <c r="S21" s="7"/>
      <c r="T21" s="7"/>
    </row>
    <row r="22" spans="1:20" s="42" customFormat="1" ht="11.25" customHeight="1">
      <c r="A22" s="28"/>
      <c r="B22" s="7" t="s">
        <v>171</v>
      </c>
      <c r="C22" s="7"/>
      <c r="D22" s="7" t="s">
        <v>3</v>
      </c>
      <c r="E22" s="7"/>
      <c r="F22" s="7"/>
      <c r="G22" s="87">
        <f>G20+G21</f>
        <v>879903817.64834189</v>
      </c>
      <c r="H22" s="7"/>
      <c r="I22" s="53"/>
      <c r="J22" s="7"/>
      <c r="K22" s="7"/>
      <c r="L22" s="31"/>
      <c r="M22" s="7"/>
      <c r="N22" s="7"/>
      <c r="O22" s="7"/>
      <c r="P22" s="7"/>
      <c r="Q22" s="7"/>
      <c r="R22" s="7"/>
      <c r="S22" s="7"/>
      <c r="T22" s="7"/>
    </row>
    <row r="23" spans="1:20" s="42" customFormat="1" ht="11.25" customHeight="1">
      <c r="A23" s="28"/>
      <c r="B23" s="7"/>
      <c r="C23" s="7"/>
      <c r="D23" s="7"/>
      <c r="E23" s="7"/>
      <c r="F23" s="7"/>
      <c r="G23" s="7"/>
      <c r="H23" s="7"/>
      <c r="I23" s="53"/>
      <c r="J23" s="7"/>
      <c r="K23" s="7"/>
      <c r="L23" s="31"/>
      <c r="M23" s="7"/>
      <c r="N23" s="7"/>
      <c r="O23" s="7"/>
      <c r="P23" s="7"/>
      <c r="Q23" s="7"/>
      <c r="R23" s="7"/>
      <c r="S23" s="7"/>
      <c r="T23" s="7"/>
    </row>
    <row r="24" spans="1:20" s="42" customFormat="1" ht="11.25" customHeight="1">
      <c r="A24" s="28"/>
      <c r="B24" s="26" t="s">
        <v>172</v>
      </c>
      <c r="C24" s="7"/>
      <c r="D24" s="7"/>
      <c r="E24" s="7"/>
      <c r="F24" s="7"/>
      <c r="G24" s="7"/>
      <c r="H24" s="7"/>
      <c r="I24" s="53"/>
      <c r="J24" s="7"/>
      <c r="K24" s="7"/>
      <c r="L24" s="31"/>
      <c r="M24" s="7"/>
      <c r="N24" s="7"/>
      <c r="O24" s="7"/>
      <c r="P24" s="7"/>
      <c r="Q24" s="7"/>
      <c r="R24" s="7"/>
      <c r="S24" s="7"/>
      <c r="T24" s="7"/>
    </row>
    <row r="25" spans="1:20" s="42" customFormat="1" ht="11.25" customHeight="1">
      <c r="A25" s="28"/>
      <c r="B25" s="7" t="s">
        <v>173</v>
      </c>
      <c r="C25" s="7"/>
      <c r="D25" s="7" t="s">
        <v>3</v>
      </c>
      <c r="E25" s="7"/>
      <c r="F25" s="7"/>
      <c r="G25" s="119">
        <f>GAW!F12</f>
        <v>37051704.439268701</v>
      </c>
      <c r="H25" s="7"/>
      <c r="I25" s="53"/>
      <c r="J25" s="7"/>
      <c r="K25" s="7"/>
      <c r="L25" s="31"/>
      <c r="M25" s="7"/>
      <c r="N25" s="7"/>
      <c r="O25" s="7"/>
      <c r="P25" s="7"/>
      <c r="Q25" s="7"/>
      <c r="R25" s="7"/>
      <c r="S25" s="7"/>
      <c r="T25" s="7"/>
    </row>
    <row r="26" spans="1:20" s="42" customFormat="1" ht="11.25" customHeight="1">
      <c r="A26" s="28"/>
      <c r="B26" s="7" t="s">
        <v>174</v>
      </c>
      <c r="C26" s="7"/>
      <c r="D26" s="7" t="s">
        <v>3</v>
      </c>
      <c r="E26" s="7"/>
      <c r="F26" s="7"/>
      <c r="G26" s="119">
        <f>GAW!F20</f>
        <v>12525336.402059</v>
      </c>
      <c r="H26" s="7"/>
      <c r="I26" s="53"/>
      <c r="J26" s="7"/>
      <c r="K26" s="7"/>
      <c r="L26" s="31"/>
      <c r="M26" s="7"/>
      <c r="N26" s="7"/>
      <c r="O26" s="7"/>
      <c r="P26" s="7"/>
      <c r="Q26" s="7"/>
      <c r="R26" s="7"/>
      <c r="S26" s="7"/>
      <c r="T26" s="7"/>
    </row>
    <row r="27" spans="1:20" s="42" customFormat="1" ht="11.25" customHeight="1">
      <c r="A27" s="28"/>
      <c r="B27" s="7" t="s">
        <v>175</v>
      </c>
      <c r="C27" s="7"/>
      <c r="D27" s="7" t="s">
        <v>3</v>
      </c>
      <c r="E27" s="7"/>
      <c r="F27" s="7"/>
      <c r="G27" s="87">
        <f>G25+G26</f>
        <v>49577040.841327697</v>
      </c>
      <c r="H27" s="7"/>
      <c r="I27" s="53"/>
      <c r="J27" s="7"/>
      <c r="K27" s="7"/>
      <c r="L27" s="31"/>
      <c r="M27" s="7"/>
      <c r="N27" s="7"/>
      <c r="O27" s="7"/>
      <c r="P27" s="7"/>
      <c r="Q27" s="7"/>
      <c r="R27" s="7"/>
      <c r="S27" s="7"/>
      <c r="T27" s="7"/>
    </row>
    <row r="28" spans="1:20" s="42" customFormat="1" ht="11.25" customHeight="1">
      <c r="A28" s="28"/>
      <c r="B28" s="7"/>
      <c r="C28" s="7"/>
      <c r="D28" s="7"/>
      <c r="E28" s="7"/>
      <c r="F28" s="7"/>
      <c r="G28" s="7"/>
      <c r="H28" s="7"/>
      <c r="I28" s="5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42" customFormat="1" ht="11.25" customHeight="1">
      <c r="A29" s="28"/>
      <c r="B29" s="26" t="s">
        <v>183</v>
      </c>
      <c r="C29" s="7"/>
      <c r="D29" s="7" t="s">
        <v>3</v>
      </c>
      <c r="E29" s="7"/>
      <c r="F29" s="7"/>
      <c r="G29" s="143"/>
      <c r="H29" s="87">
        <f>(G22*$C$8+G27)*($H$14*(1-$C$9)^1)</f>
        <v>82208064.060684025</v>
      </c>
      <c r="I29" s="5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s="42" customFormat="1" ht="11.25" customHeight="1">
      <c r="A30" s="28"/>
      <c r="B30" s="7"/>
      <c r="C30" s="7"/>
      <c r="D30" s="7"/>
      <c r="E30" s="7"/>
      <c r="F30" s="7"/>
      <c r="G30" s="7"/>
      <c r="H30" s="7"/>
      <c r="I30" s="5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42" customFormat="1" ht="11.25" customHeight="1">
      <c r="A31" s="28"/>
      <c r="B31" s="7" t="s">
        <v>158</v>
      </c>
      <c r="C31" s="7"/>
      <c r="D31" s="7" t="s">
        <v>3</v>
      </c>
      <c r="E31" s="119">
        <f>OPEX!D21</f>
        <v>29560321.117869653</v>
      </c>
      <c r="F31" s="119">
        <f>OPEX!E21</f>
        <v>30302526.325381704</v>
      </c>
      <c r="G31" s="119">
        <f>OPEX!F21</f>
        <v>53957490.813903302</v>
      </c>
      <c r="H31" s="7"/>
      <c r="I31" s="5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s="42" customFormat="1" ht="11.25" customHeight="1">
      <c r="A32" s="28"/>
      <c r="B32" s="26" t="s">
        <v>187</v>
      </c>
      <c r="C32" s="7"/>
      <c r="D32" s="7" t="s">
        <v>3</v>
      </c>
      <c r="E32" s="7"/>
      <c r="F32" s="7"/>
      <c r="G32" s="7"/>
      <c r="H32" s="87">
        <f>((E31*$E$13*(1-$C$9)^2+F31*$F$13*(1-$C$9)+G31*$G$13)/3)*($H$14*(1-$C$9)^1)</f>
        <v>38721645.956494242</v>
      </c>
      <c r="I32" s="5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s="42" customFormat="1" ht="11.25" customHeight="1">
      <c r="A33" s="28"/>
      <c r="B33" s="7"/>
      <c r="C33" s="7"/>
      <c r="D33" s="7"/>
      <c r="E33" s="7"/>
      <c r="F33" s="7"/>
      <c r="G33" s="7"/>
      <c r="H33" s="7"/>
      <c r="I33" s="5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s="42" customFormat="1" ht="11.25" customHeight="1">
      <c r="A34" s="28"/>
      <c r="B34" s="26" t="s">
        <v>176</v>
      </c>
      <c r="C34" s="7"/>
      <c r="D34" s="7" t="s">
        <v>3</v>
      </c>
      <c r="E34" s="7"/>
      <c r="F34" s="7"/>
      <c r="G34" s="7"/>
      <c r="H34" s="87">
        <f>H29+H32</f>
        <v>120929710.01717827</v>
      </c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s="42" customFormat="1" ht="11.25" customHeight="1">
      <c r="A35" s="28"/>
      <c r="B35" s="7"/>
      <c r="C35" s="7"/>
      <c r="D35" s="7"/>
      <c r="E35" s="7"/>
      <c r="F35" s="7"/>
      <c r="G35" s="7"/>
      <c r="H35" s="7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s="98" customFormat="1" ht="12.75">
      <c r="B36" s="98" t="s">
        <v>225</v>
      </c>
    </row>
    <row r="37" spans="1:20" s="42" customFormat="1" ht="11.25" customHeight="1">
      <c r="A37" s="28"/>
      <c r="B37" s="7"/>
      <c r="C37" s="7"/>
      <c r="D37" s="7"/>
      <c r="E37" s="7"/>
      <c r="F37" s="7"/>
      <c r="G37" s="7"/>
      <c r="H37" s="7"/>
      <c r="I37" s="5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s="42" customFormat="1" ht="11.25" customHeight="1">
      <c r="A38" s="28"/>
      <c r="B38" s="26" t="s">
        <v>179</v>
      </c>
      <c r="C38" s="7"/>
      <c r="D38" s="7"/>
      <c r="E38" s="7"/>
      <c r="F38" s="7"/>
      <c r="G38" s="7"/>
      <c r="H38" s="7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s="42" customFormat="1" ht="11.25" customHeight="1">
      <c r="A39" s="28"/>
      <c r="B39" s="7" t="s">
        <v>93</v>
      </c>
      <c r="C39" s="7"/>
      <c r="D39" s="7" t="s">
        <v>3</v>
      </c>
      <c r="E39" s="7"/>
      <c r="F39" s="7"/>
      <c r="G39" s="119">
        <f>GAW!F34</f>
        <v>575785451.91340816</v>
      </c>
      <c r="H39" s="7"/>
      <c r="I39" s="5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s="42" customFormat="1" ht="11.25" customHeight="1">
      <c r="A40" s="28"/>
      <c r="B40" s="7" t="s">
        <v>186</v>
      </c>
      <c r="C40" s="7"/>
      <c r="D40" s="7" t="s">
        <v>3</v>
      </c>
      <c r="E40" s="7"/>
      <c r="F40" s="7"/>
      <c r="G40" s="119">
        <f>GAW!F42</f>
        <v>99269745.406511933</v>
      </c>
      <c r="H40" s="7"/>
      <c r="I40" s="5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s="42" customFormat="1" ht="11.25" customHeight="1">
      <c r="A41" s="28"/>
      <c r="B41" s="7" t="s">
        <v>94</v>
      </c>
      <c r="C41" s="7"/>
      <c r="D41" s="7" t="s">
        <v>3</v>
      </c>
      <c r="E41" s="7"/>
      <c r="F41" s="7"/>
      <c r="G41" s="119">
        <f>GAW!F50</f>
        <v>292671035.14569229</v>
      </c>
      <c r="H41" s="7"/>
      <c r="I41" s="5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s="42" customFormat="1" ht="11.25" customHeight="1">
      <c r="A42" s="28"/>
      <c r="B42" s="7" t="s">
        <v>180</v>
      </c>
      <c r="C42" s="7"/>
      <c r="D42" s="7" t="s">
        <v>3</v>
      </c>
      <c r="E42" s="7"/>
      <c r="F42" s="7"/>
      <c r="G42" s="87">
        <f>G39+G40+G41</f>
        <v>967726232.46561241</v>
      </c>
      <c r="H42" s="7"/>
      <c r="I42" s="53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s="42" customFormat="1" ht="11.25" customHeight="1">
      <c r="A43" s="28"/>
      <c r="B43" s="7"/>
      <c r="C43" s="7"/>
      <c r="D43" s="7"/>
      <c r="E43" s="7"/>
      <c r="F43" s="7"/>
      <c r="G43" s="7"/>
      <c r="H43" s="7"/>
      <c r="I43" s="5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s="42" customFormat="1" ht="11.25" customHeight="1">
      <c r="A44" s="28"/>
      <c r="B44" s="26" t="s">
        <v>172</v>
      </c>
      <c r="C44" s="7"/>
      <c r="D44" s="7"/>
      <c r="E44" s="7"/>
      <c r="F44" s="7"/>
      <c r="G44" s="7"/>
      <c r="H44" s="7"/>
      <c r="I44" s="5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s="42" customFormat="1" ht="11.25" customHeight="1">
      <c r="A45" s="28"/>
      <c r="B45" s="7" t="s">
        <v>95</v>
      </c>
      <c r="C45" s="7"/>
      <c r="D45" s="7" t="s">
        <v>3</v>
      </c>
      <c r="E45" s="7"/>
      <c r="F45" s="7"/>
      <c r="G45" s="119">
        <f>GAW!F35</f>
        <v>36732203.336931914</v>
      </c>
      <c r="H45" s="7"/>
      <c r="I45" s="5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s="42" customFormat="1" ht="11.25" customHeight="1">
      <c r="A46" s="28"/>
      <c r="B46" s="7" t="s">
        <v>96</v>
      </c>
      <c r="C46" s="7"/>
      <c r="D46" s="7" t="s">
        <v>3</v>
      </c>
      <c r="E46" s="7"/>
      <c r="F46" s="7"/>
      <c r="G46" s="119">
        <f>GAW!F43</f>
        <v>3080162.7703216099</v>
      </c>
      <c r="H46" s="7"/>
      <c r="I46" s="5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s="42" customFormat="1" ht="11.25" customHeight="1">
      <c r="A47" s="28"/>
      <c r="B47" s="7" t="s">
        <v>97</v>
      </c>
      <c r="C47" s="7"/>
      <c r="D47" s="7" t="s">
        <v>3</v>
      </c>
      <c r="E47" s="7"/>
      <c r="F47" s="7"/>
      <c r="G47" s="119">
        <f>GAW!F51</f>
        <v>10149655.601941099</v>
      </c>
      <c r="H47" s="7"/>
      <c r="I47" s="5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s="42" customFormat="1" ht="11.25" customHeight="1">
      <c r="A48" s="28"/>
      <c r="B48" s="7" t="s">
        <v>181</v>
      </c>
      <c r="C48" s="7"/>
      <c r="D48" s="7" t="s">
        <v>3</v>
      </c>
      <c r="E48" s="7"/>
      <c r="F48" s="7"/>
      <c r="G48" s="87">
        <f>G45+G46+G47</f>
        <v>49962021.709194623</v>
      </c>
      <c r="H48" s="7"/>
      <c r="I48" s="5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3" s="42" customFormat="1" ht="11.25" customHeight="1">
      <c r="A49" s="28"/>
      <c r="B49" s="7"/>
      <c r="C49" s="7"/>
      <c r="D49" s="7"/>
      <c r="E49" s="7"/>
      <c r="F49" s="7"/>
      <c r="G49" s="7"/>
      <c r="H49" s="7"/>
      <c r="I49" s="5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3" s="42" customFormat="1" ht="11.25" customHeight="1">
      <c r="A50" s="28"/>
      <c r="B50" s="26" t="s">
        <v>182</v>
      </c>
      <c r="C50" s="7"/>
      <c r="D50" s="7" t="s">
        <v>3</v>
      </c>
      <c r="E50" s="7"/>
      <c r="F50" s="7"/>
      <c r="G50" s="7"/>
      <c r="H50" s="87">
        <f>(G42*$C$8+G48)*($H$14*(1-$C$9)^1)</f>
        <v>85796313.628874436</v>
      </c>
      <c r="I50" s="5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3" s="42" customFormat="1" ht="11.25" customHeight="1">
      <c r="A51" s="28"/>
      <c r="B51" s="7"/>
      <c r="C51" s="7"/>
      <c r="D51" s="7"/>
      <c r="E51" s="7"/>
      <c r="F51" s="7"/>
      <c r="G51" s="7"/>
      <c r="H51" s="7"/>
      <c r="I51" s="5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3" s="42" customFormat="1" ht="11.25" customHeight="1">
      <c r="A52" s="28"/>
      <c r="B52" s="7" t="s">
        <v>184</v>
      </c>
      <c r="C52" s="7"/>
      <c r="D52" s="7" t="s">
        <v>3</v>
      </c>
      <c r="E52" s="119">
        <f>OPEX!D44</f>
        <v>86953974.988841623</v>
      </c>
      <c r="F52" s="119">
        <f>OPEX!E44</f>
        <v>55690913.285044953</v>
      </c>
      <c r="G52" s="119">
        <f>OPEX!F44</f>
        <v>83051522.181297004</v>
      </c>
      <c r="H52" s="7"/>
      <c r="I52" s="5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3" s="42" customFormat="1" ht="11.25" customHeight="1">
      <c r="A53" s="28"/>
      <c r="B53" s="26" t="s">
        <v>187</v>
      </c>
      <c r="C53" s="7"/>
      <c r="D53" s="7" t="s">
        <v>3</v>
      </c>
      <c r="E53" s="7"/>
      <c r="F53" s="7"/>
      <c r="G53" s="7"/>
      <c r="H53" s="87">
        <f>((E52*$E$13*(1-$C$9)^2+F52*$F$13*(1-$C$9)+G52*$G$13)/3)*($H$14*(1-$C$9)^1)</f>
        <v>76937849.54134284</v>
      </c>
      <c r="I53" s="5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3" s="42" customFormat="1" ht="11.25" customHeight="1">
      <c r="A54" s="28"/>
      <c r="B54" s="7"/>
      <c r="C54" s="7"/>
      <c r="D54" s="7"/>
      <c r="E54" s="7"/>
      <c r="F54" s="7"/>
      <c r="G54" s="7"/>
      <c r="H54" s="7"/>
      <c r="I54" s="5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s="42" customFormat="1" ht="11.25" customHeight="1">
      <c r="A55" s="73"/>
      <c r="B55" s="26" t="s">
        <v>185</v>
      </c>
      <c r="C55" s="7"/>
      <c r="D55" s="7" t="s">
        <v>3</v>
      </c>
      <c r="E55" s="7"/>
      <c r="F55" s="7"/>
      <c r="G55" s="7"/>
      <c r="H55" s="87">
        <f>H50+H53</f>
        <v>162734163.17021728</v>
      </c>
      <c r="I55" s="53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s="42" customFormat="1" ht="11.25" customHeight="1">
      <c r="A56" s="73"/>
      <c r="B56" s="7"/>
      <c r="C56" s="7"/>
      <c r="D56" s="7"/>
      <c r="E56" s="7"/>
      <c r="F56" s="7"/>
      <c r="G56" s="7"/>
      <c r="H56" s="7"/>
      <c r="I56" s="5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s="98" customFormat="1" ht="12.75">
      <c r="B57" s="98" t="s">
        <v>226</v>
      </c>
    </row>
    <row r="58" spans="1:23" s="42" customFormat="1" ht="11.25" customHeight="1">
      <c r="A58" s="73"/>
      <c r="B58" s="7"/>
      <c r="C58" s="7"/>
      <c r="D58" s="7"/>
      <c r="E58" s="7"/>
      <c r="F58" s="7"/>
      <c r="G58" s="7"/>
      <c r="H58" s="7"/>
      <c r="I58" s="53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s="42" customFormat="1" ht="11.25" customHeight="1">
      <c r="A59" s="73"/>
      <c r="B59" s="26" t="s">
        <v>189</v>
      </c>
      <c r="C59" s="7"/>
      <c r="D59" s="7"/>
      <c r="E59" s="7"/>
      <c r="F59" s="7"/>
      <c r="G59" s="7"/>
      <c r="H59" s="7"/>
      <c r="I59" s="53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s="42" customFormat="1" ht="11.25" customHeight="1">
      <c r="A60" s="73"/>
      <c r="B60" s="7" t="s">
        <v>169</v>
      </c>
      <c r="C60" s="7"/>
      <c r="D60" s="7" t="s">
        <v>3</v>
      </c>
      <c r="E60" s="7"/>
      <c r="F60" s="7"/>
      <c r="G60" s="119">
        <f>GAW!F7</f>
        <v>58477743.792647012</v>
      </c>
      <c r="H60" s="7"/>
      <c r="I60" s="53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s="42" customFormat="1" ht="11.25" customHeight="1">
      <c r="A61" s="73"/>
      <c r="B61" s="7" t="s">
        <v>170</v>
      </c>
      <c r="C61" s="7"/>
      <c r="D61" s="7" t="s">
        <v>3</v>
      </c>
      <c r="E61" s="7"/>
      <c r="F61" s="7"/>
      <c r="G61" s="119">
        <f>GAW!F15</f>
        <v>127279894.44369283</v>
      </c>
      <c r="H61" s="7"/>
      <c r="I61" s="53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s="42" customFormat="1" ht="11.25" customHeight="1">
      <c r="A62" s="73"/>
      <c r="B62" s="7" t="s">
        <v>171</v>
      </c>
      <c r="C62" s="7"/>
      <c r="D62" s="7" t="s">
        <v>3</v>
      </c>
      <c r="E62" s="7"/>
      <c r="F62" s="7"/>
      <c r="G62" s="87">
        <f>G60+G61</f>
        <v>185757638.23633984</v>
      </c>
      <c r="H62" s="7"/>
      <c r="I62" s="53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s="42" customFormat="1" ht="11.25" customHeight="1">
      <c r="A63" s="73"/>
      <c r="B63" s="7"/>
      <c r="C63" s="7"/>
      <c r="D63" s="7"/>
      <c r="E63" s="7"/>
      <c r="F63" s="7"/>
      <c r="G63" s="7"/>
      <c r="H63" s="7"/>
      <c r="I63" s="5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s="42" customFormat="1" ht="11.25" customHeight="1">
      <c r="A64" s="73"/>
      <c r="B64" s="26" t="s">
        <v>190</v>
      </c>
      <c r="C64" s="7"/>
      <c r="D64" s="7"/>
      <c r="E64" s="7"/>
      <c r="F64" s="7"/>
      <c r="G64" s="7"/>
      <c r="H64" s="7"/>
      <c r="I64" s="5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s="42" customFormat="1" ht="11.25" customHeight="1">
      <c r="A65" s="73"/>
      <c r="B65" s="7" t="s">
        <v>173</v>
      </c>
      <c r="C65" s="7"/>
      <c r="D65" s="7" t="s">
        <v>3</v>
      </c>
      <c r="E65" s="7"/>
      <c r="F65" s="7"/>
      <c r="G65" s="119">
        <f>GAW!F8</f>
        <v>4498287.98404977</v>
      </c>
      <c r="H65" s="7"/>
      <c r="I65" s="53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s="42" customFormat="1" ht="11.25" customHeight="1">
      <c r="A66" s="73"/>
      <c r="B66" s="7" t="s">
        <v>174</v>
      </c>
      <c r="C66" s="7"/>
      <c r="D66" s="7" t="s">
        <v>3</v>
      </c>
      <c r="E66" s="7"/>
      <c r="F66" s="7"/>
      <c r="G66" s="119">
        <f>GAW!F16</f>
        <v>4579015.8875722503</v>
      </c>
      <c r="H66" s="7"/>
      <c r="I66" s="53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s="42" customFormat="1" ht="11.25" customHeight="1">
      <c r="A67" s="73"/>
      <c r="B67" s="7" t="s">
        <v>175</v>
      </c>
      <c r="C67" s="7"/>
      <c r="D67" s="7" t="s">
        <v>3</v>
      </c>
      <c r="E67" s="7"/>
      <c r="F67" s="7"/>
      <c r="G67" s="87">
        <f>G65+G66</f>
        <v>9077303.8716220204</v>
      </c>
      <c r="H67" s="7"/>
      <c r="I67" s="53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s="42" customFormat="1" ht="11.25" customHeight="1">
      <c r="A68" s="73"/>
      <c r="B68" s="7"/>
      <c r="C68" s="7"/>
      <c r="D68" s="7"/>
      <c r="E68" s="7"/>
      <c r="F68" s="7"/>
      <c r="G68" s="7"/>
      <c r="H68" s="7"/>
      <c r="I68" s="53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s="42" customFormat="1" ht="11.25" customHeight="1">
      <c r="A69" s="73"/>
      <c r="B69" s="26" t="s">
        <v>183</v>
      </c>
      <c r="C69" s="7"/>
      <c r="D69" s="7" t="s">
        <v>3</v>
      </c>
      <c r="E69" s="7"/>
      <c r="F69" s="7"/>
      <c r="G69" s="143"/>
      <c r="H69" s="87">
        <f>(G62*$C$8+G67)*($H$14*(1-$C$9)^1)</f>
        <v>15949765.355859239</v>
      </c>
      <c r="I69" s="5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s="42" customFormat="1" ht="11.25" customHeight="1">
      <c r="A70" s="73"/>
      <c r="B70" s="7"/>
      <c r="C70" s="7"/>
      <c r="D70" s="7"/>
      <c r="E70" s="7"/>
      <c r="F70" s="7"/>
      <c r="G70" s="7"/>
      <c r="H70" s="7"/>
      <c r="I70" s="53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s="42" customFormat="1" ht="11.25" customHeight="1">
      <c r="A71" s="73"/>
      <c r="B71" s="7" t="s">
        <v>158</v>
      </c>
      <c r="C71" s="7"/>
      <c r="D71" s="7" t="s">
        <v>3</v>
      </c>
      <c r="E71" s="119">
        <f>OPEX!D20</f>
        <v>12798191.519240648</v>
      </c>
      <c r="F71" s="119">
        <f>OPEX!E20</f>
        <v>10143704.224806601</v>
      </c>
      <c r="G71" s="119">
        <f>OPEX!F20</f>
        <v>2943002.9552000007</v>
      </c>
      <c r="H71" s="7"/>
      <c r="I71" s="5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s="42" customFormat="1" ht="11.25" customHeight="1">
      <c r="A72" s="73"/>
      <c r="B72" s="26" t="s">
        <v>191</v>
      </c>
      <c r="C72" s="7"/>
      <c r="D72" s="7" t="s">
        <v>3</v>
      </c>
      <c r="E72" s="7"/>
      <c r="F72" s="7"/>
      <c r="G72" s="7"/>
      <c r="H72" s="87">
        <f>((E71*$E$13*(1-$C$9)^2+F71*$F$13*(1-$C$9)+G71*$G$13)/3)*($H$14*(1-$C$9)^1)</f>
        <v>8860296.4467952847</v>
      </c>
      <c r="I72" s="53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s="42" customFormat="1" ht="11.25" customHeight="1">
      <c r="A73" s="73"/>
      <c r="B73" s="7"/>
      <c r="C73" s="7"/>
      <c r="D73" s="7"/>
      <c r="E73" s="7"/>
      <c r="F73" s="7"/>
      <c r="G73" s="7"/>
      <c r="H73" s="7"/>
      <c r="I73" s="5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s="42" customFormat="1" ht="11.25" customHeight="1">
      <c r="A74" s="73"/>
      <c r="B74" s="26" t="s">
        <v>176</v>
      </c>
      <c r="C74" s="7"/>
      <c r="D74" s="7" t="s">
        <v>3</v>
      </c>
      <c r="E74" s="7"/>
      <c r="F74" s="7"/>
      <c r="G74" s="7"/>
      <c r="H74" s="87">
        <f>H69+H72</f>
        <v>24810061.802654523</v>
      </c>
      <c r="I74" s="53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s="42" customFormat="1" ht="11.25" customHeight="1">
      <c r="A75" s="73"/>
      <c r="B75" s="26"/>
      <c r="C75" s="7"/>
      <c r="D75" s="7"/>
      <c r="E75" s="7"/>
      <c r="F75" s="7"/>
      <c r="G75" s="7"/>
      <c r="H75" s="144"/>
      <c r="I75" s="5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s="42" customFormat="1" ht="11.25" customHeight="1">
      <c r="A76" s="73"/>
      <c r="B76" s="145" t="s">
        <v>192</v>
      </c>
      <c r="C76" s="146"/>
      <c r="D76" s="146" t="s">
        <v>3</v>
      </c>
      <c r="E76" s="119">
        <f>GAW!D25</f>
        <v>1796717.12</v>
      </c>
      <c r="F76" s="119">
        <f>GAW!E25</f>
        <v>8552543.0833416823</v>
      </c>
      <c r="G76" s="119">
        <f>GAW!F25</f>
        <v>3063567.3751672315</v>
      </c>
      <c r="H76" s="144"/>
      <c r="I76" s="53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s="42" customFormat="1" ht="11.25" customHeight="1">
      <c r="A77" s="73"/>
      <c r="B77" s="145" t="s">
        <v>193</v>
      </c>
      <c r="C77" s="146"/>
      <c r="D77" s="146" t="s">
        <v>3</v>
      </c>
      <c r="E77" s="119">
        <f>GAW!D24</f>
        <v>10779.880000000003</v>
      </c>
      <c r="F77" s="119">
        <f>GAW!E24</f>
        <v>204722.76299900087</v>
      </c>
      <c r="G77" s="119">
        <f>GAW!F24</f>
        <v>307871.62919168413</v>
      </c>
      <c r="H77" s="144"/>
      <c r="I77" s="53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s="42" customFormat="1" ht="11.25" customHeight="1">
      <c r="A78" s="73"/>
      <c r="B78" s="145" t="s">
        <v>194</v>
      </c>
      <c r="C78" s="146"/>
      <c r="D78" s="146" t="s">
        <v>3</v>
      </c>
      <c r="E78" s="87">
        <f>E76*$C$8+E77</f>
        <v>75461.696320000003</v>
      </c>
      <c r="F78" s="87">
        <f t="shared" ref="F78:G78" si="0">F76*$C$8+F77</f>
        <v>512614.3139993014</v>
      </c>
      <c r="G78" s="87">
        <f t="shared" si="0"/>
        <v>418160.05469770444</v>
      </c>
      <c r="H78" s="144"/>
      <c r="I78" s="53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s="42" customFormat="1" ht="11.25" customHeight="1">
      <c r="A79" s="73"/>
      <c r="B79" s="147" t="s">
        <v>72</v>
      </c>
      <c r="C79" s="146"/>
      <c r="D79" s="146" t="s">
        <v>3</v>
      </c>
      <c r="E79" s="119">
        <f>GAW!D23</f>
        <v>1807497</v>
      </c>
      <c r="F79" s="119">
        <f>GAW!E23</f>
        <v>8757265.8463406824</v>
      </c>
      <c r="G79" s="119">
        <f>GAW!F23</f>
        <v>3371439.0043589156</v>
      </c>
      <c r="H79" s="144"/>
      <c r="I79" s="53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s="42" customFormat="1" ht="11.25" customHeight="1">
      <c r="A80" s="73"/>
      <c r="B80" s="145" t="s">
        <v>76</v>
      </c>
      <c r="C80" s="146"/>
      <c r="D80" s="146" t="s">
        <v>3</v>
      </c>
      <c r="E80" s="87">
        <f>$C$11*E79</f>
        <v>18074.97</v>
      </c>
      <c r="F80" s="87">
        <f t="shared" ref="F80:G80" si="1">$C$11*F79</f>
        <v>87572.658463406828</v>
      </c>
      <c r="G80" s="87">
        <f t="shared" si="1"/>
        <v>33714.390043589156</v>
      </c>
      <c r="H80" s="144"/>
      <c r="I80" s="53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s="42" customFormat="1" ht="11.25" customHeight="1">
      <c r="A81" s="73"/>
      <c r="B81" s="148" t="s">
        <v>195</v>
      </c>
      <c r="C81" s="146"/>
      <c r="D81" s="146" t="s">
        <v>3</v>
      </c>
      <c r="E81" s="7"/>
      <c r="F81" s="7"/>
      <c r="G81" s="7"/>
      <c r="H81" s="87">
        <f>(((E78+E80)*$E$13*(1-$C$9)^2+(F78+F80)*$F$13*(1-$C$9)+(G78+G80)*$G$13)/3)*($H$14*(1-$C$9)^1)</f>
        <v>389917.01592262817</v>
      </c>
      <c r="I81" s="53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1:23" s="42" customFormat="1" ht="11.25" customHeight="1">
      <c r="A82" s="73"/>
      <c r="B82" s="26"/>
      <c r="C82" s="7"/>
      <c r="D82" s="7"/>
      <c r="E82" s="7"/>
      <c r="F82" s="7"/>
      <c r="G82" s="7"/>
      <c r="H82" s="144"/>
      <c r="I82" s="53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s="42" customFormat="1" ht="11.25" customHeight="1">
      <c r="A83" s="73"/>
      <c r="B83" s="7" t="s">
        <v>139</v>
      </c>
      <c r="C83" s="7"/>
      <c r="D83" s="7" t="s">
        <v>3</v>
      </c>
      <c r="E83" s="28"/>
      <c r="F83" s="28"/>
      <c r="G83" s="119">
        <f>OPEX!F24</f>
        <v>47338243.009999998</v>
      </c>
      <c r="H83" s="144"/>
      <c r="I83" s="53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s="42" customFormat="1" ht="11.25" customHeight="1">
      <c r="A84" s="73"/>
      <c r="B84" s="7" t="s">
        <v>92</v>
      </c>
      <c r="C84" s="7"/>
      <c r="D84" s="7"/>
      <c r="E84" s="28"/>
      <c r="F84" s="28"/>
      <c r="G84" s="119">
        <f>OPEX!F25</f>
        <v>4901018.62</v>
      </c>
      <c r="H84" s="144"/>
      <c r="I84" s="53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s="42" customFormat="1" ht="11.25" customHeight="1">
      <c r="A85" s="73"/>
      <c r="B85" s="26" t="s">
        <v>196</v>
      </c>
      <c r="C85" s="7"/>
      <c r="D85" s="7" t="s">
        <v>3</v>
      </c>
      <c r="E85" s="7"/>
      <c r="F85" s="7"/>
      <c r="G85" s="7"/>
      <c r="H85" s="87">
        <f>SUM(G83:G84)*$H$14</f>
        <v>53440764.647489987</v>
      </c>
      <c r="I85" s="53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1:23" s="42" customFormat="1" ht="11.25" customHeight="1">
      <c r="A86" s="73"/>
      <c r="B86" s="26"/>
      <c r="C86" s="7"/>
      <c r="D86" s="7"/>
      <c r="E86" s="7"/>
      <c r="F86" s="7"/>
      <c r="G86" s="7"/>
      <c r="H86" s="144"/>
      <c r="I86" s="53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1:23" s="98" customFormat="1" ht="12.75">
      <c r="B87" s="98" t="s">
        <v>227</v>
      </c>
    </row>
    <row r="88" spans="1:23" s="42" customFormat="1" ht="11.25" customHeight="1">
      <c r="A88" s="73"/>
      <c r="B88" s="26"/>
      <c r="C88" s="7"/>
      <c r="D88" s="7"/>
      <c r="E88" s="7"/>
      <c r="F88" s="7"/>
      <c r="G88" s="7"/>
      <c r="H88" s="144"/>
      <c r="I88" s="53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1:23" s="42" customFormat="1" ht="11.25" customHeight="1">
      <c r="A89" s="73"/>
      <c r="B89" s="26" t="s">
        <v>246</v>
      </c>
      <c r="C89" s="7"/>
      <c r="D89" s="7"/>
      <c r="E89" s="7"/>
      <c r="F89" s="7"/>
      <c r="G89" s="7"/>
      <c r="H89" s="7"/>
      <c r="I89" s="53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1:23" s="42" customFormat="1" ht="11.25" customHeight="1">
      <c r="A90" s="73"/>
      <c r="B90" s="7" t="s">
        <v>93</v>
      </c>
      <c r="C90" s="7"/>
      <c r="D90" s="7" t="s">
        <v>3</v>
      </c>
      <c r="E90" s="7"/>
      <c r="F90" s="7"/>
      <c r="G90" s="119">
        <f>GAW!F30</f>
        <v>88007048.823799416</v>
      </c>
      <c r="H90" s="7"/>
      <c r="I90" s="53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s="42" customFormat="1" ht="11.25" customHeight="1">
      <c r="A91" s="73"/>
      <c r="B91" s="7" t="s">
        <v>186</v>
      </c>
      <c r="C91" s="7"/>
      <c r="D91" s="7" t="s">
        <v>3</v>
      </c>
      <c r="E91" s="7"/>
      <c r="F91" s="7"/>
      <c r="G91" s="119">
        <f>GAW!F38</f>
        <v>9987177.4268070552</v>
      </c>
      <c r="H91" s="7"/>
      <c r="I91" s="53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s="42" customFormat="1" ht="11.25" customHeight="1">
      <c r="A92" s="73"/>
      <c r="B92" s="7" t="s">
        <v>94</v>
      </c>
      <c r="C92" s="7"/>
      <c r="D92" s="7" t="s">
        <v>3</v>
      </c>
      <c r="E92" s="7"/>
      <c r="F92" s="7"/>
      <c r="G92" s="119">
        <f>GAW!F46</f>
        <v>95889238.342178658</v>
      </c>
      <c r="H92" s="7"/>
      <c r="I92" s="53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s="42" customFormat="1" ht="11.25" customHeight="1">
      <c r="A93" s="73"/>
      <c r="B93" s="7" t="s">
        <v>180</v>
      </c>
      <c r="C93" s="7"/>
      <c r="D93" s="7" t="s">
        <v>3</v>
      </c>
      <c r="E93" s="7"/>
      <c r="F93" s="7"/>
      <c r="G93" s="87">
        <f>G90+G91+G92</f>
        <v>193883464.59278512</v>
      </c>
      <c r="H93" s="7"/>
      <c r="I93" s="53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s="42" customFormat="1" ht="11.25" customHeight="1">
      <c r="A94" s="73"/>
      <c r="B94" s="7"/>
      <c r="C94" s="7"/>
      <c r="D94" s="7"/>
      <c r="E94" s="7"/>
      <c r="F94" s="7"/>
      <c r="G94" s="7"/>
      <c r="H94" s="7"/>
      <c r="I94" s="53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s="42" customFormat="1" ht="11.25" customHeight="1">
      <c r="A95" s="73"/>
      <c r="B95" s="26" t="s">
        <v>190</v>
      </c>
      <c r="C95" s="7"/>
      <c r="D95" s="7"/>
      <c r="E95" s="7"/>
      <c r="F95" s="7"/>
      <c r="G95" s="7"/>
      <c r="H95" s="7"/>
      <c r="I95" s="5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s="42" customFormat="1" ht="11.25" customHeight="1">
      <c r="A96" s="73"/>
      <c r="B96" s="7" t="s">
        <v>95</v>
      </c>
      <c r="C96" s="7"/>
      <c r="D96" s="7" t="s">
        <v>3</v>
      </c>
      <c r="E96" s="7"/>
      <c r="F96" s="7"/>
      <c r="G96" s="119">
        <f>GAW!F31</f>
        <v>5614405.1603534715</v>
      </c>
      <c r="H96" s="7"/>
      <c r="I96" s="53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3" s="42" customFormat="1" ht="11.25" customHeight="1">
      <c r="A97" s="73"/>
      <c r="B97" s="7" t="s">
        <v>96</v>
      </c>
      <c r="C97" s="7"/>
      <c r="D97" s="7" t="s">
        <v>3</v>
      </c>
      <c r="E97" s="7"/>
      <c r="F97" s="7"/>
      <c r="G97" s="119">
        <f>GAW!F39</f>
        <v>312096.29835464997</v>
      </c>
      <c r="H97" s="7"/>
      <c r="I97" s="53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3" s="42" customFormat="1" ht="11.25" customHeight="1">
      <c r="A98" s="73"/>
      <c r="B98" s="7" t="s">
        <v>97</v>
      </c>
      <c r="C98" s="7"/>
      <c r="D98" s="7" t="s">
        <v>3</v>
      </c>
      <c r="E98" s="7"/>
      <c r="F98" s="7"/>
      <c r="G98" s="119">
        <f>GAW!F47</f>
        <v>7434174.1064226599</v>
      </c>
      <c r="H98" s="7"/>
      <c r="I98" s="53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1:23" s="42" customFormat="1" ht="11.25" customHeight="1">
      <c r="A99" s="73"/>
      <c r="B99" s="7" t="s">
        <v>181</v>
      </c>
      <c r="C99" s="7"/>
      <c r="D99" s="7" t="s">
        <v>3</v>
      </c>
      <c r="E99" s="7"/>
      <c r="F99" s="7"/>
      <c r="G99" s="87">
        <f>G96+G97+G98</f>
        <v>13360675.565130781</v>
      </c>
      <c r="H99" s="7"/>
      <c r="I99" s="53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s="42" customFormat="1" ht="11.25" customHeight="1">
      <c r="A100" s="73"/>
      <c r="B100" s="7"/>
      <c r="C100" s="7"/>
      <c r="D100" s="7"/>
      <c r="E100" s="7"/>
      <c r="F100" s="7"/>
      <c r="G100" s="7"/>
      <c r="H100" s="7"/>
      <c r="I100" s="53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1:23" s="42" customFormat="1" ht="11.25" customHeight="1">
      <c r="A101" s="73"/>
      <c r="B101" s="26" t="s">
        <v>182</v>
      </c>
      <c r="C101" s="7"/>
      <c r="D101" s="7" t="s">
        <v>3</v>
      </c>
      <c r="E101" s="7"/>
      <c r="F101" s="7"/>
      <c r="G101" s="7"/>
      <c r="H101" s="87">
        <f>(G93*$C$8+G99)*($H$14*(1-$C$9)^1)</f>
        <v>20579419.912443209</v>
      </c>
      <c r="I101" s="5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3" s="42" customFormat="1" ht="11.25" customHeight="1">
      <c r="A102" s="73"/>
      <c r="B102" s="7"/>
      <c r="C102" s="7"/>
      <c r="D102" s="7"/>
      <c r="E102" s="7"/>
      <c r="F102" s="7"/>
      <c r="G102" s="7"/>
      <c r="H102" s="7"/>
      <c r="I102" s="53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s="42" customFormat="1" ht="11.25" customHeight="1">
      <c r="A103" s="73"/>
      <c r="B103" s="7" t="s">
        <v>197</v>
      </c>
      <c r="C103" s="7"/>
      <c r="D103" s="7" t="s">
        <v>3</v>
      </c>
      <c r="E103" s="119">
        <f>OPEX!D43</f>
        <v>11559481.816901097</v>
      </c>
      <c r="F103" s="119">
        <f>OPEX!E43</f>
        <v>10506372.433182042</v>
      </c>
      <c r="G103" s="119">
        <f>OPEX!F43</f>
        <v>10434283.204800002</v>
      </c>
      <c r="H103" s="7"/>
      <c r="I103" s="5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s="42" customFormat="1" ht="11.25" customHeight="1">
      <c r="A104" s="73"/>
      <c r="B104" s="26" t="s">
        <v>191</v>
      </c>
      <c r="C104" s="7"/>
      <c r="D104" s="7" t="s">
        <v>3</v>
      </c>
      <c r="E104" s="7"/>
      <c r="F104" s="7"/>
      <c r="G104" s="7"/>
      <c r="H104" s="87">
        <f>((E103*$E$13*(1-$C$9)^2+F103*$F$13*(1-$C$9)+G103*$G$13)/3)*($H$14*(1-$C$9)^1)</f>
        <v>11085306.278977234</v>
      </c>
      <c r="I104" s="53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3" s="42" customFormat="1" ht="11.25" customHeight="1">
      <c r="A105" s="73"/>
      <c r="B105" s="7"/>
      <c r="C105" s="7"/>
      <c r="D105" s="7"/>
      <c r="E105" s="7"/>
      <c r="F105" s="7"/>
      <c r="G105" s="7"/>
      <c r="H105" s="7"/>
      <c r="I105" s="53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3" s="42" customFormat="1" ht="11.25" customHeight="1">
      <c r="A106" s="73"/>
      <c r="B106" s="26" t="s">
        <v>185</v>
      </c>
      <c r="C106" s="7"/>
      <c r="D106" s="7" t="s">
        <v>3</v>
      </c>
      <c r="E106" s="7"/>
      <c r="F106" s="7"/>
      <c r="G106" s="7"/>
      <c r="H106" s="87">
        <f>H101+H104</f>
        <v>31664726.191420443</v>
      </c>
      <c r="I106" s="53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3" s="42" customFormat="1" ht="11.25" customHeight="1">
      <c r="A107" s="73"/>
      <c r="B107" s="26"/>
      <c r="C107" s="7"/>
      <c r="D107" s="7"/>
      <c r="E107" s="7"/>
      <c r="F107" s="7"/>
      <c r="G107" s="7"/>
      <c r="H107" s="144"/>
      <c r="I107" s="5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3" s="42" customFormat="1" ht="11.25" customHeight="1">
      <c r="A108" s="73"/>
      <c r="B108" s="145" t="s">
        <v>213</v>
      </c>
      <c r="C108" s="146"/>
      <c r="D108" s="146" t="s">
        <v>3</v>
      </c>
      <c r="E108" s="119">
        <f>GAW!D56</f>
        <v>522903.06793997268</v>
      </c>
      <c r="F108" s="119">
        <f>GAW!E56</f>
        <v>49947933.706694119</v>
      </c>
      <c r="G108" s="119">
        <f>GAW!F56</f>
        <v>46873009.271795735</v>
      </c>
      <c r="H108" s="144"/>
      <c r="I108" s="53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s="42" customFormat="1" ht="11.25" customHeight="1">
      <c r="A109" s="73"/>
      <c r="B109" s="145" t="s">
        <v>211</v>
      </c>
      <c r="C109" s="146"/>
      <c r="D109" s="146" t="s">
        <v>3</v>
      </c>
      <c r="E109" s="119">
        <f>GAW!D55</f>
        <v>21787.627830832196</v>
      </c>
      <c r="F109" s="119">
        <f>GAW!E55</f>
        <v>1139876.3166098932</v>
      </c>
      <c r="G109" s="119">
        <f>GAW!F55</f>
        <v>1227726.393840078</v>
      </c>
      <c r="H109" s="144"/>
      <c r="I109" s="53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s="42" customFormat="1" ht="11.25" customHeight="1">
      <c r="A110" s="73"/>
      <c r="B110" s="145" t="s">
        <v>212</v>
      </c>
      <c r="C110" s="146"/>
      <c r="D110" s="146" t="s">
        <v>3</v>
      </c>
      <c r="E110" s="87">
        <f>E108*$C$8+E109</f>
        <v>40612.138276671212</v>
      </c>
      <c r="F110" s="87">
        <f t="shared" ref="F110:G110" si="2">F108*$C$8+F109</f>
        <v>2938001.9300508816</v>
      </c>
      <c r="G110" s="87">
        <f t="shared" si="2"/>
        <v>2915154.7276247246</v>
      </c>
      <c r="H110" s="144"/>
      <c r="I110" s="53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3" s="42" customFormat="1" ht="11.25" customHeight="1">
      <c r="A111" s="73"/>
      <c r="B111" s="147" t="s">
        <v>72</v>
      </c>
      <c r="C111" s="146"/>
      <c r="D111" s="146" t="s">
        <v>3</v>
      </c>
      <c r="E111" s="119">
        <f>GAW!D54</f>
        <v>544690.69577080489</v>
      </c>
      <c r="F111" s="119">
        <f>GAW!E54</f>
        <v>51087810.023304015</v>
      </c>
      <c r="G111" s="119">
        <f>GAW!F54</f>
        <v>48100735.665635809</v>
      </c>
      <c r="H111" s="144"/>
      <c r="I111" s="53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3" s="42" customFormat="1" ht="11.25" customHeight="1">
      <c r="A112" s="73"/>
      <c r="B112" s="145" t="s">
        <v>76</v>
      </c>
      <c r="C112" s="146"/>
      <c r="D112" s="146" t="s">
        <v>3</v>
      </c>
      <c r="E112" s="87">
        <f>$C$11*E111</f>
        <v>5446.906957708049</v>
      </c>
      <c r="F112" s="87">
        <f t="shared" ref="F112:G112" si="3">$C$11*F111</f>
        <v>510878.10023304017</v>
      </c>
      <c r="G112" s="87">
        <f t="shared" si="3"/>
        <v>481007.35665635811</v>
      </c>
      <c r="H112" s="144"/>
      <c r="I112" s="53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1:23" s="42" customFormat="1" ht="11.25" customHeight="1">
      <c r="A113" s="73"/>
      <c r="B113" s="148" t="s">
        <v>214</v>
      </c>
      <c r="C113" s="146"/>
      <c r="D113" s="146" t="s">
        <v>3</v>
      </c>
      <c r="E113" s="7"/>
      <c r="F113" s="7"/>
      <c r="G113" s="7"/>
      <c r="H113" s="87">
        <f>(((E110+E112)*$E$13*(1-$C$9)^2+(F110+F112)*$F$13*(1-$C$9)+(G110+G112)*$G$13)/3)*($H$14*(1-$C$9)^1)</f>
        <v>2341420.2945408267</v>
      </c>
      <c r="I113" s="53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1:23" s="42" customFormat="1" ht="11.25" customHeight="1">
      <c r="A114" s="73"/>
      <c r="B114" s="26"/>
      <c r="C114" s="7"/>
      <c r="D114" s="7"/>
      <c r="E114" s="7"/>
      <c r="F114" s="7"/>
      <c r="G114" s="7"/>
      <c r="H114" s="144"/>
      <c r="I114" s="53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s="42" customFormat="1" ht="11.25" customHeight="1">
      <c r="A115" s="73"/>
      <c r="B115" s="7" t="s">
        <v>138</v>
      </c>
      <c r="C115" s="7"/>
      <c r="D115" s="7" t="s">
        <v>3</v>
      </c>
      <c r="E115" s="28"/>
      <c r="F115" s="28"/>
      <c r="G115" s="119">
        <f>OPEX!F47</f>
        <v>25610093.009999983</v>
      </c>
      <c r="H115" s="144"/>
      <c r="I115" s="53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1:23" s="42" customFormat="1" ht="11.25" customHeight="1">
      <c r="A116" s="73"/>
      <c r="B116" s="26" t="s">
        <v>215</v>
      </c>
      <c r="C116" s="7"/>
      <c r="D116" s="7" t="s">
        <v>3</v>
      </c>
      <c r="E116" s="7"/>
      <c r="F116" s="7"/>
      <c r="G116" s="7"/>
      <c r="H116" s="87">
        <f>SUM(G115:G115)*$H$14</f>
        <v>26199125.149229981</v>
      </c>
      <c r="I116" s="53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1:23" s="42" customFormat="1" ht="11.25" customHeight="1">
      <c r="A117" s="73"/>
      <c r="B117" s="26"/>
      <c r="C117" s="7"/>
      <c r="D117" s="7"/>
      <c r="E117" s="7"/>
      <c r="F117" s="7"/>
      <c r="G117" s="7"/>
      <c r="H117" s="144"/>
      <c r="I117" s="53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1:23" s="98" customFormat="1" ht="12.75">
      <c r="B118" s="98" t="s">
        <v>228</v>
      </c>
    </row>
    <row r="119" spans="1:23" s="42" customFormat="1" ht="11.25" customHeight="1">
      <c r="A119" s="73"/>
      <c r="B119" s="26"/>
      <c r="C119" s="7"/>
      <c r="D119" s="7"/>
      <c r="E119" s="7"/>
      <c r="F119" s="7"/>
      <c r="G119" s="7"/>
      <c r="H119" s="144"/>
      <c r="I119" s="53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1:23" s="42" customFormat="1" ht="11.25" customHeight="1">
      <c r="A120" s="73"/>
      <c r="B120" s="26" t="s">
        <v>199</v>
      </c>
      <c r="C120" s="7"/>
      <c r="D120" s="7"/>
      <c r="E120" s="7"/>
      <c r="F120" s="7"/>
      <c r="G120" s="7"/>
      <c r="H120" s="144"/>
      <c r="I120" s="5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s="42" customFormat="1" ht="11.25" customHeight="1">
      <c r="A121" s="73"/>
      <c r="B121" s="7" t="s">
        <v>200</v>
      </c>
      <c r="C121" s="7"/>
      <c r="D121" s="7" t="s">
        <v>3</v>
      </c>
      <c r="E121" s="7"/>
      <c r="F121" s="7"/>
      <c r="G121" s="7"/>
      <c r="H121" s="119">
        <f>H34</f>
        <v>120929710.01717827</v>
      </c>
      <c r="I121" s="87">
        <f>$H$121*I$15*(1-$C$9)^1*I$7</f>
        <v>121483175.0674994</v>
      </c>
      <c r="J121" s="87">
        <f>$H$121*J$15*(1-$C$9)^2*J$7</f>
        <v>122037036.68624645</v>
      </c>
      <c r="K121" s="87">
        <f>$H$121*K$15*(1-$C$9)^3*K$7</f>
        <v>122591259.17142585</v>
      </c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1:23" s="42" customFormat="1" ht="11.25" customHeight="1">
      <c r="A122" s="73"/>
      <c r="B122" s="26"/>
      <c r="C122" s="7"/>
      <c r="D122" s="7"/>
      <c r="E122" s="7"/>
      <c r="F122" s="7"/>
      <c r="G122" s="7"/>
      <c r="H122" s="144"/>
      <c r="I122" s="5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1:23" s="42" customFormat="1" ht="11.25" customHeight="1">
      <c r="A123" s="73"/>
      <c r="B123" s="26" t="s">
        <v>201</v>
      </c>
      <c r="C123" s="7"/>
      <c r="D123" s="7"/>
      <c r="E123" s="7"/>
      <c r="F123" s="7"/>
      <c r="G123" s="7"/>
      <c r="H123" s="144"/>
      <c r="I123" s="5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s="42" customFormat="1" ht="11.25" customHeight="1">
      <c r="A124" s="73"/>
      <c r="B124" s="7" t="s">
        <v>200</v>
      </c>
      <c r="C124" s="7"/>
      <c r="D124" s="7" t="s">
        <v>3</v>
      </c>
      <c r="E124" s="7"/>
      <c r="F124" s="7"/>
      <c r="G124" s="7"/>
      <c r="H124" s="119">
        <f>H74</f>
        <v>24810061.802654523</v>
      </c>
      <c r="I124" s="87">
        <f>$H$124*I$15*(1-$C$9)^1</f>
        <v>25027894.145281829</v>
      </c>
      <c r="J124" s="87">
        <f>$H$124*J$15*(1-$C$9)^2</f>
        <v>25247639.055877402</v>
      </c>
      <c r="K124" s="87">
        <f>$H$124*K$15*(1-$C$9)^3</f>
        <v>25469313.326788004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1:23" s="42" customFormat="1" ht="11.25" customHeight="1">
      <c r="A125" s="73"/>
      <c r="B125" s="7" t="s">
        <v>202</v>
      </c>
      <c r="C125" s="7"/>
      <c r="D125" s="7" t="s">
        <v>3</v>
      </c>
      <c r="E125" s="7"/>
      <c r="F125" s="7"/>
      <c r="G125" s="7"/>
      <c r="H125" s="119">
        <f>H81</f>
        <v>389917.01592262817</v>
      </c>
      <c r="I125" s="87">
        <f>2*$H$125*I$15*(1-$C$9)^1</f>
        <v>786680.97464485769</v>
      </c>
      <c r="J125" s="87">
        <f>3*$H$125*J$15*(1-$C$9)^2</f>
        <v>1190382.0504033593</v>
      </c>
      <c r="K125" s="87">
        <f>3.5*$H$125*K$15*(1-$C$9)^3</f>
        <v>1400972.5389402173</v>
      </c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1:23" s="42" customFormat="1" ht="11.25" customHeight="1">
      <c r="A126" s="73"/>
      <c r="B126" s="26"/>
      <c r="C126" s="7"/>
      <c r="D126" s="7"/>
      <c r="E126" s="7"/>
      <c r="F126" s="7"/>
      <c r="G126" s="7"/>
      <c r="H126" s="144"/>
      <c r="I126" s="5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1:23" s="42" customFormat="1" ht="11.25" customHeight="1">
      <c r="A127" s="73"/>
      <c r="B127" s="26" t="s">
        <v>217</v>
      </c>
      <c r="C127" s="7"/>
      <c r="D127" s="7" t="s">
        <v>3</v>
      </c>
      <c r="E127" s="7"/>
      <c r="F127" s="7"/>
      <c r="G127" s="7"/>
      <c r="H127" s="119">
        <f>H85</f>
        <v>53440764.647489987</v>
      </c>
      <c r="I127" s="87">
        <f>$H$127*I$15</f>
        <v>54509579.94043979</v>
      </c>
      <c r="J127" s="87">
        <f t="shared" ref="J127:K127" si="4">$H$127*J$15</f>
        <v>55599771.539248586</v>
      </c>
      <c r="K127" s="87">
        <f t="shared" si="4"/>
        <v>56711766.970033549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1:23" s="42" customFormat="1" ht="11.25" customHeight="1">
      <c r="A128" s="73"/>
      <c r="B128" s="26"/>
      <c r="C128" s="7"/>
      <c r="D128" s="7"/>
      <c r="E128" s="7"/>
      <c r="F128" s="7"/>
      <c r="G128" s="7"/>
      <c r="H128" s="144"/>
      <c r="I128" s="5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1:23" s="98" customFormat="1" ht="12.75">
      <c r="B129" s="98" t="s">
        <v>229</v>
      </c>
    </row>
    <row r="130" spans="1:23" s="42" customFormat="1" ht="11.25" customHeight="1">
      <c r="A130" s="73"/>
      <c r="B130" s="26"/>
      <c r="C130" s="7"/>
      <c r="D130" s="7"/>
      <c r="E130" s="7"/>
      <c r="F130" s="7"/>
      <c r="G130" s="7"/>
      <c r="H130" s="144"/>
      <c r="I130" s="5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1:23" s="42" customFormat="1" ht="11.25" customHeight="1">
      <c r="A131" s="73"/>
      <c r="B131" s="26" t="s">
        <v>199</v>
      </c>
      <c r="C131" s="7"/>
      <c r="D131" s="7"/>
      <c r="E131" s="7"/>
      <c r="F131" s="7"/>
      <c r="G131" s="7"/>
      <c r="H131" s="144"/>
      <c r="I131" s="5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s="42" customFormat="1" ht="11.25" customHeight="1">
      <c r="A132" s="73"/>
      <c r="B132" s="7" t="s">
        <v>200</v>
      </c>
      <c r="C132" s="7"/>
      <c r="D132" s="7" t="s">
        <v>3</v>
      </c>
      <c r="E132" s="7"/>
      <c r="F132" s="7"/>
      <c r="G132" s="7"/>
      <c r="H132" s="119">
        <f>H55</f>
        <v>162734163.17021728</v>
      </c>
      <c r="I132" s="87">
        <f>$H$132*I$15*(1-$C$9)^1*I$7</f>
        <v>163478956.75150657</v>
      </c>
      <c r="J132" s="87">
        <f>$H$132*J$15*(1-$C$9)^2*J$7</f>
        <v>164224283.99181917</v>
      </c>
      <c r="K132" s="87">
        <f>$H$132*K$15*(1-$C$9)^3*K$7</f>
        <v>164970096.847262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s="42" customFormat="1" ht="11.25" customHeight="1">
      <c r="A133" s="73"/>
      <c r="B133" s="26"/>
      <c r="C133" s="7"/>
      <c r="D133" s="7"/>
      <c r="E133" s="7"/>
      <c r="F133" s="7"/>
      <c r="G133" s="7"/>
      <c r="H133" s="144"/>
      <c r="I133" s="5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s="42" customFormat="1" ht="11.25" customHeight="1">
      <c r="A134" s="73"/>
      <c r="B134" s="26" t="s">
        <v>201</v>
      </c>
      <c r="C134" s="7"/>
      <c r="D134" s="7"/>
      <c r="E134" s="7"/>
      <c r="F134" s="7"/>
      <c r="G134" s="7"/>
      <c r="H134" s="144"/>
      <c r="I134" s="5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s="42" customFormat="1" ht="11.25" customHeight="1">
      <c r="A135" s="73"/>
      <c r="B135" s="7" t="s">
        <v>200</v>
      </c>
      <c r="C135" s="7"/>
      <c r="D135" s="7" t="s">
        <v>3</v>
      </c>
      <c r="E135" s="7"/>
      <c r="F135" s="7"/>
      <c r="G135" s="7"/>
      <c r="H135" s="119">
        <f>H106</f>
        <v>31664726.191420443</v>
      </c>
      <c r="I135" s="87">
        <f>$H$135*I$15*(1-$C$9)^1</f>
        <v>31942742.487381116</v>
      </c>
      <c r="J135" s="87">
        <f>$H$135*J$15*(1-$C$9)^2</f>
        <v>32223199.76642032</v>
      </c>
      <c r="K135" s="87">
        <f>$H$135*K$15*(1-$C$9)^3</f>
        <v>32506119.460369486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s="42" customFormat="1" ht="11.25" customHeight="1">
      <c r="A136" s="73"/>
      <c r="B136" s="7" t="s">
        <v>202</v>
      </c>
      <c r="C136" s="7"/>
      <c r="D136" s="7" t="s">
        <v>3</v>
      </c>
      <c r="E136" s="7"/>
      <c r="F136" s="7"/>
      <c r="G136" s="7"/>
      <c r="H136" s="119">
        <f>H113</f>
        <v>2341420.2945408267</v>
      </c>
      <c r="I136" s="87">
        <f>2*$H$136*I$15*(1-$C$9)^1</f>
        <v>4723955.9294537902</v>
      </c>
      <c r="J136" s="87">
        <f>3*$H$136*J$15*(1-$C$9)^2</f>
        <v>7148148.3937715925</v>
      </c>
      <c r="K136" s="87">
        <f>3.5*$H$136*K$15*(1-$C$9)^3</f>
        <v>8412727.3261137232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s="42" customFormat="1" ht="11.25" customHeight="1">
      <c r="A137" s="73"/>
      <c r="B137" s="26"/>
      <c r="C137" s="7"/>
      <c r="D137" s="7"/>
      <c r="E137" s="7"/>
      <c r="F137" s="7"/>
      <c r="G137" s="7"/>
      <c r="H137" s="144"/>
      <c r="I137" s="5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s="42" customFormat="1" ht="11.25" customHeight="1">
      <c r="A138" s="73"/>
      <c r="B138" s="26" t="s">
        <v>218</v>
      </c>
      <c r="C138" s="7"/>
      <c r="D138" s="7" t="s">
        <v>3</v>
      </c>
      <c r="E138" s="7"/>
      <c r="F138" s="7"/>
      <c r="G138" s="7"/>
      <c r="H138" s="119">
        <f>H116</f>
        <v>26199125.149229981</v>
      </c>
      <c r="I138" s="87">
        <f>$H$138*I$15</f>
        <v>26723107.652214579</v>
      </c>
      <c r="J138" s="87">
        <f t="shared" ref="J138:K138" si="5">$H$138*J$15</f>
        <v>27257569.805258874</v>
      </c>
      <c r="K138" s="87">
        <f t="shared" si="5"/>
        <v>27802721.201364048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s="42" customFormat="1" ht="11.25" customHeight="1">
      <c r="A139" s="73"/>
      <c r="B139" s="7"/>
      <c r="C139" s="7"/>
      <c r="D139" s="7"/>
      <c r="E139" s="7"/>
      <c r="F139" s="7"/>
      <c r="G139" s="7"/>
      <c r="H139" s="7"/>
      <c r="I139" s="5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s="98" customFormat="1" ht="12.75">
      <c r="B140" s="98" t="s">
        <v>207</v>
      </c>
    </row>
    <row r="141" spans="1:23" s="42" customFormat="1" ht="11.25" customHeight="1">
      <c r="A141" s="73"/>
      <c r="B141" s="7"/>
      <c r="C141" s="7"/>
      <c r="D141" s="7"/>
      <c r="E141" s="7"/>
      <c r="F141" s="7"/>
      <c r="G141" s="7"/>
      <c r="H141" s="7"/>
      <c r="I141" s="5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s="42" customFormat="1" ht="11.25" customHeight="1">
      <c r="A142" s="73"/>
      <c r="B142" s="146" t="s">
        <v>208</v>
      </c>
      <c r="C142" s="146"/>
      <c r="D142" s="146" t="s">
        <v>3</v>
      </c>
      <c r="E142" s="7"/>
      <c r="F142" s="7"/>
      <c r="G142" s="7"/>
      <c r="H142" s="87">
        <f>SUM(H121,H124,H125,H127)+SUM(H132,H135,H136,H138)</f>
        <v>422509888.28865397</v>
      </c>
      <c r="I142" s="87">
        <f t="shared" ref="I142:K142" si="6">SUM(I121,I124,I125,I127)+SUM(I132,I135,I136,I138)</f>
        <v>428676092.94842196</v>
      </c>
      <c r="J142" s="87">
        <f t="shared" si="6"/>
        <v>434928031.28904575</v>
      </c>
      <c r="K142" s="87">
        <f t="shared" si="6"/>
        <v>439864976.8422969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s="42" customFormat="1" ht="11.25" customHeight="1">
      <c r="A143" s="73"/>
      <c r="B143" s="146" t="s">
        <v>209</v>
      </c>
      <c r="C143" s="146"/>
      <c r="D143" s="146" t="s">
        <v>3</v>
      </c>
      <c r="E143" s="7"/>
      <c r="F143" s="7"/>
      <c r="G143" s="7"/>
      <c r="H143" s="87">
        <f>$C$10*(H121+H124+H125)</f>
        <v>58451875.534302175</v>
      </c>
      <c r="I143" s="87">
        <f t="shared" ref="I143:K143" si="7">$C$10*(I121+I124+I125)</f>
        <v>58919100.074970439</v>
      </c>
      <c r="J143" s="87">
        <f t="shared" si="7"/>
        <v>59390023.117010884</v>
      </c>
      <c r="K143" s="87">
        <f t="shared" si="7"/>
        <v>59784618.014861636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s="42" customFormat="1" ht="11.25" customHeight="1">
      <c r="A144" s="73"/>
      <c r="B144" s="146" t="s">
        <v>210</v>
      </c>
      <c r="C144" s="146"/>
      <c r="D144" s="146" t="s">
        <v>3</v>
      </c>
      <c r="E144" s="7"/>
      <c r="F144" s="7"/>
      <c r="G144" s="7"/>
      <c r="H144" s="87">
        <f>H142-H143</f>
        <v>364058012.75435179</v>
      </c>
      <c r="I144" s="87">
        <f t="shared" ref="I144:K144" si="8">I142-I143</f>
        <v>369756992.87345153</v>
      </c>
      <c r="J144" s="87">
        <f t="shared" si="8"/>
        <v>375538008.17203486</v>
      </c>
      <c r="K144" s="159">
        <f t="shared" si="8"/>
        <v>380080358.82743526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 s="42" customFormat="1" ht="11.25" customHeight="1">
      <c r="A145" s="73"/>
      <c r="B145" s="7"/>
      <c r="C145" s="7"/>
      <c r="D145" s="7"/>
      <c r="E145" s="7"/>
      <c r="F145" s="7"/>
      <c r="G145" s="7"/>
      <c r="H145" s="7"/>
      <c r="I145" s="5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</sheetData>
  <conditionalFormatting sqref="B8">
    <cfRule type="expression" dxfId="0" priority="1" stopIfTrue="1">
      <formula>(#REF!="!!! selecteer nu dashboard als inputscenario !!!")</formula>
    </cfRule>
  </conditionalFormatting>
  <pageMargins left="0.75" right="0.75" top="1" bottom="1" header="0.5" footer="0.5"/>
  <pageSetup paperSize="9" scale="5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>
    <tabColor rgb="FFCCFFFF"/>
  </sheetPr>
  <dimension ref="A1:N29"/>
  <sheetViews>
    <sheetView showGridLines="0" zoomScale="110" zoomScaleNormal="110" zoomScaleSheetLayoutView="100" workbookViewId="0"/>
  </sheetViews>
  <sheetFormatPr defaultRowHeight="12.75"/>
  <cols>
    <col min="1" max="1" width="3.7109375" style="7" customWidth="1"/>
    <col min="2" max="2" width="28.85546875" style="7" bestFit="1" customWidth="1"/>
    <col min="3" max="3" width="3.85546875" style="7" bestFit="1" customWidth="1"/>
    <col min="4" max="4" width="9.5703125" style="53" bestFit="1" customWidth="1"/>
    <col min="5" max="5" width="20" style="7" customWidth="1"/>
    <col min="6" max="6" width="8.5703125" customWidth="1"/>
    <col min="7" max="10" width="11.5703125" style="7" customWidth="1"/>
    <col min="11" max="11" width="9.5703125" style="7" bestFit="1" customWidth="1"/>
    <col min="12" max="14" width="9.5703125" bestFit="1" customWidth="1"/>
    <col min="15" max="15" width="9.5703125" style="7" bestFit="1" customWidth="1"/>
    <col min="16" max="16" width="9.140625" style="7"/>
    <col min="17" max="17" width="10.85546875" style="7" customWidth="1"/>
    <col min="18" max="18" width="11" style="7" customWidth="1"/>
    <col min="19" max="19" width="12.5703125" style="7" customWidth="1"/>
    <col min="20" max="21" width="11" style="7" customWidth="1"/>
    <col min="22" max="22" width="10.42578125" style="7" customWidth="1"/>
    <col min="23" max="16384" width="9.140625" style="7"/>
  </cols>
  <sheetData>
    <row r="1" spans="1:7" ht="12" customHeight="1"/>
    <row r="2" spans="1:7" s="97" customFormat="1" ht="15" customHeight="1">
      <c r="B2" s="97" t="s">
        <v>104</v>
      </c>
    </row>
    <row r="3" spans="1:7" s="3" customFormat="1" ht="11.25">
      <c r="C3" s="4"/>
      <c r="D3" s="58"/>
    </row>
    <row r="4" spans="1:7" s="98" customFormat="1">
      <c r="B4" s="98" t="s">
        <v>20</v>
      </c>
    </row>
    <row r="5" spans="1:7" s="3" customFormat="1" ht="11.25">
      <c r="C5" s="4"/>
      <c r="D5" s="58"/>
    </row>
    <row r="6" spans="1:7" s="3" customFormat="1" ht="11.25">
      <c r="A6" s="5"/>
      <c r="B6" s="4" t="s">
        <v>30</v>
      </c>
      <c r="C6" s="96" t="s">
        <v>89</v>
      </c>
      <c r="D6" s="116">
        <f>Parameters!C23</f>
        <v>2.0000000000000018</v>
      </c>
    </row>
    <row r="7" spans="1:7" s="3" customFormat="1" ht="11.25">
      <c r="A7" s="5"/>
      <c r="B7" s="4" t="s">
        <v>99</v>
      </c>
      <c r="C7" s="96" t="s">
        <v>89</v>
      </c>
      <c r="D7" s="116">
        <f>Parameters!C20</f>
        <v>2</v>
      </c>
    </row>
    <row r="8" spans="1:7" s="3" customFormat="1" ht="11.25">
      <c r="A8" s="5"/>
      <c r="B8" s="4" t="s">
        <v>100</v>
      </c>
      <c r="C8" s="96" t="s">
        <v>89</v>
      </c>
      <c r="D8" s="116">
        <f>Parameters!C21</f>
        <v>2</v>
      </c>
    </row>
    <row r="9" spans="1:7" s="3" customFormat="1" ht="11.25">
      <c r="A9" s="5"/>
      <c r="B9" s="4" t="s">
        <v>101</v>
      </c>
      <c r="C9" s="96" t="s">
        <v>89</v>
      </c>
      <c r="D9" s="116">
        <f>Parameters!C22</f>
        <v>2</v>
      </c>
    </row>
    <row r="10" spans="1:7" s="3" customFormat="1" ht="11.25">
      <c r="A10" s="5"/>
      <c r="B10" s="4"/>
      <c r="C10" s="4"/>
      <c r="D10" s="92"/>
    </row>
    <row r="11" spans="1:7" s="98" customFormat="1">
      <c r="B11" s="98" t="s">
        <v>124</v>
      </c>
    </row>
    <row r="12" spans="1:7" s="46" customFormat="1" ht="11.25">
      <c r="B12" s="48"/>
      <c r="C12" s="48"/>
      <c r="E12" s="47"/>
    </row>
    <row r="13" spans="1:7" s="46" customFormat="1" ht="11.25">
      <c r="B13" s="4" t="s">
        <v>102</v>
      </c>
      <c r="C13" s="53" t="s">
        <v>3</v>
      </c>
      <c r="D13" s="38">
        <f>'Begininkomsten obv tarieven'!D61</f>
        <v>435864102.57657951</v>
      </c>
      <c r="E13" s="47"/>
    </row>
    <row r="14" spans="1:7" s="46" customFormat="1" ht="11.25">
      <c r="B14" s="4" t="s">
        <v>103</v>
      </c>
      <c r="C14" s="53" t="s">
        <v>3</v>
      </c>
      <c r="D14" s="38">
        <f>'Efficiënte kosten 2014-2016'!K144</f>
        <v>380080358.82743526</v>
      </c>
      <c r="E14" s="47"/>
      <c r="G14" s="39"/>
    </row>
    <row r="15" spans="1:7" s="46" customFormat="1" ht="11.25">
      <c r="B15" s="90"/>
      <c r="D15" s="39"/>
      <c r="E15" s="47"/>
    </row>
    <row r="16" spans="1:7" s="46" customFormat="1" ht="11.25">
      <c r="B16" s="4" t="s">
        <v>23</v>
      </c>
      <c r="D16" s="65">
        <f>(1+$D$6/100-(D14/D13)^(1/3))*100</f>
        <v>6.4623014794167544</v>
      </c>
      <c r="E16" s="105" t="s">
        <v>131</v>
      </c>
    </row>
    <row r="17" spans="2:6" s="46" customFormat="1" ht="11.25">
      <c r="B17" s="7"/>
      <c r="D17" s="39"/>
      <c r="E17" s="105"/>
    </row>
    <row r="18" spans="2:6" s="46" customFormat="1" ht="11.25">
      <c r="B18" s="6" t="s">
        <v>24</v>
      </c>
      <c r="D18" s="93">
        <f>ROUNDDOWN(D16,2)</f>
        <v>6.46</v>
      </c>
      <c r="E18" s="105"/>
    </row>
    <row r="19" spans="2:6" s="46" customFormat="1" ht="11.25">
      <c r="B19" s="90"/>
      <c r="C19" s="90"/>
      <c r="E19" s="105"/>
    </row>
    <row r="20" spans="2:6" s="46" customFormat="1" ht="11.25">
      <c r="B20" s="91" t="s">
        <v>85</v>
      </c>
      <c r="C20" s="53" t="s">
        <v>3</v>
      </c>
      <c r="D20" s="87">
        <f>D13*(1+$D$7/100-D18/100)</f>
        <v>416424563.60166407</v>
      </c>
      <c r="E20" s="105" t="s">
        <v>132</v>
      </c>
    </row>
    <row r="21" spans="2:6" s="46" customFormat="1" ht="11.25">
      <c r="B21" s="91" t="s">
        <v>86</v>
      </c>
      <c r="C21" s="53" t="s">
        <v>3</v>
      </c>
      <c r="D21" s="87">
        <f>D20*(1+$D$8/100-D18/100)</f>
        <v>397852028.06502986</v>
      </c>
      <c r="E21" s="105" t="s">
        <v>110</v>
      </c>
    </row>
    <row r="22" spans="2:6" s="46" customFormat="1" ht="11.25">
      <c r="B22" s="91" t="s">
        <v>125</v>
      </c>
      <c r="C22" s="53" t="s">
        <v>3</v>
      </c>
      <c r="D22" s="87">
        <f>D21*(1+$D$9/100-D18/100)</f>
        <v>380107827.61332953</v>
      </c>
      <c r="E22" s="105" t="s">
        <v>111</v>
      </c>
    </row>
    <row r="23" spans="2:6" s="46" customFormat="1" ht="11.25">
      <c r="B23" s="90"/>
      <c r="C23" s="90"/>
      <c r="E23" s="47"/>
    </row>
    <row r="24" spans="2:6">
      <c r="F24" s="7"/>
    </row>
    <row r="25" spans="2:6">
      <c r="F25" s="7"/>
    </row>
    <row r="26" spans="2:6">
      <c r="F26" s="7"/>
    </row>
    <row r="27" spans="2:6">
      <c r="F27" s="7"/>
    </row>
    <row r="28" spans="2:6">
      <c r="F28" s="7"/>
    </row>
    <row r="29" spans="2:6">
      <c r="F29" s="7"/>
    </row>
  </sheetData>
  <phoneticPr fontId="5" type="noConversion"/>
  <pageMargins left="0.75" right="0.75" top="1" bottom="1" header="0.5" footer="0.5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B1:N30"/>
  <sheetViews>
    <sheetView showGridLines="0" zoomScale="110" zoomScaleNormal="110" zoomScaleSheetLayoutView="100" workbookViewId="0"/>
  </sheetViews>
  <sheetFormatPr defaultRowHeight="12.75"/>
  <cols>
    <col min="1" max="1" width="3.7109375" style="7" customWidth="1"/>
    <col min="2" max="2" width="35.7109375" style="7" customWidth="1"/>
    <col min="3" max="3" width="3.85546875" style="7" bestFit="1" customWidth="1"/>
    <col min="4" max="4" width="13.28515625" style="53" bestFit="1" customWidth="1"/>
    <col min="5" max="5" width="20" style="7" customWidth="1"/>
    <col min="6" max="6" width="7.140625" customWidth="1"/>
    <col min="7" max="10" width="11.5703125" style="7" customWidth="1"/>
    <col min="11" max="11" width="9.5703125" style="7" bestFit="1" customWidth="1"/>
    <col min="12" max="14" width="9.5703125" bestFit="1" customWidth="1"/>
    <col min="15" max="15" width="9.5703125" style="7" bestFit="1" customWidth="1"/>
    <col min="16" max="16" width="9.140625" style="7"/>
    <col min="17" max="17" width="10.85546875" style="7" customWidth="1"/>
    <col min="18" max="18" width="11" style="7" customWidth="1"/>
    <col min="19" max="19" width="12.5703125" style="7" customWidth="1"/>
    <col min="20" max="21" width="11" style="7" customWidth="1"/>
    <col min="22" max="22" width="10.42578125" style="7" customWidth="1"/>
    <col min="23" max="16384" width="9.140625" style="7"/>
  </cols>
  <sheetData>
    <row r="1" spans="2:6" ht="12" customHeight="1"/>
    <row r="2" spans="2:6" s="97" customFormat="1" ht="15" customHeight="1">
      <c r="B2" s="97" t="s">
        <v>137</v>
      </c>
    </row>
    <row r="3" spans="2:6" s="3" customFormat="1" ht="11.25">
      <c r="C3" s="4"/>
      <c r="D3" s="58"/>
    </row>
    <row r="4" spans="2:6" s="98" customFormat="1">
      <c r="B4" s="98" t="s">
        <v>127</v>
      </c>
    </row>
    <row r="5" spans="2:6" s="115" customFormat="1"/>
    <row r="6" spans="2:6">
      <c r="B6" s="4" t="s">
        <v>22</v>
      </c>
      <c r="C6" s="53" t="s">
        <v>3</v>
      </c>
      <c r="D6" s="38">
        <f>'Begininkomsten obv tarieven'!D61</f>
        <v>435864102.57657951</v>
      </c>
      <c r="F6" s="7"/>
    </row>
    <row r="7" spans="2:6">
      <c r="B7" s="7" t="s">
        <v>123</v>
      </c>
      <c r="C7" s="53" t="s">
        <v>3</v>
      </c>
      <c r="D7" s="38">
        <f>'Kosten art 41c, lid 4'!H150</f>
        <v>408649762.00803161</v>
      </c>
      <c r="F7" s="7"/>
    </row>
    <row r="8" spans="2:6">
      <c r="B8" s="26" t="s">
        <v>80</v>
      </c>
      <c r="C8" s="120" t="s">
        <v>3</v>
      </c>
      <c r="D8" s="121">
        <f>D6-D7</f>
        <v>27214340.568547904</v>
      </c>
      <c r="F8" s="130" t="s">
        <v>116</v>
      </c>
    </row>
    <row r="9" spans="2:6">
      <c r="B9" s="26"/>
      <c r="C9" s="120"/>
      <c r="D9" s="128"/>
      <c r="F9" s="7"/>
    </row>
    <row r="10" spans="2:6">
      <c r="B10" s="26"/>
      <c r="C10" s="53"/>
      <c r="D10" s="41"/>
      <c r="F10" s="7"/>
    </row>
    <row r="11" spans="2:6" s="98" customFormat="1">
      <c r="B11" s="98" t="s">
        <v>128</v>
      </c>
    </row>
    <row r="12" spans="2:6" s="46" customFormat="1" ht="11.25">
      <c r="B12" s="4"/>
      <c r="C12" s="53"/>
      <c r="D12" s="41"/>
      <c r="E12" s="47"/>
    </row>
    <row r="13" spans="2:6" s="46" customFormat="1" ht="11.25">
      <c r="B13" s="4" t="s">
        <v>120</v>
      </c>
      <c r="C13" s="53" t="s">
        <v>3</v>
      </c>
      <c r="D13" s="118">
        <v>51961551</v>
      </c>
      <c r="E13" s="46" t="s">
        <v>121</v>
      </c>
    </row>
    <row r="14" spans="2:6" s="46" customFormat="1" ht="11.25">
      <c r="B14" s="4" t="s">
        <v>122</v>
      </c>
      <c r="C14" s="53" t="s">
        <v>3</v>
      </c>
      <c r="D14" s="119">
        <f>'Kosten art 41c, lid 4'!H149</f>
        <v>68846342.327420384</v>
      </c>
      <c r="E14" s="47"/>
    </row>
    <row r="15" spans="2:6" s="46" customFormat="1" ht="11.25">
      <c r="B15" s="6" t="s">
        <v>80</v>
      </c>
      <c r="C15" s="120" t="s">
        <v>3</v>
      </c>
      <c r="D15" s="121">
        <f>D13-D14</f>
        <v>-16884791.327420384</v>
      </c>
      <c r="E15" s="47"/>
    </row>
    <row r="16" spans="2:6" s="46" customFormat="1" ht="11.25">
      <c r="B16" s="6"/>
      <c r="C16" s="120"/>
      <c r="D16" s="128"/>
      <c r="E16" s="47"/>
    </row>
    <row r="17" spans="2:14" s="46" customFormat="1" ht="11.25">
      <c r="B17" s="4"/>
      <c r="C17" s="53"/>
      <c r="D17" s="41"/>
      <c r="E17" s="47"/>
    </row>
    <row r="18" spans="2:14" s="98" customFormat="1">
      <c r="B18" s="98" t="s">
        <v>126</v>
      </c>
    </row>
    <row r="19" spans="2:14" s="123" customFormat="1" ht="11.25">
      <c r="B19" s="124"/>
      <c r="C19" s="124"/>
      <c r="E19" s="125"/>
    </row>
    <row r="20" spans="2:14" s="123" customFormat="1" ht="11.25">
      <c r="B20" s="126" t="s">
        <v>129</v>
      </c>
      <c r="C20" s="53" t="s">
        <v>3</v>
      </c>
      <c r="D20" s="38">
        <f>D6</f>
        <v>435864102.57657951</v>
      </c>
      <c r="E20" s="125"/>
    </row>
    <row r="21" spans="2:14" s="123" customFormat="1" ht="11.25">
      <c r="B21" s="126" t="s">
        <v>130</v>
      </c>
      <c r="C21" s="53" t="s">
        <v>3</v>
      </c>
      <c r="D21" s="118">
        <v>51961551</v>
      </c>
      <c r="E21" s="123" t="s">
        <v>121</v>
      </c>
    </row>
    <row r="22" spans="2:14" s="123" customFormat="1" ht="11.25">
      <c r="B22" s="126" t="s">
        <v>136</v>
      </c>
      <c r="C22" s="53" t="s">
        <v>3</v>
      </c>
      <c r="D22" s="87">
        <f>D20+D21</f>
        <v>487825653.57657951</v>
      </c>
      <c r="E22" s="125"/>
      <c r="F22" s="131" t="s">
        <v>135</v>
      </c>
    </row>
    <row r="23" spans="2:14" s="123" customFormat="1" ht="11.25">
      <c r="B23" s="126" t="s">
        <v>134</v>
      </c>
      <c r="C23" s="53" t="s">
        <v>3</v>
      </c>
      <c r="D23" s="119">
        <f>'Kosten art 41c, lid 4'!H142</f>
        <v>477496104.33545202</v>
      </c>
      <c r="E23" s="125"/>
    </row>
    <row r="24" spans="2:14" s="123" customFormat="1" ht="11.25">
      <c r="B24" s="127" t="s">
        <v>80</v>
      </c>
      <c r="C24" s="120" t="s">
        <v>3</v>
      </c>
      <c r="D24" s="121">
        <f>D22-D23</f>
        <v>10329549.241127491</v>
      </c>
      <c r="E24" s="125"/>
      <c r="F24" s="131" t="s">
        <v>45</v>
      </c>
    </row>
    <row r="25" spans="2:14" s="46" customFormat="1" ht="11.25">
      <c r="B25" s="4"/>
      <c r="C25" s="53"/>
      <c r="D25" s="41"/>
      <c r="E25" s="47"/>
    </row>
    <row r="26" spans="2:14" s="46" customFormat="1" ht="11.25">
      <c r="B26" s="4"/>
      <c r="C26" s="117"/>
      <c r="D26" s="122"/>
      <c r="E26" s="47"/>
    </row>
    <row r="27" spans="2:14">
      <c r="F27" s="7"/>
    </row>
    <row r="28" spans="2:14">
      <c r="F28" s="7"/>
    </row>
    <row r="29" spans="2:14">
      <c r="F29" s="7"/>
    </row>
    <row r="30" spans="2:14">
      <c r="C30" s="53"/>
      <c r="D30" s="7"/>
      <c r="E30"/>
      <c r="F30" s="7"/>
      <c r="K30"/>
      <c r="N30" s="7"/>
    </row>
  </sheetData>
  <pageMargins left="0.75" right="0.75" top="1" bottom="1" header="0.5" footer="0.5"/>
  <pageSetup paperSize="9" scale="7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4806C94D43C4A9E2471F0343667D1" ma:contentTypeVersion="0" ma:contentTypeDescription="Een nieuw document maken." ma:contentTypeScope="" ma:versionID="e857063b22bf6dc9d5468ef26ebc8b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97AD35-6527-446D-BF0D-49F0C4825C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799951-11EF-433B-87ED-9851B125D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C7F561-775F-42E9-825D-69C47910CC94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9</vt:i4>
      </vt:variant>
    </vt:vector>
  </HeadingPairs>
  <TitlesOfParts>
    <vt:vector size="19" baseType="lpstr">
      <vt:lpstr>Toelichting</vt:lpstr>
      <vt:lpstr>Parameters</vt:lpstr>
      <vt:lpstr>GAW</vt:lpstr>
      <vt:lpstr>OPEX</vt:lpstr>
      <vt:lpstr>Begininkomsten obv tarieven</vt:lpstr>
      <vt:lpstr>Kosten art 41c, lid 4</vt:lpstr>
      <vt:lpstr>Efficiënte kosten 2014-2016</vt:lpstr>
      <vt:lpstr>X-factor berekening</vt:lpstr>
      <vt:lpstr>aanleidingstoets </vt:lpstr>
      <vt:lpstr>Overzicht parameters</vt:lpstr>
      <vt:lpstr>'aanleidingstoets '!Afdrukbereik</vt:lpstr>
      <vt:lpstr>'Begininkomsten obv tarieven'!Afdrukbereik</vt:lpstr>
      <vt:lpstr>'Efficiënte kosten 2014-2016'!Afdrukbereik</vt:lpstr>
      <vt:lpstr>'Kosten art 41c, lid 4'!Afdrukbereik</vt:lpstr>
      <vt:lpstr>OPEX!Afdrukbereik</vt:lpstr>
      <vt:lpstr>'Overzicht parameters'!Afdrukbereik</vt:lpstr>
      <vt:lpstr>Parameters!Afdrukbereik</vt:lpstr>
      <vt:lpstr>Toelichting!Afdrukbereik</vt:lpstr>
      <vt:lpstr>'X-factor berekening'!Afdrukbereik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x-factormodel-TenneT-2014tm2016-26 september 2013</dc:title>
  <dc:creator>Autoriteit Consument en Markt</dc:creator>
  <cp:keywords>x-factor,elektriciteit</cp:keywords>
  <cp:lastModifiedBy>Hoogdorp, Sergio</cp:lastModifiedBy>
  <cp:lastPrinted>2017-06-15T12:18:14Z</cp:lastPrinted>
  <dcterms:created xsi:type="dcterms:W3CDTF">2012-11-12T13:29:01Z</dcterms:created>
  <dcterms:modified xsi:type="dcterms:W3CDTF">2017-07-19T07:07:26Z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0x01010000E4806C94D43C4A9E2471F0343667D1</vt:lpwstr>
  </property>
</Properties>
</file>