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 tabRatio="754" activeTab="6"/>
  </bookViews>
  <sheets>
    <sheet name="Explanation" sheetId="6" r:id="rId1"/>
    <sheet name="Input" sheetId="5" r:id="rId2"/>
    <sheet name="Tariff categories" sheetId="1" r:id="rId3"/>
    <sheet name="Costs Water" sheetId="20" r:id="rId4"/>
    <sheet name="CPI CN" sheetId="16" r:id="rId5"/>
    <sheet name="Income level Water" sheetId="18" r:id="rId6"/>
    <sheet name="Calculation Water" sheetId="8" r:id="rId7"/>
  </sheets>
  <calcPr calcId="145621"/>
</workbook>
</file>

<file path=xl/calcChain.xml><?xml version="1.0" encoding="utf-8"?>
<calcChain xmlns="http://schemas.openxmlformats.org/spreadsheetml/2006/main">
  <c r="D37" i="8" l="1"/>
  <c r="D35" i="8" l="1"/>
  <c r="D23" i="5"/>
  <c r="D21" i="5"/>
  <c r="D31" i="8" l="1"/>
  <c r="D19" i="8"/>
  <c r="F25" i="20" l="1"/>
  <c r="D31" i="5"/>
  <c r="E68" i="20" l="1"/>
  <c r="D42" i="8" l="1"/>
  <c r="E76" i="20" l="1"/>
  <c r="D45" i="18" s="1"/>
  <c r="E70" i="20"/>
  <c r="D44" i="18" s="1"/>
  <c r="D46" i="18" l="1"/>
  <c r="D54" i="18" s="1"/>
  <c r="E83" i="20" l="1"/>
  <c r="E88" i="20"/>
  <c r="E91" i="20" s="1"/>
  <c r="E33" i="18" s="1"/>
  <c r="E90" i="20" l="1"/>
  <c r="E32" i="18" s="1"/>
  <c r="F55" i="20" l="1"/>
  <c r="E23" i="18" s="1"/>
  <c r="E49" i="20"/>
  <c r="F29" i="20"/>
  <c r="E20" i="18" s="1"/>
  <c r="F28" i="20"/>
  <c r="E19" i="18" s="1"/>
  <c r="E21" i="20"/>
  <c r="E13" i="20"/>
  <c r="E28" i="20" s="1"/>
  <c r="D19" i="18" s="1"/>
  <c r="D11" i="18"/>
  <c r="E29" i="20" l="1"/>
  <c r="D20" i="18" s="1"/>
  <c r="E55" i="20"/>
  <c r="D23" i="18" s="1"/>
  <c r="E21" i="18"/>
  <c r="E22" i="18" s="1"/>
  <c r="D21" i="18"/>
  <c r="D22" i="18" l="1"/>
  <c r="E40" i="20"/>
  <c r="D24" i="18" s="1"/>
  <c r="F40" i="20"/>
  <c r="E24" i="18" s="1"/>
  <c r="E25" i="18" s="1"/>
  <c r="E52" i="18" s="1"/>
  <c r="D5" i="5"/>
  <c r="D12" i="18" s="1"/>
  <c r="F27" i="16"/>
  <c r="F32" i="16" s="1"/>
  <c r="E27" i="16"/>
  <c r="E32" i="16" s="1"/>
  <c r="D6" i="5" s="1"/>
  <c r="D13" i="18" s="1"/>
  <c r="D27" i="16"/>
  <c r="D32" i="16" s="1"/>
  <c r="F26" i="16"/>
  <c r="F31" i="16" s="1"/>
  <c r="E26" i="16"/>
  <c r="E31" i="16" s="1"/>
  <c r="D26" i="16"/>
  <c r="D31" i="16" s="1"/>
  <c r="E46" i="18" l="1"/>
  <c r="D7" i="8" l="1"/>
  <c r="D33" i="8" s="1"/>
  <c r="D32" i="8" l="1"/>
  <c r="D16" i="5"/>
  <c r="C7" i="1" l="1"/>
  <c r="D7" i="1" l="1"/>
  <c r="D30" i="5"/>
  <c r="E100" i="20" s="1"/>
  <c r="E101" i="20" s="1"/>
  <c r="E103" i="20" s="1"/>
  <c r="E34" i="18" s="1"/>
  <c r="E35" i="18" s="1"/>
  <c r="E53" i="18" s="1"/>
  <c r="E55" i="18" s="1"/>
  <c r="E58" i="18" s="1"/>
  <c r="D30" i="8" s="1"/>
  <c r="D25" i="18" l="1"/>
  <c r="D52" i="18" s="1"/>
  <c r="D55" i="18" s="1"/>
  <c r="D58" i="18" s="1"/>
  <c r="D18" i="8" s="1"/>
  <c r="D14" i="8" l="1"/>
  <c r="D8" i="1" l="1"/>
  <c r="D24" i="8"/>
  <c r="F24" i="8" s="1"/>
  <c r="B24" i="8"/>
  <c r="C8" i="1"/>
  <c r="D34" i="8" l="1"/>
  <c r="D36" i="8" s="1"/>
  <c r="E24" i="8" l="1"/>
  <c r="G24" i="8" l="1"/>
  <c r="D13" i="8" l="1"/>
  <c r="D15" i="8" l="1"/>
</calcChain>
</file>

<file path=xl/comments1.xml><?xml version="1.0" encoding="utf-8"?>
<comments xmlns="http://schemas.openxmlformats.org/spreadsheetml/2006/main">
  <authors>
    <author>Adriaansen, Paul</author>
  </authors>
  <commentList>
    <comment ref="E19" authorId="0">
      <text>
        <r>
          <rPr>
            <sz val="8"/>
            <color indexed="81"/>
            <rFont val="Tahoma"/>
            <family val="2"/>
          </rPr>
          <t>This level has slightly changed compared to the production price calculation (120,31)</t>
        </r>
      </text>
    </comment>
    <comment ref="F19" authorId="0">
      <text>
        <r>
          <rPr>
            <sz val="8"/>
            <color indexed="81"/>
            <rFont val="Tahoma"/>
            <family val="2"/>
          </rPr>
          <t>This level has slightly changed compared to the production price calculation (114,51)</t>
        </r>
      </text>
    </comment>
  </commentList>
</comments>
</file>

<file path=xl/comments2.xml><?xml version="1.0" encoding="utf-8"?>
<comments xmlns="http://schemas.openxmlformats.org/spreadsheetml/2006/main">
  <authors>
    <author>Adriaansen, Paul</author>
  </authors>
  <commentList>
    <comment ref="E18" authorId="0">
      <text>
        <r>
          <rPr>
            <sz val="8"/>
            <color indexed="81"/>
            <rFont val="Tahoma"/>
            <family val="2"/>
          </rPr>
          <t>These costs are only allocated overhead, as the costs of the new truck are taken into account as extra costs (see below)</t>
        </r>
      </text>
    </comment>
    <comment ref="D43" authorId="0">
      <text>
        <r>
          <rPr>
            <sz val="8"/>
            <color indexed="81"/>
            <rFont val="Tahoma"/>
            <family val="2"/>
          </rPr>
          <t>Negatieve other income means additional costs</t>
        </r>
      </text>
    </comment>
  </commentList>
</comments>
</file>

<file path=xl/sharedStrings.xml><?xml version="1.0" encoding="utf-8"?>
<sst xmlns="http://schemas.openxmlformats.org/spreadsheetml/2006/main" count="385" uniqueCount="240">
  <si>
    <t># customers</t>
  </si>
  <si>
    <t>TOTAL</t>
  </si>
  <si>
    <t>Total</t>
  </si>
  <si>
    <t>%</t>
  </si>
  <si>
    <t>Total capital costs</t>
  </si>
  <si>
    <t>Operational costs</t>
  </si>
  <si>
    <t>Total costs</t>
  </si>
  <si>
    <t>Type</t>
  </si>
  <si>
    <t>Production price</t>
  </si>
  <si>
    <t>Production price:</t>
  </si>
  <si>
    <t>Distribution tariffs</t>
  </si>
  <si>
    <t># connections</t>
  </si>
  <si>
    <t>Amount</t>
  </si>
  <si>
    <t>In this sheet all input variables can be set</t>
  </si>
  <si>
    <t>In this sheet the tariff categories can be filled out</t>
  </si>
  <si>
    <t>Production volume</t>
  </si>
  <si>
    <t>subsidy</t>
  </si>
  <si>
    <t>(USD - monthly)</t>
  </si>
  <si>
    <t>Capacity tariff excl subs</t>
  </si>
  <si>
    <t>Tariff category</t>
  </si>
  <si>
    <t>Inflation 2016</t>
  </si>
  <si>
    <t>Drinking water</t>
  </si>
  <si>
    <t>In this sheet the tariffs are calculated for drinking water</t>
  </si>
  <si>
    <t>M3</t>
  </si>
  <si>
    <t>USD/M3</t>
  </si>
  <si>
    <t>Water by truck</t>
  </si>
  <si>
    <t>Total costs distribution by truck</t>
  </si>
  <si>
    <t>Total volume distributed by truck</t>
  </si>
  <si>
    <t>Price drinking water by truck</t>
  </si>
  <si>
    <t>Distribution - network</t>
  </si>
  <si>
    <t>Distribution - truck</t>
  </si>
  <si>
    <t>Standard</t>
  </si>
  <si>
    <t>Average consumption per month (m3)</t>
  </si>
  <si>
    <t>In this sheet the costs can be filled out</t>
  </si>
  <si>
    <t>TOTAL OPERATIONAL COSTS</t>
  </si>
  <si>
    <t>Main category</t>
  </si>
  <si>
    <t>General OPEX</t>
  </si>
  <si>
    <t>Own usage</t>
  </si>
  <si>
    <t>Note</t>
  </si>
  <si>
    <t>Capital costs of truck delivery</t>
  </si>
  <si>
    <t>Asset Value at 1-1-2016:</t>
  </si>
  <si>
    <t>Maintenance truck</t>
  </si>
  <si>
    <t>Total operational costs per year (estimated)</t>
  </si>
  <si>
    <t>Variable distribution tariff</t>
  </si>
  <si>
    <t>New connection tariff</t>
  </si>
  <si>
    <t>Connection and reconnection tariff</t>
  </si>
  <si>
    <t>Data on truck water delivery costs</t>
  </si>
  <si>
    <t>Fixed operational costs</t>
  </si>
  <si>
    <t xml:space="preserve">Tax and insurance </t>
  </si>
  <si>
    <t>Variable operational costs</t>
  </si>
  <si>
    <t>Based on calculation by STUCO</t>
  </si>
  <si>
    <t># m3 per trip</t>
  </si>
  <si>
    <t>Variable OPEx per m3:</t>
  </si>
  <si>
    <t>Yearly subsidy for water truck transport:</t>
  </si>
  <si>
    <t>Tariff category (standard)</t>
  </si>
  <si>
    <t>In this sheet the costs are used to estimate income levels per activity</t>
  </si>
  <si>
    <t>Costs levels 2015 for determination of income levels 2017</t>
  </si>
  <si>
    <t>Water</t>
  </si>
  <si>
    <t>WACC &amp; inflation</t>
  </si>
  <si>
    <t>Total asset value (nominal)</t>
  </si>
  <si>
    <t>Total depreciation (nominal)</t>
  </si>
  <si>
    <t>Reasonable return (nominal)</t>
  </si>
  <si>
    <t>Inflation 2017</t>
  </si>
  <si>
    <t>WACC2017</t>
  </si>
  <si>
    <t>WACC 2017</t>
  </si>
  <si>
    <t>USD (price level 2015)</t>
  </si>
  <si>
    <t>Estimated income levels 2017</t>
  </si>
  <si>
    <t>USD (price level 2017)</t>
  </si>
  <si>
    <t>Income level 2017</t>
  </si>
  <si>
    <t>net losses</t>
  </si>
  <si>
    <t>Drinking water losses</t>
  </si>
  <si>
    <t>Total OPEX (excluding fuel costs)</t>
  </si>
  <si>
    <t>Total Land &amp; buildings</t>
  </si>
  <si>
    <t>Total Machinery &amp; Equipment</t>
  </si>
  <si>
    <t>Total Distribution network &amp; generators</t>
  </si>
  <si>
    <t>Total Furniture &amp; Equipment</t>
  </si>
  <si>
    <t>Total Computer Hardware &amp; Software</t>
  </si>
  <si>
    <t>Depreciation 2015</t>
  </si>
  <si>
    <t>ACM does not assume any residual value after end of asset-life</t>
  </si>
  <si>
    <t>Depreciation period</t>
  </si>
  <si>
    <t>Depreciation (per year):</t>
  </si>
  <si>
    <t>Normative calculation of costs of bad debts</t>
  </si>
  <si>
    <t>Normative % for write-offs on bad debt</t>
  </si>
  <si>
    <t>#</t>
  </si>
  <si>
    <t xml:space="preserve">Expected costs of bad debts </t>
  </si>
  <si>
    <t>Source: ACM Analysis on 2015 cost data from STUCO (separate file)</t>
  </si>
  <si>
    <t>Source: separate analysis on OPEX and Other Income</t>
  </si>
  <si>
    <t>Data on truck deliveries</t>
  </si>
  <si>
    <t>(all based on data by STUCO)</t>
  </si>
  <si>
    <t>(based on email by STUCO, from 11-11-2016)</t>
  </si>
  <si>
    <t>Average size single delivery (in m3)</t>
  </si>
  <si>
    <t>Cost of driver per trip (USD)</t>
  </si>
  <si>
    <t>Fuel per trip (USD)</t>
  </si>
  <si>
    <t>final WACC-method</t>
  </si>
  <si>
    <t>Subsidy per distributed m3</t>
  </si>
  <si>
    <t>First the cost levels of 2015 are taken from the earlier calculation, these are costs in the price level of 2015</t>
  </si>
  <si>
    <t>Extra costs for new activities or developments since 2015</t>
  </si>
  <si>
    <t>USD (price level 2016)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</si>
  <si>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</si>
  <si>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</si>
  <si>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</si>
  <si>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Other non-regulated income, to be netted</t>
  </si>
  <si>
    <t>Separate calculation of costs and income levels for (re)connection</t>
  </si>
  <si>
    <t>Other income from non-regulated activities and (re)connection fees</t>
  </si>
  <si>
    <t>Capital costs</t>
  </si>
  <si>
    <t>Number of reconnections 2015</t>
  </si>
  <si>
    <t>Based on info STUCO</t>
  </si>
  <si>
    <t>Estimated number of m3 delivered per year</t>
  </si>
  <si>
    <t>Number of new connections 2015</t>
  </si>
  <si>
    <t># runs drinking water by truck - (estimated 2017)</t>
  </si>
  <si>
    <t>m3 delivered drinking water by truck - (estimated 2017)</t>
  </si>
  <si>
    <t>expectation 2017 of 605 is the number used in budget 2017 STUCO</t>
  </si>
  <si>
    <t>DATA ON RAV STUCO: RAV 1-1-2016</t>
  </si>
  <si>
    <t>USD, price level 2015</t>
  </si>
  <si>
    <t>based on RAV calculation by ACM as available on 11-11-2016</t>
  </si>
  <si>
    <t>DATA ON RAV STUCO: Depreciation</t>
  </si>
  <si>
    <t>Of the overhead costs allocated to water distribution, a small percentage is actually asignable to truck delivery activities</t>
  </si>
  <si>
    <t>Allocate from Water distribution to truck delivery:</t>
  </si>
  <si>
    <t>Assumption by ACM</t>
  </si>
  <si>
    <t>RAV 1-1-2016</t>
  </si>
  <si>
    <t>OPEX Resulting from separate analysis (excl. bad debts)</t>
  </si>
  <si>
    <t>Capital costs of Truck Delivery - RAV 1-1-2017</t>
  </si>
  <si>
    <t>Capital costs of Truck Delivery - Depreciation 2017</t>
  </si>
  <si>
    <t>Operational Costs of Truck Delivery</t>
  </si>
  <si>
    <t>RAV Water delivery Truck (1-1-2017)</t>
  </si>
  <si>
    <t>Depreciation Water delivery Truck (2017)</t>
  </si>
  <si>
    <t># m3</t>
  </si>
  <si>
    <t>Extra costs for water delivery by truck</t>
  </si>
  <si>
    <t>Normative cost allowance for bad debt</t>
  </si>
  <si>
    <t>Reallocation of Overhead from water distribution to truck delivery</t>
  </si>
  <si>
    <t>Overhead costs booked on Water distribution</t>
  </si>
  <si>
    <t>Allocate overhead from Water distribution to truck delivery:</t>
  </si>
  <si>
    <t>Capacity tariff incl subsidy</t>
  </si>
  <si>
    <t>Tariff for reconnection</t>
  </si>
  <si>
    <t>Income level distribution</t>
  </si>
  <si>
    <t>Distribution costs per distributed m3</t>
  </si>
  <si>
    <t>All in price level 2017</t>
  </si>
  <si>
    <t>m3</t>
  </si>
  <si>
    <t>Percentage truck water in total water consumption</t>
  </si>
  <si>
    <t>Production price model STUCO</t>
  </si>
  <si>
    <t>USD/m3</t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</si>
  <si>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</si>
  <si>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</si>
  <si>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</si>
  <si>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</si>
  <si>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</si>
  <si>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</si>
  <si>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</si>
  <si>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</si>
  <si>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</si>
  <si>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</si>
  <si>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</si>
  <si>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</si>
  <si>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</si>
  <si>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</si>
  <si>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</si>
  <si>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</si>
  <si>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</si>
  <si>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</si>
  <si>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</si>
  <si>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</si>
  <si>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Calculated year-on-year inflation 2016 Q3</t>
  </si>
  <si>
    <t>Estimated inflation levels used in tariff calculations (rounded at 1 decimal)</t>
  </si>
  <si>
    <t>Estimated inflation 2016</t>
  </si>
  <si>
    <t>Estimated inflation 2017</t>
  </si>
  <si>
    <t>Notes</t>
  </si>
  <si>
    <t>Explanation per worksheet: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</si>
  <si>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</si>
  <si>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</si>
  <si>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</si>
  <si>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</si>
  <si>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</si>
  <si>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</si>
  <si>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</si>
  <si>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</si>
  <si>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t>Data on production</t>
  </si>
  <si>
    <t>Data on (re)connections</t>
  </si>
  <si>
    <t>Roughly estimated sales levels production Water, after subsidies</t>
  </si>
  <si>
    <t>Roughly estimated sales levels distribution Water, after subsidies</t>
  </si>
  <si>
    <t>Roughly estimated sales levels truck delivery Water, after subsidies</t>
  </si>
  <si>
    <t>Decision ACM</t>
  </si>
  <si>
    <t>Costs</t>
  </si>
  <si>
    <t>Other income</t>
  </si>
  <si>
    <t>Notes to the calculation of the distribution price 2017 for STUCO B.V.</t>
  </si>
  <si>
    <t>The distribution price descion is the result of the method descision of September 30, 2016 with reference ACM/DE/2016/205454</t>
  </si>
  <si>
    <r>
      <t xml:space="preserve">Tariff Categories </t>
    </r>
    <r>
      <rPr>
        <sz val="11"/>
        <rFont val="Calibri"/>
        <family val="2"/>
        <scheme val="minor"/>
      </rPr>
      <t>contains the number of customers and weights of tariff categories as used by STUCO</t>
    </r>
  </si>
  <si>
    <t>Expected total number of water connections during 2017</t>
  </si>
  <si>
    <t>Last update: January 19th, 2017 (final figures)</t>
  </si>
  <si>
    <t>Reconnection fees are 100% covering operational costs, so these should be fully subtracted from cost levels</t>
  </si>
  <si>
    <t>Water - Distribution (network)</t>
  </si>
  <si>
    <t>Water - Truck Delivery</t>
  </si>
  <si>
    <t>Based on separate analysis of extra truck costs by STUCO</t>
  </si>
  <si>
    <t>Regular production price (excl. net losses)</t>
  </si>
  <si>
    <t>These costs levels are calculated because we need to substract them from the total costs, before calculating total income.</t>
  </si>
  <si>
    <t>The reason for this, is that reconnection and connection fees already cover a part of the total costs in 2015, so these should not be accounted for when calculating distribution tariffs.</t>
  </si>
  <si>
    <t>New connections are currently partially paid for by customers, covering both OPEX and the investment (cable and meter). We assume that all costs end up on the P&amp;L.</t>
  </si>
  <si>
    <t>Data on reconnections in 2015</t>
  </si>
  <si>
    <t>Total costs associated with reconnections in 2015 (to be subtracted)</t>
  </si>
  <si>
    <t>Data on new connections in 2015</t>
  </si>
  <si>
    <t>Estimated costs per new connection</t>
  </si>
  <si>
    <t>Total costs associated with new connections in 2015 (to be subtracted)</t>
  </si>
  <si>
    <t>Source: STUCO</t>
  </si>
  <si>
    <t>Estimation by ACM, based on data from STUCO and other networkcompanies</t>
  </si>
  <si>
    <t>Note / source</t>
  </si>
  <si>
    <t xml:space="preserve">This file contains the computational model used by the Authority for Consumers and Markets to calculate the distribution tariffs for drinking water for STUCO for the year 2017. </t>
  </si>
  <si>
    <t>Based on consumption share</t>
  </si>
  <si>
    <t>Estimated costs per reconnection</t>
  </si>
  <si>
    <t>Total costs that are reimbursed via other activities than distribution tariff</t>
  </si>
  <si>
    <t>USD, price level 2017</t>
  </si>
  <si>
    <t>Excluding subsidy for truck delivery, see below</t>
  </si>
  <si>
    <t>Standard connection (incl. up to 25 meters)</t>
  </si>
  <si>
    <r>
      <rPr>
        <b/>
        <sz val="11"/>
        <rFont val="Calibri"/>
        <family val="2"/>
        <scheme val="minor"/>
      </rPr>
      <t>Costs Water</t>
    </r>
    <r>
      <rPr>
        <sz val="11"/>
        <rFont val="Calibri"/>
        <family val="2"/>
        <scheme val="minor"/>
      </rPr>
      <t xml:space="preserve"> contains data  on operational costs, capital costs and total cost</t>
    </r>
  </si>
  <si>
    <r>
      <t xml:space="preserve">Income level Water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</si>
  <si>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>Calculation Water</t>
    </r>
    <r>
      <rPr>
        <sz val="11"/>
        <rFont val="Calibri"/>
        <family val="2"/>
        <scheme val="minor"/>
      </rPr>
      <t xml:space="preserve"> calculates total cost at the 2017 pricelevel and calculates the distribution price</t>
    </r>
  </si>
  <si>
    <t>USD for 2017</t>
  </si>
  <si>
    <t>Yearly subsidy for distribution netwerk tariffs</t>
  </si>
  <si>
    <t>NB: has to be checked manually after big changes in costs (last update 5-3-2017)</t>
  </si>
  <si>
    <t>Total costs 2015 as cost base for estimating income level 2017</t>
  </si>
  <si>
    <t>Estimated total cost 2015</t>
  </si>
  <si>
    <t>Costs that are reimbursed via other activities than kVA-tariff</t>
  </si>
  <si>
    <t>Cost base for estimating income level 2017</t>
  </si>
  <si>
    <t>Estimated income level corrected for inflation</t>
  </si>
  <si>
    <t>Extra costs for water delivery by truck (note: in price level 2015!)</t>
  </si>
  <si>
    <t>FIN</t>
  </si>
  <si>
    <t>Tariff based on cost information by STUCO</t>
  </si>
  <si>
    <t>Tariff for road crossing for standard connection, per meter</t>
  </si>
  <si>
    <t>Distribution price per distributed m3 after subsidy</t>
  </si>
  <si>
    <t>NB: The subsidy amount is calculated for a full year as the model calculates all effects for a full year, tariffs apply only for the months July 2017 - December 2017.</t>
  </si>
  <si>
    <t>Based on decision I&amp;M</t>
  </si>
  <si>
    <t>Assumption ACM (conservative) based on information by STUCO</t>
  </si>
  <si>
    <t>Subsidy</t>
  </si>
  <si>
    <t>Subsidy consumers 3,2 kVA</t>
  </si>
  <si>
    <t>USD per connection per month</t>
  </si>
  <si>
    <t>Subsidy consumers 7,7 kVA</t>
  </si>
  <si>
    <t>Subsidy (estimated total amount)</t>
  </si>
  <si>
    <t>Subsidy for fixed consumption tariff per customer per month</t>
  </si>
  <si>
    <t>Subsidy for drinking water per truck per m3</t>
  </si>
  <si>
    <t>Subsidy (estimated total amount for network)</t>
  </si>
  <si>
    <t>Subsidy (estimated total amount for truck delivery)</t>
  </si>
  <si>
    <t>This file is part of the distribution price decision with reference: 17.0287.52, the distribution price decision has filenumber ACM/DE/2017/203400,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</si>
</sst>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0.000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_(* #,##0.00_);_(* \(#,##0.00\);_(* &quot;-&quot;??_);_(@_)"/>
    <numFmt numFmtId="169" formatCode="0.0%"/>
    <numFmt numFmtId="170" formatCode="#,##0.0000"/>
    <numFmt numFmtId="171" formatCode="_([$€]* #,##0.00_);_([$€]* \(#,##0.00\);_([$€]* &quot;-&quot;??_);_(@_)"/>
    <numFmt numFmtId="172" formatCode="_-* #,##0.00_-;_-* #,##0.00\-;_-* &quot;-&quot;??_-;_-@_-"/>
    <numFmt numFmtId="173" formatCode="0.0000"/>
    <numFmt numFmtId="174" formatCode="#,##0.000"/>
  </numFmts>
  <fonts count="6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8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6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5" borderId="0" applyNumberFormat="0" applyBorder="0" applyAlignment="0" applyProtection="0"/>
    <xf numFmtId="0" fontId="19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24" borderId="0" applyNumberFormat="0" applyBorder="0" applyAlignment="0" applyProtection="0"/>
    <xf numFmtId="0" fontId="22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5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6" borderId="0" applyNumberFormat="0" applyBorder="0" applyAlignment="0" applyProtection="0"/>
    <xf numFmtId="0" fontId="22" fillId="26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27" borderId="3" applyNumberFormat="0" applyAlignment="0" applyProtection="0"/>
    <xf numFmtId="0" fontId="25" fillId="27" borderId="3" applyNumberFormat="0" applyAlignment="0" applyProtection="0"/>
    <xf numFmtId="0" fontId="26" fillId="27" borderId="3" applyNumberFormat="0" applyAlignment="0" applyProtection="0"/>
    <xf numFmtId="0" fontId="27" fillId="28" borderId="4" applyNumberFormat="0" applyAlignment="0" applyProtection="0"/>
    <xf numFmtId="0" fontId="28" fillId="28" borderId="4" applyNumberFormat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28" borderId="4" applyNumberFormat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1" borderId="0" applyNumberFormat="0" applyBorder="0" applyAlignment="0" applyProtection="0"/>
    <xf numFmtId="0" fontId="35" fillId="0" borderId="0"/>
    <xf numFmtId="0" fontId="36" fillId="0" borderId="6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4" borderId="3" applyNumberFormat="0" applyAlignment="0" applyProtection="0"/>
    <xf numFmtId="0" fontId="43" fillId="14" borderId="3" applyNumberFormat="0" applyAlignment="0" applyProtection="0"/>
    <xf numFmtId="0" fontId="42" fillId="14" borderId="3" applyNumberFormat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6" fillId="0" borderId="6" applyNumberFormat="0" applyFill="0" applyAlignment="0" applyProtection="0"/>
    <xf numFmtId="0" fontId="38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44" fillId="0" borderId="5" applyNumberFormat="0" applyFill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0" fontId="29" fillId="0" borderId="0"/>
    <xf numFmtId="0" fontId="48" fillId="0" borderId="0"/>
    <xf numFmtId="0" fontId="10" fillId="30" borderId="9" applyNumberFormat="0" applyFont="0" applyAlignment="0" applyProtection="0"/>
    <xf numFmtId="0" fontId="29" fillId="30" borderId="9" applyNumberFormat="0" applyFont="0" applyAlignment="0" applyProtection="0"/>
    <xf numFmtId="0" fontId="10" fillId="30" borderId="9" applyNumberFormat="0" applyFont="0" applyAlignment="0" applyProtection="0"/>
    <xf numFmtId="0" fontId="23" fillId="10" borderId="0" applyNumberFormat="0" applyBorder="0" applyAlignment="0" applyProtection="0"/>
    <xf numFmtId="0" fontId="49" fillId="27" borderId="10" applyNumberFormat="0" applyAlignment="0" applyProtection="0"/>
    <xf numFmtId="0" fontId="50" fillId="27" borderId="10" applyNumberFormat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 applyFill="0"/>
    <xf numFmtId="0" fontId="2" fillId="0" borderId="0"/>
    <xf numFmtId="0" fontId="10" fillId="0" borderId="0"/>
    <xf numFmtId="0" fontId="18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2" fillId="0" borderId="11" applyNumberFormat="0" applyFill="0" applyAlignment="0" applyProtection="0"/>
    <xf numFmtId="0" fontId="53" fillId="0" borderId="11" applyNumberFormat="0" applyFill="0" applyAlignment="0" applyProtection="0"/>
    <xf numFmtId="0" fontId="49" fillId="27" borderId="10" applyNumberFormat="0" applyAlignment="0" applyProtection="0"/>
    <xf numFmtId="0" fontId="3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ont="0" applyBorder="0" applyAlignment="0" applyProtection="0"/>
  </cellStyleXfs>
  <cellXfs count="135">
    <xf numFmtId="0" fontId="0" fillId="0" borderId="0" xfId="0"/>
    <xf numFmtId="0" fontId="0" fillId="0" borderId="0" xfId="0" applyFill="1"/>
    <xf numFmtId="0" fontId="3" fillId="2" borderId="0" xfId="0" applyFont="1" applyFill="1"/>
    <xf numFmtId="4" fontId="0" fillId="0" borderId="0" xfId="0" applyNumberFormat="1" applyFill="1" applyBorder="1"/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3" fillId="0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3" fontId="0" fillId="3" borderId="0" xfId="0" applyNumberFormat="1" applyFill="1" applyBorder="1"/>
    <xf numFmtId="0" fontId="3" fillId="2" borderId="0" xfId="0" applyFont="1" applyFill="1"/>
    <xf numFmtId="0" fontId="0" fillId="0" borderId="0" xfId="0"/>
    <xf numFmtId="0" fontId="0" fillId="0" borderId="0" xfId="0" applyFont="1" applyBorder="1"/>
    <xf numFmtId="0" fontId="0" fillId="0" borderId="0" xfId="0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Fill="1" applyBorder="1"/>
    <xf numFmtId="0" fontId="6" fillId="0" borderId="0" xfId="0" applyFont="1" applyFill="1" applyAlignment="1">
      <alignment vertical="center"/>
    </xf>
    <xf numFmtId="3" fontId="0" fillId="5" borderId="0" xfId="0" applyNumberFormat="1" applyFill="1" applyBorder="1"/>
    <xf numFmtId="3" fontId="0" fillId="4" borderId="0" xfId="0" applyNumberFormat="1" applyFill="1" applyBorder="1"/>
    <xf numFmtId="3" fontId="0" fillId="3" borderId="0" xfId="0" applyNumberFormat="1" applyFont="1" applyFill="1" applyBorder="1"/>
    <xf numFmtId="0" fontId="11" fillId="0" borderId="0" xfId="0" applyFont="1" applyBorder="1"/>
    <xf numFmtId="0" fontId="0" fillId="0" borderId="0" xfId="0" applyFont="1" applyBorder="1" applyAlignment="1">
      <alignment wrapText="1"/>
    </xf>
    <xf numFmtId="3" fontId="0" fillId="4" borderId="0" xfId="0" applyNumberFormat="1" applyFont="1" applyFill="1" applyBorder="1"/>
    <xf numFmtId="10" fontId="0" fillId="3" borderId="0" xfId="1" applyNumberFormat="1" applyFont="1" applyFill="1" applyBorder="1"/>
    <xf numFmtId="10" fontId="0" fillId="5" borderId="0" xfId="1" applyNumberFormat="1" applyFont="1" applyFill="1"/>
    <xf numFmtId="0" fontId="1" fillId="0" borderId="0" xfId="0" applyFont="1"/>
    <xf numFmtId="0" fontId="0" fillId="5" borderId="0" xfId="0" applyFill="1"/>
    <xf numFmtId="0" fontId="12" fillId="0" borderId="0" xfId="0" applyFont="1"/>
    <xf numFmtId="3" fontId="0" fillId="7" borderId="0" xfId="0" applyNumberFormat="1" applyFill="1"/>
    <xf numFmtId="43" fontId="0" fillId="0" borderId="0" xfId="4" applyFont="1" applyBorder="1"/>
    <xf numFmtId="0" fontId="12" fillId="0" borderId="0" xfId="0" applyFont="1" applyBorder="1"/>
    <xf numFmtId="0" fontId="11" fillId="0" borderId="0" xfId="0" applyFont="1"/>
    <xf numFmtId="1" fontId="0" fillId="5" borderId="0" xfId="0" applyNumberFormat="1" applyFill="1"/>
    <xf numFmtId="167" fontId="0" fillId="5" borderId="0" xfId="4" applyNumberFormat="1" applyFont="1" applyFill="1"/>
    <xf numFmtId="3" fontId="0" fillId="8" borderId="0" xfId="0" applyNumberFormat="1" applyFill="1" applyBorder="1"/>
    <xf numFmtId="167" fontId="0" fillId="4" borderId="0" xfId="4" applyNumberFormat="1" applyFont="1" applyFill="1"/>
    <xf numFmtId="0" fontId="0" fillId="5" borderId="0" xfId="0" applyFill="1" applyBorder="1"/>
    <xf numFmtId="0" fontId="0" fillId="4" borderId="0" xfId="0" applyFont="1" applyFill="1" applyBorder="1"/>
    <xf numFmtId="165" fontId="0" fillId="4" borderId="0" xfId="0" applyNumberFormat="1" applyFont="1" applyFill="1" applyBorder="1"/>
    <xf numFmtId="0" fontId="0" fillId="3" borderId="0" xfId="0" applyFill="1" applyBorder="1"/>
    <xf numFmtId="0" fontId="0" fillId="0" borderId="0" xfId="0" applyFont="1"/>
    <xf numFmtId="0" fontId="13" fillId="0" borderId="0" xfId="0" applyFont="1"/>
    <xf numFmtId="167" fontId="0" fillId="4" borderId="0" xfId="4" applyNumberFormat="1" applyFont="1" applyFill="1" applyBorder="1"/>
    <xf numFmtId="167" fontId="0" fillId="3" borderId="0" xfId="4" applyNumberFormat="1" applyFont="1" applyFill="1" applyBorder="1"/>
    <xf numFmtId="167" fontId="0" fillId="3" borderId="0" xfId="4" applyNumberFormat="1" applyFont="1" applyFill="1"/>
    <xf numFmtId="0" fontId="14" fillId="2" borderId="0" xfId="0" applyFont="1" applyFill="1" applyAlignment="1">
      <alignment vertical="center"/>
    </xf>
    <xf numFmtId="0" fontId="15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0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2" fontId="0" fillId="4" borderId="0" xfId="0" applyNumberFormat="1" applyFont="1" applyFill="1" applyBorder="1"/>
    <xf numFmtId="4" fontId="0" fillId="4" borderId="0" xfId="0" applyNumberFormat="1" applyFont="1" applyFill="1" applyBorder="1"/>
    <xf numFmtId="2" fontId="0" fillId="3" borderId="0" xfId="0" applyNumberFormat="1" applyFont="1" applyFill="1" applyBorder="1"/>
    <xf numFmtId="4" fontId="0" fillId="7" borderId="0" xfId="0" applyNumberFormat="1" applyFont="1" applyFill="1" applyBorder="1"/>
    <xf numFmtId="2" fontId="0" fillId="7" borderId="0" xfId="0" applyNumberFormat="1" applyFont="1" applyFill="1" applyBorder="1"/>
    <xf numFmtId="0" fontId="11" fillId="0" borderId="0" xfId="0" applyFont="1" applyFill="1" applyAlignment="1">
      <alignment vertical="center"/>
    </xf>
    <xf numFmtId="43" fontId="0" fillId="7" borderId="0" xfId="4" applyFont="1" applyFill="1" applyAlignment="1">
      <alignment vertical="center"/>
    </xf>
    <xf numFmtId="164" fontId="0" fillId="3" borderId="0" xfId="0" applyNumberFormat="1" applyFont="1" applyFill="1" applyBorder="1"/>
    <xf numFmtId="0" fontId="16" fillId="2" borderId="0" xfId="0" applyFont="1" applyFill="1" applyAlignment="1">
      <alignment vertical="center"/>
    </xf>
    <xf numFmtId="0" fontId="17" fillId="0" borderId="0" xfId="5"/>
    <xf numFmtId="10" fontId="0" fillId="4" borderId="0" xfId="1" applyNumberFormat="1" applyFont="1" applyFill="1"/>
    <xf numFmtId="169" fontId="0" fillId="7" borderId="0" xfId="0" applyNumberFormat="1" applyFill="1"/>
    <xf numFmtId="10" fontId="0" fillId="3" borderId="0" xfId="1" applyNumberFormat="1" applyFont="1" applyFill="1"/>
    <xf numFmtId="169" fontId="0" fillId="5" borderId="0" xfId="1" applyNumberFormat="1" applyFont="1" applyFill="1" applyBorder="1"/>
    <xf numFmtId="0" fontId="13" fillId="31" borderId="1" xfId="124" applyFont="1" applyFill="1" applyBorder="1"/>
    <xf numFmtId="0" fontId="12" fillId="0" borderId="0" xfId="124" applyFont="1" applyAlignment="1"/>
    <xf numFmtId="0" fontId="12" fillId="0" borderId="0" xfId="124" applyFont="1" applyAlignment="1">
      <alignment horizontal="left" wrapText="1"/>
    </xf>
    <xf numFmtId="0" fontId="13" fillId="0" borderId="0" xfId="124" applyFont="1" applyAlignment="1">
      <alignment horizontal="left" wrapText="1"/>
    </xf>
    <xf numFmtId="0" fontId="12" fillId="32" borderId="0" xfId="124" applyFont="1" applyFill="1"/>
    <xf numFmtId="0" fontId="13" fillId="32" borderId="0" xfId="124" applyFont="1" applyFill="1"/>
    <xf numFmtId="0" fontId="13" fillId="31" borderId="1" xfId="6" applyFont="1" applyFill="1" applyBorder="1"/>
    <xf numFmtId="0" fontId="12" fillId="33" borderId="2" xfId="125" applyFont="1" applyFill="1" applyBorder="1"/>
    <xf numFmtId="0" fontId="12" fillId="34" borderId="0" xfId="125" applyFont="1" applyFill="1" applyBorder="1"/>
    <xf numFmtId="0" fontId="12" fillId="4" borderId="2" xfId="125" applyFont="1" applyFill="1" applyBorder="1"/>
    <xf numFmtId="0" fontId="12" fillId="35" borderId="2" xfId="125" applyFont="1" applyFill="1" applyBorder="1"/>
    <xf numFmtId="0" fontId="57" fillId="34" borderId="0" xfId="125" applyFont="1" applyFill="1" applyBorder="1"/>
    <xf numFmtId="0" fontId="12" fillId="36" borderId="2" xfId="125" applyFont="1" applyFill="1" applyBorder="1"/>
    <xf numFmtId="0" fontId="12" fillId="6" borderId="2" xfId="125" applyFont="1" applyFill="1" applyBorder="1"/>
    <xf numFmtId="0" fontId="15" fillId="0" borderId="0" xfId="0" applyFont="1" applyBorder="1"/>
    <xf numFmtId="0" fontId="58" fillId="0" borderId="0" xfId="0" applyFont="1"/>
    <xf numFmtId="0" fontId="15" fillId="2" borderId="0" xfId="0" applyFont="1" applyFill="1"/>
    <xf numFmtId="0" fontId="16" fillId="0" borderId="0" xfId="0" applyFont="1" applyBorder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Alignment="1">
      <alignment wrapText="1"/>
    </xf>
    <xf numFmtId="167" fontId="0" fillId="5" borderId="0" xfId="4" applyNumberFormat="1" applyFont="1" applyFill="1" applyAlignment="1">
      <alignment wrapText="1"/>
    </xf>
    <xf numFmtId="167" fontId="0" fillId="4" borderId="0" xfId="0" applyNumberFormat="1" applyFont="1" applyFill="1"/>
    <xf numFmtId="9" fontId="0" fillId="5" borderId="0" xfId="0" applyNumberFormat="1" applyFont="1" applyFill="1"/>
    <xf numFmtId="167" fontId="0" fillId="7" borderId="0" xfId="0" applyNumberFormat="1" applyFont="1" applyFill="1"/>
    <xf numFmtId="167" fontId="0" fillId="5" borderId="0" xfId="4" applyNumberFormat="1" applyFont="1" applyFill="1" applyBorder="1"/>
    <xf numFmtId="0" fontId="59" fillId="0" borderId="0" xfId="0" applyFont="1"/>
    <xf numFmtId="9" fontId="0" fillId="5" borderId="0" xfId="0" applyNumberFormat="1" applyFont="1" applyFill="1" applyBorder="1"/>
    <xf numFmtId="167" fontId="1" fillId="0" borderId="0" xfId="0" applyNumberFormat="1" applyFont="1" applyBorder="1"/>
    <xf numFmtId="166" fontId="0" fillId="5" borderId="0" xfId="0" applyNumberFormat="1" applyFont="1" applyFill="1"/>
    <xf numFmtId="166" fontId="0" fillId="4" borderId="0" xfId="0" applyNumberFormat="1" applyFont="1" applyFill="1"/>
    <xf numFmtId="166" fontId="0" fillId="7" borderId="0" xfId="0" applyNumberFormat="1" applyFont="1" applyFill="1"/>
    <xf numFmtId="0" fontId="5" fillId="0" borderId="0" xfId="0" applyFont="1" applyFill="1" applyAlignment="1">
      <alignment vertical="center"/>
    </xf>
    <xf numFmtId="167" fontId="0" fillId="5" borderId="0" xfId="4" applyNumberFormat="1" applyFont="1" applyFill="1" applyAlignment="1">
      <alignment vertical="center"/>
    </xf>
    <xf numFmtId="167" fontId="0" fillId="0" borderId="0" xfId="4" applyNumberFormat="1" applyFont="1"/>
    <xf numFmtId="0" fontId="0" fillId="0" borderId="0" xfId="0" applyFont="1" applyBorder="1" applyAlignment="1"/>
    <xf numFmtId="167" fontId="0" fillId="7" borderId="0" xfId="4" applyNumberFormat="1" applyFont="1" applyFill="1"/>
    <xf numFmtId="43" fontId="0" fillId="5" borderId="0" xfId="4" applyNumberFormat="1" applyFont="1" applyFill="1"/>
    <xf numFmtId="43" fontId="0" fillId="3" borderId="0" xfId="4" applyNumberFormat="1" applyFont="1" applyFill="1"/>
    <xf numFmtId="43" fontId="0" fillId="4" borderId="0" xfId="4" applyNumberFormat="1" applyFont="1" applyFill="1"/>
    <xf numFmtId="170" fontId="0" fillId="3" borderId="0" xfId="0" applyNumberFormat="1" applyFont="1" applyFill="1" applyBorder="1"/>
    <xf numFmtId="173" fontId="0" fillId="7" borderId="0" xfId="0" applyNumberFormat="1" applyFont="1" applyFill="1" applyBorder="1"/>
    <xf numFmtId="170" fontId="12" fillId="5" borderId="0" xfId="0" applyNumberFormat="1" applyFont="1" applyFill="1" applyBorder="1"/>
    <xf numFmtId="2" fontId="0" fillId="5" borderId="0" xfId="0" applyNumberFormat="1" applyFill="1"/>
    <xf numFmtId="43" fontId="0" fillId="5" borderId="0" xfId="4" applyFont="1" applyFill="1" applyAlignment="1">
      <alignment vertical="center"/>
    </xf>
    <xf numFmtId="167" fontId="2" fillId="7" borderId="0" xfId="4" applyNumberFormat="1" applyFont="1" applyFill="1" applyAlignment="1">
      <alignment vertical="center"/>
    </xf>
    <xf numFmtId="0" fontId="60" fillId="0" borderId="0" xfId="0" applyFont="1"/>
    <xf numFmtId="0" fontId="60" fillId="0" borderId="0" xfId="0" applyFont="1" applyFill="1" applyAlignment="1">
      <alignment vertical="center"/>
    </xf>
    <xf numFmtId="173" fontId="0" fillId="3" borderId="0" xfId="0" applyNumberFormat="1" applyFont="1" applyFill="1" applyBorder="1"/>
    <xf numFmtId="169" fontId="0" fillId="3" borderId="0" xfId="1" applyNumberFormat="1" applyFont="1" applyFill="1" applyBorder="1"/>
    <xf numFmtId="167" fontId="0" fillId="3" borderId="0" xfId="4" applyNumberFormat="1" applyFont="1" applyFill="1" applyAlignment="1">
      <alignment vertical="center"/>
    </xf>
    <xf numFmtId="10" fontId="0" fillId="3" borderId="0" xfId="0" applyNumberFormat="1" applyFont="1" applyFill="1"/>
    <xf numFmtId="0" fontId="0" fillId="3" borderId="0" xfId="0" applyFont="1" applyFill="1" applyBorder="1"/>
    <xf numFmtId="43" fontId="0" fillId="0" borderId="0" xfId="4" applyFont="1"/>
    <xf numFmtId="3" fontId="0" fillId="0" borderId="0" xfId="0" applyNumberFormat="1"/>
    <xf numFmtId="167" fontId="0" fillId="0" borderId="0" xfId="0" applyNumberFormat="1"/>
    <xf numFmtId="2" fontId="0" fillId="0" borderId="0" xfId="0" applyNumberFormat="1" applyFont="1"/>
    <xf numFmtId="3" fontId="0" fillId="3" borderId="0" xfId="0" applyNumberFormat="1" applyFill="1"/>
    <xf numFmtId="3" fontId="0" fillId="4" borderId="0" xfId="0" applyNumberFormat="1" applyFill="1"/>
    <xf numFmtId="43" fontId="0" fillId="7" borderId="0" xfId="4" applyFont="1" applyFill="1"/>
    <xf numFmtId="165" fontId="0" fillId="0" borderId="0" xfId="0" applyNumberFormat="1"/>
    <xf numFmtId="174" fontId="0" fillId="5" borderId="0" xfId="0" applyNumberFormat="1" applyFill="1" applyBorder="1"/>
  </cellXfs>
  <cellStyles count="138">
    <cellStyle name="_x000d__x000a_JournalTemplate=C:\COMFO\CTALK\JOURSTD.TPL_x000d__x000a_LbStateAddress=3 3 0 251 1 89 2 311_x000d__x000a_LbStateJou" xfId="6"/>
    <cellStyle name="_x000d__x000a_JournalTemplate=C:\COMFO\CTALK\JOURSTD.TPL_x000d__x000a_LbStateAddress=3 3 0 251 1 89 2 311_x000d__x000a_LbStateJou 2" xfId="7"/>
    <cellStyle name="_x000d__x000a_JournalTemplate=C:\COMFO\CTALK\JOURSTD.TPL_x000d__x000a_LbStateAddress=3 3 0 251 1 89 2 311_x000d__x000a_LbStateJou 2 2" xfId="8"/>
    <cellStyle name="_x000d__x000a_JournalTemplate=C:\COMFO\CTALK\JOURSTD.TPL_x000d__x000a_LbStateAddress=3 3 0 251 1 89 2 311_x000d__x000a_LbStateJou 3" xfId="9"/>
    <cellStyle name="_x000d__x000a_JournalTemplate=C:\COMFO\CTALK\JOURSTD.TPL_x000d__x000a_LbStateAddress=3 3 0 251 1 89 2 311_x000d__x000a_LbStateJou 4" xfId="10"/>
    <cellStyle name="_x000d__x000a_JournalTemplate=C:\COMFO\CTALK\JOURSTD.TPL_x000d__x000a_LbStateAddress=3 3 0 251 1 89 2 311_x000d__x000a_LbStateJou_100720 berekening x-factoren NG4R v4.2" xfId="11"/>
    <cellStyle name="20% - Accent1 2" xfId="12"/>
    <cellStyle name="20% - Accent1 3" xfId="13"/>
    <cellStyle name="20% - Accent2 2" xfId="14"/>
    <cellStyle name="20% - Accent2 3" xfId="15"/>
    <cellStyle name="20% - Accent3 2" xfId="16"/>
    <cellStyle name="20% - Accent3 3" xfId="17"/>
    <cellStyle name="20% - Accent4 2" xfId="18"/>
    <cellStyle name="20% - Accent4 3" xfId="19"/>
    <cellStyle name="20% - Accent5 2" xfId="20"/>
    <cellStyle name="20% - Accent5 3" xfId="21"/>
    <cellStyle name="20% - Accent6 2" xfId="22"/>
    <cellStyle name="20% - Accent6 3" xfId="23"/>
    <cellStyle name="40% - Accent1 2" xfId="24"/>
    <cellStyle name="40% - Accent1 3" xfId="25"/>
    <cellStyle name="40% - Accent2 2" xfId="26"/>
    <cellStyle name="40% - Accent2 3" xfId="27"/>
    <cellStyle name="40% - Accent3 2" xfId="28"/>
    <cellStyle name="40% - Accent3 3" xfId="29"/>
    <cellStyle name="40% - Accent4 2" xfId="30"/>
    <cellStyle name="40% - Accent4 3" xfId="31"/>
    <cellStyle name="40% - Accent5 2" xfId="32"/>
    <cellStyle name="40% - Accent5 3" xfId="33"/>
    <cellStyle name="40% - Accent6 2" xfId="34"/>
    <cellStyle name="40% - Accent6 3" xfId="35"/>
    <cellStyle name="60% - Accent1 2" xfId="36"/>
    <cellStyle name="60% - Accent1 3" xfId="37"/>
    <cellStyle name="60% - Accent2 2" xfId="38"/>
    <cellStyle name="60% - Accent2 3" xfId="39"/>
    <cellStyle name="60% - Accent3 2" xfId="40"/>
    <cellStyle name="60% - Accent3 3" xfId="41"/>
    <cellStyle name="60% - Accent4 2" xfId="42"/>
    <cellStyle name="60% - Accent4 3" xfId="43"/>
    <cellStyle name="60% - Accent5 2" xfId="44"/>
    <cellStyle name="60% - Accent5 3" xfId="45"/>
    <cellStyle name="60% - Accent6 2" xfId="46"/>
    <cellStyle name="60% - Accent6 3" xfId="47"/>
    <cellStyle name="Accent1 2" xfId="48"/>
    <cellStyle name="Accent1 3" xfId="49"/>
    <cellStyle name="Accent2 2" xfId="50"/>
    <cellStyle name="Accent2 3" xfId="51"/>
    <cellStyle name="Accent3 2" xfId="52"/>
    <cellStyle name="Accent3 3" xfId="53"/>
    <cellStyle name="Accent4 2" xfId="54"/>
    <cellStyle name="Accent4 3" xfId="55"/>
    <cellStyle name="Accent5 2" xfId="56"/>
    <cellStyle name="Accent5 3" xfId="57"/>
    <cellStyle name="Accent6 2" xfId="58"/>
    <cellStyle name="Accent6 3" xfId="59"/>
    <cellStyle name="Bad" xfId="60"/>
    <cellStyle name="Bad 2" xfId="61"/>
    <cellStyle name="Berekening 2" xfId="62"/>
    <cellStyle name="Calculation" xfId="63"/>
    <cellStyle name="Calculation 2" xfId="64"/>
    <cellStyle name="Check Cell" xfId="65"/>
    <cellStyle name="Check Cell 2" xfId="66"/>
    <cellStyle name="Comma 2" xfId="67"/>
    <cellStyle name="Comma 3" xfId="68"/>
    <cellStyle name="Controlecel 2" xfId="69"/>
    <cellStyle name="Euro" xfId="70"/>
    <cellStyle name="Euro 2" xfId="71"/>
    <cellStyle name="Explanatory Text" xfId="72"/>
    <cellStyle name="Explanatory Text 2" xfId="73"/>
    <cellStyle name="Gekoppelde cel 2" xfId="74"/>
    <cellStyle name="Goed 2" xfId="75"/>
    <cellStyle name="Good" xfId="76"/>
    <cellStyle name="Good 2" xfId="77"/>
    <cellStyle name="Header" xfId="78"/>
    <cellStyle name="Heading 1" xfId="79"/>
    <cellStyle name="Heading 1 2" xfId="80"/>
    <cellStyle name="Heading 2" xfId="81"/>
    <cellStyle name="Heading 2 2" xfId="82"/>
    <cellStyle name="Heading 3" xfId="83"/>
    <cellStyle name="Heading 3 2" xfId="84"/>
    <cellStyle name="Heading 4" xfId="85"/>
    <cellStyle name="Heading 4 2" xfId="86"/>
    <cellStyle name="Hyperlink" xfId="5" builtinId="8"/>
    <cellStyle name="Input" xfId="87"/>
    <cellStyle name="Input 2" xfId="88"/>
    <cellStyle name="Invoer 2" xfId="89"/>
    <cellStyle name="Komma" xfId="4" builtinId="3"/>
    <cellStyle name="Komma 14 2" xfId="90"/>
    <cellStyle name="Komma 2" xfId="91"/>
    <cellStyle name="Komma 2 2" xfId="92"/>
    <cellStyle name="Komma 2 3" xfId="93"/>
    <cellStyle name="Komma 3" xfId="94"/>
    <cellStyle name="Komma 3 2" xfId="95"/>
    <cellStyle name="Komma 4" xfId="96"/>
    <cellStyle name="Komma 5" xfId="97"/>
    <cellStyle name="Kop 1 2" xfId="98"/>
    <cellStyle name="Kop 2 2" xfId="99"/>
    <cellStyle name="Kop 3 2" xfId="100"/>
    <cellStyle name="Kop 4 2" xfId="101"/>
    <cellStyle name="Linked Cell" xfId="102"/>
    <cellStyle name="Linked Cell 2" xfId="103"/>
    <cellStyle name="Neutraal 2" xfId="104"/>
    <cellStyle name="Neutral" xfId="105"/>
    <cellStyle name="Neutral 2" xfId="106"/>
    <cellStyle name="Normal 2" xfId="107"/>
    <cellStyle name="Normal 3" xfId="108"/>
    <cellStyle name="Normal_# klanten" xfId="109"/>
    <cellStyle name="Note" xfId="110"/>
    <cellStyle name="Note 2" xfId="111"/>
    <cellStyle name="Notitie 2" xfId="112"/>
    <cellStyle name="Ongeldig 2" xfId="113"/>
    <cellStyle name="Output" xfId="114"/>
    <cellStyle name="Output 2" xfId="115"/>
    <cellStyle name="Procent" xfId="1" builtinId="5"/>
    <cellStyle name="Procent 2" xfId="116"/>
    <cellStyle name="Procent 3" xfId="117"/>
    <cellStyle name="Procent 4" xfId="118"/>
    <cellStyle name="Standaard" xfId="0" builtinId="0"/>
    <cellStyle name="Standaard 2" xfId="2"/>
    <cellStyle name="Standaard 2 2" xfId="3"/>
    <cellStyle name="Standaard 2 3" xfId="119"/>
    <cellStyle name="Standaard 2 4" xfId="120"/>
    <cellStyle name="Standaard 3" xfId="121"/>
    <cellStyle name="Standaard 4" xfId="122"/>
    <cellStyle name="Standaard 5" xfId="123"/>
    <cellStyle name="Standaard 6" xfId="124"/>
    <cellStyle name="Standaard_20100727 Rekenmodel NE5R v1.9" xfId="125"/>
    <cellStyle name="Titel 2" xfId="126"/>
    <cellStyle name="Title" xfId="127"/>
    <cellStyle name="Title 2" xfId="128"/>
    <cellStyle name="Totaal 2" xfId="129"/>
    <cellStyle name="Total" xfId="130"/>
    <cellStyle name="Total 2" xfId="131"/>
    <cellStyle name="Uitvoer 2" xfId="132"/>
    <cellStyle name="Verklarende tekst 2" xfId="133"/>
    <cellStyle name="Waarschuwingstekst 2" xfId="134"/>
    <cellStyle name="Warning Text" xfId="135"/>
    <cellStyle name="Warning Text 2" xfId="136"/>
    <cellStyle name="WIt" xfId="137"/>
  </cellStyles>
  <dxfs count="0"/>
  <tableStyles count="0" defaultTableStyle="TableStyleMedium2" defaultPivotStyle="PivotStyleLight16"/>
  <colors>
    <mruColors>
      <color rgb="FFFF00FF"/>
      <color rgb="FFFFCC99"/>
      <color rgb="FFFFFFCC"/>
      <color rgb="FFCCFFFF"/>
      <color rgb="FFCC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B33"/>
  <sheetViews>
    <sheetView showGridLines="0" zoomScale="85" zoomScaleNormal="85" workbookViewId="0">
      <selection activeCell="B6" sqref="B6:B7"/>
    </sheetView>
  </sheetViews>
  <sheetFormatPr defaultRowHeight="15"/>
  <cols>
    <col min="2" max="2" width="175.42578125" customWidth="1"/>
  </cols>
  <sheetData>
    <row r="1" spans="1:2" s="2" customFormat="1" ht="35.25" customHeight="1">
      <c r="A1" s="15" t="s">
        <v>183</v>
      </c>
      <c r="B1" s="15"/>
    </row>
    <row r="2" spans="1:2">
      <c r="A2" s="16"/>
      <c r="B2" s="16"/>
    </row>
    <row r="3" spans="1:2">
      <c r="A3" s="46"/>
      <c r="B3" s="72" t="s">
        <v>165</v>
      </c>
    </row>
    <row r="4" spans="1:2">
      <c r="A4" s="46"/>
      <c r="B4" s="46"/>
    </row>
    <row r="5" spans="1:2">
      <c r="A5" s="46"/>
      <c r="B5" s="73" t="s">
        <v>204</v>
      </c>
    </row>
    <row r="6" spans="1:2">
      <c r="A6" s="46"/>
      <c r="B6" s="73" t="s">
        <v>239</v>
      </c>
    </row>
    <row r="7" spans="1:2">
      <c r="A7" s="46"/>
      <c r="B7" s="73" t="s">
        <v>184</v>
      </c>
    </row>
    <row r="8" spans="1:2">
      <c r="A8" s="46"/>
      <c r="B8" s="74"/>
    </row>
    <row r="9" spans="1:2">
      <c r="A9" s="46"/>
      <c r="B9" s="74" t="s">
        <v>166</v>
      </c>
    </row>
    <row r="10" spans="1:2">
      <c r="A10" s="46"/>
      <c r="B10" s="75" t="s">
        <v>167</v>
      </c>
    </row>
    <row r="11" spans="1:2" s="16" customFormat="1">
      <c r="A11" s="46"/>
      <c r="B11" s="75" t="s">
        <v>185</v>
      </c>
    </row>
    <row r="12" spans="1:2">
      <c r="A12" s="46"/>
      <c r="B12" s="76" t="s">
        <v>211</v>
      </c>
    </row>
    <row r="13" spans="1:2">
      <c r="A13" s="46"/>
      <c r="B13" s="77" t="s">
        <v>212</v>
      </c>
    </row>
    <row r="14" spans="1:2">
      <c r="A14" s="46"/>
      <c r="B14" s="76" t="s">
        <v>213</v>
      </c>
    </row>
    <row r="15" spans="1:2">
      <c r="A15" s="46"/>
      <c r="B15" s="76" t="s">
        <v>168</v>
      </c>
    </row>
    <row r="16" spans="1:2">
      <c r="A16" s="46"/>
      <c r="B16" s="77"/>
    </row>
    <row r="17" spans="1:2">
      <c r="A17" s="46"/>
      <c r="B17" s="46"/>
    </row>
    <row r="18" spans="1:2">
      <c r="A18" s="46"/>
      <c r="B18" s="78" t="s">
        <v>169</v>
      </c>
    </row>
    <row r="19" spans="1:2">
      <c r="A19" s="46"/>
      <c r="B19" s="46"/>
    </row>
    <row r="20" spans="1:2">
      <c r="A20" s="46"/>
      <c r="B20" s="79" t="s">
        <v>170</v>
      </c>
    </row>
    <row r="21" spans="1:2">
      <c r="A21" s="46"/>
      <c r="B21" s="80"/>
    </row>
    <row r="22" spans="1:2">
      <c r="A22" s="46"/>
      <c r="B22" s="81" t="s">
        <v>171</v>
      </c>
    </row>
    <row r="23" spans="1:2">
      <c r="A23" s="46"/>
      <c r="B23" s="80"/>
    </row>
    <row r="24" spans="1:2">
      <c r="A24" s="46"/>
      <c r="B24" s="82" t="s">
        <v>172</v>
      </c>
    </row>
    <row r="25" spans="1:2">
      <c r="A25" s="46"/>
      <c r="B25" s="83"/>
    </row>
    <row r="26" spans="1:2">
      <c r="A26" s="46"/>
      <c r="B26" s="84" t="s">
        <v>173</v>
      </c>
    </row>
    <row r="27" spans="1:2">
      <c r="A27" s="46"/>
      <c r="B27" s="46"/>
    </row>
    <row r="28" spans="1:2">
      <c r="A28" s="46"/>
      <c r="B28" s="85" t="s">
        <v>174</v>
      </c>
    </row>
    <row r="29" spans="1:2">
      <c r="A29" s="46"/>
      <c r="B29" s="46"/>
    </row>
    <row r="30" spans="1:2">
      <c r="A30" s="16"/>
      <c r="B30" s="16"/>
    </row>
    <row r="31" spans="1:2">
      <c r="B31" s="16"/>
    </row>
    <row r="32" spans="1:2">
      <c r="B32" s="16"/>
    </row>
    <row r="33" spans="2:2">
      <c r="B33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J37"/>
  <sheetViews>
    <sheetView showGridLines="0" zoomScale="90" zoomScaleNormal="90" workbookViewId="0"/>
  </sheetViews>
  <sheetFormatPr defaultRowHeight="15"/>
  <cols>
    <col min="2" max="2" width="53.5703125" customWidth="1"/>
    <col min="3" max="3" width="20.140625" style="16" customWidth="1"/>
    <col min="4" max="4" width="17" customWidth="1"/>
    <col min="5" max="5" width="11" customWidth="1"/>
    <col min="6" max="6" width="20.140625" customWidth="1"/>
    <col min="7" max="7" width="28.5703125" bestFit="1" customWidth="1"/>
    <col min="8" max="8" width="10.85546875" customWidth="1"/>
  </cols>
  <sheetData>
    <row r="1" spans="1:10" s="2" customFormat="1" ht="35.25" customHeight="1">
      <c r="A1" s="2" t="s">
        <v>13</v>
      </c>
      <c r="C1" s="15"/>
    </row>
    <row r="3" spans="1:10">
      <c r="A3" s="16"/>
      <c r="F3" s="31" t="s">
        <v>203</v>
      </c>
      <c r="J3" s="5"/>
    </row>
    <row r="4" spans="1:10">
      <c r="A4" s="16"/>
      <c r="B4" t="s">
        <v>64</v>
      </c>
      <c r="C4" s="16" t="s">
        <v>3</v>
      </c>
      <c r="D4" s="30">
        <v>6.7400000000000002E-2</v>
      </c>
      <c r="F4" t="s">
        <v>93</v>
      </c>
    </row>
    <row r="5" spans="1:10" s="4" customFormat="1">
      <c r="B5" s="4" t="s">
        <v>20</v>
      </c>
      <c r="C5" s="16" t="s">
        <v>3</v>
      </c>
      <c r="D5" s="70">
        <f>'CPI CN'!E31</f>
        <v>-5.0000000000000001E-3</v>
      </c>
      <c r="H5" s="5"/>
    </row>
    <row r="6" spans="1:10" s="4" customFormat="1">
      <c r="B6" s="4" t="s">
        <v>62</v>
      </c>
      <c r="C6" s="16" t="s">
        <v>3</v>
      </c>
      <c r="D6" s="70">
        <f>'CPI CN'!E32</f>
        <v>-8.9999999999999993E-3</v>
      </c>
      <c r="F6" s="16"/>
    </row>
    <row r="8" spans="1:10" s="8" customFormat="1" ht="18.75">
      <c r="B8" s="6" t="s">
        <v>21</v>
      </c>
    </row>
    <row r="9" spans="1:10" s="16" customFormat="1"/>
    <row r="10" spans="1:10" s="16" customFormat="1">
      <c r="B10" s="31" t="s">
        <v>175</v>
      </c>
      <c r="F10" s="31" t="s">
        <v>203</v>
      </c>
    </row>
    <row r="11" spans="1:10">
      <c r="B11" s="16" t="s">
        <v>8</v>
      </c>
      <c r="C11" s="16" t="s">
        <v>140</v>
      </c>
      <c r="D11" s="115">
        <v>6.2340487047949464</v>
      </c>
      <c r="E11" s="4"/>
      <c r="F11" s="37" t="s">
        <v>139</v>
      </c>
    </row>
    <row r="12" spans="1:10">
      <c r="B12" s="16" t="s">
        <v>15</v>
      </c>
      <c r="C12" s="16" t="s">
        <v>137</v>
      </c>
      <c r="D12" s="23">
        <v>67344.479999999996</v>
      </c>
      <c r="E12" s="4"/>
      <c r="F12" s="37" t="s">
        <v>139</v>
      </c>
    </row>
    <row r="13" spans="1:10">
      <c r="B13" s="4"/>
      <c r="D13" s="3"/>
      <c r="E13" s="4"/>
    </row>
    <row r="14" spans="1:10" s="16" customFormat="1">
      <c r="B14" s="31" t="s">
        <v>176</v>
      </c>
      <c r="D14" s="3"/>
    </row>
    <row r="15" spans="1:10">
      <c r="B15" s="16" t="s">
        <v>105</v>
      </c>
      <c r="C15" s="16" t="s">
        <v>83</v>
      </c>
      <c r="D15" s="32">
        <v>703</v>
      </c>
      <c r="E15" s="4"/>
      <c r="F15" s="16" t="s">
        <v>106</v>
      </c>
      <c r="J15" s="5"/>
    </row>
    <row r="16" spans="1:10" s="16" customFormat="1">
      <c r="B16" s="16" t="s">
        <v>108</v>
      </c>
      <c r="C16" s="16" t="s">
        <v>83</v>
      </c>
      <c r="D16" s="32">
        <f>525-407</f>
        <v>118</v>
      </c>
      <c r="F16" s="16" t="s">
        <v>106</v>
      </c>
    </row>
    <row r="17" spans="1:10" s="16" customFormat="1">
      <c r="B17" s="16" t="s">
        <v>186</v>
      </c>
      <c r="C17" s="16" t="s">
        <v>83</v>
      </c>
      <c r="D17" s="32">
        <v>605</v>
      </c>
      <c r="F17" s="33" t="s">
        <v>111</v>
      </c>
      <c r="J17" s="5"/>
    </row>
    <row r="18" spans="1:10" s="16" customFormat="1">
      <c r="D18" s="1"/>
      <c r="F18" s="33"/>
      <c r="J18" s="5"/>
    </row>
    <row r="19" spans="1:10" s="16" customFormat="1">
      <c r="B19" s="31" t="s">
        <v>230</v>
      </c>
      <c r="D19" s="1"/>
    </row>
    <row r="20" spans="1:10">
      <c r="B20" s="4" t="s">
        <v>235</v>
      </c>
      <c r="C20" s="16" t="s">
        <v>214</v>
      </c>
      <c r="D20" s="134">
        <v>41.26</v>
      </c>
      <c r="E20" s="4"/>
      <c r="F20" s="16" t="s">
        <v>228</v>
      </c>
    </row>
    <row r="21" spans="1:10" s="16" customFormat="1">
      <c r="B21" s="16" t="s">
        <v>237</v>
      </c>
      <c r="C21" s="16" t="s">
        <v>214</v>
      </c>
      <c r="D21" s="24">
        <f>D20*12*D17</f>
        <v>299547.59999999998</v>
      </c>
      <c r="F21" s="16" t="s">
        <v>227</v>
      </c>
    </row>
    <row r="22" spans="1:10" s="16" customFormat="1">
      <c r="B22" s="16" t="s">
        <v>236</v>
      </c>
      <c r="C22" s="16" t="s">
        <v>214</v>
      </c>
      <c r="D22" s="134">
        <v>11.465</v>
      </c>
      <c r="F22" s="16" t="s">
        <v>228</v>
      </c>
    </row>
    <row r="23" spans="1:10" s="16" customFormat="1">
      <c r="B23" s="16" t="s">
        <v>238</v>
      </c>
      <c r="C23" s="16" t="s">
        <v>214</v>
      </c>
      <c r="D23" s="24">
        <f>D22*D29</f>
        <v>27516</v>
      </c>
      <c r="E23" s="133"/>
      <c r="F23" s="16" t="s">
        <v>227</v>
      </c>
    </row>
    <row r="25" spans="1:10">
      <c r="B25" t="s">
        <v>70</v>
      </c>
      <c r="D25" s="71">
        <v>0.19</v>
      </c>
      <c r="F25" s="33" t="s">
        <v>89</v>
      </c>
      <c r="J25" s="5"/>
    </row>
    <row r="27" spans="1:10">
      <c r="B27" s="31" t="s">
        <v>87</v>
      </c>
    </row>
    <row r="28" spans="1:10" s="16" customFormat="1">
      <c r="B28" t="s">
        <v>109</v>
      </c>
      <c r="C28" s="16" t="s">
        <v>83</v>
      </c>
      <c r="D28" s="38">
        <v>480</v>
      </c>
      <c r="F28" t="s">
        <v>88</v>
      </c>
    </row>
    <row r="29" spans="1:10" s="16" customFormat="1">
      <c r="B29" s="16" t="s">
        <v>110</v>
      </c>
      <c r="C29" s="16" t="s">
        <v>137</v>
      </c>
      <c r="D29" s="39">
        <v>2400</v>
      </c>
    </row>
    <row r="30" spans="1:10" s="16" customFormat="1">
      <c r="A30" s="1"/>
      <c r="B30" s="16" t="s">
        <v>90</v>
      </c>
      <c r="C30" s="16" t="s">
        <v>137</v>
      </c>
      <c r="D30" s="41">
        <f>D29/D28</f>
        <v>5</v>
      </c>
    </row>
    <row r="31" spans="1:10">
      <c r="B31" t="s">
        <v>138</v>
      </c>
      <c r="C31" s="16" t="s">
        <v>3</v>
      </c>
      <c r="D31" s="68">
        <f>D29/(D12-(D12-D29)*D25)</f>
        <v>4.363237420939229E-2</v>
      </c>
      <c r="G31" s="16"/>
    </row>
    <row r="32" spans="1:10">
      <c r="F32" s="16" t="s">
        <v>231</v>
      </c>
      <c r="G32" s="16" t="s">
        <v>232</v>
      </c>
    </row>
    <row r="33" spans="4:7">
      <c r="F33" s="16" t="s">
        <v>233</v>
      </c>
      <c r="G33" s="16" t="s">
        <v>232</v>
      </c>
    </row>
    <row r="34" spans="4:7">
      <c r="F34" s="16" t="s">
        <v>234</v>
      </c>
      <c r="G34" s="16" t="s">
        <v>208</v>
      </c>
    </row>
    <row r="37" spans="4:7">
      <c r="D37" s="12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CCFFCC"/>
  </sheetPr>
  <dimension ref="A1:H8"/>
  <sheetViews>
    <sheetView showGridLines="0" zoomScale="85" zoomScaleNormal="85" workbookViewId="0"/>
  </sheetViews>
  <sheetFormatPr defaultRowHeight="15"/>
  <cols>
    <col min="1" max="1" width="4.140625" customWidth="1"/>
    <col min="2" max="2" width="35" customWidth="1"/>
    <col min="3" max="3" width="13.28515625" customWidth="1"/>
    <col min="4" max="4" width="28.28515625" customWidth="1"/>
    <col min="5" max="5" width="9.140625" style="16"/>
    <col min="6" max="6" width="23.28515625" style="16" customWidth="1"/>
    <col min="7" max="7" width="5.28515625" style="16" customWidth="1"/>
    <col min="8" max="8" width="75.85546875" style="16" customWidth="1"/>
  </cols>
  <sheetData>
    <row r="1" spans="1:8" s="2" customFormat="1" ht="35.25" customHeight="1">
      <c r="A1" s="2" t="s">
        <v>14</v>
      </c>
      <c r="E1" s="15"/>
      <c r="F1" s="15"/>
      <c r="G1" s="15"/>
      <c r="H1" s="15"/>
    </row>
    <row r="2" spans="1:8">
      <c r="E2" s="18"/>
      <c r="F2" s="18"/>
      <c r="G2" s="18"/>
      <c r="H2" s="18"/>
    </row>
    <row r="3" spans="1:8">
      <c r="A3" s="16"/>
      <c r="E3" s="18"/>
      <c r="F3" s="18"/>
      <c r="G3" s="18"/>
      <c r="H3" s="18"/>
    </row>
    <row r="4" spans="1:8" s="12" customFormat="1" ht="26.25">
      <c r="A4" s="15"/>
      <c r="B4" s="12" t="s">
        <v>21</v>
      </c>
      <c r="E4" s="19"/>
      <c r="F4" s="19"/>
      <c r="G4" s="19"/>
      <c r="H4" s="19"/>
    </row>
    <row r="5" spans="1:8">
      <c r="B5" s="11"/>
      <c r="C5" s="10"/>
      <c r="D5" s="26"/>
    </row>
    <row r="6" spans="1:8" ht="30">
      <c r="B6" s="13" t="s">
        <v>19</v>
      </c>
      <c r="C6" s="13" t="s">
        <v>0</v>
      </c>
      <c r="D6" s="27" t="s">
        <v>32</v>
      </c>
    </row>
    <row r="7" spans="1:8">
      <c r="B7" s="42" t="s">
        <v>31</v>
      </c>
      <c r="C7" s="45">
        <f>Input!D17</f>
        <v>605</v>
      </c>
      <c r="D7" s="44">
        <f>(Input!D12-Input!D29)/C7/12</f>
        <v>8.9455206611570244</v>
      </c>
    </row>
    <row r="8" spans="1:8">
      <c r="B8" s="17" t="s">
        <v>1</v>
      </c>
      <c r="C8" s="43">
        <f>SUM(C7:C7)</f>
        <v>605</v>
      </c>
      <c r="D8" s="44">
        <f>SUM(D7:D7)</f>
        <v>8.9455206611570244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CCFFCC"/>
  </sheetPr>
  <dimension ref="A1:P132"/>
  <sheetViews>
    <sheetView showGridLines="0" zoomScale="85" zoomScaleNormal="85" workbookViewId="0"/>
  </sheetViews>
  <sheetFormatPr defaultRowHeight="15"/>
  <cols>
    <col min="1" max="1" width="9.140625" style="46"/>
    <col min="2" max="2" width="68" style="46" customWidth="1"/>
    <col min="3" max="3" width="20.28515625" style="46" customWidth="1"/>
    <col min="4" max="4" width="10.85546875" style="46" customWidth="1"/>
    <col min="5" max="5" width="29.85546875" style="46" customWidth="1"/>
    <col min="6" max="6" width="25.85546875" style="46" customWidth="1"/>
    <col min="7" max="7" width="6" style="46" customWidth="1"/>
    <col min="8" max="8" width="19.7109375" style="46" customWidth="1"/>
    <col min="9" max="10" width="20.42578125" style="46" customWidth="1"/>
    <col min="11" max="11" width="5.28515625" style="46" customWidth="1"/>
    <col min="12" max="12" width="16.28515625" style="46" customWidth="1"/>
    <col min="13" max="13" width="10.42578125" style="46" customWidth="1"/>
    <col min="14" max="16384" width="9.140625" style="46"/>
  </cols>
  <sheetData>
    <row r="1" spans="1:16" s="15" customFormat="1" ht="26.25">
      <c r="A1" s="15" t="s">
        <v>33</v>
      </c>
    </row>
    <row r="2" spans="1:16" s="7" customFormat="1" ht="7.5" customHeight="1"/>
    <row r="3" spans="1:16" s="52" customFormat="1" ht="12.75">
      <c r="B3" s="86"/>
      <c r="C3" s="86"/>
      <c r="D3" s="86"/>
      <c r="E3" s="86"/>
      <c r="F3" s="87"/>
      <c r="G3" s="87"/>
    </row>
    <row r="4" spans="1:16" s="88" customFormat="1" ht="18.75" customHeight="1">
      <c r="B4" s="9" t="s">
        <v>104</v>
      </c>
    </row>
    <row r="5" spans="1:16" s="52" customFormat="1" ht="12.75">
      <c r="H5" s="89"/>
    </row>
    <row r="6" spans="1:16">
      <c r="B6" s="31"/>
      <c r="E6" s="93"/>
      <c r="F6" s="93"/>
      <c r="G6" s="93"/>
      <c r="H6" s="20"/>
      <c r="N6" s="33"/>
    </row>
    <row r="7" spans="1:16">
      <c r="B7" s="31" t="s">
        <v>112</v>
      </c>
      <c r="E7" s="31" t="s">
        <v>189</v>
      </c>
      <c r="F7" s="31" t="s">
        <v>190</v>
      </c>
      <c r="G7" s="31"/>
      <c r="H7" s="31" t="s">
        <v>38</v>
      </c>
      <c r="P7" s="33"/>
    </row>
    <row r="8" spans="1:16">
      <c r="B8" s="46" t="s">
        <v>72</v>
      </c>
      <c r="C8" s="17" t="s">
        <v>113</v>
      </c>
      <c r="E8" s="94">
        <v>128304.13216297289</v>
      </c>
      <c r="G8" s="93"/>
      <c r="H8" s="33" t="s">
        <v>114</v>
      </c>
      <c r="P8" s="33"/>
    </row>
    <row r="9" spans="1:16">
      <c r="B9" s="46" t="s">
        <v>73</v>
      </c>
      <c r="C9" s="17" t="s">
        <v>113</v>
      </c>
      <c r="E9" s="94">
        <v>3244.1490365831046</v>
      </c>
      <c r="G9" s="93"/>
    </row>
    <row r="10" spans="1:16">
      <c r="B10" s="46" t="s">
        <v>74</v>
      </c>
      <c r="C10" s="17" t="s">
        <v>113</v>
      </c>
      <c r="E10" s="94">
        <v>97435.931844148959</v>
      </c>
      <c r="G10" s="93"/>
      <c r="P10" s="33"/>
    </row>
    <row r="11" spans="1:16">
      <c r="B11" s="46" t="s">
        <v>75</v>
      </c>
      <c r="C11" s="17" t="s">
        <v>113</v>
      </c>
      <c r="E11" s="94">
        <v>13477.370274841845</v>
      </c>
      <c r="G11" s="93"/>
      <c r="P11" s="33"/>
    </row>
    <row r="12" spans="1:16">
      <c r="B12" s="46" t="s">
        <v>76</v>
      </c>
      <c r="C12" s="17" t="s">
        <v>113</v>
      </c>
      <c r="E12" s="39">
        <v>14651.544510700165</v>
      </c>
      <c r="G12" s="93"/>
      <c r="P12" s="5"/>
    </row>
    <row r="13" spans="1:16">
      <c r="B13" s="46" t="s">
        <v>2</v>
      </c>
      <c r="C13" s="17" t="s">
        <v>113</v>
      </c>
      <c r="E13" s="95">
        <f>SUM(E8:E12)</f>
        <v>257113.12782924695</v>
      </c>
      <c r="G13" s="93"/>
      <c r="P13" s="5"/>
    </row>
    <row r="14" spans="1:16">
      <c r="G14" s="93"/>
      <c r="P14" s="5"/>
    </row>
    <row r="15" spans="1:16">
      <c r="B15" s="31" t="s">
        <v>115</v>
      </c>
      <c r="E15" s="93"/>
      <c r="G15" s="93"/>
      <c r="P15" s="5"/>
    </row>
    <row r="16" spans="1:16">
      <c r="B16" s="46" t="s">
        <v>72</v>
      </c>
      <c r="C16" s="17" t="s">
        <v>113</v>
      </c>
      <c r="E16" s="94">
        <v>4143.47910226759</v>
      </c>
      <c r="G16" s="93"/>
      <c r="P16" s="5"/>
    </row>
    <row r="17" spans="2:16">
      <c r="B17" s="46" t="s">
        <v>73</v>
      </c>
      <c r="C17" s="17" t="s">
        <v>113</v>
      </c>
      <c r="E17" s="94">
        <v>89.443411333561485</v>
      </c>
      <c r="G17" s="93"/>
      <c r="P17" s="5"/>
    </row>
    <row r="18" spans="2:16">
      <c r="B18" s="46" t="s">
        <v>74</v>
      </c>
      <c r="C18" s="17" t="s">
        <v>113</v>
      </c>
      <c r="E18" s="94">
        <v>6377.0561452513966</v>
      </c>
      <c r="G18" s="93"/>
      <c r="P18" s="5"/>
    </row>
    <row r="19" spans="2:16">
      <c r="B19" s="46" t="s">
        <v>75</v>
      </c>
      <c r="C19" s="17" t="s">
        <v>113</v>
      </c>
      <c r="E19" s="94">
        <v>3260.9833350949539</v>
      </c>
      <c r="G19" s="93"/>
      <c r="P19" s="5"/>
    </row>
    <row r="20" spans="2:16">
      <c r="B20" s="46" t="s">
        <v>76</v>
      </c>
      <c r="C20" s="17" t="s">
        <v>113</v>
      </c>
      <c r="E20" s="39">
        <v>3597.9269248504061</v>
      </c>
      <c r="G20" s="93"/>
      <c r="P20" s="5"/>
    </row>
    <row r="21" spans="2:16">
      <c r="B21" s="46" t="s">
        <v>2</v>
      </c>
      <c r="C21" s="17" t="s">
        <v>113</v>
      </c>
      <c r="E21" s="95">
        <f t="shared" ref="E21" si="0">SUM(E16:E20)</f>
        <v>17468.888918797908</v>
      </c>
      <c r="G21" s="93"/>
      <c r="P21" s="5"/>
    </row>
    <row r="22" spans="2:16">
      <c r="G22" s="93"/>
      <c r="P22" s="5"/>
    </row>
    <row r="23" spans="2:16">
      <c r="B23" s="31" t="s">
        <v>39</v>
      </c>
      <c r="G23" s="93"/>
      <c r="P23" s="5"/>
    </row>
    <row r="24" spans="2:16">
      <c r="B24" s="46" t="s">
        <v>116</v>
      </c>
      <c r="G24" s="93"/>
      <c r="P24" s="5"/>
    </row>
    <row r="25" spans="2:16">
      <c r="B25" s="46" t="s">
        <v>117</v>
      </c>
      <c r="C25" s="46" t="s">
        <v>3</v>
      </c>
      <c r="F25" s="124">
        <f>Input!D31</f>
        <v>4.363237420939229E-2</v>
      </c>
      <c r="G25" s="93"/>
      <c r="H25" s="46" t="s">
        <v>205</v>
      </c>
      <c r="P25" s="5"/>
    </row>
    <row r="26" spans="2:16">
      <c r="G26" s="93"/>
      <c r="H26" s="5"/>
    </row>
    <row r="27" spans="2:16">
      <c r="B27" s="31" t="s">
        <v>4</v>
      </c>
      <c r="G27" s="93"/>
      <c r="H27" s="5"/>
    </row>
    <row r="28" spans="2:16">
      <c r="B28" s="17" t="s">
        <v>119</v>
      </c>
      <c r="C28" s="17" t="s">
        <v>113</v>
      </c>
      <c r="E28" s="97">
        <f>E13-F28</f>
        <v>250287.58258607393</v>
      </c>
      <c r="F28" s="97">
        <f>SUM(E8,E11,E12)*F25</f>
        <v>6825.5452431730355</v>
      </c>
      <c r="G28" s="93"/>
      <c r="N28" s="5"/>
    </row>
    <row r="29" spans="2:16">
      <c r="B29" s="17" t="s">
        <v>77</v>
      </c>
      <c r="C29" s="17" t="s">
        <v>113</v>
      </c>
      <c r="E29" s="97">
        <f>E21-F29</f>
        <v>16988.828548948397</v>
      </c>
      <c r="F29" s="97">
        <f>SUM(E16,E19,E20)*F25</f>
        <v>480.06036984951243</v>
      </c>
      <c r="G29" s="93"/>
      <c r="H29" s="20"/>
      <c r="N29" s="5"/>
    </row>
    <row r="30" spans="2:16">
      <c r="B30" s="17"/>
      <c r="C30" s="17"/>
      <c r="G30" s="93"/>
      <c r="H30" s="20"/>
      <c r="N30" s="5"/>
    </row>
    <row r="31" spans="2:16">
      <c r="B31" s="17"/>
      <c r="C31" s="17"/>
      <c r="G31" s="93"/>
      <c r="H31" s="20"/>
      <c r="N31" s="5"/>
    </row>
    <row r="32" spans="2:16" s="52" customFormat="1" ht="12.75">
      <c r="F32" s="90"/>
      <c r="K32" s="90"/>
    </row>
    <row r="33" spans="2:12" s="88" customFormat="1" ht="18.75" customHeight="1">
      <c r="B33" s="9" t="s">
        <v>5</v>
      </c>
    </row>
    <row r="34" spans="2:12" s="52" customFormat="1" ht="12.75">
      <c r="B34" s="89"/>
      <c r="C34" s="89"/>
      <c r="D34" s="89"/>
      <c r="G34" s="89"/>
      <c r="H34" s="89"/>
    </row>
    <row r="35" spans="2:12">
      <c r="B35" s="20" t="s">
        <v>81</v>
      </c>
      <c r="C35" s="20"/>
      <c r="D35" s="20"/>
      <c r="E35" s="31" t="s">
        <v>189</v>
      </c>
      <c r="F35" s="31" t="s">
        <v>190</v>
      </c>
      <c r="G35" s="31"/>
      <c r="H35" s="31" t="s">
        <v>38</v>
      </c>
      <c r="L35" s="52"/>
    </row>
    <row r="36" spans="2:12">
      <c r="B36" s="17" t="s">
        <v>177</v>
      </c>
      <c r="C36" s="17" t="s">
        <v>113</v>
      </c>
      <c r="D36" s="17"/>
      <c r="E36" s="98">
        <v>420000</v>
      </c>
      <c r="G36" s="31"/>
      <c r="H36" s="99" t="s">
        <v>216</v>
      </c>
    </row>
    <row r="37" spans="2:12">
      <c r="B37" s="17" t="s">
        <v>178</v>
      </c>
      <c r="C37" s="17" t="s">
        <v>113</v>
      </c>
      <c r="D37" s="17"/>
      <c r="E37" s="39">
        <v>50000</v>
      </c>
      <c r="G37" s="31"/>
      <c r="H37" s="119"/>
    </row>
    <row r="38" spans="2:12">
      <c r="B38" s="17" t="s">
        <v>179</v>
      </c>
      <c r="C38" s="17" t="s">
        <v>113</v>
      </c>
      <c r="D38" s="17"/>
      <c r="F38" s="39">
        <v>37000</v>
      </c>
      <c r="G38" s="31"/>
      <c r="H38" s="99"/>
    </row>
    <row r="39" spans="2:12">
      <c r="B39" s="17" t="s">
        <v>82</v>
      </c>
      <c r="C39" s="20" t="s">
        <v>3</v>
      </c>
      <c r="D39" s="100">
        <v>0.01</v>
      </c>
      <c r="G39" s="31"/>
      <c r="H39" s="33" t="s">
        <v>180</v>
      </c>
    </row>
    <row r="40" spans="2:12">
      <c r="B40" s="17" t="s">
        <v>84</v>
      </c>
      <c r="C40" s="17" t="s">
        <v>113</v>
      </c>
      <c r="D40" s="20"/>
      <c r="E40" s="48">
        <f>(E36*(1-Input!D31)+E37)*$D$39</f>
        <v>4516.7440283205524</v>
      </c>
      <c r="F40" s="48">
        <f>(F38+E36*Input!D31)*$D$39</f>
        <v>553.25597167944761</v>
      </c>
      <c r="G40" s="31"/>
    </row>
    <row r="41" spans="2:12">
      <c r="B41" s="20"/>
      <c r="C41" s="20"/>
      <c r="D41" s="101"/>
      <c r="G41" s="31"/>
    </row>
    <row r="42" spans="2:12">
      <c r="B42" s="20"/>
      <c r="C42" s="20"/>
      <c r="D42" s="20"/>
      <c r="G42" s="31"/>
    </row>
    <row r="43" spans="2:12">
      <c r="B43" s="31" t="s">
        <v>34</v>
      </c>
      <c r="G43" s="31"/>
    </row>
    <row r="44" spans="2:12">
      <c r="G44" s="31"/>
    </row>
    <row r="45" spans="2:12">
      <c r="B45" s="31" t="s">
        <v>120</v>
      </c>
      <c r="E45" s="31"/>
      <c r="G45" s="31"/>
      <c r="H45" s="33"/>
    </row>
    <row r="46" spans="2:12">
      <c r="B46" s="31" t="s">
        <v>35</v>
      </c>
      <c r="C46" s="31"/>
      <c r="D46" s="31"/>
      <c r="E46" s="31" t="s">
        <v>189</v>
      </c>
      <c r="F46" s="31" t="s">
        <v>190</v>
      </c>
      <c r="G46" s="31"/>
    </row>
    <row r="47" spans="2:12">
      <c r="B47" s="46" t="s">
        <v>36</v>
      </c>
      <c r="C47" s="17" t="s">
        <v>113</v>
      </c>
      <c r="D47" s="17"/>
      <c r="E47" s="102">
        <v>373666.45285307558</v>
      </c>
      <c r="G47" s="31"/>
      <c r="H47" s="33" t="s">
        <v>85</v>
      </c>
    </row>
    <row r="48" spans="2:12">
      <c r="B48" s="46" t="s">
        <v>37</v>
      </c>
      <c r="C48" s="17" t="s">
        <v>113</v>
      </c>
      <c r="D48" s="17"/>
      <c r="E48" s="102">
        <v>2997</v>
      </c>
      <c r="G48" s="31"/>
      <c r="H48" s="33" t="s">
        <v>85</v>
      </c>
    </row>
    <row r="49" spans="1:11">
      <c r="B49" s="46" t="s">
        <v>71</v>
      </c>
      <c r="C49" s="17" t="s">
        <v>113</v>
      </c>
      <c r="D49" s="17"/>
      <c r="E49" s="103">
        <f>SUM(E47:E48)</f>
        <v>376663.45285307558</v>
      </c>
      <c r="G49" s="31"/>
      <c r="H49" s="5"/>
    </row>
    <row r="50" spans="1:11">
      <c r="G50" s="31"/>
    </row>
    <row r="51" spans="1:11">
      <c r="B51" s="31" t="s">
        <v>129</v>
      </c>
      <c r="G51" s="31"/>
    </row>
    <row r="52" spans="1:11">
      <c r="B52" s="46" t="s">
        <v>130</v>
      </c>
      <c r="C52" s="17" t="s">
        <v>113</v>
      </c>
      <c r="E52" s="39">
        <v>55266.912853075584</v>
      </c>
      <c r="G52" s="31"/>
      <c r="H52" s="33" t="s">
        <v>85</v>
      </c>
    </row>
    <row r="53" spans="1:11">
      <c r="B53" s="46" t="s">
        <v>131</v>
      </c>
      <c r="C53" s="46" t="s">
        <v>3</v>
      </c>
      <c r="F53" s="96">
        <v>0.1</v>
      </c>
      <c r="G53" s="31"/>
      <c r="H53" s="46" t="s">
        <v>118</v>
      </c>
    </row>
    <row r="54" spans="1:11">
      <c r="G54" s="31"/>
    </row>
    <row r="55" spans="1:11">
      <c r="B55" s="46" t="s">
        <v>71</v>
      </c>
      <c r="C55" s="17" t="s">
        <v>113</v>
      </c>
      <c r="E55" s="104">
        <f>E49-F55</f>
        <v>371136.761567768</v>
      </c>
      <c r="F55" s="104">
        <f>E52*F53</f>
        <v>5526.6912853075592</v>
      </c>
      <c r="G55" s="31"/>
    </row>
    <row r="56" spans="1:11">
      <c r="G56" s="31"/>
    </row>
    <row r="57" spans="1:11">
      <c r="J57" s="56"/>
      <c r="K57" s="56"/>
    </row>
    <row r="58" spans="1:11" s="52" customFormat="1" ht="12.75">
      <c r="J58" s="90"/>
      <c r="K58" s="90"/>
    </row>
    <row r="59" spans="1:11" s="88" customFormat="1" ht="18.75" customHeight="1">
      <c r="B59" s="9" t="s">
        <v>102</v>
      </c>
    </row>
    <row r="60" spans="1:11" s="52" customFormat="1" ht="12.75">
      <c r="J60" s="90"/>
      <c r="K60" s="90"/>
    </row>
    <row r="61" spans="1:11" s="54" customFormat="1">
      <c r="A61" s="52"/>
      <c r="B61" s="57" t="s">
        <v>193</v>
      </c>
      <c r="I61" s="5"/>
    </row>
    <row r="62" spans="1:11" s="54" customFormat="1">
      <c r="A62" s="52"/>
      <c r="B62" s="57" t="s">
        <v>194</v>
      </c>
    </row>
    <row r="63" spans="1:11" s="54" customFormat="1">
      <c r="A63" s="52"/>
      <c r="B63" s="57" t="s">
        <v>188</v>
      </c>
    </row>
    <row r="64" spans="1:11" s="54" customFormat="1">
      <c r="A64" s="52"/>
      <c r="B64" s="57" t="s">
        <v>195</v>
      </c>
      <c r="I64" s="5"/>
    </row>
    <row r="65" spans="1:10" s="54" customFormat="1">
      <c r="A65" s="52"/>
      <c r="B65" s="57"/>
    </row>
    <row r="66" spans="1:10" s="54" customFormat="1">
      <c r="A66" s="52"/>
      <c r="B66" s="57"/>
    </row>
    <row r="67" spans="1:10" s="54" customFormat="1">
      <c r="A67" s="52"/>
      <c r="B67" s="54" t="s">
        <v>196</v>
      </c>
      <c r="E67" s="54" t="s">
        <v>12</v>
      </c>
      <c r="H67" s="31" t="s">
        <v>38</v>
      </c>
    </row>
    <row r="68" spans="1:10" s="54" customFormat="1">
      <c r="A68" s="52"/>
      <c r="B68" s="57" t="s">
        <v>105</v>
      </c>
      <c r="C68" s="54" t="s">
        <v>83</v>
      </c>
      <c r="E68" s="123">
        <f>Input!D15</f>
        <v>703</v>
      </c>
      <c r="H68" s="57"/>
    </row>
    <row r="69" spans="1:10" s="54" customFormat="1">
      <c r="A69" s="52"/>
      <c r="B69" s="57" t="s">
        <v>206</v>
      </c>
      <c r="C69" s="17" t="s">
        <v>113</v>
      </c>
      <c r="E69" s="117">
        <v>40</v>
      </c>
      <c r="H69" s="57" t="s">
        <v>202</v>
      </c>
    </row>
    <row r="70" spans="1:10" s="54" customFormat="1">
      <c r="A70" s="52"/>
      <c r="B70" s="57" t="s">
        <v>197</v>
      </c>
      <c r="C70" s="17" t="s">
        <v>113</v>
      </c>
      <c r="E70" s="118">
        <f>E68*E69</f>
        <v>28120</v>
      </c>
      <c r="H70" s="57"/>
    </row>
    <row r="71" spans="1:10" s="54" customFormat="1">
      <c r="A71" s="52"/>
      <c r="B71" s="57"/>
    </row>
    <row r="72" spans="1:10" s="54" customFormat="1">
      <c r="A72" s="52"/>
      <c r="B72" s="57"/>
    </row>
    <row r="73" spans="1:10" s="54" customFormat="1">
      <c r="A73" s="52"/>
      <c r="B73" s="54" t="s">
        <v>198</v>
      </c>
      <c r="E73" s="54" t="s">
        <v>12</v>
      </c>
      <c r="H73" s="31" t="s">
        <v>38</v>
      </c>
    </row>
    <row r="74" spans="1:10" s="54" customFormat="1">
      <c r="A74" s="52"/>
      <c r="B74" s="57" t="s">
        <v>108</v>
      </c>
      <c r="C74" s="54" t="s">
        <v>83</v>
      </c>
      <c r="E74" s="106">
        <v>118</v>
      </c>
      <c r="H74" s="57" t="s">
        <v>201</v>
      </c>
      <c r="J74" s="120"/>
    </row>
    <row r="75" spans="1:10" s="54" customFormat="1">
      <c r="A75" s="52"/>
      <c r="B75" s="57" t="s">
        <v>199</v>
      </c>
      <c r="C75" s="17" t="s">
        <v>113</v>
      </c>
      <c r="E75" s="106">
        <v>250</v>
      </c>
      <c r="H75" s="33" t="s">
        <v>229</v>
      </c>
      <c r="J75" s="120"/>
    </row>
    <row r="76" spans="1:10" s="54" customFormat="1">
      <c r="A76" s="52"/>
      <c r="B76" s="57" t="s">
        <v>200</v>
      </c>
      <c r="C76" s="17" t="s">
        <v>113</v>
      </c>
      <c r="E76" s="118">
        <f>E74*E75</f>
        <v>29500</v>
      </c>
      <c r="H76" s="120"/>
    </row>
    <row r="77" spans="1:10" s="54" customFormat="1">
      <c r="A77" s="52"/>
      <c r="B77" s="57"/>
      <c r="H77" s="105"/>
    </row>
    <row r="78" spans="1:10" s="52" customFormat="1" ht="12.75"/>
    <row r="80" spans="1:10" s="88" customFormat="1" ht="18.75" customHeight="1">
      <c r="B80" s="9" t="s">
        <v>46</v>
      </c>
    </row>
    <row r="82" spans="2:8">
      <c r="H82" s="31" t="s">
        <v>38</v>
      </c>
    </row>
    <row r="83" spans="2:8">
      <c r="B83" s="46" t="s">
        <v>107</v>
      </c>
      <c r="E83" s="50">
        <f>Input!D29</f>
        <v>2400</v>
      </c>
    </row>
    <row r="84" spans="2:8">
      <c r="E84" s="107"/>
    </row>
    <row r="85" spans="2:8">
      <c r="B85" s="31" t="s">
        <v>39</v>
      </c>
      <c r="E85" s="107"/>
    </row>
    <row r="86" spans="2:8">
      <c r="B86" s="46" t="s">
        <v>40</v>
      </c>
      <c r="E86" s="39">
        <v>125000</v>
      </c>
      <c r="H86" s="46" t="s">
        <v>191</v>
      </c>
    </row>
    <row r="87" spans="2:8">
      <c r="B87" s="46" t="s">
        <v>79</v>
      </c>
      <c r="E87" s="39">
        <v>10</v>
      </c>
      <c r="H87" s="46" t="s">
        <v>191</v>
      </c>
    </row>
    <row r="88" spans="2:8">
      <c r="B88" s="46" t="s">
        <v>80</v>
      </c>
      <c r="E88" s="41">
        <f>E86/E87</f>
        <v>12500</v>
      </c>
      <c r="H88" s="108" t="s">
        <v>78</v>
      </c>
    </row>
    <row r="89" spans="2:8">
      <c r="E89" s="107"/>
      <c r="H89" s="108"/>
    </row>
    <row r="90" spans="2:8">
      <c r="B90" s="46" t="s">
        <v>124</v>
      </c>
      <c r="C90" s="57" t="s">
        <v>97</v>
      </c>
      <c r="E90" s="109">
        <f>E86-1*E88</f>
        <v>112500</v>
      </c>
      <c r="H90" s="108"/>
    </row>
    <row r="91" spans="2:8">
      <c r="B91" s="46" t="s">
        <v>125</v>
      </c>
      <c r="C91" s="57" t="s">
        <v>97</v>
      </c>
      <c r="E91" s="109">
        <f>E88</f>
        <v>12500</v>
      </c>
      <c r="H91" s="108"/>
    </row>
    <row r="92" spans="2:8">
      <c r="E92" s="107"/>
    </row>
    <row r="93" spans="2:8">
      <c r="B93" s="31" t="s">
        <v>47</v>
      </c>
      <c r="E93" s="107"/>
    </row>
    <row r="94" spans="2:8">
      <c r="B94" s="46" t="s">
        <v>48</v>
      </c>
      <c r="C94" s="57" t="s">
        <v>97</v>
      </c>
      <c r="E94" s="39">
        <v>3000</v>
      </c>
      <c r="H94" s="46" t="s">
        <v>191</v>
      </c>
    </row>
    <row r="95" spans="2:8">
      <c r="B95" s="46" t="s">
        <v>41</v>
      </c>
      <c r="C95" s="57" t="s">
        <v>97</v>
      </c>
      <c r="E95" s="39">
        <v>6600.0000000000009</v>
      </c>
      <c r="H95" s="46" t="s">
        <v>191</v>
      </c>
    </row>
    <row r="96" spans="2:8">
      <c r="E96" s="107"/>
    </row>
    <row r="97" spans="2:10">
      <c r="B97" s="31" t="s">
        <v>49</v>
      </c>
      <c r="E97" s="107"/>
    </row>
    <row r="98" spans="2:10">
      <c r="B98" s="46" t="s">
        <v>92</v>
      </c>
      <c r="C98" s="57" t="s">
        <v>97</v>
      </c>
      <c r="E98" s="110">
        <v>6.2260000000000009</v>
      </c>
      <c r="H98" s="46" t="s">
        <v>50</v>
      </c>
    </row>
    <row r="99" spans="2:10">
      <c r="B99" s="46" t="s">
        <v>91</v>
      </c>
      <c r="C99" s="57" t="s">
        <v>97</v>
      </c>
      <c r="E99" s="110">
        <v>20.25</v>
      </c>
      <c r="H99" s="46" t="s">
        <v>50</v>
      </c>
    </row>
    <row r="100" spans="2:10">
      <c r="B100" s="46" t="s">
        <v>51</v>
      </c>
      <c r="C100" s="46" t="s">
        <v>126</v>
      </c>
      <c r="E100" s="111">
        <f>Input!D30</f>
        <v>5</v>
      </c>
      <c r="J100" s="5"/>
    </row>
    <row r="101" spans="2:10">
      <c r="B101" s="46" t="s">
        <v>52</v>
      </c>
      <c r="C101" s="57" t="s">
        <v>97</v>
      </c>
      <c r="E101" s="112">
        <f>(E98+E99)/E100</f>
        <v>5.2951999999999995</v>
      </c>
    </row>
    <row r="102" spans="2:10">
      <c r="E102" s="107"/>
    </row>
    <row r="103" spans="2:10">
      <c r="B103" s="46" t="s">
        <v>42</v>
      </c>
      <c r="C103" s="57" t="s">
        <v>97</v>
      </c>
      <c r="E103" s="109">
        <f>E94+E95+E101*E83</f>
        <v>22308.48</v>
      </c>
    </row>
    <row r="105" spans="2:10" s="52" customFormat="1" ht="12.75"/>
    <row r="106" spans="2:10" s="52" customFormat="1" ht="12.75"/>
    <row r="107" spans="2:10" s="52" customFormat="1" ht="12.75"/>
    <row r="108" spans="2:10" s="52" customFormat="1" ht="12.75"/>
    <row r="109" spans="2:10" s="52" customFormat="1" ht="12.75"/>
    <row r="110" spans="2:10" s="52" customFormat="1" ht="12.75"/>
    <row r="111" spans="2:10" s="52" customFormat="1" ht="12.75"/>
    <row r="112" spans="2:10" s="52" customFormat="1" ht="12.75"/>
    <row r="113" s="52" customFormat="1" ht="12.75"/>
    <row r="114" s="52" customFormat="1" ht="12.75"/>
    <row r="115" s="52" customFormat="1" ht="12.75"/>
    <row r="116" s="52" customFormat="1" ht="12.75"/>
    <row r="117" s="52" customFormat="1" ht="12.75"/>
    <row r="118" s="52" customFormat="1" ht="12.75"/>
    <row r="119" s="52" customFormat="1" ht="12.75"/>
    <row r="120" s="52" customFormat="1" ht="12.75"/>
    <row r="121" s="52" customFormat="1" ht="12.75"/>
    <row r="122" s="52" customFormat="1" ht="12.75"/>
    <row r="123" s="52" customFormat="1" ht="12.75"/>
    <row r="124" s="52" customFormat="1" ht="12.75"/>
    <row r="125" s="52" customFormat="1" ht="12.75"/>
    <row r="126" s="52" customFormat="1" ht="12.75"/>
    <row r="127" s="52" customFormat="1" ht="12.75"/>
    <row r="128" s="52" customFormat="1" ht="12.75"/>
    <row r="129" s="52" customFormat="1" ht="12.75"/>
    <row r="130" s="52" customFormat="1" ht="12.75"/>
    <row r="131" s="52" customFormat="1" ht="12.75"/>
    <row r="132" s="52" customFormat="1" ht="12.7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9">
    <tabColor rgb="FFCCFFCC"/>
  </sheetPr>
  <dimension ref="B2:F32"/>
  <sheetViews>
    <sheetView showGridLines="0" zoomScale="85" zoomScaleNormal="85" workbookViewId="0"/>
  </sheetViews>
  <sheetFormatPr defaultRowHeight="15"/>
  <cols>
    <col min="1" max="1" width="6.140625" style="16" customWidth="1"/>
    <col min="2" max="2" width="45" style="16" customWidth="1"/>
    <col min="3" max="3" width="9.140625" style="16"/>
    <col min="4" max="6" width="17.7109375" style="16" customWidth="1"/>
    <col min="7" max="16384" width="9.140625" style="16"/>
  </cols>
  <sheetData>
    <row r="2" spans="2:6" s="15" customFormat="1" ht="26.25">
      <c r="B2" s="15" t="s">
        <v>141</v>
      </c>
    </row>
    <row r="4" spans="2:6">
      <c r="B4" s="16" t="s">
        <v>142</v>
      </c>
    </row>
    <row r="5" spans="2:6">
      <c r="B5" s="16" t="s">
        <v>143</v>
      </c>
    </row>
    <row r="6" spans="2:6">
      <c r="B6" s="16" t="s">
        <v>144</v>
      </c>
    </row>
    <row r="7" spans="2:6">
      <c r="B7" s="16" t="s">
        <v>145</v>
      </c>
    </row>
    <row r="8" spans="2:6">
      <c r="B8" s="16" t="s">
        <v>146</v>
      </c>
    </row>
    <row r="10" spans="2:6">
      <c r="B10" s="37" t="s">
        <v>187</v>
      </c>
    </row>
    <row r="12" spans="2:6" s="66" customFormat="1" ht="12.75">
      <c r="B12" s="66" t="s">
        <v>147</v>
      </c>
    </row>
    <row r="14" spans="2:6">
      <c r="B14" s="16" t="s">
        <v>148</v>
      </c>
    </row>
    <row r="15" spans="2:6">
      <c r="B15" s="16" t="s">
        <v>149</v>
      </c>
    </row>
    <row r="16" spans="2:6">
      <c r="D16" s="16" t="s">
        <v>150</v>
      </c>
      <c r="E16" s="16" t="s">
        <v>151</v>
      </c>
      <c r="F16" s="16" t="s">
        <v>152</v>
      </c>
    </row>
    <row r="17" spans="2:6">
      <c r="B17" s="16" t="s">
        <v>153</v>
      </c>
      <c r="C17" s="16" t="s">
        <v>154</v>
      </c>
      <c r="D17" s="32">
        <v>112.08</v>
      </c>
      <c r="E17" s="32">
        <v>122.09</v>
      </c>
      <c r="F17" s="32">
        <v>114.72</v>
      </c>
    </row>
    <row r="18" spans="2:6">
      <c r="B18" s="16" t="s">
        <v>155</v>
      </c>
      <c r="C18" s="16" t="s">
        <v>154</v>
      </c>
      <c r="D18" s="32">
        <v>111.04</v>
      </c>
      <c r="E18" s="32">
        <v>121.51</v>
      </c>
      <c r="F18" s="32">
        <v>114.24</v>
      </c>
    </row>
    <row r="19" spans="2:6">
      <c r="B19" s="16" t="s">
        <v>156</v>
      </c>
      <c r="C19" s="16" t="s">
        <v>154</v>
      </c>
      <c r="D19" s="32">
        <v>111.75</v>
      </c>
      <c r="E19" s="116">
        <v>120.4</v>
      </c>
      <c r="F19" s="116">
        <v>114.46</v>
      </c>
    </row>
    <row r="21" spans="2:6">
      <c r="B21" s="16" t="s">
        <v>157</v>
      </c>
    </row>
    <row r="22" spans="2:6">
      <c r="B22" s="67" t="s">
        <v>158</v>
      </c>
    </row>
    <row r="24" spans="2:6" s="66" customFormat="1" ht="12.75">
      <c r="B24" s="66" t="s">
        <v>159</v>
      </c>
    </row>
    <row r="26" spans="2:6">
      <c r="B26" s="16" t="s">
        <v>160</v>
      </c>
      <c r="C26" s="16" t="s">
        <v>3</v>
      </c>
      <c r="D26" s="68">
        <f t="shared" ref="D26:F27" si="0">D18/D17-1</f>
        <v>-9.2790863668806844E-3</v>
      </c>
      <c r="E26" s="68">
        <f t="shared" si="0"/>
        <v>-4.7505938242280443E-3</v>
      </c>
      <c r="F26" s="68">
        <f t="shared" si="0"/>
        <v>-4.1841004184101083E-3</v>
      </c>
    </row>
    <row r="27" spans="2:6">
      <c r="B27" s="16" t="s">
        <v>161</v>
      </c>
      <c r="C27" s="16" t="s">
        <v>3</v>
      </c>
      <c r="D27" s="68">
        <f t="shared" si="0"/>
        <v>6.3940922190202087E-3</v>
      </c>
      <c r="E27" s="68">
        <f t="shared" si="0"/>
        <v>-9.1350506131182563E-3</v>
      </c>
      <c r="F27" s="68">
        <f t="shared" si="0"/>
        <v>1.9257703081232425E-3</v>
      </c>
    </row>
    <row r="30" spans="2:6">
      <c r="B30" s="16" t="s">
        <v>162</v>
      </c>
    </row>
    <row r="31" spans="2:6">
      <c r="B31" s="16" t="s">
        <v>163</v>
      </c>
      <c r="C31" s="16" t="s">
        <v>3</v>
      </c>
      <c r="D31" s="69">
        <f t="shared" ref="D31:F32" si="1">ROUND(D26,3)</f>
        <v>-8.9999999999999993E-3</v>
      </c>
      <c r="E31" s="69">
        <f t="shared" si="1"/>
        <v>-5.0000000000000001E-3</v>
      </c>
      <c r="F31" s="69">
        <f t="shared" si="1"/>
        <v>-4.0000000000000001E-3</v>
      </c>
    </row>
    <row r="32" spans="2:6">
      <c r="B32" s="16" t="s">
        <v>164</v>
      </c>
      <c r="C32" s="16" t="s">
        <v>3</v>
      </c>
      <c r="D32" s="69">
        <f t="shared" si="1"/>
        <v>6.0000000000000001E-3</v>
      </c>
      <c r="E32" s="69">
        <f t="shared" si="1"/>
        <v>-8.9999999999999993E-3</v>
      </c>
      <c r="F32" s="69">
        <f t="shared" si="1"/>
        <v>2E-3</v>
      </c>
    </row>
  </sheetData>
  <hyperlinks>
    <hyperlink ref="B22" r:id="rId1"/>
  </hyperlinks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1">
    <tabColor rgb="FFFFFFCC"/>
  </sheetPr>
  <dimension ref="B1:I64"/>
  <sheetViews>
    <sheetView showGridLines="0" zoomScale="85" zoomScaleNormal="85" workbookViewId="0"/>
  </sheetViews>
  <sheetFormatPr defaultRowHeight="15"/>
  <cols>
    <col min="1" max="1" width="2.85546875" style="16" customWidth="1"/>
    <col min="2" max="2" width="75.42578125" style="16" customWidth="1"/>
    <col min="3" max="3" width="26.42578125" style="16" customWidth="1"/>
    <col min="4" max="5" width="22.140625" style="16" customWidth="1"/>
    <col min="6" max="6" width="10.5703125" style="16" customWidth="1"/>
    <col min="7" max="9" width="22.140625" style="16" customWidth="1"/>
    <col min="10" max="10" width="4.28515625" style="16" customWidth="1"/>
    <col min="11" max="11" width="19.42578125" style="16" customWidth="1"/>
    <col min="12" max="16384" width="9.140625" style="16"/>
  </cols>
  <sheetData>
    <row r="1" spans="2:9" s="15" customFormat="1" ht="26.25">
      <c r="B1" s="15" t="s">
        <v>55</v>
      </c>
    </row>
    <row r="3" spans="2:9">
      <c r="B3" s="16" t="s">
        <v>95</v>
      </c>
    </row>
    <row r="4" spans="2:9">
      <c r="B4" s="16" t="s">
        <v>98</v>
      </c>
    </row>
    <row r="5" spans="2:9">
      <c r="B5" s="16" t="s">
        <v>99</v>
      </c>
    </row>
    <row r="6" spans="2:9">
      <c r="B6" s="16" t="s">
        <v>100</v>
      </c>
    </row>
    <row r="9" spans="2:9" s="19" customFormat="1" ht="15.75">
      <c r="B9" s="19" t="s">
        <v>58</v>
      </c>
    </row>
    <row r="10" spans="2:9" s="22" customFormat="1" ht="15.75"/>
    <row r="11" spans="2:9">
      <c r="B11" s="18" t="s">
        <v>63</v>
      </c>
      <c r="C11" s="17" t="s">
        <v>3</v>
      </c>
      <c r="D11" s="29">
        <f>Input!D4</f>
        <v>6.7400000000000002E-2</v>
      </c>
      <c r="E11" s="18"/>
    </row>
    <row r="12" spans="2:9">
      <c r="B12" s="16" t="s">
        <v>20</v>
      </c>
      <c r="C12" s="17" t="s">
        <v>3</v>
      </c>
      <c r="D12" s="29">
        <f>Input!D5</f>
        <v>-5.0000000000000001E-3</v>
      </c>
      <c r="E12" s="18"/>
    </row>
    <row r="13" spans="2:9">
      <c r="B13" s="16" t="s">
        <v>62</v>
      </c>
      <c r="C13" s="17" t="s">
        <v>3</v>
      </c>
      <c r="D13" s="29">
        <f>Input!D6</f>
        <v>-8.9999999999999993E-3</v>
      </c>
      <c r="E13" s="18"/>
    </row>
    <row r="15" spans="2:9" s="19" customFormat="1" ht="15.75">
      <c r="B15" s="19" t="s">
        <v>56</v>
      </c>
    </row>
    <row r="16" spans="2:9">
      <c r="I16" s="1"/>
    </row>
    <row r="17" spans="2:9">
      <c r="D17" s="31" t="s">
        <v>57</v>
      </c>
    </row>
    <row r="18" spans="2:9">
      <c r="B18" s="20" t="s">
        <v>181</v>
      </c>
      <c r="C18" s="20"/>
      <c r="D18" s="20" t="s">
        <v>29</v>
      </c>
      <c r="E18" s="20" t="s">
        <v>30</v>
      </c>
    </row>
    <row r="19" spans="2:9">
      <c r="B19" s="17" t="s">
        <v>59</v>
      </c>
      <c r="C19" s="36" t="s">
        <v>65</v>
      </c>
      <c r="D19" s="14">
        <f>'Costs Water'!E28</f>
        <v>250287.58258607393</v>
      </c>
      <c r="E19" s="14">
        <f>'Costs Water'!F28</f>
        <v>6825.5452431730355</v>
      </c>
    </row>
    <row r="20" spans="2:9">
      <c r="B20" s="17" t="s">
        <v>60</v>
      </c>
      <c r="C20" s="36" t="s">
        <v>65</v>
      </c>
      <c r="D20" s="14">
        <f>'Costs Water'!E29</f>
        <v>16988.828548948397</v>
      </c>
      <c r="E20" s="14">
        <f>'Costs Water'!F29</f>
        <v>480.06036984951243</v>
      </c>
    </row>
    <row r="21" spans="2:9">
      <c r="B21" s="21" t="s">
        <v>61</v>
      </c>
      <c r="C21" s="36" t="s">
        <v>65</v>
      </c>
      <c r="D21" s="24">
        <f>$D11*D19</f>
        <v>16869.383066301383</v>
      </c>
      <c r="E21" s="24">
        <f>$D11*E19</f>
        <v>460.04174938986262</v>
      </c>
    </row>
    <row r="22" spans="2:9">
      <c r="B22" s="17" t="s">
        <v>4</v>
      </c>
      <c r="C22" s="36" t="s">
        <v>65</v>
      </c>
      <c r="D22" s="28">
        <f>D20+D21</f>
        <v>33858.211615249777</v>
      </c>
      <c r="E22" s="28">
        <f>E20+E21</f>
        <v>940.10211923937504</v>
      </c>
    </row>
    <row r="23" spans="2:9">
      <c r="B23" s="17" t="s">
        <v>5</v>
      </c>
      <c r="C23" s="36" t="s">
        <v>65</v>
      </c>
      <c r="D23" s="25">
        <f>'Costs Water'!E55</f>
        <v>371136.761567768</v>
      </c>
      <c r="E23" s="25">
        <f>'Costs Water'!F55</f>
        <v>5526.6912853075592</v>
      </c>
    </row>
    <row r="24" spans="2:9">
      <c r="B24" s="21" t="s">
        <v>128</v>
      </c>
      <c r="C24" s="36" t="s">
        <v>65</v>
      </c>
      <c r="D24" s="25">
        <f>'Costs Water'!E40</f>
        <v>4516.7440283205524</v>
      </c>
      <c r="E24" s="25">
        <f>'Costs Water'!F40</f>
        <v>553.25597167944761</v>
      </c>
      <c r="G24" s="127"/>
    </row>
    <row r="25" spans="2:9">
      <c r="B25" s="17" t="s">
        <v>6</v>
      </c>
      <c r="C25" s="36" t="s">
        <v>65</v>
      </c>
      <c r="D25" s="28">
        <f t="shared" ref="D25:E25" si="0">D22+D23+D24</f>
        <v>409511.71721133834</v>
      </c>
      <c r="E25" s="28">
        <f t="shared" si="0"/>
        <v>7020.0493762263814</v>
      </c>
    </row>
    <row r="27" spans="2:9">
      <c r="D27" s="127"/>
      <c r="E27" s="127"/>
    </row>
    <row r="28" spans="2:9" s="19" customFormat="1" ht="15.75">
      <c r="B28" s="51" t="s">
        <v>96</v>
      </c>
    </row>
    <row r="29" spans="2:9">
      <c r="I29" s="1"/>
    </row>
    <row r="30" spans="2:9">
      <c r="G30" s="31"/>
    </row>
    <row r="31" spans="2:9">
      <c r="B31" s="20" t="s">
        <v>127</v>
      </c>
      <c r="C31" s="20"/>
      <c r="E31" s="20" t="s">
        <v>30</v>
      </c>
    </row>
    <row r="32" spans="2:9">
      <c r="B32" s="36" t="s">
        <v>121</v>
      </c>
      <c r="C32" s="36" t="s">
        <v>97</v>
      </c>
      <c r="E32" s="49">
        <f>'Costs Water'!E90</f>
        <v>112500</v>
      </c>
    </row>
    <row r="33" spans="2:9">
      <c r="B33" s="36" t="s">
        <v>122</v>
      </c>
      <c r="C33" s="36" t="s">
        <v>97</v>
      </c>
      <c r="E33" s="49">
        <f>'Costs Water'!E91</f>
        <v>12500</v>
      </c>
    </row>
    <row r="34" spans="2:9">
      <c r="B34" s="33" t="s">
        <v>123</v>
      </c>
      <c r="C34" s="36" t="s">
        <v>97</v>
      </c>
      <c r="E34" s="50">
        <f>'Costs Water'!E103</f>
        <v>22308.48</v>
      </c>
    </row>
    <row r="35" spans="2:9">
      <c r="B35" s="47" t="s">
        <v>6</v>
      </c>
      <c r="C35" s="36" t="s">
        <v>97</v>
      </c>
      <c r="E35" s="48">
        <f>(E32*D11+E33+E34)*(1+$D$13)</f>
        <v>42009.461179999998</v>
      </c>
    </row>
    <row r="36" spans="2:9">
      <c r="G36" s="128"/>
    </row>
    <row r="39" spans="2:9" s="19" customFormat="1" ht="15.75">
      <c r="B39" s="19" t="s">
        <v>103</v>
      </c>
    </row>
    <row r="40" spans="2:9">
      <c r="I40" s="1"/>
    </row>
    <row r="41" spans="2:9">
      <c r="D41" s="31" t="s">
        <v>57</v>
      </c>
    </row>
    <row r="42" spans="2:9">
      <c r="B42" s="20" t="s">
        <v>182</v>
      </c>
      <c r="C42" s="20"/>
      <c r="D42" s="20" t="s">
        <v>29</v>
      </c>
      <c r="E42" s="20" t="s">
        <v>30</v>
      </c>
    </row>
    <row r="43" spans="2:9">
      <c r="B43" s="17" t="s">
        <v>101</v>
      </c>
      <c r="C43" s="36" t="s">
        <v>65</v>
      </c>
      <c r="D43" s="23">
        <v>-2343.3700000000008</v>
      </c>
      <c r="E43" s="23">
        <v>0</v>
      </c>
      <c r="G43" s="16" t="s">
        <v>86</v>
      </c>
    </row>
    <row r="44" spans="2:9">
      <c r="B44" s="57" t="s">
        <v>197</v>
      </c>
      <c r="C44" s="36" t="s">
        <v>65</v>
      </c>
      <c r="D44" s="14">
        <f>'Costs Water'!E70</f>
        <v>28120</v>
      </c>
      <c r="E44" s="40"/>
      <c r="G44" s="5"/>
    </row>
    <row r="45" spans="2:9">
      <c r="B45" s="57" t="s">
        <v>200</v>
      </c>
      <c r="C45" s="36" t="s">
        <v>65</v>
      </c>
      <c r="D45" s="14">
        <f>'Costs Water'!E76</f>
        <v>29500</v>
      </c>
      <c r="E45" s="40"/>
    </row>
    <row r="46" spans="2:9">
      <c r="B46" s="21" t="s">
        <v>207</v>
      </c>
      <c r="C46" s="36" t="s">
        <v>65</v>
      </c>
      <c r="D46" s="28">
        <f>SUM(D43:D45)</f>
        <v>55276.63</v>
      </c>
      <c r="E46" s="28">
        <f>E43*(1+$D$12)*(1+$D$13)+SUM(E44:E45)</f>
        <v>0</v>
      </c>
    </row>
    <row r="48" spans="2:9">
      <c r="D48" s="127"/>
    </row>
    <row r="49" spans="2:9" s="19" customFormat="1" ht="15.75">
      <c r="B49" s="19" t="s">
        <v>66</v>
      </c>
    </row>
    <row r="50" spans="2:9">
      <c r="I50" s="1"/>
    </row>
    <row r="51" spans="2:9">
      <c r="B51" s="31" t="s">
        <v>217</v>
      </c>
      <c r="D51" s="20" t="s">
        <v>29</v>
      </c>
      <c r="E51" s="20" t="s">
        <v>30</v>
      </c>
      <c r="I51" s="1"/>
    </row>
    <row r="52" spans="2:9">
      <c r="B52" s="17" t="s">
        <v>218</v>
      </c>
      <c r="C52" s="36" t="s">
        <v>65</v>
      </c>
      <c r="D52" s="130">
        <f>D25</f>
        <v>409511.71721133834</v>
      </c>
      <c r="E52" s="130">
        <f>E25</f>
        <v>7020.0493762263814</v>
      </c>
      <c r="I52" s="1"/>
    </row>
    <row r="53" spans="2:9">
      <c r="B53" s="17" t="s">
        <v>222</v>
      </c>
      <c r="C53" s="36" t="s">
        <v>65</v>
      </c>
      <c r="D53" s="40"/>
      <c r="E53" s="131">
        <f>E35/(1+D12)</f>
        <v>42220.563999999998</v>
      </c>
      <c r="I53" s="1"/>
    </row>
    <row r="54" spans="2:9">
      <c r="B54" s="21" t="s">
        <v>219</v>
      </c>
      <c r="C54" s="36" t="s">
        <v>65</v>
      </c>
      <c r="D54" s="130">
        <f>D46</f>
        <v>55276.63</v>
      </c>
      <c r="E54" s="40"/>
      <c r="I54" s="1"/>
    </row>
    <row r="55" spans="2:9">
      <c r="B55" s="46" t="s">
        <v>220</v>
      </c>
      <c r="C55" s="36" t="s">
        <v>65</v>
      </c>
      <c r="D55" s="131">
        <f>D52+D53-D54</f>
        <v>354235.08721133834</v>
      </c>
      <c r="E55" s="131">
        <f>E52+E53-E54</f>
        <v>49240.613376226378</v>
      </c>
      <c r="I55" s="1"/>
    </row>
    <row r="56" spans="2:9">
      <c r="I56" s="1"/>
    </row>
    <row r="57" spans="2:9">
      <c r="B57" s="31" t="s">
        <v>221</v>
      </c>
      <c r="D57" s="20" t="s">
        <v>29</v>
      </c>
      <c r="E57" s="20" t="s">
        <v>30</v>
      </c>
    </row>
    <row r="58" spans="2:9">
      <c r="B58" s="16" t="s">
        <v>68</v>
      </c>
      <c r="C58" s="17" t="s">
        <v>67</v>
      </c>
      <c r="D58" s="34">
        <f>D55*(1+D12)*(1+D13)</f>
        <v>349291.73656930414</v>
      </c>
      <c r="E58" s="34">
        <f>E55*(1+D12)*(1+D13)</f>
        <v>48553.460616561133</v>
      </c>
    </row>
    <row r="59" spans="2:9">
      <c r="I59" s="1"/>
    </row>
    <row r="60" spans="2:9">
      <c r="I60" s="1"/>
    </row>
    <row r="61" spans="2:9">
      <c r="I61" s="1"/>
    </row>
    <row r="62" spans="2:9">
      <c r="I62" s="1"/>
    </row>
    <row r="63" spans="2:9">
      <c r="B63" s="37" t="s">
        <v>223</v>
      </c>
      <c r="I63" s="1"/>
    </row>
    <row r="64" spans="2:9">
      <c r="I64" s="1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CCFFFF"/>
  </sheetPr>
  <dimension ref="A1:L46"/>
  <sheetViews>
    <sheetView showGridLines="0" tabSelected="1" topLeftCell="A30" zoomScale="85" zoomScaleNormal="85" workbookViewId="0">
      <selection activeCell="B48" sqref="B48"/>
    </sheetView>
  </sheetViews>
  <sheetFormatPr defaultRowHeight="15"/>
  <cols>
    <col min="1" max="1" width="4.28515625" style="46" customWidth="1"/>
    <col min="2" max="2" width="63.42578125" style="46" customWidth="1"/>
    <col min="3" max="3" width="24.42578125" style="46" customWidth="1"/>
    <col min="4" max="4" width="17.7109375" style="46" customWidth="1"/>
    <col min="5" max="7" width="24.42578125" style="46" customWidth="1"/>
    <col min="8" max="8" width="5.42578125" style="46" customWidth="1"/>
    <col min="9" max="10" width="17" style="46" customWidth="1"/>
    <col min="11" max="16384" width="9.140625" style="46"/>
  </cols>
  <sheetData>
    <row r="1" spans="1:9" s="15" customFormat="1" ht="35.25" customHeight="1">
      <c r="A1" s="15" t="s">
        <v>22</v>
      </c>
    </row>
    <row r="3" spans="1:9">
      <c r="B3" s="63" t="s">
        <v>136</v>
      </c>
      <c r="C3" s="63"/>
    </row>
    <row r="5" spans="1:9" s="53" customFormat="1" ht="15.75">
      <c r="B5" s="19" t="s">
        <v>8</v>
      </c>
      <c r="C5" s="19"/>
    </row>
    <row r="6" spans="1:9" s="54" customFormat="1">
      <c r="B6" s="57"/>
      <c r="C6" s="57"/>
      <c r="D6" s="57"/>
      <c r="E6" s="57"/>
    </row>
    <row r="7" spans="1:9">
      <c r="B7" s="17" t="s">
        <v>9</v>
      </c>
      <c r="C7" s="17" t="s">
        <v>24</v>
      </c>
      <c r="D7" s="113">
        <f>Input!D11</f>
        <v>6.2340487047949464</v>
      </c>
      <c r="E7" s="17"/>
      <c r="G7" s="17"/>
      <c r="H7" s="55"/>
      <c r="I7" s="17"/>
    </row>
    <row r="8" spans="1:9">
      <c r="D8" s="56"/>
      <c r="F8" s="107"/>
      <c r="H8" s="56"/>
    </row>
    <row r="9" spans="1:9">
      <c r="D9" s="56"/>
      <c r="H9" s="56"/>
    </row>
    <row r="10" spans="1:9" s="53" customFormat="1" ht="15.75">
      <c r="B10" s="19" t="s">
        <v>10</v>
      </c>
    </row>
    <row r="11" spans="1:9" s="54" customFormat="1"/>
    <row r="12" spans="1:9" s="54" customFormat="1">
      <c r="B12" s="54" t="s">
        <v>43</v>
      </c>
      <c r="F12" s="54" t="s">
        <v>38</v>
      </c>
    </row>
    <row r="13" spans="1:9" s="54" customFormat="1">
      <c r="B13" s="57" t="s">
        <v>8</v>
      </c>
      <c r="C13" s="17" t="s">
        <v>24</v>
      </c>
      <c r="D13" s="121">
        <f>D7</f>
        <v>6.2340487047949464</v>
      </c>
      <c r="E13" s="17"/>
    </row>
    <row r="14" spans="1:9" s="54" customFormat="1">
      <c r="B14" s="57" t="s">
        <v>69</v>
      </c>
      <c r="C14" s="57"/>
      <c r="D14" s="122">
        <f>Input!D25</f>
        <v>0.19</v>
      </c>
      <c r="E14" s="57"/>
    </row>
    <row r="15" spans="1:9" s="54" customFormat="1">
      <c r="B15" s="57" t="s">
        <v>43</v>
      </c>
      <c r="C15" s="17" t="s">
        <v>24</v>
      </c>
      <c r="D15" s="114">
        <f>D13/(1-D14)</f>
        <v>7.6963564256727732</v>
      </c>
      <c r="E15" s="17"/>
    </row>
    <row r="16" spans="1:9" s="54" customFormat="1"/>
    <row r="17" spans="1:11">
      <c r="B17" s="20" t="s">
        <v>7</v>
      </c>
      <c r="C17" s="17"/>
      <c r="D17" s="20"/>
      <c r="E17" s="17"/>
      <c r="F17" s="54"/>
    </row>
    <row r="18" spans="1:11">
      <c r="B18" s="17" t="s">
        <v>134</v>
      </c>
      <c r="C18" s="46" t="s">
        <v>208</v>
      </c>
      <c r="D18" s="25">
        <f>'Income level Water'!D58</f>
        <v>349291.73656930414</v>
      </c>
      <c r="E18" s="17"/>
      <c r="F18" s="54"/>
    </row>
    <row r="19" spans="1:11">
      <c r="B19" s="17" t="s">
        <v>215</v>
      </c>
      <c r="C19" s="46" t="s">
        <v>208</v>
      </c>
      <c r="D19" s="25">
        <f>Input!D21</f>
        <v>299547.59999999998</v>
      </c>
      <c r="E19" s="17"/>
      <c r="F19" s="17" t="s">
        <v>209</v>
      </c>
      <c r="G19" s="17"/>
    </row>
    <row r="20" spans="1:11">
      <c r="B20" s="17"/>
      <c r="C20" s="17"/>
      <c r="D20" s="17"/>
      <c r="E20" s="17"/>
      <c r="F20" s="21"/>
      <c r="G20" s="17"/>
    </row>
    <row r="21" spans="1:11">
      <c r="B21" s="17"/>
      <c r="C21" s="17"/>
      <c r="D21" s="17"/>
      <c r="E21" s="17"/>
      <c r="F21" s="21"/>
      <c r="G21" s="17"/>
    </row>
    <row r="22" spans="1:11">
      <c r="B22" s="20" t="s">
        <v>54</v>
      </c>
      <c r="C22" s="20"/>
      <c r="D22" s="20" t="s">
        <v>11</v>
      </c>
      <c r="E22" s="20" t="s">
        <v>18</v>
      </c>
      <c r="F22" s="20" t="s">
        <v>16</v>
      </c>
      <c r="G22" s="20" t="s">
        <v>132</v>
      </c>
    </row>
    <row r="23" spans="1:11">
      <c r="B23" s="20"/>
      <c r="C23" s="20"/>
      <c r="D23" s="20"/>
      <c r="E23" s="17" t="s">
        <v>17</v>
      </c>
      <c r="F23" s="17" t="s">
        <v>17</v>
      </c>
      <c r="G23" s="17" t="s">
        <v>17</v>
      </c>
    </row>
    <row r="24" spans="1:11">
      <c r="B24" s="125" t="str">
        <f>'Tariff categories'!B7</f>
        <v>Standard</v>
      </c>
      <c r="C24" s="46" t="s">
        <v>208</v>
      </c>
      <c r="D24" s="125">
        <f>'Tariff categories'!C7</f>
        <v>605</v>
      </c>
      <c r="E24" s="59">
        <f>D18/D24/12</f>
        <v>48.111809444807733</v>
      </c>
      <c r="F24" s="58">
        <f>D19/12/D24</f>
        <v>41.26</v>
      </c>
      <c r="G24" s="61">
        <f>E24-F24</f>
        <v>6.8518094448077349</v>
      </c>
    </row>
    <row r="25" spans="1:11">
      <c r="B25" s="17"/>
      <c r="C25" s="17"/>
      <c r="D25" s="17"/>
      <c r="E25" s="17"/>
      <c r="F25" s="17"/>
      <c r="G25" s="35"/>
    </row>
    <row r="26" spans="1:11">
      <c r="B26" s="17"/>
      <c r="C26" s="17"/>
      <c r="D26" s="17"/>
      <c r="E26" s="17"/>
      <c r="F26" s="17"/>
      <c r="G26" s="35"/>
    </row>
    <row r="27" spans="1:11">
      <c r="B27" s="17"/>
      <c r="C27" s="17"/>
      <c r="D27" s="17"/>
      <c r="E27" s="17"/>
      <c r="F27" s="17"/>
      <c r="G27" s="35"/>
    </row>
    <row r="28" spans="1:11" s="53" customFormat="1" ht="15.75">
      <c r="B28" s="19" t="s">
        <v>25</v>
      </c>
      <c r="C28" s="19"/>
    </row>
    <row r="29" spans="1:11" s="54" customForma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>
      <c r="B30" s="21" t="s">
        <v>26</v>
      </c>
      <c r="C30" s="46" t="s">
        <v>208</v>
      </c>
      <c r="D30" s="25">
        <f>'Income level Water'!E58</f>
        <v>48553.460616561133</v>
      </c>
    </row>
    <row r="31" spans="1:11">
      <c r="B31" s="21" t="s">
        <v>53</v>
      </c>
      <c r="C31" s="46" t="s">
        <v>208</v>
      </c>
      <c r="D31" s="25">
        <f>Input!D23</f>
        <v>27516</v>
      </c>
    </row>
    <row r="32" spans="1:11">
      <c r="B32" s="21" t="s">
        <v>27</v>
      </c>
      <c r="C32" s="17" t="s">
        <v>23</v>
      </c>
      <c r="D32" s="25">
        <f>Input!D29</f>
        <v>2400</v>
      </c>
    </row>
    <row r="33" spans="2:12">
      <c r="B33" s="21" t="s">
        <v>192</v>
      </c>
      <c r="C33" s="17" t="s">
        <v>24</v>
      </c>
      <c r="D33" s="65">
        <f>D7</f>
        <v>6.2340487047949464</v>
      </c>
    </row>
    <row r="34" spans="2:12">
      <c r="B34" s="21" t="s">
        <v>135</v>
      </c>
      <c r="C34" s="21" t="s">
        <v>24</v>
      </c>
      <c r="D34" s="60">
        <f>(D30)/D32</f>
        <v>20.230608590233807</v>
      </c>
      <c r="E34" s="129"/>
    </row>
    <row r="35" spans="2:12">
      <c r="B35" s="21" t="s">
        <v>94</v>
      </c>
      <c r="C35" s="21" t="s">
        <v>24</v>
      </c>
      <c r="D35" s="60">
        <f>Input!D22</f>
        <v>11.465</v>
      </c>
    </row>
    <row r="36" spans="2:12">
      <c r="B36" s="21" t="s">
        <v>226</v>
      </c>
      <c r="C36" s="21" t="s">
        <v>24</v>
      </c>
      <c r="D36" s="60">
        <f>D34-D35</f>
        <v>8.765608590233807</v>
      </c>
      <c r="E36" s="129"/>
    </row>
    <row r="37" spans="2:12">
      <c r="B37" s="21" t="s">
        <v>28</v>
      </c>
      <c r="C37" s="17" t="s">
        <v>24</v>
      </c>
      <c r="D37" s="62">
        <f>D33+D36</f>
        <v>14.999657295028754</v>
      </c>
    </row>
    <row r="40" spans="2:12" s="53" customFormat="1" ht="15.75">
      <c r="B40" s="19" t="s">
        <v>45</v>
      </c>
      <c r="C40" s="19"/>
    </row>
    <row r="41" spans="2:12" s="54" customFormat="1"/>
    <row r="42" spans="2:12" s="91" customFormat="1">
      <c r="B42" s="57" t="s">
        <v>133</v>
      </c>
      <c r="C42" s="46" t="s">
        <v>208</v>
      </c>
      <c r="D42" s="64">
        <f>'Costs Water'!$E$69</f>
        <v>40</v>
      </c>
      <c r="E42" s="46"/>
      <c r="K42" s="92"/>
      <c r="L42" s="92"/>
    </row>
    <row r="43" spans="2:12" s="91" customFormat="1">
      <c r="B43" s="57"/>
      <c r="C43" s="57"/>
      <c r="D43" s="57"/>
      <c r="E43" s="46"/>
      <c r="K43" s="92"/>
      <c r="L43" s="92"/>
    </row>
    <row r="44" spans="2:12" s="91" customFormat="1">
      <c r="B44" s="20" t="s">
        <v>44</v>
      </c>
      <c r="C44" s="20"/>
      <c r="D44" s="46"/>
      <c r="E44" s="46"/>
      <c r="K44" s="92"/>
      <c r="L44" s="92"/>
    </row>
    <row r="45" spans="2:12" s="52" customFormat="1">
      <c r="B45" s="17" t="s">
        <v>210</v>
      </c>
      <c r="C45" s="46" t="s">
        <v>208</v>
      </c>
      <c r="D45" s="132">
        <v>252</v>
      </c>
      <c r="E45" s="46"/>
      <c r="F45" s="33" t="s">
        <v>224</v>
      </c>
    </row>
    <row r="46" spans="2:12">
      <c r="B46" s="46" t="s">
        <v>225</v>
      </c>
      <c r="C46" s="46" t="s">
        <v>208</v>
      </c>
      <c r="D46" s="132">
        <v>175</v>
      </c>
      <c r="F46" s="33" t="s">
        <v>224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75FD9-600A-4DBE-B434-868B48367807}">
  <ds:schemaRefs>
    <ds:schemaRef ds:uri="4e7e7126-2040-4c98-98e5-fda1fcd9258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F083A1-00A8-45E9-BA0D-83E9FE715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22C77-66A3-4784-954D-D10CC5016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Explanation</vt:lpstr>
      <vt:lpstr>Input</vt:lpstr>
      <vt:lpstr>Tariff categories</vt:lpstr>
      <vt:lpstr>Costs Water</vt:lpstr>
      <vt:lpstr>CPI CN</vt:lpstr>
      <vt:lpstr>Income level Water</vt:lpstr>
      <vt:lpstr>Calculation Water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bij tarieven drinkwater 2017 Sint Eustatius</dc:title>
  <dc:subject>tarieven drinkwater St Eustatius 2017</dc:subject>
  <dc:creator>Autoriteit Consument &amp; Markt (ACM)</dc:creator>
  <cp:keywords>water, tarieven, regulering</cp:keywords>
  <cp:lastModifiedBy>Buys-Trimp, Marga</cp:lastModifiedBy>
  <cp:lastPrinted>2016-07-29T19:08:11Z</cp:lastPrinted>
  <dcterms:created xsi:type="dcterms:W3CDTF">2016-07-29T17:04:11Z</dcterms:created>
  <dcterms:modified xsi:type="dcterms:W3CDTF">2017-06-13T18:17:09Z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