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15" yWindow="525" windowWidth="21720" windowHeight="10770" tabRatio="877"/>
  </bookViews>
  <sheets>
    <sheet name="Toelichting" sheetId="1" r:id="rId1"/>
    <sheet name="Parameters" sheetId="29" r:id="rId2"/>
    <sheet name="OPEX CAPEX" sheetId="7" r:id="rId3"/>
    <sheet name="Berekening volumegroei '12-'13" sheetId="36" r:id="rId4"/>
    <sheet name="Inkomsten RV 2014-2016" sheetId="33" r:id="rId5"/>
    <sheet name="CPI" sheetId="16" r:id="rId6"/>
    <sheet name="X-factorberekening" sheetId="5" r:id="rId7"/>
    <sheet name="Berekening aanpassen BI" sheetId="42" r:id="rId8"/>
    <sheet name="Aanpassen begininkomsten" sheetId="43" r:id="rId9"/>
  </sheets>
  <externalReferences>
    <externalReference r:id="rId10"/>
    <externalReference r:id="rId11"/>
    <externalReference r:id="rId12"/>
    <externalReference r:id="rId13"/>
    <externalReference r:id="rId14"/>
    <externalReference r:id="rId15"/>
    <externalReference r:id="rId16"/>
    <externalReference r:id="rId17"/>
  </externalReferences>
  <definedNames>
    <definedName name="_cpi2000" localSheetId="7">#REF!</definedName>
    <definedName name="_cpi2000" localSheetId="4">#REF!</definedName>
    <definedName name="_cpi2000">#REF!</definedName>
    <definedName name="a" localSheetId="7">#REF!</definedName>
    <definedName name="a">#REF!</definedName>
    <definedName name="_xlnm.Print_Area" localSheetId="4">'Inkomsten RV 2014-2016'!$A$1:$J$73</definedName>
    <definedName name="_xlnm.Print_Area" localSheetId="2">'OPEX CAPEX'!$A$1:$K$50</definedName>
    <definedName name="_xlnm.Print_Area" localSheetId="1">Parameters!$A$1:$K$10</definedName>
    <definedName name="_xlnm.Print_Area" localSheetId="0">Toelichting!$A$1:$H$16</definedName>
    <definedName name="_xlnm.Print_Area" localSheetId="6">'X-factorberekening'!$A$1:$N$107</definedName>
    <definedName name="afwijking" localSheetId="7">#REF!</definedName>
    <definedName name="afwijking" localSheetId="4">#REF!</definedName>
    <definedName name="afwijking">#REF!</definedName>
    <definedName name="AS2DocOpenMode" hidden="1">"AS2DocumentEdit"</definedName>
    <definedName name="beta0" localSheetId="7">#REF!</definedName>
    <definedName name="beta0" localSheetId="4">#REF!</definedName>
    <definedName name="beta0">#REF!</definedName>
    <definedName name="beta1" localSheetId="7">#REF!</definedName>
    <definedName name="beta1" localSheetId="4">#REF!</definedName>
    <definedName name="beta1">#REF!</definedName>
    <definedName name="CODE">[1]Adresgegevens!$D$7</definedName>
    <definedName name="cpi" localSheetId="7">#REF!</definedName>
    <definedName name="cpi" localSheetId="4">#REF!</definedName>
    <definedName name="cpi">#REF!</definedName>
    <definedName name="CPI_2005">[2]Database!$D$13</definedName>
    <definedName name="eur" localSheetId="7">#REF!</definedName>
    <definedName name="eur" localSheetId="4">#REF!</definedName>
    <definedName name="eur">#REF!</definedName>
    <definedName name="factor" localSheetId="7">#REF!</definedName>
    <definedName name="factor" localSheetId="4">#REF!</definedName>
    <definedName name="factor">#REF!</definedName>
    <definedName name="fik">[3]cockpit!$B$9</definedName>
    <definedName name="NAAM_NE">'[4]Toegestane Omzet'!$M$1</definedName>
    <definedName name="NAAM_VOL">[1]Adresgegevens!$D$8</definedName>
    <definedName name="omzet_2000_aanpas_kolom" localSheetId="7">#REF!</definedName>
    <definedName name="omzet_2000_aanpas_kolom" localSheetId="4">#REF!</definedName>
    <definedName name="omzet_2000_aanpas_kolom">#REF!</definedName>
    <definedName name="omzet_2000_kolom" localSheetId="7">#REF!</definedName>
    <definedName name="omzet_2000_kolom" localSheetId="4">#REF!</definedName>
    <definedName name="omzet_2000_kolom">#REF!</definedName>
    <definedName name="omzet_2001_kolom" localSheetId="7">#REF!</definedName>
    <definedName name="omzet_2001_kolom" localSheetId="4">#REF!</definedName>
    <definedName name="omzet_2001_kolom">#REF!</definedName>
    <definedName name="opties" localSheetId="7">#REF!</definedName>
    <definedName name="opties" localSheetId="4">#REF!</definedName>
    <definedName name="opties">#REF!</definedName>
    <definedName name="PB">[1]Adresgegevens!$D$9</definedName>
    <definedName name="PC">[1]Adresgegevens!$D$10</definedName>
    <definedName name="PLAATS">[1]Adresgegevens!$D$11</definedName>
    <definedName name="PR_ME_2000" localSheetId="7">'[4]Toegestane Omzet'!#REF!</definedName>
    <definedName name="PR_ME_2000" localSheetId="4">'[4]Toegestane Omzet'!#REF!</definedName>
    <definedName name="PR_ME_2000">'[4]Toegestane Omzet'!#REF!</definedName>
    <definedName name="required_x" localSheetId="7">#REF!</definedName>
    <definedName name="required_x" localSheetId="4">#REF!</definedName>
    <definedName name="required_x">#REF!</definedName>
    <definedName name="tarief_factor" localSheetId="7">#REF!</definedName>
    <definedName name="tarief_factor" localSheetId="4">#REF!</definedName>
    <definedName name="tarief_factor">#REF!</definedName>
    <definedName name="test" localSheetId="7">#REF!</definedName>
    <definedName name="test" localSheetId="4">#REF!</definedName>
    <definedName name="test">#REF!</definedName>
    <definedName name="wacc" localSheetId="7">[5]Data!#REF!</definedName>
    <definedName name="wacc" localSheetId="4">[5]Data!#REF!</definedName>
    <definedName name="wacc">[5]Data!#REF!</definedName>
    <definedName name="wacc_exc_tax">[6]constants!$E$3</definedName>
    <definedName name="wacc_inc_tax">[5]constants!$E$4</definedName>
    <definedName name="WACC2009">'[7]CPI en WACC'!$D$15</definedName>
    <definedName name="WACC2011">'[7]CPI en WACC'!$D$17</definedName>
    <definedName name="WACC2011_2013">'[8]CPI&amp;WACC'!$D$14</definedName>
  </definedNames>
  <calcPr calcId="145621"/>
</workbook>
</file>

<file path=xl/calcChain.xml><?xml version="1.0" encoding="utf-8"?>
<calcChain xmlns="http://schemas.openxmlformats.org/spreadsheetml/2006/main">
  <c r="L86" i="5" l="1"/>
  <c r="K86" i="5"/>
  <c r="J86" i="5"/>
  <c r="I86" i="5"/>
  <c r="H86" i="5"/>
  <c r="H85" i="5"/>
  <c r="L84" i="5"/>
  <c r="K84" i="5"/>
  <c r="I84" i="5"/>
  <c r="H84" i="5"/>
  <c r="L83" i="5"/>
  <c r="K83" i="5"/>
  <c r="J83" i="5"/>
  <c r="I83" i="5"/>
  <c r="H83" i="5"/>
  <c r="H79" i="5"/>
  <c r="J73" i="5"/>
  <c r="I73" i="5"/>
  <c r="H73" i="5"/>
  <c r="J67" i="5"/>
  <c r="I67" i="5"/>
  <c r="H67" i="5"/>
  <c r="I64" i="5"/>
  <c r="H64" i="5"/>
  <c r="G65" i="5"/>
  <c r="G64" i="5"/>
  <c r="G66" i="5"/>
  <c r="J55" i="5"/>
  <c r="J54" i="5"/>
  <c r="I54" i="5"/>
  <c r="H54" i="5"/>
  <c r="L53" i="5"/>
  <c r="K53" i="5"/>
  <c r="J53" i="5"/>
  <c r="I53" i="5"/>
  <c r="H53" i="5"/>
  <c r="L50" i="5"/>
  <c r="K50" i="5"/>
  <c r="J50" i="5"/>
  <c r="I50" i="5"/>
  <c r="H50" i="5"/>
  <c r="L48" i="5"/>
  <c r="K48" i="5"/>
  <c r="J48" i="5"/>
  <c r="I48" i="5"/>
  <c r="H48" i="5"/>
  <c r="K77" i="5" l="1"/>
  <c r="K71" i="5"/>
  <c r="K65" i="5"/>
  <c r="J65" i="5" l="1"/>
  <c r="I65" i="5"/>
  <c r="H65" i="5"/>
  <c r="L77" i="5"/>
  <c r="J77" i="5"/>
  <c r="L65" i="5"/>
  <c r="H38" i="5" l="1"/>
  <c r="K66" i="5"/>
  <c r="G16" i="33"/>
  <c r="G16" i="36"/>
  <c r="G22" i="42" l="1"/>
  <c r="J100" i="5"/>
  <c r="L79" i="5"/>
  <c r="K79" i="5"/>
  <c r="J79" i="5"/>
  <c r="I79" i="5"/>
  <c r="K73" i="5"/>
  <c r="L73" i="5"/>
  <c r="L67" i="5"/>
  <c r="K67" i="5"/>
  <c r="L56" i="5"/>
  <c r="K56" i="5"/>
  <c r="J56" i="5"/>
  <c r="I56" i="5"/>
  <c r="H56" i="5"/>
  <c r="L55" i="5"/>
  <c r="K55" i="5"/>
  <c r="I55" i="5"/>
  <c r="H55" i="5"/>
  <c r="K54" i="5"/>
  <c r="L51" i="5"/>
  <c r="K51" i="5"/>
  <c r="J51" i="5"/>
  <c r="I51" i="5"/>
  <c r="H51" i="5"/>
  <c r="L47" i="5"/>
  <c r="K47" i="5"/>
  <c r="J47" i="5"/>
  <c r="I47" i="5"/>
  <c r="H47" i="5"/>
  <c r="L45" i="5"/>
  <c r="K45" i="5"/>
  <c r="J45" i="5"/>
  <c r="I45" i="5"/>
  <c r="H45" i="5"/>
  <c r="L44" i="5"/>
  <c r="K44" i="5"/>
  <c r="J44" i="5"/>
  <c r="I44" i="5"/>
  <c r="H44" i="5"/>
  <c r="G44" i="5"/>
  <c r="L43" i="5"/>
  <c r="K43" i="5"/>
  <c r="J43" i="5"/>
  <c r="I43" i="5"/>
  <c r="H43" i="5"/>
  <c r="G24" i="5"/>
  <c r="I72" i="33" l="1"/>
  <c r="L31" i="42" l="1"/>
  <c r="K31" i="42"/>
  <c r="G31" i="42"/>
  <c r="I6" i="36" l="1"/>
  <c r="G6" i="36"/>
  <c r="I14" i="36"/>
  <c r="G14" i="36"/>
  <c r="I11" i="36"/>
  <c r="I13" i="36" s="1"/>
  <c r="G11" i="36"/>
  <c r="G13" i="36" s="1"/>
  <c r="O41" i="16"/>
  <c r="G15" i="36" l="1"/>
  <c r="I15" i="36"/>
  <c r="I16" i="36" s="1"/>
  <c r="K31" i="5"/>
  <c r="K5" i="43" s="1"/>
  <c r="I66" i="33"/>
  <c r="G66" i="33"/>
  <c r="G56" i="33"/>
  <c r="I46" i="33"/>
  <c r="G46" i="33"/>
  <c r="I36" i="33"/>
  <c r="G36" i="33"/>
  <c r="I26" i="33"/>
  <c r="G26" i="33"/>
  <c r="G72" i="33" l="1"/>
  <c r="L32" i="42"/>
  <c r="K32" i="42"/>
  <c r="G32" i="42"/>
  <c r="L62" i="42"/>
  <c r="K62" i="42"/>
  <c r="G62" i="42"/>
  <c r="L61" i="42"/>
  <c r="K61" i="42"/>
  <c r="G61" i="42"/>
  <c r="L58" i="42"/>
  <c r="K58" i="42"/>
  <c r="G58" i="42"/>
  <c r="L56" i="42"/>
  <c r="L57" i="42" s="1"/>
  <c r="K56" i="42"/>
  <c r="G56" i="42"/>
  <c r="L54" i="42"/>
  <c r="K54" i="42"/>
  <c r="K55" i="42" s="1"/>
  <c r="G54" i="42"/>
  <c r="G23" i="42"/>
  <c r="G39" i="42" s="1"/>
  <c r="J21" i="42"/>
  <c r="I21" i="42"/>
  <c r="J20" i="42"/>
  <c r="I20" i="42"/>
  <c r="J12" i="42"/>
  <c r="J11" i="42"/>
  <c r="I11" i="42"/>
  <c r="G43" i="42" s="1"/>
  <c r="J10" i="42"/>
  <c r="I10" i="42"/>
  <c r="H10" i="42"/>
  <c r="J39" i="42" l="1"/>
  <c r="I39" i="42"/>
  <c r="L69" i="42"/>
  <c r="L55" i="42"/>
  <c r="K57" i="42"/>
  <c r="K43" i="42"/>
  <c r="L43" i="42"/>
  <c r="K44" i="42"/>
  <c r="L44" i="42"/>
  <c r="G44" i="42"/>
  <c r="I44" i="42" s="1"/>
  <c r="G66" i="42"/>
  <c r="K69" i="42" s="1"/>
  <c r="K50" i="42"/>
  <c r="K49" i="42"/>
  <c r="L50" i="42"/>
  <c r="L49" i="42"/>
  <c r="G49" i="42"/>
  <c r="G50" i="42"/>
  <c r="K38" i="42"/>
  <c r="K37" i="42"/>
  <c r="L37" i="42"/>
  <c r="L40" i="42" s="1"/>
  <c r="L38" i="42"/>
  <c r="G37" i="42"/>
  <c r="G38" i="42"/>
  <c r="I49" i="42"/>
  <c r="I31" i="42"/>
  <c r="J49" i="42"/>
  <c r="J31" i="42"/>
  <c r="L51" i="42"/>
  <c r="K51" i="42"/>
  <c r="G51" i="42"/>
  <c r="L45" i="42"/>
  <c r="K45" i="42"/>
  <c r="G45" i="42"/>
  <c r="I37" i="42"/>
  <c r="I43" i="42"/>
  <c r="J37" i="42"/>
  <c r="J43" i="42"/>
  <c r="K39" i="42"/>
  <c r="L39" i="42"/>
  <c r="I32" i="42"/>
  <c r="J50" i="42"/>
  <c r="J32" i="42"/>
  <c r="I50" i="42"/>
  <c r="L33" i="42"/>
  <c r="L67" i="42" s="1"/>
  <c r="K33" i="42"/>
  <c r="K67" i="42" s="1"/>
  <c r="J62" i="42"/>
  <c r="I56" i="42"/>
  <c r="I57" i="42" s="1"/>
  <c r="I61" i="42"/>
  <c r="I69" i="42" s="1"/>
  <c r="I54" i="42"/>
  <c r="I55" i="42" s="1"/>
  <c r="I58" i="42"/>
  <c r="I62" i="42"/>
  <c r="J54" i="42"/>
  <c r="J55" i="42" s="1"/>
  <c r="J58" i="42"/>
  <c r="J56" i="42"/>
  <c r="J57" i="42" s="1"/>
  <c r="J61" i="42"/>
  <c r="J69" i="42" s="1"/>
  <c r="I40" i="42" l="1"/>
  <c r="K46" i="42"/>
  <c r="J44" i="42"/>
  <c r="J46" i="42" s="1"/>
  <c r="K52" i="42"/>
  <c r="J38" i="42"/>
  <c r="J40" i="42" s="1"/>
  <c r="I38" i="42"/>
  <c r="K40" i="42"/>
  <c r="K68" i="42" s="1"/>
  <c r="L46" i="42"/>
  <c r="L52" i="42"/>
  <c r="L60" i="42"/>
  <c r="L70" i="42" s="1"/>
  <c r="I51" i="42"/>
  <c r="I52" i="42" s="1"/>
  <c r="J51" i="42"/>
  <c r="J52" i="42" s="1"/>
  <c r="I45" i="42"/>
  <c r="I46" i="42" s="1"/>
  <c r="J45" i="42"/>
  <c r="K60" i="42"/>
  <c r="K70" i="42" s="1"/>
  <c r="L68" i="42"/>
  <c r="I33" i="42"/>
  <c r="I67" i="42" s="1"/>
  <c r="J33" i="42"/>
  <c r="J67" i="42" s="1"/>
  <c r="L63" i="42"/>
  <c r="I60" i="42"/>
  <c r="I70" i="42" s="1"/>
  <c r="J60" i="42"/>
  <c r="J70" i="42" s="1"/>
  <c r="G20" i="5"/>
  <c r="G25" i="5"/>
  <c r="F40" i="7"/>
  <c r="F27" i="7"/>
  <c r="F14" i="7"/>
  <c r="L49" i="5"/>
  <c r="K63" i="42" l="1"/>
  <c r="L71" i="42"/>
  <c r="L29" i="42" s="1"/>
  <c r="I63" i="42"/>
  <c r="K71" i="42"/>
  <c r="K29" i="42" s="1"/>
  <c r="J63" i="42"/>
  <c r="K78" i="5"/>
  <c r="G78" i="5"/>
  <c r="G72" i="5"/>
  <c r="K72" i="5"/>
  <c r="L66" i="5"/>
  <c r="L72" i="5"/>
  <c r="L78" i="5"/>
  <c r="K6" i="43" l="1"/>
  <c r="K7" i="43" s="1"/>
  <c r="L6" i="43"/>
  <c r="I68" i="42"/>
  <c r="J68" i="42"/>
  <c r="I71" i="42" l="1"/>
  <c r="I29" i="42" s="1"/>
  <c r="I6" i="43" s="1"/>
  <c r="J71" i="42"/>
  <c r="J29" i="42" s="1"/>
  <c r="J6" i="43" l="1"/>
  <c r="I16" i="33" l="1"/>
  <c r="I70" i="33"/>
  <c r="L31" i="5" s="1"/>
  <c r="L5" i="43" s="1"/>
  <c r="L7" i="43" s="1"/>
  <c r="L8" i="43" s="1"/>
  <c r="G70" i="33" l="1"/>
  <c r="G31" i="5" s="1"/>
  <c r="J70" i="33" l="1"/>
  <c r="G6" i="29" l="1"/>
  <c r="H21" i="42" s="1"/>
  <c r="H39" i="42" s="1"/>
  <c r="G5" i="29"/>
  <c r="H20" i="42" s="1"/>
  <c r="H45" i="42" l="1"/>
  <c r="H38" i="42"/>
  <c r="H54" i="42"/>
  <c r="H55" i="42" s="1"/>
  <c r="H58" i="42"/>
  <c r="H56" i="42"/>
  <c r="H57" i="42" s="1"/>
  <c r="H61" i="42"/>
  <c r="H69" i="42" s="1"/>
  <c r="H62" i="42"/>
  <c r="H49" i="42"/>
  <c r="H52" i="42" s="1"/>
  <c r="H37" i="42"/>
  <c r="H32" i="42"/>
  <c r="H50" i="42"/>
  <c r="H31" i="42"/>
  <c r="H43" i="42"/>
  <c r="H44" i="42"/>
  <c r="H51" i="42"/>
  <c r="K49" i="5"/>
  <c r="G51" i="5"/>
  <c r="G49" i="5"/>
  <c r="G47" i="5"/>
  <c r="F29" i="7"/>
  <c r="F42" i="7"/>
  <c r="F16" i="7"/>
  <c r="H46" i="42" l="1"/>
  <c r="H40" i="42"/>
  <c r="H60" i="42"/>
  <c r="H70" i="42" s="1"/>
  <c r="H33" i="42"/>
  <c r="H67" i="42" s="1"/>
  <c r="G52" i="42"/>
  <c r="G40" i="42"/>
  <c r="G46" i="42"/>
  <c r="F12" i="7"/>
  <c r="H68" i="42" l="1"/>
  <c r="H63" i="42"/>
  <c r="G43" i="5"/>
  <c r="H71" i="42" l="1"/>
  <c r="F71" i="42" s="1"/>
  <c r="K93" i="5"/>
  <c r="K97" i="5" s="1"/>
  <c r="K98" i="5" s="1"/>
  <c r="K100" i="5" s="1"/>
  <c r="F29" i="42" l="1"/>
  <c r="H29" i="42"/>
  <c r="F48" i="7"/>
  <c r="F49" i="7"/>
  <c r="F38" i="7"/>
  <c r="F39" i="7"/>
  <c r="F25" i="7"/>
  <c r="F26" i="7"/>
  <c r="K39" i="5"/>
  <c r="G55" i="5"/>
  <c r="G54" i="5"/>
  <c r="I21" i="5"/>
  <c r="J21" i="5"/>
  <c r="I22" i="5"/>
  <c r="I49" i="5" s="1"/>
  <c r="J22" i="5"/>
  <c r="J49" i="5" s="1"/>
  <c r="H22" i="5"/>
  <c r="L54" i="5"/>
  <c r="H21" i="5"/>
  <c r="G23" i="5"/>
  <c r="F44" i="7"/>
  <c r="F43" i="7"/>
  <c r="F31" i="7"/>
  <c r="F30" i="7"/>
  <c r="F18" i="7"/>
  <c r="F17" i="7"/>
  <c r="F49" i="16"/>
  <c r="V48" i="16"/>
  <c r="M15" i="5" s="1"/>
  <c r="F48" i="16"/>
  <c r="U47" i="16" s="1"/>
  <c r="F47" i="16"/>
  <c r="F46" i="16"/>
  <c r="S45" i="16"/>
  <c r="S44" i="16" s="1"/>
  <c r="F45" i="16"/>
  <c r="F44" i="16"/>
  <c r="Q43" i="16" s="1"/>
  <c r="R44" i="16"/>
  <c r="I11" i="5" s="1"/>
  <c r="T46" i="16"/>
  <c r="K13" i="5" s="1"/>
  <c r="F35" i="16"/>
  <c r="H34" i="16" s="1"/>
  <c r="H33" i="16" s="1"/>
  <c r="F36" i="16"/>
  <c r="F37" i="16"/>
  <c r="J36" i="16" s="1"/>
  <c r="J35" i="16" s="1"/>
  <c r="J34" i="16" s="1"/>
  <c r="J33" i="16" s="1"/>
  <c r="F38" i="16"/>
  <c r="F39" i="16"/>
  <c r="L38" i="16" s="1"/>
  <c r="L37" i="16" s="1"/>
  <c r="L36" i="16" s="1"/>
  <c r="L35" i="16" s="1"/>
  <c r="F40" i="16"/>
  <c r="F41" i="16"/>
  <c r="N40" i="16" s="1"/>
  <c r="N39" i="16" s="1"/>
  <c r="N38" i="16" s="1"/>
  <c r="N37" i="16" s="1"/>
  <c r="N36" i="16" s="1"/>
  <c r="N35" i="16" s="1"/>
  <c r="N34" i="16" s="1"/>
  <c r="N33" i="16" s="1"/>
  <c r="F42" i="16"/>
  <c r="F43" i="16"/>
  <c r="P42" i="16" s="1"/>
  <c r="F34" i="16"/>
  <c r="T45" i="16"/>
  <c r="K12" i="5" s="1"/>
  <c r="I35" i="16"/>
  <c r="K37" i="16"/>
  <c r="K36" i="16" s="1"/>
  <c r="K35" i="16" s="1"/>
  <c r="M39" i="16"/>
  <c r="M38" i="16"/>
  <c r="M37" i="16" s="1"/>
  <c r="M36" i="16" s="1"/>
  <c r="M35" i="16" s="1"/>
  <c r="O40" i="16"/>
  <c r="O39" i="16" s="1"/>
  <c r="O38" i="16" s="1"/>
  <c r="O37" i="16" s="1"/>
  <c r="O36" i="16" s="1"/>
  <c r="O35" i="16" s="1"/>
  <c r="O34" i="16" s="1"/>
  <c r="O33" i="16" s="1"/>
  <c r="G33" i="16"/>
  <c r="F35" i="7"/>
  <c r="F36" i="7"/>
  <c r="F22" i="7"/>
  <c r="F23" i="7"/>
  <c r="F11" i="7"/>
  <c r="J12" i="5"/>
  <c r="K76" i="5" l="1"/>
  <c r="L76" i="5"/>
  <c r="K70" i="5"/>
  <c r="L70" i="5"/>
  <c r="L71" i="5"/>
  <c r="H6" i="43"/>
  <c r="F12" i="43" s="1"/>
  <c r="G29" i="42"/>
  <c r="G77" i="5"/>
  <c r="G76" i="5"/>
  <c r="G70" i="5"/>
  <c r="G71" i="5"/>
  <c r="L38" i="5"/>
  <c r="H49" i="5"/>
  <c r="L39" i="5"/>
  <c r="J39" i="5"/>
  <c r="H39" i="5"/>
  <c r="I39" i="5"/>
  <c r="J11" i="5"/>
  <c r="S43" i="16"/>
  <c r="M34" i="16"/>
  <c r="M33" i="16" s="1"/>
  <c r="K34" i="16"/>
  <c r="K33" i="16" s="1"/>
  <c r="I34" i="16"/>
  <c r="I33" i="16" s="1"/>
  <c r="L34" i="16"/>
  <c r="L33" i="16" s="1"/>
  <c r="T44" i="16"/>
  <c r="R43" i="16"/>
  <c r="P41" i="16"/>
  <c r="P40" i="16" s="1"/>
  <c r="P39" i="16" s="1"/>
  <c r="P38" i="16" s="1"/>
  <c r="P37" i="16" s="1"/>
  <c r="P36" i="16" s="1"/>
  <c r="P35" i="16" s="1"/>
  <c r="P34" i="16" s="1"/>
  <c r="P33" i="16" s="1"/>
  <c r="H10" i="5"/>
  <c r="Q42" i="16"/>
  <c r="K38" i="5"/>
  <c r="V47" i="16"/>
  <c r="L14" i="5"/>
  <c r="U46" i="16"/>
  <c r="I77" i="5"/>
  <c r="J70" i="5"/>
  <c r="J31" i="5"/>
  <c r="J5" i="43" s="1"/>
  <c r="J7" i="43" s="1"/>
  <c r="J8" i="43" s="1"/>
  <c r="I31" i="5"/>
  <c r="I5" i="43" s="1"/>
  <c r="I7" i="43" s="1"/>
  <c r="I8" i="43" s="1"/>
  <c r="H31" i="5"/>
  <c r="H70" i="5"/>
  <c r="I70" i="5"/>
  <c r="I76" i="5"/>
  <c r="J76" i="5"/>
  <c r="H76" i="5"/>
  <c r="K64" i="5" l="1"/>
  <c r="L64" i="5"/>
  <c r="H93" i="5"/>
  <c r="H5" i="43"/>
  <c r="R42" i="16"/>
  <c r="I10" i="5"/>
  <c r="J10" i="5"/>
  <c r="S42" i="16"/>
  <c r="T43" i="16"/>
  <c r="K11" i="5"/>
  <c r="Q41" i="16"/>
  <c r="Q40" i="16" s="1"/>
  <c r="Q39" i="16" s="1"/>
  <c r="Q38" i="16" s="1"/>
  <c r="Q37" i="16" s="1"/>
  <c r="Q36" i="16" s="1"/>
  <c r="Q35" i="16" s="1"/>
  <c r="Q34" i="16" s="1"/>
  <c r="Q33" i="16" s="1"/>
  <c r="F39" i="5"/>
  <c r="M14" i="5"/>
  <c r="V46" i="16"/>
  <c r="L13" i="5"/>
  <c r="U45" i="16"/>
  <c r="H77" i="5"/>
  <c r="I71" i="5"/>
  <c r="H71" i="5"/>
  <c r="J71" i="5"/>
  <c r="L93" i="5"/>
  <c r="I93" i="5"/>
  <c r="J93" i="5"/>
  <c r="J64" i="5" l="1"/>
  <c r="F11" i="43"/>
  <c r="H7" i="43"/>
  <c r="J38" i="5"/>
  <c r="F38" i="5" s="1"/>
  <c r="I38" i="5"/>
  <c r="J40" i="5"/>
  <c r="G93" i="5"/>
  <c r="K10" i="5"/>
  <c r="T42" i="16"/>
  <c r="R41" i="16"/>
  <c r="R40" i="16" s="1"/>
  <c r="R39" i="16" s="1"/>
  <c r="R38" i="16" s="1"/>
  <c r="R37" i="16" s="1"/>
  <c r="R36" i="16" s="1"/>
  <c r="R35" i="16" s="1"/>
  <c r="R34" i="16" s="1"/>
  <c r="R33" i="16" s="1"/>
  <c r="S41" i="16"/>
  <c r="S40" i="16" s="1"/>
  <c r="S39" i="16" s="1"/>
  <c r="S38" i="16" s="1"/>
  <c r="S37" i="16" s="1"/>
  <c r="S36" i="16" s="1"/>
  <c r="S35" i="16" s="1"/>
  <c r="S34" i="16" s="1"/>
  <c r="S33" i="16" s="1"/>
  <c r="K40" i="5"/>
  <c r="M13" i="5"/>
  <c r="H96" i="5" s="1"/>
  <c r="V45" i="16"/>
  <c r="U44" i="16"/>
  <c r="L12" i="5"/>
  <c r="F31" i="5"/>
  <c r="F13" i="43" l="1"/>
  <c r="F14" i="43" s="1"/>
  <c r="H8" i="43"/>
  <c r="J72" i="5"/>
  <c r="H72" i="5"/>
  <c r="I72" i="5"/>
  <c r="I78" i="5"/>
  <c r="H78" i="5"/>
  <c r="J78" i="5"/>
  <c r="H40" i="5"/>
  <c r="J66" i="5"/>
  <c r="I66" i="5"/>
  <c r="H66" i="5"/>
  <c r="L40" i="5"/>
  <c r="I40" i="5"/>
  <c r="T41" i="16"/>
  <c r="T40" i="16" s="1"/>
  <c r="T39" i="16" s="1"/>
  <c r="T38" i="16" s="1"/>
  <c r="T37" i="16" s="1"/>
  <c r="T36" i="16" s="1"/>
  <c r="T35" i="16" s="1"/>
  <c r="T34" i="16" s="1"/>
  <c r="T33" i="16" s="1"/>
  <c r="I96" i="5"/>
  <c r="L96" i="5"/>
  <c r="K96" i="5"/>
  <c r="J96" i="5"/>
  <c r="V44" i="16"/>
  <c r="M12" i="5"/>
  <c r="G82" i="5" s="1"/>
  <c r="U43" i="16"/>
  <c r="L11" i="5"/>
  <c r="F93" i="5"/>
  <c r="G67" i="5" l="1"/>
  <c r="G79" i="5"/>
  <c r="G73" i="5"/>
  <c r="F40" i="5"/>
  <c r="K101" i="5"/>
  <c r="L85" i="5"/>
  <c r="K85" i="5"/>
  <c r="J85" i="5"/>
  <c r="I85" i="5"/>
  <c r="V43" i="16"/>
  <c r="M11" i="5"/>
  <c r="L10" i="5"/>
  <c r="U42" i="16"/>
  <c r="K87" i="5" l="1"/>
  <c r="K94" i="5" s="1"/>
  <c r="I87" i="5"/>
  <c r="I94" i="5" s="1"/>
  <c r="I97" i="5" s="1"/>
  <c r="K102" i="5"/>
  <c r="G83" i="5"/>
  <c r="J87" i="5"/>
  <c r="J94" i="5" s="1"/>
  <c r="G86" i="5"/>
  <c r="G85" i="5"/>
  <c r="V42" i="16"/>
  <c r="M10" i="5"/>
  <c r="U41" i="16"/>
  <c r="U40" i="16" s="1"/>
  <c r="U39" i="16" s="1"/>
  <c r="U38" i="16" s="1"/>
  <c r="U37" i="16" s="1"/>
  <c r="U36" i="16" s="1"/>
  <c r="U35" i="16" s="1"/>
  <c r="U34" i="16" s="1"/>
  <c r="U33" i="16" s="1"/>
  <c r="H87" i="5"/>
  <c r="H94" i="5" l="1"/>
  <c r="H97" i="5" s="1"/>
  <c r="H98" i="5" s="1"/>
  <c r="H100" i="5" s="1"/>
  <c r="G84" i="5"/>
  <c r="L87" i="5"/>
  <c r="L94" i="5" s="1"/>
  <c r="L97" i="5" s="1"/>
  <c r="L98" i="5" s="1"/>
  <c r="L100" i="5" s="1"/>
  <c r="I98" i="5"/>
  <c r="I100" i="5" s="1"/>
  <c r="J97" i="5"/>
  <c r="V41" i="16"/>
  <c r="V40" i="16" s="1"/>
  <c r="V39" i="16" s="1"/>
  <c r="V38" i="16" s="1"/>
  <c r="V37" i="16" s="1"/>
  <c r="V36" i="16" s="1"/>
  <c r="V35" i="16" s="1"/>
  <c r="V34" i="16" s="1"/>
  <c r="V33" i="16" s="1"/>
  <c r="F87" i="5" l="1"/>
  <c r="I101" i="5"/>
  <c r="L101" i="5"/>
  <c r="J98" i="5"/>
  <c r="G94" i="5"/>
  <c r="F94" i="5"/>
  <c r="H101" i="5"/>
  <c r="L102" i="5" l="1"/>
  <c r="I102" i="5"/>
  <c r="G100" i="5"/>
  <c r="J101" i="5"/>
  <c r="F100" i="5"/>
  <c r="H102" i="5"/>
  <c r="J102" i="5" l="1"/>
  <c r="F101" i="5"/>
  <c r="G101" i="5"/>
  <c r="G102" i="5" l="1"/>
  <c r="F102" i="5"/>
</calcChain>
</file>

<file path=xl/sharedStrings.xml><?xml version="1.0" encoding="utf-8"?>
<sst xmlns="http://schemas.openxmlformats.org/spreadsheetml/2006/main" count="485" uniqueCount="209">
  <si>
    <t>1+cpi</t>
  </si>
  <si>
    <t>CPI-tabel (van -naar)</t>
  </si>
  <si>
    <t>EUR, pp 2014</t>
  </si>
  <si>
    <t>EUR, pp 2015</t>
  </si>
  <si>
    <t>TI 2014 met inflatieverwachting</t>
  </si>
  <si>
    <t>TI 2015 met inflatieverwachting</t>
  </si>
  <si>
    <t>TI 2016 met inflatieverwachting</t>
  </si>
  <si>
    <t>Eindinkomsten</t>
  </si>
  <si>
    <t>Inflatie van 2012 naar eindjaar</t>
  </si>
  <si>
    <t>Berekening begininkomsten 2013</t>
  </si>
  <si>
    <t>Kosten 2010</t>
  </si>
  <si>
    <t>Kosten 2011</t>
  </si>
  <si>
    <t>Kosten 2012</t>
  </si>
  <si>
    <t>Berekening Beginkosten</t>
  </si>
  <si>
    <t>Berekening Eindkosten en Eindinkomsten</t>
  </si>
  <si>
    <t>X-factorberekening</t>
  </si>
  <si>
    <t xml:space="preserve">Inkoop energie </t>
  </si>
  <si>
    <t>Overige operationele kosten voor de gereguleerde activiteiten</t>
  </si>
  <si>
    <t>Overige operationele kosten 2012</t>
  </si>
  <si>
    <t>Inkoopkosten energie 2012</t>
  </si>
  <si>
    <t>Afschrijvingen 2012</t>
  </si>
  <si>
    <t>Vermogenskosten 2012 (WACC * GAW)</t>
  </si>
  <si>
    <t>Naar</t>
  </si>
  <si>
    <t>EUR, pp 2016</t>
  </si>
  <si>
    <t>Inladen parameters</t>
  </si>
  <si>
    <t>Begininkomsten 2013</t>
  </si>
  <si>
    <t>X-factor</t>
  </si>
  <si>
    <t>X-factor (onafgerond)</t>
  </si>
  <si>
    <t>in EUR, pp 2013</t>
  </si>
  <si>
    <t>CPI</t>
  </si>
  <si>
    <t>Toelichting</t>
  </si>
  <si>
    <t>Parameters</t>
  </si>
  <si>
    <t>Gebruikte bron</t>
  </si>
  <si>
    <t>Datum import</t>
  </si>
  <si>
    <t>Totaal / algemeen</t>
  </si>
  <si>
    <t>in EUR, pp 2010</t>
  </si>
  <si>
    <t>in EUR, pp 2011</t>
  </si>
  <si>
    <t>in EUR, pp 2012</t>
  </si>
  <si>
    <t>CPI Data (bron CBS)</t>
  </si>
  <si>
    <t>CPI (volgens wettelijke formule)</t>
  </si>
  <si>
    <t>CPI-tabel</t>
  </si>
  <si>
    <t>VAN</t>
  </si>
  <si>
    <t>NAAR</t>
  </si>
  <si>
    <t>Relevant deel van CPI tabel</t>
  </si>
  <si>
    <t>EUR, pp 2010</t>
  </si>
  <si>
    <t>EUR, pp 2011</t>
  </si>
  <si>
    <t>EUR, pp 2012</t>
  </si>
  <si>
    <t>EUR, pp 2013</t>
  </si>
  <si>
    <t>Totaal operationele kosten 2012 in prijspeil 2012</t>
  </si>
  <si>
    <t>Legenda</t>
  </si>
  <si>
    <t>Bronwaarde</t>
  </si>
  <si>
    <t>Berekende waarde</t>
  </si>
  <si>
    <t>Eindresultaat</t>
  </si>
  <si>
    <t>Niet van toepassing</t>
  </si>
  <si>
    <t>Verwijzing</t>
  </si>
  <si>
    <t>Schatting van bronwaarde</t>
  </si>
  <si>
    <t>Opmerking, cel die toelichting behoeft</t>
  </si>
  <si>
    <t>Data inkomsten</t>
  </si>
  <si>
    <t>%</t>
  </si>
  <si>
    <t>Import gegevens uit GAW sheet en PRD</t>
  </si>
  <si>
    <t>Gegevens over verslagjaar: 2010</t>
  </si>
  <si>
    <t>Gegevens over verslagjaar: 2011</t>
  </si>
  <si>
    <t>Gegevens over verslagjaar: 2012</t>
  </si>
  <si>
    <t>Op basis van onafgerond vastgesteld tarief inclusief opslagen</t>
  </si>
  <si>
    <t>Tarief exclusief opslagen</t>
  </si>
  <si>
    <t>waarvan op kosten 2013 ziet</t>
  </si>
  <si>
    <t>Totaal verrekening verleden</t>
  </si>
  <si>
    <t>Waarvan op jaar 2013 ziet</t>
  </si>
  <si>
    <t>Totaal Besef</t>
  </si>
  <si>
    <t>Totaal MFA</t>
  </si>
  <si>
    <t>Totaal NPD</t>
  </si>
  <si>
    <t>Totaal UI</t>
  </si>
  <si>
    <t xml:space="preserve">Totaal </t>
  </si>
  <si>
    <t>Opslag verrekening verleden</t>
  </si>
  <si>
    <t>Opslag Besef</t>
  </si>
  <si>
    <t>Opslag MFA</t>
  </si>
  <si>
    <t>Opslag NPD</t>
  </si>
  <si>
    <t>Opslag UI</t>
  </si>
  <si>
    <t>Verdeelsleutel OPEX naar transport/balancering/aansluitdienst</t>
  </si>
  <si>
    <t>Algemeen</t>
  </si>
  <si>
    <t>TT/BT/BA</t>
  </si>
  <si>
    <t>Verdeelsleutel GAW en inkomsten naar transport/balancering/aansluitdienst</t>
  </si>
  <si>
    <t xml:space="preserve">Totaal kapitaalkosten 2012 in prijspeil 2012 </t>
  </si>
  <si>
    <t>Uitbreidingsinvestering kapitaalkosten 2012 in prijspeil 2012</t>
  </si>
  <si>
    <t>Uitbreidingsinvestering afschrijvingen 2010</t>
  </si>
  <si>
    <t>Uitbreidingsinvestering vermogenskosten 2010 (WACC*GAW)</t>
  </si>
  <si>
    <t>Uitbreidingsinvestering afschrijvingen 2011</t>
  </si>
  <si>
    <t>Uitbreidingsinvestering vermogenskosten 2011 (WACC*GAW)</t>
  </si>
  <si>
    <t>Uitbreidingsinvestering afschrijvingen 2012</t>
  </si>
  <si>
    <t>Uitbreidingsinvestering vermogenskosten 2012 (WACC*GAW)</t>
  </si>
  <si>
    <t xml:space="preserve">In dit onderdeel worden de begininkomsten berekend. We nemen de inkomsten uit het laatste jaar van de reguleringsperiode als uitgangspunt. </t>
  </si>
  <si>
    <t>Berekening eindkosten 2016</t>
  </si>
  <si>
    <t>Uitbreidingsinvesteringen</t>
  </si>
  <si>
    <r>
      <t>Inschatting efficiënte eindkosten uitbreidingsinvesteringen</t>
    </r>
    <r>
      <rPr>
        <sz val="10"/>
        <color indexed="10"/>
        <rFont val="Arial"/>
        <family val="2"/>
      </rPr>
      <t xml:space="preserve"> </t>
    </r>
  </si>
  <si>
    <t>Pensioenkosten 2010</t>
  </si>
  <si>
    <t>Pensioenkosten 2011</t>
  </si>
  <si>
    <t>Pensioenkosten 2012</t>
  </si>
  <si>
    <t>Pensioenkosten 2010 in prijspeil 2012</t>
  </si>
  <si>
    <t>Pensioenkosten 2011 in prijspeil 2012</t>
  </si>
  <si>
    <t>Pensioenkosten incl SORIE</t>
  </si>
  <si>
    <t>Gemiddelde pensioenkosten 2012</t>
  </si>
  <si>
    <t>In dit onderdeel worden de beginkosten berekend. De schatting van de pensioenkosten baseren we op een gemiddelde van de jaren 2010,2011 en 2012. De overige kosten schatten we op basis van 2012.</t>
  </si>
  <si>
    <t>Verdeelsleutel OPEX (incl. inkoop energie) naar transport/balancering/aansluitdienst</t>
  </si>
  <si>
    <t>Inschatting efficiënte eindkosten inkoop energie</t>
  </si>
  <si>
    <t>Conclusie: beginkosten inkoop energie</t>
  </si>
  <si>
    <t>In onderstaande berekening wordt de x-factor berekend. Dit is de lijn tussen de begininkomsten en de eindinkomsten.</t>
  </si>
  <si>
    <t>Conclusie: beginkosten kapitaalkosten 2012</t>
  </si>
  <si>
    <t xml:space="preserve">In dit onderdeel worden de eindkosten berekend. Voor vervangingsinvesteringen passen we ideaalcomplex toe, voor de reguliere uitbreidingsinvesteringen gebruikt ACM een schatting obv de jaren 2010 t/m 2012. </t>
  </si>
  <si>
    <t>Gemiddelde cpi 2014-eindjaar in %</t>
  </si>
  <si>
    <t>Van totale inkomsten naar toegestane inkomsten</t>
  </si>
  <si>
    <t xml:space="preserve">In dit onderdeel wordt de x-factor en de verwachte totale inkomsten berekend. </t>
  </si>
  <si>
    <t>Beginkosten op basis van 2012 data</t>
  </si>
  <si>
    <t>Tussenresultaat 2013</t>
  </si>
  <si>
    <t>Inflatie van 2012 naar 2013</t>
  </si>
  <si>
    <t>Inschatting vervangingsinvesteringen 2013</t>
  </si>
  <si>
    <t>Inschatting inkoop energie 2013</t>
  </si>
  <si>
    <t>TOTAAL</t>
  </si>
  <si>
    <t xml:space="preserve">Dit bestand bevat de berekening van de x-factor voor Gasunie Transport Services B.V. voor de periode 2014-2016. </t>
  </si>
  <si>
    <t>In dit bestand worden de definitieve financiële data voor 2010 t/m 2012 gebruikt.</t>
  </si>
  <si>
    <t>Bron 1 t/m 7</t>
  </si>
  <si>
    <t>Bron 10: Tarievenmodule 2013 obv RV 2014-2016</t>
  </si>
  <si>
    <t>Percentage schatting OPEX reguliere uitbreidingsinvesteringen</t>
  </si>
  <si>
    <t>Uitbreidingsinvestering operationele kosten 2011 in prijspeil 2012</t>
  </si>
  <si>
    <t>Uitbreidingsinvestering operationele kosten 2012 in prijspeil 2012</t>
  </si>
  <si>
    <t>De totale inkomsten (met de gerealiseerde cpi) plus de opslagen voor marktfaciliterende activiteiten, nieuwe producten en diensten en (bijzondere) uitbreidingsinvesteringen én inclusief correcties vormen de toegestane inkomsten. Deze worden in de tarievenbesluiten vastgelegd.</t>
  </si>
  <si>
    <t>Uitbreidingsinvestering operationele kosten 2010</t>
  </si>
  <si>
    <t xml:space="preserve">Uitbreidingsinvestering kosten 2010 in prijspeil 2012 </t>
  </si>
  <si>
    <t>Uitbreidingsinvestering kosten 2011 in prijspeil 2012</t>
  </si>
  <si>
    <t>Inschatting kosten uitbreidingsinvesteringen 2013</t>
  </si>
  <si>
    <t>WACC 2014-2016</t>
  </si>
  <si>
    <t>WACC 2010-2013</t>
  </si>
  <si>
    <t>Vermogenskosten 2012 (WACC 2010-2013 * GAW)</t>
  </si>
  <si>
    <t>Begininkomsten 2013 (op basis van onafgerond tarief)</t>
  </si>
  <si>
    <t>volumegroei 2013 door UI's opgenomen in TB 2013</t>
  </si>
  <si>
    <t>volumegroei 2013 door UI's niet opgenomen in TB 2013</t>
  </si>
  <si>
    <t>Totale kosten in aanmerking voor opslag</t>
  </si>
  <si>
    <t>Niet ingediende kosten</t>
  </si>
  <si>
    <t>Berekening omzetstijging door volumegroei 2012-2013</t>
  </si>
  <si>
    <t>2013 Volumes * onafgeronde tarieven ENTRY</t>
  </si>
  <si>
    <t>2013 Volumes * onafgeronde tarieven EXIT</t>
  </si>
  <si>
    <t>2013 Volumes * onafgeronde tarieven CONNECTION</t>
  </si>
  <si>
    <t>2013 Volumes * onafgeronde tarieven WHEELING</t>
  </si>
  <si>
    <t>2013 Volumes * onafgeronde tarieven DIVERSION</t>
  </si>
  <si>
    <t>2013 Volumes *onafgeronde tarieven KWALITEITSCONVERSIE</t>
  </si>
  <si>
    <t>2013 Volumes onafgeronde tarieven KWALITEITSCONVERSIE</t>
  </si>
  <si>
    <t xml:space="preserve">Dit blad geeft een overzicht van de inkomsten over het jaar 2013. ACM is uitgegaan van de tarieven voor het jaar 2013 en heeft daar alles uit verwijderd wat niet ziet op het jaar 2013.  Voor de  volumes zijn realisaties voor 2012 gebruikt en een schatting voor de volumegroei van 2012 naar 2013. </t>
  </si>
  <si>
    <t>Transporttaak</t>
  </si>
  <si>
    <t>Balanceringstaak</t>
  </si>
  <si>
    <t>Aansluitingtaak</t>
  </si>
  <si>
    <t>Aansluittaak</t>
  </si>
  <si>
    <t>Kwaliteitsconversietaak</t>
  </si>
  <si>
    <t>Transporttaak/Balanceringtaak/Aansluitingtaak</t>
  </si>
  <si>
    <t>Reële WACC</t>
  </si>
  <si>
    <t>Formule nummer</t>
  </si>
  <si>
    <t>(1)</t>
  </si>
  <si>
    <t>(8)</t>
  </si>
  <si>
    <t>(9)</t>
  </si>
  <si>
    <t>(12)</t>
  </si>
  <si>
    <t>Eindkosten</t>
  </si>
  <si>
    <t>Totale afschrijvingen</t>
  </si>
  <si>
    <t>Boekwaarde einde jaar</t>
  </si>
  <si>
    <t>Totaalbedrag activeringen reguliere uitbreidingsinvesteringen 2010</t>
  </si>
  <si>
    <t>Afschrijvingen reguliere uitbreidingsinvesteringen die geactiveerd zijn in 2010</t>
  </si>
  <si>
    <t>Boekwaarde einde jaar reguliere uitbreidingsinvesteringen die geactiveerd zijn in 2010</t>
  </si>
  <si>
    <t>Totaalbedrag activeringen reguliere uitbreidingsinvesteringen 2011</t>
  </si>
  <si>
    <t>Afschrijvingen reguliere uitbreidingsinvesteringen die geactiveerd zijn in 2011</t>
  </si>
  <si>
    <t>Boekwaarde einde jaar reguliere uitbreidingsinvesteringen die geactiveerd zijn in 2011</t>
  </si>
  <si>
    <t>Afschrijvingen reguliere uitbreidingsinvesteringen die geactiveerd zijn in 2012</t>
  </si>
  <si>
    <t>Boekwaarde einde jaar reguliere uitbreidingsinvesteringen die geactiveerd zijn in 2012</t>
  </si>
  <si>
    <t>Volumegroei</t>
  </si>
  <si>
    <t>Afschrijvingen UI's 2010-2011-2012 in 2013</t>
  </si>
  <si>
    <t>GAW UI's 2010-2011-2012 in 2013</t>
  </si>
  <si>
    <t>Vermogenskosten UI's 2010-2011-2012 in 2013</t>
  </si>
  <si>
    <t>Gegeven opslag</t>
  </si>
  <si>
    <t>Kosten 2013 (incl. HR) voor investeringen 2010-2011-2012</t>
  </si>
  <si>
    <t>Opslag op de tarieven</t>
  </si>
  <si>
    <t>Investeringsuitgaven 2010-2011-2012</t>
  </si>
  <si>
    <t>Conclusie: beginkosten overige OPEX en pensioenkosten</t>
  </si>
  <si>
    <t>Inschatting efficiënte eindkosten overige OPEX  en pensioenkosten</t>
  </si>
  <si>
    <t xml:space="preserve">Inschatting efficiënte eindkosten vervangingsinvesteringen obv ideaalcomplex </t>
  </si>
  <si>
    <t>(10)</t>
  </si>
  <si>
    <t>Werkelijke/efficiente kosten 2013</t>
  </si>
  <si>
    <t>Verschil</t>
  </si>
  <si>
    <t>Verschil als % van inkomsten</t>
  </si>
  <si>
    <t>Inkomsten obv tarieven 2013</t>
  </si>
  <si>
    <t>Dit blad geeft een overzicht van de boekwaarde, investeringen, afschrijvingen en OPEX per taak voor de jaren 2010 t/m 2012. De CAPEX data voor transport/balancering/bestaande aansluiting zijn niet apart inzichtelijk te maken.</t>
  </si>
  <si>
    <t>Totaalbedrag activeringen reguliere uitbreidingsinvesteringen 2012</t>
  </si>
  <si>
    <t>Verdeelsleutel GAW en inkomsten naar transport/balancering/bestaande aansluiting</t>
  </si>
  <si>
    <t>Verdeelsleutel OPEX naar transport/balancering/bestaande aansluiting</t>
  </si>
  <si>
    <t>(6)</t>
  </si>
  <si>
    <t>(7)</t>
  </si>
  <si>
    <t>Berekening aanpassing begininkomsten 2013</t>
  </si>
  <si>
    <t>(11)</t>
  </si>
  <si>
    <t>(17)</t>
  </si>
  <si>
    <t>(18)</t>
  </si>
  <si>
    <t>(19)</t>
  </si>
  <si>
    <t>Aanleiding</t>
  </si>
  <si>
    <t>Aanpassen begininkomsten</t>
  </si>
  <si>
    <t>Toepassingsvoorwaarde</t>
  </si>
  <si>
    <t>(2)</t>
  </si>
  <si>
    <t>Formule</t>
  </si>
  <si>
    <t>(3)</t>
  </si>
  <si>
    <t>(13)</t>
  </si>
  <si>
    <t>(14) en (15)</t>
  </si>
  <si>
    <t>(20)</t>
  </si>
  <si>
    <t>Uitbreidingsinvestering kosten 2012 in prijspeil 2012</t>
  </si>
  <si>
    <r>
      <t xml:space="preserve">Opbrengsten door extra volume groei </t>
    </r>
    <r>
      <rPr>
        <u/>
        <sz val="11"/>
        <rFont val="Arial"/>
        <family val="2"/>
      </rPr>
      <t>in 2013 in mindering</t>
    </r>
  </si>
  <si>
    <t>Frontier shift nieuw</t>
  </si>
  <si>
    <t>Frontier shift oud</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</si>
</sst>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3" formatCode="_ * #,##0.00_ ;_ * \-#,##0.00_ ;_ * &quot;-&quot;??_ ;_ @_ "/>
    <numFmt numFmtId="164" formatCode="_-* #,##0.00_-;_-* #,##0.00\-;_-* &quot;-&quot;??_-;_-@_-"/>
    <numFmt numFmtId="165" formatCode="_-* #,##0_-;_-* #,##0\-;_-* &quot;-&quot;??_-;_-@_-"/>
    <numFmt numFmtId="166" formatCode="0.000"/>
    <numFmt numFmtId="167" formatCode="_([$€]* #,##0.00_);_([$€]* \(#,##0.00\);_([$€]* &quot;-&quot;??_);_(@_)"/>
    <numFmt numFmtId="168" formatCode="0.000%"/>
    <numFmt numFmtId="169" formatCode="#,##0.000"/>
    <numFmt numFmtId="170" formatCode="_-* #,##0.000_-;_-* #,##0.000\-;_-* &quot;-&quot;??_-;_-@_-"/>
    <numFmt numFmtId="171" formatCode="0.0%"/>
    <numFmt numFmtId="172" formatCode="0.0"/>
    <numFmt numFmtId="173" formatCode="_ * #,##0_ ;_ * \-#,##0_ ;_ * &quot;-&quot;??_ ;_ @_ "/>
  </numFmts>
  <fonts count="48" x14ac:knownFonts="1">
    <font>
      <sz val="10"/>
      <name val="Arial"/>
    </font>
    <font>
      <sz val="11"/>
      <color theme="1"/>
      <name val="Calibri"/>
      <family val="2"/>
      <scheme val="minor"/>
    </font>
    <font>
      <sz val="10"/>
      <name val="Arial"/>
      <family val="2"/>
    </font>
    <font>
      <sz val="8"/>
      <name val="Arial"/>
      <family val="2"/>
    </font>
    <font>
      <sz val="10"/>
      <color indexed="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8"/>
      <name val="Arial"/>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b/>
      <sz val="10"/>
      <name val="Arial"/>
      <family val="2"/>
    </font>
    <font>
      <sz val="8"/>
      <name val="Arial"/>
      <family val="2"/>
    </font>
    <font>
      <b/>
      <sz val="8"/>
      <color indexed="8"/>
      <name val="Arial"/>
      <family val="2"/>
    </font>
    <font>
      <b/>
      <sz val="8"/>
      <name val="Arial"/>
      <family val="2"/>
    </font>
    <font>
      <sz val="8"/>
      <color indexed="8"/>
      <name val="Arial"/>
      <family val="2"/>
    </font>
    <font>
      <sz val="19"/>
      <name val="Arial"/>
      <family val="2"/>
    </font>
    <font>
      <sz val="8"/>
      <color indexed="14"/>
      <name val="Arial"/>
      <family val="2"/>
    </font>
    <font>
      <b/>
      <sz val="18"/>
      <color indexed="62"/>
      <name val="Cambria"/>
      <family val="2"/>
    </font>
    <font>
      <sz val="10"/>
      <color indexed="8"/>
      <name val="Arial"/>
      <family val="2"/>
    </font>
    <font>
      <sz val="10"/>
      <name val="Arial"/>
      <family val="2"/>
    </font>
    <font>
      <b/>
      <sz val="10"/>
      <name val="Arial"/>
      <family val="2"/>
    </font>
    <font>
      <sz val="10"/>
      <name val="Arial"/>
      <family val="2"/>
    </font>
    <font>
      <b/>
      <sz val="10"/>
      <color indexed="10"/>
      <name val="Arial"/>
      <family val="2"/>
    </font>
    <font>
      <sz val="10"/>
      <name val="Arial"/>
      <family val="2"/>
    </font>
    <font>
      <i/>
      <sz val="10"/>
      <name val="Arial"/>
      <family val="2"/>
    </font>
    <font>
      <i/>
      <sz val="10"/>
      <name val="Arial"/>
      <family val="2"/>
    </font>
    <font>
      <sz val="10"/>
      <name val="Arial"/>
      <family val="2"/>
    </font>
    <font>
      <sz val="10"/>
      <color theme="5"/>
      <name val="Arial"/>
      <family val="2"/>
    </font>
    <font>
      <b/>
      <sz val="10"/>
      <color rgb="FFFF0000"/>
      <name val="Arial"/>
      <family val="2"/>
    </font>
    <font>
      <sz val="10"/>
      <color rgb="FFFF0000"/>
      <name val="Arial"/>
      <family val="2"/>
    </font>
    <font>
      <sz val="11"/>
      <color theme="1"/>
      <name val="Arial"/>
      <family val="2"/>
    </font>
    <font>
      <sz val="11"/>
      <color rgb="FFFF0000"/>
      <name val="Arial"/>
      <family val="2"/>
    </font>
    <font>
      <sz val="11"/>
      <name val="Arial"/>
      <family val="2"/>
    </font>
    <font>
      <u/>
      <sz val="11"/>
      <name val="Arial"/>
      <family val="2"/>
    </font>
  </fonts>
  <fills count="6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10"/>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57"/>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53"/>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22"/>
      </patternFill>
    </fill>
    <fill>
      <patternFill patternType="solid">
        <fgColor indexed="5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12"/>
      </patternFill>
    </fill>
    <fill>
      <patternFill patternType="solid">
        <fgColor indexed="50"/>
      </patternFill>
    </fill>
    <fill>
      <patternFill patternType="lightUp">
        <fgColor indexed="48"/>
        <bgColor indexed="41"/>
      </patternFill>
    </fill>
    <fill>
      <patternFill patternType="solid">
        <fgColor indexed="54"/>
      </patternFill>
    </fill>
    <fill>
      <patternFill patternType="solid">
        <fgColor indexed="40"/>
      </patternFill>
    </fill>
    <fill>
      <patternFill patternType="solid">
        <fgColor indexed="41"/>
      </patternFill>
    </fill>
    <fill>
      <patternFill patternType="solid">
        <fgColor indexed="23"/>
      </patternFill>
    </fill>
    <fill>
      <patternFill patternType="solid">
        <fgColor indexed="9"/>
      </patternFill>
    </fill>
    <fill>
      <patternFill patternType="solid">
        <fgColor indexed="15"/>
      </patternFill>
    </fill>
    <fill>
      <patternFill patternType="solid">
        <fgColor indexed="20"/>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indexed="41"/>
        <bgColor indexed="64"/>
      </patternFill>
    </fill>
    <fill>
      <patternFill patternType="solid">
        <fgColor indexed="45"/>
        <bgColor indexed="64"/>
      </patternFill>
    </fill>
    <fill>
      <patternFill patternType="solid">
        <fgColor theme="0"/>
        <bgColor indexed="64"/>
      </patternFill>
    </fill>
    <fill>
      <patternFill patternType="solid">
        <fgColor rgb="FFFFFF99"/>
        <bgColor indexed="64"/>
      </patternFill>
    </fill>
    <fill>
      <patternFill patternType="solid">
        <fgColor rgb="FFCCFFCC"/>
        <bgColor indexed="64"/>
      </patternFill>
    </fill>
    <fill>
      <patternFill patternType="solid">
        <fgColor rgb="FFFFCC99"/>
        <bgColor indexed="64"/>
      </patternFill>
    </fill>
    <fill>
      <patternFill patternType="solid">
        <fgColor rgb="FFCCFFFF"/>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0" tint="-0.249977111117893"/>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style="thin">
        <color indexed="64"/>
      </left>
      <right style="thin">
        <color indexed="64"/>
      </right>
      <top style="thin">
        <color indexed="64"/>
      </top>
      <bottom style="thin">
        <color indexed="64"/>
      </bottom>
      <diagonal/>
    </border>
    <border>
      <left/>
      <right/>
      <top style="thin">
        <color indexed="62"/>
      </top>
      <bottom style="double">
        <color indexed="62"/>
      </bottom>
      <diagonal/>
    </border>
    <border>
      <left/>
      <right/>
      <top style="thin">
        <color indexed="64"/>
      </top>
      <bottom style="thin">
        <color indexed="64"/>
      </bottom>
      <diagonal/>
    </border>
    <border>
      <left/>
      <right/>
      <top/>
      <bottom style="double">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s>
  <cellStyleXfs count="119">
    <xf numFmtId="0" fontId="0" fillId="0" borderId="0"/>
    <xf numFmtId="0" fontId="2" fillId="0" borderId="0"/>
    <xf numFmtId="0" fontId="23"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6" fillId="27" borderId="0" applyNumberFormat="0" applyBorder="0" applyAlignment="0" applyProtection="0"/>
    <xf numFmtId="0" fontId="6" fillId="13" borderId="0" applyNumberFormat="0" applyBorder="0" applyAlignment="0" applyProtection="0"/>
    <xf numFmtId="0" fontId="5" fillId="21" borderId="0" applyNumberFormat="0" applyBorder="0" applyAlignment="0" applyProtection="0"/>
    <xf numFmtId="0" fontId="5" fillId="28" borderId="0" applyNumberFormat="0" applyBorder="0" applyAlignment="0" applyProtection="0"/>
    <xf numFmtId="0" fontId="6" fillId="22" borderId="0" applyNumberFormat="0" applyBorder="0" applyAlignment="0" applyProtection="0"/>
    <xf numFmtId="0" fontId="6" fillId="14"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6" fillId="19" borderId="0" applyNumberFormat="0" applyBorder="0" applyAlignment="0" applyProtection="0"/>
    <xf numFmtId="0" fontId="6"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6" fillId="34" borderId="0" applyNumberFormat="0" applyBorder="0" applyAlignment="0" applyProtection="0"/>
    <xf numFmtId="0" fontId="8" fillId="35" borderId="1" applyNumberFormat="0" applyAlignment="0" applyProtection="0"/>
    <xf numFmtId="0" fontId="9" fillId="36" borderId="2" applyNumberFormat="0" applyAlignment="0" applyProtection="0"/>
    <xf numFmtId="0" fontId="21" fillId="37" borderId="0" applyNumberFormat="0" applyBorder="0" applyAlignment="0" applyProtection="0"/>
    <xf numFmtId="0" fontId="21" fillId="38" borderId="0" applyNumberFormat="0" applyBorder="0" applyAlignment="0" applyProtection="0"/>
    <xf numFmtId="0" fontId="21" fillId="39" borderId="0" applyNumberFormat="0" applyBorder="0" applyAlignment="0" applyProtection="0"/>
    <xf numFmtId="167" fontId="2" fillId="0" borderId="0" applyFont="0" applyFill="0" applyBorder="0" applyAlignment="0" applyProtection="0"/>
    <xf numFmtId="0" fontId="11" fillId="4" borderId="0" applyNumberFormat="0" applyBorder="0" applyAlignment="0" applyProtection="0"/>
    <xf numFmtId="0" fontId="12" fillId="0" borderId="0"/>
    <xf numFmtId="0" fontId="16" fillId="7" borderId="1" applyNumberFormat="0" applyAlignment="0" applyProtection="0"/>
    <xf numFmtId="164" fontId="2" fillId="0" borderId="0" applyFont="0" applyFill="0" applyBorder="0" applyAlignment="0" applyProtection="0"/>
    <xf numFmtId="0" fontId="13" fillId="0" borderId="4" applyNumberFormat="0" applyFill="0" applyAlignment="0" applyProtection="0"/>
    <xf numFmtId="0" fontId="14" fillId="0" borderId="5" applyNumberFormat="0" applyFill="0" applyAlignment="0" applyProtection="0"/>
    <xf numFmtId="0" fontId="15" fillId="0" borderId="6" applyNumberFormat="0" applyFill="0" applyAlignment="0" applyProtection="0"/>
    <xf numFmtId="0" fontId="15" fillId="0" borderId="0" applyNumberFormat="0" applyFill="0" applyBorder="0" applyAlignment="0" applyProtection="0"/>
    <xf numFmtId="0" fontId="17" fillId="0" borderId="3" applyNumberFormat="0" applyFill="0" applyAlignment="0" applyProtection="0"/>
    <xf numFmtId="0" fontId="2" fillId="0" borderId="0" applyNumberFormat="0" applyFill="0" applyBorder="0" applyAlignment="0" applyProtection="0"/>
    <xf numFmtId="0" fontId="18" fillId="40" borderId="0" applyNumberFormat="0" applyBorder="0" applyAlignment="0" applyProtection="0"/>
    <xf numFmtId="0" fontId="2" fillId="41" borderId="7" applyNumberFormat="0" applyFont="0" applyAlignment="0" applyProtection="0"/>
    <xf numFmtId="0" fontId="7" fillId="3" borderId="0" applyNumberFormat="0" applyBorder="0" applyAlignment="0" applyProtection="0"/>
    <xf numFmtId="9" fontId="2" fillId="0" borderId="0" applyFont="0" applyFill="0" applyBorder="0" applyAlignment="0" applyProtection="0"/>
    <xf numFmtId="4" fontId="25" fillId="40" borderId="9" applyNumberFormat="0" applyProtection="0">
      <alignment vertical="center"/>
    </xf>
    <xf numFmtId="4" fontId="25" fillId="40" borderId="9" applyNumberFormat="0" applyProtection="0">
      <alignment vertical="center"/>
    </xf>
    <xf numFmtId="4" fontId="25" fillId="42" borderId="9" applyNumberFormat="0" applyProtection="0">
      <alignment horizontal="left" vertical="center" indent="1"/>
    </xf>
    <xf numFmtId="0" fontId="26" fillId="40" borderId="10" applyNumberFormat="0" applyProtection="0">
      <alignment horizontal="left" vertical="top" indent="1"/>
    </xf>
    <xf numFmtId="4" fontId="25" fillId="14" borderId="9" applyNumberFormat="0" applyProtection="0">
      <alignment horizontal="left" vertical="center" indent="1"/>
    </xf>
    <xf numFmtId="4" fontId="25" fillId="3" borderId="9" applyNumberFormat="0" applyProtection="0">
      <alignment horizontal="right" vertical="center"/>
    </xf>
    <xf numFmtId="4" fontId="25" fillId="43" borderId="9" applyNumberFormat="0" applyProtection="0">
      <alignment horizontal="right" vertical="center"/>
    </xf>
    <xf numFmtId="4" fontId="25" fillId="20" borderId="11" applyNumberFormat="0" applyProtection="0">
      <alignment horizontal="right" vertical="center"/>
    </xf>
    <xf numFmtId="4" fontId="25" fillId="11" borderId="9" applyNumberFormat="0" applyProtection="0">
      <alignment horizontal="right" vertical="center"/>
    </xf>
    <xf numFmtId="4" fontId="25" fillId="15" borderId="9" applyNumberFormat="0" applyProtection="0">
      <alignment horizontal="right" vertical="center"/>
    </xf>
    <xf numFmtId="4" fontId="25" fillId="31" borderId="9" applyNumberFormat="0" applyProtection="0">
      <alignment horizontal="right" vertical="center"/>
    </xf>
    <xf numFmtId="4" fontId="25" fillId="24" borderId="9" applyNumberFormat="0" applyProtection="0">
      <alignment horizontal="right" vertical="center"/>
    </xf>
    <xf numFmtId="4" fontId="25" fillId="44" borderId="9" applyNumberFormat="0" applyProtection="0">
      <alignment horizontal="right" vertical="center"/>
    </xf>
    <xf numFmtId="4" fontId="25" fillId="10" borderId="9" applyNumberFormat="0" applyProtection="0">
      <alignment horizontal="right" vertical="center"/>
    </xf>
    <xf numFmtId="4" fontId="25" fillId="45" borderId="11" applyNumberFormat="0" applyProtection="0">
      <alignment horizontal="left" vertical="center" indent="1"/>
    </xf>
    <xf numFmtId="4" fontId="23" fillId="46" borderId="11" applyNumberFormat="0" applyProtection="0">
      <alignment horizontal="left" vertical="center" indent="1"/>
    </xf>
    <xf numFmtId="4" fontId="23" fillId="46" borderId="11" applyNumberFormat="0" applyProtection="0">
      <alignment horizontal="left" vertical="center" indent="1"/>
    </xf>
    <xf numFmtId="4" fontId="25" fillId="47" borderId="9" applyNumberFormat="0" applyProtection="0">
      <alignment horizontal="right" vertical="center"/>
    </xf>
    <xf numFmtId="4" fontId="25" fillId="48" borderId="11" applyNumberFormat="0" applyProtection="0">
      <alignment horizontal="left" vertical="center" indent="1"/>
    </xf>
    <xf numFmtId="4" fontId="25" fillId="47" borderId="11" applyNumberFormat="0" applyProtection="0">
      <alignment horizontal="left" vertical="center" indent="1"/>
    </xf>
    <xf numFmtId="0" fontId="25" fillId="35" borderId="9" applyNumberFormat="0" applyProtection="0">
      <alignment horizontal="left" vertical="center" indent="1"/>
    </xf>
    <xf numFmtId="0" fontId="3" fillId="46" borderId="10" applyNumberFormat="0" applyProtection="0">
      <alignment horizontal="left" vertical="top" indent="1"/>
    </xf>
    <xf numFmtId="0" fontId="25" fillId="49" borderId="9" applyNumberFormat="0" applyProtection="0">
      <alignment horizontal="left" vertical="center" indent="1"/>
    </xf>
    <xf numFmtId="0" fontId="3" fillId="47" borderId="10" applyNumberFormat="0" applyProtection="0">
      <alignment horizontal="left" vertical="top" indent="1"/>
    </xf>
    <xf numFmtId="0" fontId="25" fillId="8" borderId="9" applyNumberFormat="0" applyProtection="0">
      <alignment horizontal="left" vertical="center" indent="1"/>
    </xf>
    <xf numFmtId="0" fontId="3" fillId="8" borderId="10" applyNumberFormat="0" applyProtection="0">
      <alignment horizontal="left" vertical="top" indent="1"/>
    </xf>
    <xf numFmtId="0" fontId="25" fillId="48" borderId="9" applyNumberFormat="0" applyProtection="0">
      <alignment horizontal="left" vertical="center" indent="1"/>
    </xf>
    <xf numFmtId="0" fontId="3" fillId="48" borderId="10" applyNumberFormat="0" applyProtection="0">
      <alignment horizontal="left" vertical="top" indent="1"/>
    </xf>
    <xf numFmtId="0" fontId="3" fillId="50" borderId="12" applyNumberFormat="0">
      <protection locked="0"/>
    </xf>
    <xf numFmtId="0" fontId="27" fillId="46" borderId="13" applyBorder="0"/>
    <xf numFmtId="4" fontId="28" fillId="41" borderId="10" applyNumberFormat="0" applyProtection="0">
      <alignment vertical="center"/>
    </xf>
    <xf numFmtId="4" fontId="25" fillId="41" borderId="14" applyNumberFormat="0" applyProtection="0">
      <alignment vertical="center"/>
    </xf>
    <xf numFmtId="4" fontId="28" fillId="35" borderId="10" applyNumberFormat="0" applyProtection="0">
      <alignment horizontal="left" vertical="center" indent="1"/>
    </xf>
    <xf numFmtId="0" fontId="28" fillId="41" borderId="10" applyNumberFormat="0" applyProtection="0">
      <alignment horizontal="left" vertical="top" indent="1"/>
    </xf>
    <xf numFmtId="4" fontId="25" fillId="0" borderId="9" applyNumberFormat="0" applyProtection="0">
      <alignment horizontal="right" vertical="center"/>
    </xf>
    <xf numFmtId="4" fontId="25" fillId="50" borderId="9" applyNumberFormat="0" applyProtection="0">
      <alignment horizontal="right" vertical="center"/>
    </xf>
    <xf numFmtId="4" fontId="25" fillId="14" borderId="9" applyNumberFormat="0" applyProtection="0">
      <alignment horizontal="left" vertical="center" indent="1"/>
    </xf>
    <xf numFmtId="0" fontId="28" fillId="47" borderId="10" applyNumberFormat="0" applyProtection="0">
      <alignment horizontal="left" vertical="top" indent="1"/>
    </xf>
    <xf numFmtId="4" fontId="29" fillId="51" borderId="11" applyNumberFormat="0" applyProtection="0">
      <alignment horizontal="left" vertical="center" indent="1"/>
    </xf>
    <xf numFmtId="0" fontId="25" fillId="52" borderId="14"/>
    <xf numFmtId="4" fontId="30" fillId="50" borderId="9" applyNumberFormat="0" applyProtection="0">
      <alignment horizontal="right" vertical="center"/>
    </xf>
    <xf numFmtId="0" fontId="31" fillId="0" borderId="0" applyNumberFormat="0" applyFill="0" applyBorder="0" applyAlignment="0" applyProtection="0"/>
    <xf numFmtId="0" fontId="20" fillId="0" borderId="0" applyNumberFormat="0" applyFill="0" applyBorder="0" applyAlignment="0" applyProtection="0"/>
    <xf numFmtId="0" fontId="21" fillId="0" borderId="15" applyNumberFormat="0" applyFill="0" applyAlignment="0" applyProtection="0"/>
    <xf numFmtId="0" fontId="19" fillId="35" borderId="8" applyNumberFormat="0" applyAlignment="0" applyProtection="0"/>
    <xf numFmtId="0" fontId="10" fillId="0" borderId="0" applyNumberFormat="0" applyFill="0" applyBorder="0" applyAlignment="0" applyProtection="0"/>
    <xf numFmtId="0" fontId="22" fillId="0" borderId="0" applyNumberFormat="0" applyFill="0" applyBorder="0" applyAlignment="0" applyProtection="0"/>
    <xf numFmtId="0" fontId="2" fillId="0" borderId="0"/>
    <xf numFmtId="164" fontId="2" fillId="0" borderId="0" applyFont="0" applyFill="0" applyBorder="0" applyAlignment="0" applyProtection="0"/>
    <xf numFmtId="9" fontId="2"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2" fillId="0" borderId="0"/>
  </cellStyleXfs>
  <cellXfs count="202">
    <xf numFmtId="0" fontId="0" fillId="0" borderId="0" xfId="0"/>
    <xf numFmtId="0" fontId="4" fillId="0" borderId="0" xfId="0" applyFont="1"/>
    <xf numFmtId="0" fontId="2" fillId="0" borderId="0" xfId="0" applyFont="1"/>
    <xf numFmtId="0" fontId="32" fillId="54" borderId="0" xfId="1" applyFont="1" applyFill="1" applyAlignment="1">
      <alignment horizontal="right"/>
    </xf>
    <xf numFmtId="0" fontId="32" fillId="54" borderId="0" xfId="1" applyFont="1" applyFill="1"/>
    <xf numFmtId="0" fontId="33" fillId="0" borderId="0" xfId="0" applyFont="1" applyFill="1"/>
    <xf numFmtId="0" fontId="33" fillId="0" borderId="0" xfId="0" applyFont="1"/>
    <xf numFmtId="0" fontId="33" fillId="0" borderId="0" xfId="0" applyFont="1" applyBorder="1"/>
    <xf numFmtId="0" fontId="34" fillId="54" borderId="0" xfId="1" applyFont="1" applyFill="1" applyBorder="1" applyAlignment="1">
      <alignment horizontal="center"/>
    </xf>
    <xf numFmtId="0" fontId="35" fillId="54" borderId="0" xfId="1" applyFont="1" applyFill="1" applyBorder="1"/>
    <xf numFmtId="0" fontId="35" fillId="0" borderId="0" xfId="0" applyFont="1"/>
    <xf numFmtId="0" fontId="35" fillId="0" borderId="0" xfId="0" applyFont="1" applyBorder="1"/>
    <xf numFmtId="0" fontId="37" fillId="0" borderId="0" xfId="0" applyFont="1"/>
    <xf numFmtId="0" fontId="37" fillId="54" borderId="0" xfId="1" applyFont="1" applyFill="1" applyBorder="1"/>
    <xf numFmtId="0" fontId="37" fillId="0" borderId="0" xfId="0" applyFont="1" applyBorder="1"/>
    <xf numFmtId="0" fontId="37" fillId="55" borderId="0" xfId="1" applyFont="1" applyFill="1" applyBorder="1" applyProtection="1"/>
    <xf numFmtId="166" fontId="37" fillId="42" borderId="0" xfId="1" applyNumberFormat="1" applyFont="1" applyFill="1" applyBorder="1" applyProtection="1"/>
    <xf numFmtId="169" fontId="37" fillId="42" borderId="0" xfId="1" applyNumberFormat="1" applyFont="1" applyFill="1" applyBorder="1"/>
    <xf numFmtId="0" fontId="37" fillId="55" borderId="0" xfId="1" applyFont="1" applyFill="1" applyBorder="1"/>
    <xf numFmtId="0" fontId="37" fillId="53" borderId="0" xfId="1" applyFont="1" applyFill="1" applyBorder="1" applyProtection="1"/>
    <xf numFmtId="0" fontId="37" fillId="53" borderId="0" xfId="1" applyFont="1" applyFill="1" applyBorder="1"/>
    <xf numFmtId="0" fontId="34" fillId="0" borderId="0" xfId="0" applyFont="1"/>
    <xf numFmtId="0" fontId="35" fillId="0" borderId="0" xfId="0" applyFont="1" applyFill="1"/>
    <xf numFmtId="0" fontId="34" fillId="0" borderId="0" xfId="0" applyFont="1" applyFill="1" applyBorder="1"/>
    <xf numFmtId="165" fontId="35" fillId="0" borderId="0" xfId="0" applyNumberFormat="1" applyFont="1"/>
    <xf numFmtId="0" fontId="40" fillId="0" borderId="0" xfId="0" applyFont="1"/>
    <xf numFmtId="0" fontId="4" fillId="53" borderId="0" xfId="1" applyFont="1" applyFill="1" applyBorder="1"/>
    <xf numFmtId="0" fontId="2" fillId="0" borderId="0" xfId="0" applyFont="1" applyAlignment="1">
      <alignment wrapText="1"/>
    </xf>
    <xf numFmtId="15" fontId="35" fillId="0" borderId="0" xfId="0" applyNumberFormat="1" applyFont="1" applyAlignment="1">
      <alignment horizontal="left"/>
    </xf>
    <xf numFmtId="165" fontId="33" fillId="42" borderId="0" xfId="54" applyNumberFormat="1" applyFont="1" applyFill="1"/>
    <xf numFmtId="165" fontId="35" fillId="0" borderId="0" xfId="54" applyNumberFormat="1" applyFont="1"/>
    <xf numFmtId="10" fontId="35" fillId="56" borderId="0" xfId="0" applyNumberFormat="1" applyFont="1" applyFill="1"/>
    <xf numFmtId="0" fontId="39" fillId="0" borderId="0" xfId="0" applyFont="1"/>
    <xf numFmtId="0" fontId="40" fillId="0" borderId="0" xfId="0" applyFont="1" applyFill="1"/>
    <xf numFmtId="165" fontId="40" fillId="42" borderId="0" xfId="54" applyNumberFormat="1" applyFont="1" applyFill="1"/>
    <xf numFmtId="165" fontId="40" fillId="56" borderId="0" xfId="54" applyNumberFormat="1" applyFont="1" applyFill="1"/>
    <xf numFmtId="165" fontId="40" fillId="56" borderId="0" xfId="54" applyNumberFormat="1" applyFont="1" applyFill="1" applyBorder="1"/>
    <xf numFmtId="165" fontId="40" fillId="56" borderId="17" xfId="54" applyNumberFormat="1" applyFont="1" applyFill="1" applyBorder="1"/>
    <xf numFmtId="165" fontId="40" fillId="42" borderId="0" xfId="0" applyNumberFormat="1" applyFont="1" applyFill="1"/>
    <xf numFmtId="165" fontId="40" fillId="0" borderId="0" xfId="54" applyNumberFormat="1" applyFont="1" applyFill="1"/>
    <xf numFmtId="165" fontId="40" fillId="42" borderId="0" xfId="54" applyNumberFormat="1" applyFont="1" applyFill="1" applyBorder="1"/>
    <xf numFmtId="165" fontId="40" fillId="42" borderId="17" xfId="54" applyNumberFormat="1" applyFont="1" applyFill="1" applyBorder="1"/>
    <xf numFmtId="165" fontId="40" fillId="0" borderId="0" xfId="0" applyNumberFormat="1" applyFont="1" applyFill="1"/>
    <xf numFmtId="165" fontId="33" fillId="57" borderId="0" xfId="0" applyNumberFormat="1" applyFont="1" applyFill="1"/>
    <xf numFmtId="165" fontId="33" fillId="56" borderId="0" xfId="54" applyNumberFormat="1" applyFont="1" applyFill="1"/>
    <xf numFmtId="166" fontId="33" fillId="42" borderId="0" xfId="0" applyNumberFormat="1" applyFont="1" applyFill="1"/>
    <xf numFmtId="0" fontId="33" fillId="57" borderId="0" xfId="0" applyFont="1" applyFill="1"/>
    <xf numFmtId="165" fontId="33" fillId="42" borderId="0" xfId="0" applyNumberFormat="1" applyFont="1" applyFill="1"/>
    <xf numFmtId="0" fontId="23" fillId="54" borderId="0" xfId="1" applyFont="1" applyFill="1" applyBorder="1" applyAlignment="1">
      <alignment horizontal="right"/>
    </xf>
    <xf numFmtId="0" fontId="35" fillId="0" borderId="0" xfId="0" applyFont="1" applyFill="1" applyBorder="1"/>
    <xf numFmtId="166" fontId="33" fillId="56" borderId="0" xfId="54" applyNumberFormat="1" applyFont="1" applyFill="1"/>
    <xf numFmtId="9" fontId="35" fillId="0" borderId="0" xfId="64" applyFont="1"/>
    <xf numFmtId="168" fontId="33" fillId="0" borderId="0" xfId="64" applyNumberFormat="1" applyFont="1"/>
    <xf numFmtId="165" fontId="34" fillId="0" borderId="0" xfId="54" applyNumberFormat="1" applyFont="1" applyFill="1" applyBorder="1"/>
    <xf numFmtId="166" fontId="33" fillId="55" borderId="0" xfId="54" applyNumberFormat="1" applyFont="1" applyFill="1"/>
    <xf numFmtId="0" fontId="36" fillId="0" borderId="0" xfId="0" applyFont="1" applyFill="1" applyBorder="1"/>
    <xf numFmtId="0" fontId="38" fillId="0" borderId="0" xfId="0" applyFont="1"/>
    <xf numFmtId="0" fontId="24" fillId="0" borderId="0" xfId="0" applyFont="1"/>
    <xf numFmtId="165" fontId="34" fillId="0" borderId="0" xfId="0" applyNumberFormat="1" applyFont="1" applyFill="1" applyBorder="1"/>
    <xf numFmtId="3" fontId="2" fillId="0" borderId="0" xfId="54" applyNumberFormat="1" applyFont="1" applyFill="1" applyBorder="1"/>
    <xf numFmtId="3" fontId="2" fillId="0" borderId="0" xfId="0" applyNumberFormat="1" applyFont="1" applyFill="1" applyBorder="1"/>
    <xf numFmtId="0" fontId="0" fillId="0" borderId="0" xfId="0" applyFont="1"/>
    <xf numFmtId="0" fontId="41" fillId="0" borderId="0" xfId="0" applyFont="1"/>
    <xf numFmtId="0" fontId="23" fillId="0" borderId="0" xfId="0" applyFont="1"/>
    <xf numFmtId="0" fontId="41" fillId="0" borderId="0" xfId="0" applyFont="1" applyFill="1"/>
    <xf numFmtId="0" fontId="23" fillId="0" borderId="0" xfId="0" applyFont="1" applyFill="1"/>
    <xf numFmtId="3" fontId="2" fillId="53" borderId="0" xfId="54" applyNumberFormat="1" applyFont="1" applyFill="1" applyBorder="1"/>
    <xf numFmtId="0" fontId="33" fillId="59" borderId="0" xfId="0" applyFont="1" applyFill="1"/>
    <xf numFmtId="0" fontId="35" fillId="55" borderId="0" xfId="0" applyFont="1" applyFill="1" applyBorder="1"/>
    <xf numFmtId="3" fontId="2" fillId="42" borderId="0" xfId="54" applyNumberFormat="1" applyFont="1" applyFill="1" applyBorder="1"/>
    <xf numFmtId="3" fontId="2" fillId="42" borderId="0" xfId="0" applyNumberFormat="1" applyFont="1" applyFill="1" applyBorder="1"/>
    <xf numFmtId="3" fontId="2" fillId="53" borderId="0" xfId="0" applyNumberFormat="1" applyFont="1" applyFill="1" applyBorder="1"/>
    <xf numFmtId="165" fontId="35" fillId="0" borderId="0" xfId="54" applyNumberFormat="1" applyFont="1" applyBorder="1"/>
    <xf numFmtId="165" fontId="24" fillId="0" borderId="0" xfId="0" applyNumberFormat="1" applyFont="1"/>
    <xf numFmtId="170" fontId="40" fillId="56" borderId="0" xfId="54" applyNumberFormat="1" applyFont="1" applyFill="1" applyBorder="1"/>
    <xf numFmtId="0" fontId="2" fillId="0" borderId="0" xfId="0" applyFont="1" applyFill="1" applyBorder="1"/>
    <xf numFmtId="171" fontId="2" fillId="53" borderId="0" xfId="64" applyNumberFormat="1" applyFont="1" applyFill="1" applyBorder="1"/>
    <xf numFmtId="0" fontId="42" fillId="0" borderId="0" xfId="0" applyFont="1" applyFill="1" applyBorder="1"/>
    <xf numFmtId="0" fontId="2" fillId="0" borderId="0" xfId="0" applyFont="1" applyFill="1"/>
    <xf numFmtId="0" fontId="2" fillId="59" borderId="0" xfId="0" applyFont="1" applyFill="1"/>
    <xf numFmtId="0" fontId="40" fillId="59" borderId="0" xfId="0" applyFont="1" applyFill="1"/>
    <xf numFmtId="165" fontId="40" fillId="59" borderId="0" xfId="54" applyNumberFormat="1" applyFont="1" applyFill="1" applyBorder="1"/>
    <xf numFmtId="165" fontId="2" fillId="42" borderId="0" xfId="54" applyNumberFormat="1" applyFont="1" applyFill="1"/>
    <xf numFmtId="165" fontId="33" fillId="0" borderId="0" xfId="54" applyNumberFormat="1" applyFont="1"/>
    <xf numFmtId="172" fontId="35" fillId="53" borderId="0" xfId="1" applyNumberFormat="1" applyFont="1" applyFill="1" applyBorder="1" applyProtection="1"/>
    <xf numFmtId="172" fontId="4" fillId="53" borderId="0" xfId="0" applyNumberFormat="1" applyFont="1" applyFill="1"/>
    <xf numFmtId="165" fontId="40" fillId="60" borderId="0" xfId="54" applyNumberFormat="1" applyFont="1" applyFill="1" applyBorder="1"/>
    <xf numFmtId="1" fontId="33" fillId="42" borderId="0" xfId="0" applyNumberFormat="1" applyFont="1" applyFill="1"/>
    <xf numFmtId="3" fontId="2" fillId="0" borderId="0" xfId="0" applyNumberFormat="1" applyFont="1" applyBorder="1"/>
    <xf numFmtId="3" fontId="2" fillId="0" borderId="0" xfId="0" applyNumberFormat="1" applyFont="1"/>
    <xf numFmtId="0" fontId="33" fillId="59" borderId="0" xfId="0" applyFont="1" applyFill="1" applyBorder="1"/>
    <xf numFmtId="165" fontId="33" fillId="59" borderId="0" xfId="0" applyNumberFormat="1" applyFont="1" applyFill="1"/>
    <xf numFmtId="165" fontId="40" fillId="59" borderId="0" xfId="54" applyNumberFormat="1" applyFont="1" applyFill="1"/>
    <xf numFmtId="0" fontId="24" fillId="59" borderId="0" xfId="0" applyFont="1" applyFill="1" applyBorder="1"/>
    <xf numFmtId="0" fontId="34" fillId="59" borderId="0" xfId="0" applyFont="1" applyFill="1" applyBorder="1"/>
    <xf numFmtId="165" fontId="33" fillId="0" borderId="0" xfId="0" applyNumberFormat="1" applyFont="1"/>
    <xf numFmtId="0" fontId="2" fillId="0" borderId="0" xfId="112" applyFont="1"/>
    <xf numFmtId="3" fontId="2" fillId="0" borderId="0" xfId="112" applyNumberFormat="1" applyFont="1"/>
    <xf numFmtId="0" fontId="4" fillId="0" borderId="0" xfId="112" applyFont="1"/>
    <xf numFmtId="0" fontId="24" fillId="0" borderId="0" xfId="112" applyFont="1"/>
    <xf numFmtId="0" fontId="2" fillId="0" borderId="0" xfId="112" applyFont="1" applyAlignment="1">
      <alignment horizontal="left"/>
    </xf>
    <xf numFmtId="3" fontId="2" fillId="53" borderId="0" xfId="113" applyNumberFormat="1" applyFont="1" applyFill="1" applyBorder="1"/>
    <xf numFmtId="0" fontId="2" fillId="55" borderId="0" xfId="112" applyFont="1" applyFill="1" applyBorder="1"/>
    <xf numFmtId="0" fontId="38" fillId="0" borderId="0" xfId="112" applyFont="1"/>
    <xf numFmtId="3" fontId="2" fillId="42" borderId="0" xfId="113" applyNumberFormat="1" applyFont="1" applyFill="1" applyBorder="1"/>
    <xf numFmtId="3" fontId="2" fillId="42" borderId="0" xfId="112" applyNumberFormat="1" applyFont="1" applyFill="1" applyBorder="1"/>
    <xf numFmtId="0" fontId="38" fillId="0" borderId="0" xfId="112" applyFont="1" applyAlignment="1">
      <alignment horizontal="left"/>
    </xf>
    <xf numFmtId="3" fontId="2" fillId="53" borderId="0" xfId="112" applyNumberFormat="1" applyFont="1" applyFill="1" applyBorder="1"/>
    <xf numFmtId="0" fontId="38" fillId="0" borderId="0" xfId="112" applyFont="1" applyFill="1"/>
    <xf numFmtId="0" fontId="2" fillId="0" borderId="0" xfId="112" applyFont="1" applyFill="1"/>
    <xf numFmtId="3" fontId="2" fillId="0" borderId="0" xfId="113" applyNumberFormat="1" applyFont="1" applyFill="1" applyBorder="1"/>
    <xf numFmtId="3" fontId="2" fillId="0" borderId="0" xfId="112" applyNumberFormat="1" applyFont="1" applyFill="1" applyBorder="1"/>
    <xf numFmtId="0" fontId="2" fillId="0" borderId="0" xfId="112" applyFont="1" applyBorder="1"/>
    <xf numFmtId="165" fontId="2" fillId="0" borderId="0" xfId="113" applyNumberFormat="1" applyFont="1"/>
    <xf numFmtId="165" fontId="2" fillId="0" borderId="0" xfId="113" applyNumberFormat="1" applyFont="1" applyBorder="1"/>
    <xf numFmtId="3" fontId="2" fillId="0" borderId="0" xfId="112" applyNumberFormat="1" applyFont="1" applyBorder="1"/>
    <xf numFmtId="173" fontId="2" fillId="0" borderId="0" xfId="115" applyNumberFormat="1" applyFont="1"/>
    <xf numFmtId="173" fontId="2" fillId="61" borderId="0" xfId="115" applyNumberFormat="1" applyFont="1" applyFill="1"/>
    <xf numFmtId="3" fontId="2" fillId="0" borderId="0" xfId="112" applyNumberFormat="1" applyFont="1" applyFill="1"/>
    <xf numFmtId="0" fontId="1" fillId="0" borderId="0" xfId="116"/>
    <xf numFmtId="0" fontId="43" fillId="0" borderId="0" xfId="0" applyFont="1" applyFill="1"/>
    <xf numFmtId="3" fontId="2" fillId="60" borderId="0" xfId="112" applyNumberFormat="1" applyFont="1" applyFill="1"/>
    <xf numFmtId="3" fontId="2" fillId="42" borderId="0" xfId="54" applyNumberFormat="1" applyFont="1" applyFill="1"/>
    <xf numFmtId="0" fontId="34" fillId="0" borderId="19" xfId="0" applyFont="1" applyFill="1" applyBorder="1"/>
    <xf numFmtId="0" fontId="33" fillId="0" borderId="19" xfId="0" applyFont="1" applyBorder="1"/>
    <xf numFmtId="0" fontId="2" fillId="0" borderId="0" xfId="0" applyFont="1" applyBorder="1"/>
    <xf numFmtId="0" fontId="35" fillId="0" borderId="19" xfId="0" applyFont="1" applyBorder="1"/>
    <xf numFmtId="0" fontId="33" fillId="0" borderId="18" xfId="0" applyFont="1" applyBorder="1"/>
    <xf numFmtId="0" fontId="33" fillId="0" borderId="20" xfId="0" applyFont="1" applyBorder="1"/>
    <xf numFmtId="165" fontId="2" fillId="42" borderId="17" xfId="54" applyNumberFormat="1" applyFont="1" applyFill="1" applyBorder="1"/>
    <xf numFmtId="165" fontId="33" fillId="61" borderId="0" xfId="54" applyNumberFormat="1" applyFont="1" applyFill="1"/>
    <xf numFmtId="165" fontId="33" fillId="62" borderId="0" xfId="54" applyNumberFormat="1" applyFont="1" applyFill="1"/>
    <xf numFmtId="10" fontId="33" fillId="61" borderId="0" xfId="0" applyNumberFormat="1" applyFont="1" applyFill="1"/>
    <xf numFmtId="165" fontId="40" fillId="62" borderId="0" xfId="54" applyNumberFormat="1" applyFont="1" applyFill="1"/>
    <xf numFmtId="165" fontId="2" fillId="60" borderId="0" xfId="54" applyNumberFormat="1" applyFont="1" applyFill="1" applyBorder="1"/>
    <xf numFmtId="173" fontId="0" fillId="61" borderId="0" xfId="115" applyNumberFormat="1" applyFont="1" applyFill="1" applyBorder="1"/>
    <xf numFmtId="0" fontId="34" fillId="64" borderId="16" xfId="0" applyFont="1" applyFill="1" applyBorder="1"/>
    <xf numFmtId="0" fontId="34" fillId="65" borderId="16" xfId="0" applyFont="1" applyFill="1" applyBorder="1"/>
    <xf numFmtId="0" fontId="24" fillId="65" borderId="16" xfId="0" applyFont="1" applyFill="1" applyBorder="1"/>
    <xf numFmtId="0" fontId="24" fillId="64" borderId="16" xfId="0" applyFont="1" applyFill="1" applyBorder="1"/>
    <xf numFmtId="0" fontId="2" fillId="53" borderId="0" xfId="1" applyFont="1" applyFill="1" applyBorder="1"/>
    <xf numFmtId="0" fontId="38" fillId="0" borderId="0" xfId="1" applyFont="1" applyBorder="1"/>
    <xf numFmtId="0" fontId="2" fillId="56" borderId="0" xfId="0" applyFont="1" applyFill="1"/>
    <xf numFmtId="0" fontId="2" fillId="42" borderId="0" xfId="1" applyFont="1" applyFill="1" applyBorder="1"/>
    <xf numFmtId="0" fontId="2" fillId="57" borderId="0" xfId="1" applyFont="1" applyFill="1" applyBorder="1"/>
    <xf numFmtId="0" fontId="2" fillId="55" borderId="0" xfId="1" applyFont="1" applyFill="1" applyBorder="1"/>
    <xf numFmtId="0" fontId="2" fillId="54" borderId="0" xfId="0" applyFont="1" applyFill="1"/>
    <xf numFmtId="0" fontId="2" fillId="58" borderId="0" xfId="0" applyFont="1" applyFill="1"/>
    <xf numFmtId="0" fontId="35" fillId="66" borderId="0" xfId="0" applyFont="1" applyFill="1"/>
    <xf numFmtId="165" fontId="2" fillId="0" borderId="0" xfId="54" applyNumberFormat="1" applyFont="1"/>
    <xf numFmtId="15" fontId="2" fillId="0" borderId="0" xfId="0" applyNumberFormat="1" applyFont="1" applyAlignment="1">
      <alignment horizontal="left"/>
    </xf>
    <xf numFmtId="3" fontId="2" fillId="0" borderId="0" xfId="0" applyNumberFormat="1" applyFont="1" applyFill="1"/>
    <xf numFmtId="170" fontId="2" fillId="0" borderId="0" xfId="54" applyNumberFormat="1" applyFont="1"/>
    <xf numFmtId="170" fontId="2" fillId="0" borderId="0" xfId="0" applyNumberFormat="1" applyFont="1"/>
    <xf numFmtId="0" fontId="2" fillId="0" borderId="0" xfId="0" applyFont="1" applyAlignment="1">
      <alignment horizontal="center"/>
    </xf>
    <xf numFmtId="0" fontId="35" fillId="0" borderId="0" xfId="0" applyFont="1" applyAlignment="1">
      <alignment horizontal="center"/>
    </xf>
    <xf numFmtId="0" fontId="34" fillId="65" borderId="16" xfId="0" applyFont="1" applyFill="1" applyBorder="1" applyAlignment="1">
      <alignment horizontal="center"/>
    </xf>
    <xf numFmtId="0" fontId="33" fillId="0" borderId="0" xfId="0" applyFont="1" applyAlignment="1">
      <alignment horizontal="center"/>
    </xf>
    <xf numFmtId="0" fontId="34" fillId="0" borderId="0" xfId="0" applyFont="1" applyFill="1" applyBorder="1" applyAlignment="1">
      <alignment horizontal="center"/>
    </xf>
    <xf numFmtId="0" fontId="34" fillId="59" borderId="0" xfId="0" applyFont="1" applyFill="1" applyBorder="1" applyAlignment="1">
      <alignment horizontal="center"/>
    </xf>
    <xf numFmtId="0" fontId="24" fillId="64" borderId="16" xfId="0" applyFont="1" applyFill="1" applyBorder="1" applyAlignment="1">
      <alignment horizontal="left"/>
    </xf>
    <xf numFmtId="0" fontId="2" fillId="0" borderId="0" xfId="0" quotePrefix="1" applyFont="1" applyAlignment="1">
      <alignment horizontal="center"/>
    </xf>
    <xf numFmtId="173" fontId="0" fillId="60" borderId="0" xfId="115" applyNumberFormat="1" applyFont="1" applyFill="1" applyBorder="1"/>
    <xf numFmtId="165" fontId="0" fillId="62" borderId="0" xfId="54" applyNumberFormat="1" applyFont="1" applyFill="1"/>
    <xf numFmtId="165" fontId="0" fillId="60" borderId="0" xfId="0" applyNumberFormat="1" applyFill="1"/>
    <xf numFmtId="9" fontId="0" fillId="60" borderId="0" xfId="64" applyFont="1" applyFill="1"/>
    <xf numFmtId="0" fontId="24" fillId="0" borderId="0" xfId="0" applyFont="1" applyFill="1" applyBorder="1" applyAlignment="1">
      <alignment horizontal="center"/>
    </xf>
    <xf numFmtId="0" fontId="2" fillId="0" borderId="0" xfId="0" applyFont="1" applyFill="1" applyAlignment="1">
      <alignment horizontal="center"/>
    </xf>
    <xf numFmtId="0" fontId="2" fillId="59" borderId="0" xfId="0" applyFont="1" applyFill="1" applyAlignment="1">
      <alignment horizontal="center"/>
    </xf>
    <xf numFmtId="0" fontId="43" fillId="0" borderId="0" xfId="0" applyFont="1"/>
    <xf numFmtId="165" fontId="40" fillId="60" borderId="18" xfId="54" applyNumberFormat="1" applyFont="1" applyFill="1" applyBorder="1"/>
    <xf numFmtId="165" fontId="33" fillId="60" borderId="0" xfId="0" applyNumberFormat="1" applyFont="1" applyFill="1"/>
    <xf numFmtId="9" fontId="2" fillId="60" borderId="0" xfId="64" applyFont="1" applyFill="1"/>
    <xf numFmtId="165" fontId="40" fillId="62" borderId="0" xfId="54" applyNumberFormat="1" applyFont="1" applyFill="1" applyBorder="1"/>
    <xf numFmtId="0" fontId="2" fillId="0" borderId="0" xfId="0" quotePrefix="1" applyFont="1"/>
    <xf numFmtId="2" fontId="33" fillId="57" borderId="0" xfId="0" applyNumberFormat="1" applyFont="1" applyFill="1"/>
    <xf numFmtId="173" fontId="2" fillId="61" borderId="0" xfId="115" applyNumberFormat="1" applyFont="1" applyFill="1" applyBorder="1"/>
    <xf numFmtId="0" fontId="44" fillId="0" borderId="0" xfId="116" applyFont="1"/>
    <xf numFmtId="0" fontId="45" fillId="0" borderId="0" xfId="116" applyFont="1"/>
    <xf numFmtId="173" fontId="2" fillId="66" borderId="0" xfId="115" applyNumberFormat="1" applyFont="1" applyFill="1"/>
    <xf numFmtId="0" fontId="46" fillId="0" borderId="0" xfId="116" applyFont="1"/>
    <xf numFmtId="173" fontId="2" fillId="61" borderId="18" xfId="115" applyNumberFormat="1" applyFont="1" applyFill="1" applyBorder="1"/>
    <xf numFmtId="173" fontId="2" fillId="66" borderId="18" xfId="115" applyNumberFormat="1" applyFont="1" applyFill="1" applyBorder="1"/>
    <xf numFmtId="173" fontId="2" fillId="60" borderId="0" xfId="115" applyNumberFormat="1" applyFont="1" applyFill="1"/>
    <xf numFmtId="173" fontId="44" fillId="0" borderId="0" xfId="116" applyNumberFormat="1" applyFont="1"/>
    <xf numFmtId="165" fontId="44" fillId="0" borderId="0" xfId="54" applyNumberFormat="1" applyFont="1"/>
    <xf numFmtId="171" fontId="2" fillId="61" borderId="0" xfId="64" applyNumberFormat="1" applyFont="1" applyFill="1"/>
    <xf numFmtId="173" fontId="2" fillId="60" borderId="0" xfId="115" applyNumberFormat="1" applyFont="1" applyFill="1" applyBorder="1"/>
    <xf numFmtId="173" fontId="2" fillId="66" borderId="0" xfId="115" applyNumberFormat="1" applyFont="1" applyFill="1" applyBorder="1"/>
    <xf numFmtId="173" fontId="44" fillId="60" borderId="0" xfId="116" applyNumberFormat="1" applyFont="1" applyFill="1"/>
    <xf numFmtId="173" fontId="44" fillId="60" borderId="18" xfId="116" applyNumberFormat="1" applyFont="1" applyFill="1" applyBorder="1"/>
    <xf numFmtId="173" fontId="44" fillId="63" borderId="0" xfId="116" applyNumberFormat="1" applyFont="1" applyFill="1"/>
    <xf numFmtId="9" fontId="2" fillId="53" borderId="0" xfId="64" applyNumberFormat="1" applyFont="1" applyFill="1" applyBorder="1"/>
    <xf numFmtId="171" fontId="40" fillId="42" borderId="0" xfId="64" applyNumberFormat="1" applyFont="1" applyFill="1"/>
    <xf numFmtId="171" fontId="35" fillId="56" borderId="0" xfId="0" applyNumberFormat="1" applyFont="1" applyFill="1"/>
    <xf numFmtId="9" fontId="35" fillId="56" borderId="0" xfId="0" applyNumberFormat="1" applyFont="1" applyFill="1"/>
    <xf numFmtId="2" fontId="38" fillId="0" borderId="0" xfId="0" applyNumberFormat="1" applyFont="1" applyFill="1" applyBorder="1" applyAlignment="1">
      <alignment wrapText="1"/>
    </xf>
    <xf numFmtId="0" fontId="0" fillId="0" borderId="0" xfId="0" applyBorder="1" applyAlignment="1"/>
    <xf numFmtId="0" fontId="0" fillId="0" borderId="19" xfId="0" applyBorder="1" applyAlignment="1"/>
    <xf numFmtId="0" fontId="0" fillId="0" borderId="0" xfId="0" applyAlignment="1"/>
    <xf numFmtId="0" fontId="0" fillId="0" borderId="0" xfId="0" applyAlignment="1">
      <alignment wrapText="1"/>
    </xf>
    <xf numFmtId="0" fontId="2" fillId="0" borderId="0" xfId="0" applyFont="1" applyAlignment="1"/>
  </cellXfs>
  <cellStyles count="119">
    <cellStyle name="_x000d__x000a_JournalTemplate=C:\COMFO\CTALK\JOURSTD.TPL_x000d__x000a_LbStateAddress=3 3 0 251 1 89 2 311_x000d__x000a_LbStateJou" xfId="1"/>
    <cellStyle name="_x000d__x000a_JournalTemplate=C:\COMFO\CTALK\JOURSTD.TPL_x000d__x000a_LbStateAddress=3 3 0 251 1 89 2 311_x000d__x000a_LbStateJou 2" xfId="2"/>
    <cellStyle name="_x000d__x000a_JournalTemplate=C:\COMFO\CTALK\JOURSTD.TPL_x000d__x000a_LbStateAddress=3 3 0 251 1 89 2 311_x000d__x000a_LbStateJou_111028 KB Berekening nacalculaties_v2" xfId="118"/>
    <cellStyle name="20% - Accent1" xfId="3" builtinId="30" customBuiltin="1"/>
    <cellStyle name="20% - Accent2" xfId="4" builtinId="34" customBuiltin="1"/>
    <cellStyle name="20% - Accent3" xfId="5" builtinId="38" customBuiltin="1"/>
    <cellStyle name="20% - Accent4" xfId="6" builtinId="42" customBuiltin="1"/>
    <cellStyle name="20% - Accent5" xfId="7" builtinId="46" customBuiltin="1"/>
    <cellStyle name="20% - Accent6" xfId="8" builtinId="50" customBuiltin="1"/>
    <cellStyle name="40% - Accent1" xfId="9" builtinId="31" customBuiltin="1"/>
    <cellStyle name="40% - Accent2" xfId="10" builtinId="35" customBuiltin="1"/>
    <cellStyle name="40% - Accent3" xfId="11" builtinId="39" customBuiltin="1"/>
    <cellStyle name="40% - Accent4" xfId="12" builtinId="43" customBuiltin="1"/>
    <cellStyle name="40% - Accent5" xfId="13" builtinId="47" customBuiltin="1"/>
    <cellStyle name="40% - Accent6" xfId="14" builtinId="51" customBuiltin="1"/>
    <cellStyle name="60% - Accent1" xfId="15" builtinId="32" customBuiltin="1"/>
    <cellStyle name="60% - Accent2" xfId="16" builtinId="36" customBuiltin="1"/>
    <cellStyle name="60% - Accent3" xfId="17" builtinId="40" customBuiltin="1"/>
    <cellStyle name="60% - Accent4" xfId="18" builtinId="44" customBuiltin="1"/>
    <cellStyle name="60% - Accent5" xfId="19" builtinId="48" customBuiltin="1"/>
    <cellStyle name="60% - Accent6" xfId="20" builtinId="52" customBuiltin="1"/>
    <cellStyle name="Accent1" xfId="21" builtinId="29" customBuiltin="1"/>
    <cellStyle name="Accent1 - 20%" xfId="22"/>
    <cellStyle name="Accent1 - 40%" xfId="23"/>
    <cellStyle name="Accent1 - 60%" xfId="24"/>
    <cellStyle name="Accent2" xfId="25" builtinId="33" customBuiltin="1"/>
    <cellStyle name="Accent2 - 20%" xfId="26"/>
    <cellStyle name="Accent2 - 40%" xfId="27"/>
    <cellStyle name="Accent2 - 60%" xfId="28"/>
    <cellStyle name="Accent3" xfId="29" builtinId="37" customBuiltin="1"/>
    <cellStyle name="Accent3 - 20%" xfId="30"/>
    <cellStyle name="Accent3 - 40%" xfId="31"/>
    <cellStyle name="Accent3 - 60%" xfId="32"/>
    <cellStyle name="Accent4" xfId="33" builtinId="41" customBuiltin="1"/>
    <cellStyle name="Accent4 - 20%" xfId="34"/>
    <cellStyle name="Accent4 - 40%" xfId="35"/>
    <cellStyle name="Accent4 - 60%" xfId="36"/>
    <cellStyle name="Accent5" xfId="37" builtinId="45" customBuiltin="1"/>
    <cellStyle name="Accent5 - 20%" xfId="38"/>
    <cellStyle name="Accent5 - 40%" xfId="39"/>
    <cellStyle name="Accent5 - 60%" xfId="40"/>
    <cellStyle name="Accent6" xfId="41" builtinId="49" customBuiltin="1"/>
    <cellStyle name="Accent6 - 20%" xfId="42"/>
    <cellStyle name="Accent6 - 40%" xfId="43"/>
    <cellStyle name="Accent6 - 60%" xfId="44"/>
    <cellStyle name="Bad" xfId="63"/>
    <cellStyle name="Berekening" xfId="45" builtinId="22" customBuiltin="1"/>
    <cellStyle name="Check Cell" xfId="46"/>
    <cellStyle name="Emphasis 1" xfId="47"/>
    <cellStyle name="Emphasis 2" xfId="48"/>
    <cellStyle name="Emphasis 3" xfId="49"/>
    <cellStyle name="Euro" xfId="50"/>
    <cellStyle name="Explanatory Text" xfId="110"/>
    <cellStyle name="Gekoppelde cel" xfId="59" builtinId="24" customBuiltin="1"/>
    <cellStyle name="Goed" xfId="51" builtinId="26" customBuiltin="1"/>
    <cellStyle name="Header" xfId="52"/>
    <cellStyle name="Heading 1" xfId="55"/>
    <cellStyle name="Heading 2" xfId="56"/>
    <cellStyle name="Heading 3" xfId="57"/>
    <cellStyle name="Heading 4" xfId="58"/>
    <cellStyle name="Input" xfId="53"/>
    <cellStyle name="Komma" xfId="54" builtinId="3"/>
    <cellStyle name="Komma 2" xfId="113"/>
    <cellStyle name="Komma 3" xfId="115"/>
    <cellStyle name="MAND_x000a_CHECK.COMMAND_x000e_RENAME.COMMAND_x0008_SHOW.BAR_x000b_DELETE.MENU_x000e_DELETE.COMMAND_x000e_GET.CHA" xfId="60"/>
    <cellStyle name="Neutraal" xfId="61" builtinId="28" customBuiltin="1"/>
    <cellStyle name="Note" xfId="62"/>
    <cellStyle name="Output" xfId="109"/>
    <cellStyle name="Procent" xfId="64" builtinId="5"/>
    <cellStyle name="Procent 2" xfId="114"/>
    <cellStyle name="Procent 3" xfId="117"/>
    <cellStyle name="SAPBEXaggData" xfId="65"/>
    <cellStyle name="SAPBEXaggDataEmph" xfId="66"/>
    <cellStyle name="SAPBEXaggItem" xfId="67"/>
    <cellStyle name="SAPBEXaggItemX" xfId="68"/>
    <cellStyle name="SAPBEXchaText" xfId="69"/>
    <cellStyle name="SAPBEXexcBad7" xfId="70"/>
    <cellStyle name="SAPBEXexcBad8" xfId="71"/>
    <cellStyle name="SAPBEXexcBad9" xfId="72"/>
    <cellStyle name="SAPBEXexcCritical4" xfId="73"/>
    <cellStyle name="SAPBEXexcCritical5" xfId="74"/>
    <cellStyle name="SAPBEXexcCritical6" xfId="75"/>
    <cellStyle name="SAPBEXexcGood1" xfId="76"/>
    <cellStyle name="SAPBEXexcGood2" xfId="77"/>
    <cellStyle name="SAPBEXexcGood3" xfId="78"/>
    <cellStyle name="SAPBEXfilterDrill" xfId="79"/>
    <cellStyle name="SAPBEXfilterItem" xfId="80"/>
    <cellStyle name="SAPBEXfilterText" xfId="81"/>
    <cellStyle name="SAPBEXformats" xfId="82"/>
    <cellStyle name="SAPBEXheaderItem" xfId="83"/>
    <cellStyle name="SAPBEXheaderText" xfId="84"/>
    <cellStyle name="SAPBEXHLevel0" xfId="85"/>
    <cellStyle name="SAPBEXHLevel0X" xfId="86"/>
    <cellStyle name="SAPBEXHLevel1" xfId="87"/>
    <cellStyle name="SAPBEXHLevel1X" xfId="88"/>
    <cellStyle name="SAPBEXHLevel2" xfId="89"/>
    <cellStyle name="SAPBEXHLevel2X" xfId="90"/>
    <cellStyle name="SAPBEXHLevel3" xfId="91"/>
    <cellStyle name="SAPBEXHLevel3X" xfId="92"/>
    <cellStyle name="SAPBEXinputData" xfId="93"/>
    <cellStyle name="SAPBEXItemHeader" xfId="94"/>
    <cellStyle name="SAPBEXresData" xfId="95"/>
    <cellStyle name="SAPBEXresDataEmph" xfId="96"/>
    <cellStyle name="SAPBEXresItem" xfId="97"/>
    <cellStyle name="SAPBEXresItemX" xfId="98"/>
    <cellStyle name="SAPBEXstdData" xfId="99"/>
    <cellStyle name="SAPBEXstdDataEmph" xfId="100"/>
    <cellStyle name="SAPBEXstdItem" xfId="101"/>
    <cellStyle name="SAPBEXstdItemX" xfId="102"/>
    <cellStyle name="SAPBEXtitle" xfId="103"/>
    <cellStyle name="SAPBEXunassignedItem" xfId="104"/>
    <cellStyle name="SAPBEXundefined" xfId="105"/>
    <cellStyle name="Sheet Title" xfId="106"/>
    <cellStyle name="Standaard" xfId="0" builtinId="0"/>
    <cellStyle name="Standaard 2" xfId="112"/>
    <cellStyle name="Standaard 3" xfId="116"/>
    <cellStyle name="Titel" xfId="107" builtinId="15" customBuiltin="1"/>
    <cellStyle name="Totaal" xfId="108" builtinId="25" customBuiltin="1"/>
    <cellStyle name="Waarschuwingstekst" xfId="111" builtinId="11" customBuiltin="1"/>
  </cellStyles>
  <dxfs count="0"/>
  <tableStyles count="0" defaultTableStyle="TableStyleMedium2" defaultPivotStyle="PivotStyleLight16"/>
  <colors>
    <mruColors>
      <color rgb="FFCCFFCC"/>
      <color rgb="FFFFFF99"/>
      <color rgb="FFFFCC99"/>
      <color rgb="FFCCFFFF"/>
      <color rgb="FFFF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iekamer.nl/05%20Regulering/Tarieven%202005/6.%20Proces%20Gas/CODATA/040616%201%20BF%20NG-TA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energiekamer.nl/08%20Netten/Derde%20reguleringsperiode/RNB's/16.%20Ontwerpbesluiten%20x,q%20en%20rekenvolume/X-factor/Berekening%20X-factor,%20Bijlagen/Archief/060519%20MS%20correctie%20voor%20LU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energiekamer.nl/erik/infoverzoek/CBB/E%20deal%20definitief%2011-11-0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energiekamer.nl/DTe/ALGEMEEN/Tarieven%202003/Elektriciteit%20nettarieven/Output%20definitief/021015%20TM%20NE%202003%20Definitief%20UIT%20(3)/DELT%20TM%20NE%202003%20(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energiekamer.nl/DTE/ALGEMEEN/Tarieven/Tarieven%202002%20netbeheerders/AuditMod%20II.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energiekamer.nl/DTe/ALGEMEEN/X-en%20NE%20Reparatie/030523%20Concept%20definitief%20model/030523%20Model%20Definitief%20besluit/Basismodel%20CB%20NE/CB%20met%20activawaarde%20dte/Kopie%20van%20030205%20X_CB%20NE%20DEA%20Model%20CB%20met%20activawaarde%20dt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Y:\07%20DN\104007%20Herstel%20NE5R\06%20Data%20en%20berekeningen\Definitief\104163%2020120827%20Rekenmodel%20x-factor%20en%20RV%20NE5R%20(gewijzigd)%20EXTERN.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07%20DN/103221%20NE5R%20(vanaf%202011)/13%20Data%20en%20berekeningen/NG4R/Rekenmodel/100726%20berekening%20x-factoren%20NG4R%20v4.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resgegevens"/>
      <sheetName val="TAR_Tab 2_Tvoorstel besch afn"/>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itzoekpunten"/>
      <sheetName val="Berekening"/>
      <sheetName val="Correctie ONS"/>
      <sheetName val="Resultaten"/>
      <sheetName val="Database"/>
      <sheetName val="vierkant"/>
      <sheetName val="gegevens"/>
      <sheetName val="deal"/>
      <sheetName val="inkoop"/>
    </sheetNames>
    <sheetDataSet>
      <sheetData sheetId="0" refreshError="1"/>
      <sheetData sheetId="1"/>
      <sheetData sheetId="2" refreshError="1"/>
      <sheetData sheetId="3" refreshError="1"/>
      <sheetData sheetId="4">
        <row r="13">
          <cell r="D13">
            <v>1.1000000000000001</v>
          </cell>
        </row>
      </sheetData>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ckpit"/>
      <sheetName val="mandje"/>
      <sheetName val="gegevens"/>
      <sheetName val="individueel"/>
      <sheetName val="fiscus"/>
      <sheetName val="Strategie"/>
      <sheetName val="MAATSTAF"/>
      <sheetName val="Blad1"/>
      <sheetName val="Cok"/>
      <sheetName val="Cok2"/>
      <sheetName val="Blad2"/>
    </sheetNames>
    <sheetDataSet>
      <sheetData sheetId="0">
        <row r="9">
          <cell r="B9">
            <v>0</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
      <sheetName val="Adresgegevens"/>
      <sheetName val="Toelichting"/>
      <sheetName val="Toegestane Omzet"/>
      <sheetName val="Tariefvoorstel en Controle"/>
    </sheetNames>
    <sheetDataSet>
      <sheetData sheetId="0"/>
      <sheetData sheetId="1"/>
      <sheetData sheetId="2"/>
      <sheetData sheetId="3">
        <row r="1">
          <cell r="M1" t="str">
            <v>DELT</v>
          </cell>
        </row>
      </sheetData>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tants"/>
      <sheetName val="Data"/>
      <sheetName val="AuditMod"/>
    </sheetNames>
    <sheetDataSet>
      <sheetData sheetId="0">
        <row r="4">
          <cell r="E4">
            <v>6.6000000000000003E-2</v>
          </cell>
        </row>
      </sheetData>
      <sheetData sheetId="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s (2)"/>
      <sheetName val="constants"/>
      <sheetName val="Data"/>
      <sheetName val="Calc"/>
      <sheetName val="Results"/>
    </sheetNames>
    <sheetDataSet>
      <sheetData sheetId="0"/>
      <sheetData sheetId="1">
        <row r="3">
          <cell r="E3">
            <v>6.2E-2</v>
          </cell>
        </row>
      </sheetData>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lichting Herstel NE5R"/>
      <sheetName val="Aanpassing gegevens"/>
      <sheetName val="Berekening x-factor Westland"/>
      <sheetName val="x-factor"/>
      <sheetName val="Eindinkomsten"/>
      <sheetName val="Productiviteit"/>
      <sheetName val="Kosten"/>
      <sheetName val="SO"/>
      <sheetName val="Wegingsfactoren"/>
      <sheetName val="Rekenvolumes"/>
      <sheetName val="Volumes"/>
      <sheetName val="EAV (incl RV)"/>
      <sheetName val="PAV (incl RV)"/>
      <sheetName val="ORV Lokale Heffingen"/>
      <sheetName val="ORV Waterkruisingen"/>
      <sheetName val="Omzetting capaciteitstarief"/>
      <sheetName val="CPI en WAC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5">
          <cell r="D15">
            <v>5.5E-2</v>
          </cell>
        </row>
        <row r="17">
          <cell r="D17">
            <v>6.2E-2</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lichting"/>
      <sheetName val="x-factor"/>
      <sheetName val="Eindinkomsten"/>
      <sheetName val="Productiviteit TD"/>
      <sheetName val="Kosten AD"/>
      <sheetName val="Kosten TD"/>
      <sheetName val="Vergoedingen AD"/>
      <sheetName val="Catch-up"/>
      <sheetName val="SO"/>
      <sheetName val="Wegingsfactor TD"/>
      <sheetName val="Wegingsfactor AD"/>
      <sheetName val="Rekenvol"/>
      <sheetName val="Volumes"/>
      <sheetName val="ORV"/>
      <sheetName val="CPI&amp;WACC"/>
      <sheetName val="Legenda"/>
      <sheetName val="Bronnen"/>
      <sheetName val="Revie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14">
          <cell r="D14">
            <v>6.2E-2</v>
          </cell>
        </row>
      </sheetData>
      <sheetData sheetId="15" refreshError="1"/>
      <sheetData sheetId="16" refreshError="1"/>
      <sheetData sheetId="17" refreshError="1"/>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pageSetUpPr fitToPage="1"/>
  </sheetPr>
  <dimension ref="B1:C15"/>
  <sheetViews>
    <sheetView showGridLines="0" tabSelected="1" zoomScale="85" zoomScaleNormal="85" zoomScaleSheetLayoutView="100" workbookViewId="0"/>
  </sheetViews>
  <sheetFormatPr defaultRowHeight="12.75" x14ac:dyDescent="0.2"/>
  <cols>
    <col min="1" max="1" width="3.7109375" style="2" customWidth="1"/>
    <col min="2" max="2" width="49" style="2" customWidth="1"/>
    <col min="3" max="8" width="7.7109375" style="2" customWidth="1"/>
    <col min="9" max="9" width="16" style="2" bestFit="1" customWidth="1"/>
    <col min="10" max="10" width="16.85546875" style="2" bestFit="1" customWidth="1"/>
    <col min="11" max="15" width="14.85546875" style="2" customWidth="1"/>
    <col min="16" max="16384" width="9.140625" style="2"/>
  </cols>
  <sheetData>
    <row r="1" spans="2:3" ht="12" customHeight="1" x14ac:dyDescent="0.2"/>
    <row r="2" spans="2:3" s="139" customFormat="1" ht="15" customHeight="1" x14ac:dyDescent="0.2">
      <c r="B2" s="139" t="s">
        <v>30</v>
      </c>
    </row>
    <row r="3" spans="2:3" ht="12" customHeight="1" x14ac:dyDescent="0.2"/>
    <row r="4" spans="2:3" x14ac:dyDescent="0.2">
      <c r="B4" s="2" t="s">
        <v>117</v>
      </c>
    </row>
    <row r="5" spans="2:3" x14ac:dyDescent="0.2">
      <c r="B5" s="2" t="s">
        <v>118</v>
      </c>
    </row>
    <row r="7" spans="2:3" s="138" customFormat="1" x14ac:dyDescent="0.2">
      <c r="B7" s="138" t="s">
        <v>49</v>
      </c>
    </row>
    <row r="9" spans="2:3" x14ac:dyDescent="0.2">
      <c r="B9" s="140" t="s">
        <v>50</v>
      </c>
      <c r="C9" s="141"/>
    </row>
    <row r="10" spans="2:3" x14ac:dyDescent="0.2">
      <c r="B10" s="26" t="s">
        <v>55</v>
      </c>
      <c r="C10" s="141"/>
    </row>
    <row r="11" spans="2:3" x14ac:dyDescent="0.2">
      <c r="B11" s="142" t="s">
        <v>54</v>
      </c>
      <c r="C11" s="141"/>
    </row>
    <row r="12" spans="2:3" x14ac:dyDescent="0.2">
      <c r="B12" s="143" t="s">
        <v>51</v>
      </c>
      <c r="C12" s="141"/>
    </row>
    <row r="13" spans="2:3" x14ac:dyDescent="0.2">
      <c r="B13" s="144" t="s">
        <v>52</v>
      </c>
      <c r="C13" s="141"/>
    </row>
    <row r="14" spans="2:3" x14ac:dyDescent="0.2">
      <c r="B14" s="145" t="s">
        <v>53</v>
      </c>
      <c r="C14" s="146"/>
    </row>
    <row r="15" spans="2:3" x14ac:dyDescent="0.2">
      <c r="B15" s="147" t="s">
        <v>56</v>
      </c>
    </row>
  </sheetData>
  <phoneticPr fontId="3" type="noConversion"/>
  <pageMargins left="0.75" right="0.75" top="1" bottom="1" header="0.5" footer="0.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enableFormatConditionsCalculation="0">
    <tabColor indexed="46"/>
  </sheetPr>
  <dimension ref="B1:K9"/>
  <sheetViews>
    <sheetView showGridLines="0" zoomScale="85" zoomScaleNormal="85" zoomScaleSheetLayoutView="70" workbookViewId="0">
      <selection activeCell="B47" sqref="B47"/>
    </sheetView>
  </sheetViews>
  <sheetFormatPr defaultRowHeight="12.75" x14ac:dyDescent="0.2"/>
  <cols>
    <col min="1" max="1" width="3.7109375" style="10" customWidth="1"/>
    <col min="2" max="2" width="72.140625" style="10" bestFit="1" customWidth="1"/>
    <col min="3" max="3" width="16.140625" style="10" bestFit="1" customWidth="1"/>
    <col min="4" max="4" width="2.85546875" style="10" bestFit="1" customWidth="1"/>
    <col min="5" max="5" width="12.5703125" style="10" customWidth="1"/>
    <col min="6" max="6" width="17.85546875" style="10" bestFit="1" customWidth="1"/>
    <col min="7" max="7" width="14.42578125" style="10" bestFit="1" customWidth="1"/>
    <col min="8" max="8" width="17.140625" style="10" bestFit="1" customWidth="1"/>
    <col min="9" max="9" width="15.5703125" style="10" bestFit="1" customWidth="1"/>
    <col min="10" max="10" width="12.5703125" style="10" bestFit="1" customWidth="1"/>
    <col min="11" max="11" width="23.85546875" style="10" bestFit="1" customWidth="1"/>
    <col min="12" max="16384" width="9.140625" style="10"/>
  </cols>
  <sheetData>
    <row r="1" spans="2:11" s="2" customFormat="1" ht="12" customHeight="1" x14ac:dyDescent="0.2"/>
    <row r="2" spans="2:11" s="136" customFormat="1" ht="15" customHeight="1" x14ac:dyDescent="0.2">
      <c r="B2" s="136" t="s">
        <v>31</v>
      </c>
      <c r="F2" s="136" t="s">
        <v>34</v>
      </c>
      <c r="G2" s="139" t="s">
        <v>146</v>
      </c>
      <c r="H2" s="139" t="s">
        <v>147</v>
      </c>
      <c r="I2" s="139" t="s">
        <v>148</v>
      </c>
      <c r="J2" s="139" t="s">
        <v>149</v>
      </c>
      <c r="K2" s="139" t="s">
        <v>150</v>
      </c>
    </row>
    <row r="4" spans="2:11" x14ac:dyDescent="0.2">
      <c r="B4" s="2" t="s">
        <v>152</v>
      </c>
      <c r="D4" s="10" t="s">
        <v>58</v>
      </c>
      <c r="F4" s="76">
        <v>3.5999999999999997E-2</v>
      </c>
    </row>
    <row r="5" spans="2:11" x14ac:dyDescent="0.2">
      <c r="B5" s="61" t="s">
        <v>81</v>
      </c>
      <c r="D5" s="10" t="s">
        <v>58</v>
      </c>
      <c r="F5" s="76">
        <v>1</v>
      </c>
      <c r="G5" s="193">
        <f>F5-H5-I5</f>
        <v>0.91399999999999992</v>
      </c>
      <c r="H5" s="76">
        <v>3.3000000000000002E-2</v>
      </c>
      <c r="I5" s="76">
        <v>5.2999999999999999E-2</v>
      </c>
      <c r="J5" s="148"/>
      <c r="K5" s="148"/>
    </row>
    <row r="6" spans="2:11" x14ac:dyDescent="0.2">
      <c r="B6" s="2" t="s">
        <v>102</v>
      </c>
      <c r="C6" s="11"/>
      <c r="D6" s="11" t="s">
        <v>58</v>
      </c>
      <c r="E6" s="11"/>
      <c r="F6" s="76">
        <v>1</v>
      </c>
      <c r="G6" s="193">
        <f>F6-H6-I6</f>
        <v>0.91399999999999992</v>
      </c>
      <c r="H6" s="76">
        <v>3.3000000000000002E-2</v>
      </c>
      <c r="I6" s="76">
        <v>5.2999999999999999E-2</v>
      </c>
      <c r="J6" s="148"/>
      <c r="K6" s="148"/>
    </row>
    <row r="7" spans="2:11" x14ac:dyDescent="0.2">
      <c r="B7" s="75" t="s">
        <v>207</v>
      </c>
      <c r="C7" s="11"/>
      <c r="D7" s="49" t="s">
        <v>58</v>
      </c>
      <c r="F7" s="76">
        <v>1.0999999999999999E-2</v>
      </c>
    </row>
    <row r="8" spans="2:11" x14ac:dyDescent="0.2">
      <c r="B8" s="75" t="s">
        <v>208</v>
      </c>
      <c r="C8" s="11"/>
      <c r="D8" s="49" t="s">
        <v>58</v>
      </c>
      <c r="F8" s="76">
        <v>0.01</v>
      </c>
    </row>
    <row r="9" spans="2:11" x14ac:dyDescent="0.2">
      <c r="B9" s="75" t="s">
        <v>121</v>
      </c>
      <c r="C9" s="11"/>
      <c r="D9" s="49" t="s">
        <v>58</v>
      </c>
      <c r="F9" s="192">
        <v>0.01</v>
      </c>
    </row>
  </sheetData>
  <phoneticPr fontId="3" type="noConversion"/>
  <pageMargins left="0.75" right="0.75" top="1" bottom="1" header="0.5" footer="0.5"/>
  <pageSetup paperSize="9" scale="4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enableFormatConditionsCalculation="0">
    <tabColor indexed="42"/>
  </sheetPr>
  <dimension ref="B1:K69"/>
  <sheetViews>
    <sheetView showGridLines="0" zoomScale="85" zoomScaleNormal="85" zoomScaleSheetLayoutView="70" workbookViewId="0">
      <pane xSplit="4" ySplit="2" topLeftCell="E33" activePane="bottomRight" state="frozen"/>
      <selection activeCell="A2" sqref="A2:XFD2"/>
      <selection pane="topRight" activeCell="A2" sqref="A2:XFD2"/>
      <selection pane="bottomLeft" activeCell="A2" sqref="A2:XFD2"/>
      <selection pane="bottomRight"/>
    </sheetView>
  </sheetViews>
  <sheetFormatPr defaultRowHeight="12.75" x14ac:dyDescent="0.2"/>
  <cols>
    <col min="1" max="1" width="3.7109375" style="2" customWidth="1"/>
    <col min="2" max="2" width="74.85546875" style="2" customWidth="1"/>
    <col min="3" max="3" width="2.5703125" style="2" customWidth="1"/>
    <col min="4" max="4" width="20" style="2" customWidth="1"/>
    <col min="5" max="5" width="2.5703125" style="2" customWidth="1"/>
    <col min="6" max="6" width="21.42578125" style="2" customWidth="1"/>
    <col min="7" max="7" width="44.7109375" style="2" bestFit="1" customWidth="1"/>
    <col min="8" max="8" width="12.42578125" style="2" bestFit="1" customWidth="1"/>
    <col min="9" max="9" width="23.140625" style="2" bestFit="1" customWidth="1"/>
    <col min="10" max="10" width="18.140625" style="2" bestFit="1" customWidth="1"/>
    <col min="11" max="16384" width="9.140625" style="2"/>
  </cols>
  <sheetData>
    <row r="1" spans="2:11" ht="12" customHeight="1" x14ac:dyDescent="0.2"/>
    <row r="2" spans="2:11" s="139" customFormat="1" ht="15" customHeight="1" x14ac:dyDescent="0.2">
      <c r="B2" s="139" t="s">
        <v>59</v>
      </c>
      <c r="F2" s="139" t="s">
        <v>34</v>
      </c>
      <c r="G2" s="139" t="s">
        <v>151</v>
      </c>
      <c r="H2" s="139" t="s">
        <v>149</v>
      </c>
      <c r="I2" s="139" t="s">
        <v>150</v>
      </c>
    </row>
    <row r="3" spans="2:11" ht="12" customHeight="1" x14ac:dyDescent="0.2"/>
    <row r="4" spans="2:11" ht="38.25" x14ac:dyDescent="0.2">
      <c r="B4" s="27" t="s">
        <v>185</v>
      </c>
      <c r="G4" s="149"/>
      <c r="H4" s="149"/>
      <c r="I4" s="149"/>
      <c r="J4" s="149"/>
    </row>
    <row r="5" spans="2:11" x14ac:dyDescent="0.2">
      <c r="G5" s="149"/>
      <c r="H5" s="149"/>
      <c r="J5" s="149"/>
    </row>
    <row r="6" spans="2:11" x14ac:dyDescent="0.2">
      <c r="B6" s="57" t="s">
        <v>32</v>
      </c>
      <c r="D6" s="57" t="s">
        <v>33</v>
      </c>
      <c r="G6" s="149"/>
      <c r="H6" s="149"/>
      <c r="I6" s="149"/>
      <c r="J6" s="149"/>
    </row>
    <row r="7" spans="2:11" x14ac:dyDescent="0.2">
      <c r="B7" s="2" t="s">
        <v>119</v>
      </c>
      <c r="D7" s="150">
        <v>41494</v>
      </c>
      <c r="G7" s="149"/>
      <c r="H7" s="149"/>
      <c r="I7" s="149"/>
    </row>
    <row r="8" spans="2:11" x14ac:dyDescent="0.2">
      <c r="D8" s="150"/>
      <c r="G8" s="149"/>
      <c r="H8" s="149"/>
      <c r="I8" s="149"/>
    </row>
    <row r="9" spans="2:11" s="138" customFormat="1" x14ac:dyDescent="0.2">
      <c r="B9" s="138" t="s">
        <v>60</v>
      </c>
    </row>
    <row r="10" spans="2:11" x14ac:dyDescent="0.2">
      <c r="J10" s="1"/>
    </row>
    <row r="11" spans="2:11" x14ac:dyDescent="0.2">
      <c r="B11" s="2" t="s">
        <v>159</v>
      </c>
      <c r="D11" s="2" t="s">
        <v>35</v>
      </c>
      <c r="F11" s="122">
        <f>SUM(G11:I11)</f>
        <v>280064950.15719193</v>
      </c>
      <c r="G11" s="66">
        <v>266304937.19551253</v>
      </c>
      <c r="H11" s="66">
        <v>0</v>
      </c>
      <c r="I11" s="66">
        <v>13760012.961679427</v>
      </c>
    </row>
    <row r="12" spans="2:11" x14ac:dyDescent="0.2">
      <c r="B12" s="2" t="s">
        <v>160</v>
      </c>
      <c r="D12" s="2" t="s">
        <v>35</v>
      </c>
      <c r="F12" s="122">
        <f>SUM(G12:I12)</f>
        <v>5887597691.940568</v>
      </c>
      <c r="G12" s="66">
        <v>5711260895.1328421</v>
      </c>
      <c r="H12" s="66">
        <v>0</v>
      </c>
      <c r="I12" s="66">
        <v>176336796.80772555</v>
      </c>
    </row>
    <row r="13" spans="2:11" x14ac:dyDescent="0.2">
      <c r="G13" s="169"/>
      <c r="H13" s="169"/>
      <c r="I13" s="169"/>
    </row>
    <row r="14" spans="2:11" x14ac:dyDescent="0.2">
      <c r="B14" s="2" t="s">
        <v>161</v>
      </c>
      <c r="D14" s="2" t="s">
        <v>35</v>
      </c>
      <c r="F14" s="122">
        <f>SUM(G14:I14)</f>
        <v>109232171.85918613</v>
      </c>
      <c r="G14" s="66">
        <v>105112751.11242846</v>
      </c>
      <c r="H14" s="66">
        <v>0</v>
      </c>
      <c r="I14" s="66">
        <v>4119420.7467576666</v>
      </c>
      <c r="K14" s="79"/>
    </row>
    <row r="15" spans="2:11" x14ac:dyDescent="0.2">
      <c r="F15" s="89"/>
      <c r="H15" s="88"/>
      <c r="I15" s="88"/>
    </row>
    <row r="16" spans="2:11" x14ac:dyDescent="0.2">
      <c r="B16" s="2" t="s">
        <v>99</v>
      </c>
      <c r="D16" s="2" t="s">
        <v>35</v>
      </c>
      <c r="F16" s="122">
        <f>SUM(G16:I16)</f>
        <v>84571132.317640021</v>
      </c>
      <c r="G16" s="66">
        <v>77665085.940311804</v>
      </c>
      <c r="H16" s="66">
        <v>0</v>
      </c>
      <c r="I16" s="66">
        <v>6906046.3773282198</v>
      </c>
    </row>
    <row r="17" spans="2:11" x14ac:dyDescent="0.2">
      <c r="B17" s="125" t="s">
        <v>16</v>
      </c>
      <c r="D17" s="2" t="s">
        <v>35</v>
      </c>
      <c r="F17" s="122">
        <f>SUM(G17:I17)</f>
        <v>73182437.234700009</v>
      </c>
      <c r="G17" s="66">
        <v>46572505.794700012</v>
      </c>
      <c r="H17" s="66">
        <v>0</v>
      </c>
      <c r="I17" s="66">
        <v>26609931.439999998</v>
      </c>
    </row>
    <row r="18" spans="2:11" x14ac:dyDescent="0.2">
      <c r="B18" s="125" t="s">
        <v>17</v>
      </c>
      <c r="D18" s="2" t="s">
        <v>35</v>
      </c>
      <c r="F18" s="122">
        <f>SUM(G18:I18)</f>
        <v>221798423.66684052</v>
      </c>
      <c r="G18" s="66">
        <v>207730185.60309401</v>
      </c>
      <c r="H18" s="66">
        <v>0</v>
      </c>
      <c r="I18" s="66">
        <v>14068238.063746501</v>
      </c>
    </row>
    <row r="19" spans="2:11" x14ac:dyDescent="0.2">
      <c r="F19" s="89"/>
      <c r="G19" s="89"/>
      <c r="H19" s="89"/>
      <c r="I19" s="89"/>
    </row>
    <row r="20" spans="2:11" s="138" customFormat="1" x14ac:dyDescent="0.2">
      <c r="B20" s="138" t="s">
        <v>61</v>
      </c>
    </row>
    <row r="21" spans="2:11" x14ac:dyDescent="0.2">
      <c r="F21" s="89"/>
      <c r="G21" s="89"/>
      <c r="H21" s="89"/>
      <c r="I21" s="89"/>
    </row>
    <row r="22" spans="2:11" x14ac:dyDescent="0.2">
      <c r="B22" s="2" t="s">
        <v>159</v>
      </c>
      <c r="D22" s="2" t="s">
        <v>36</v>
      </c>
      <c r="F22" s="122">
        <f>SUM(G22:I22)</f>
        <v>305765500.4741528</v>
      </c>
      <c r="G22" s="66">
        <v>291148609.39156061</v>
      </c>
      <c r="H22" s="66">
        <v>0</v>
      </c>
      <c r="I22" s="66">
        <v>14616891.082592219</v>
      </c>
    </row>
    <row r="23" spans="2:11" x14ac:dyDescent="0.2">
      <c r="B23" s="2" t="s">
        <v>160</v>
      </c>
      <c r="D23" s="2" t="s">
        <v>36</v>
      </c>
      <c r="F23" s="122">
        <f>SUM(G23:I23)</f>
        <v>6449400577.1886959</v>
      </c>
      <c r="G23" s="66">
        <v>6259668957.0555696</v>
      </c>
      <c r="H23" s="66">
        <v>0</v>
      </c>
      <c r="I23" s="66">
        <v>189731620.13312635</v>
      </c>
    </row>
    <row r="24" spans="2:11" x14ac:dyDescent="0.2">
      <c r="G24" s="169"/>
    </row>
    <row r="25" spans="2:11" s="79" customFormat="1" x14ac:dyDescent="0.2">
      <c r="B25" s="2" t="s">
        <v>162</v>
      </c>
      <c r="C25" s="2"/>
      <c r="D25" s="2" t="s">
        <v>36</v>
      </c>
      <c r="E25" s="2"/>
      <c r="F25" s="122">
        <f>SUM(G25:I25)</f>
        <v>5224246.0752196629</v>
      </c>
      <c r="G25" s="66">
        <v>5084872.3399543623</v>
      </c>
      <c r="H25" s="66">
        <v>0</v>
      </c>
      <c r="I25" s="66">
        <v>139373.73526530105</v>
      </c>
    </row>
    <row r="26" spans="2:11" x14ac:dyDescent="0.2">
      <c r="B26" s="2" t="s">
        <v>163</v>
      </c>
      <c r="D26" s="2" t="s">
        <v>36</v>
      </c>
      <c r="F26" s="122">
        <f>SUM(G26:I26)</f>
        <v>103034285.32424442</v>
      </c>
      <c r="G26" s="66">
        <v>99062133.869183347</v>
      </c>
      <c r="H26" s="66">
        <v>0</v>
      </c>
      <c r="I26" s="66">
        <v>3972151.4550610799</v>
      </c>
      <c r="K26" s="79"/>
    </row>
    <row r="27" spans="2:11" x14ac:dyDescent="0.2">
      <c r="B27" s="2" t="s">
        <v>164</v>
      </c>
      <c r="D27" s="2" t="s">
        <v>36</v>
      </c>
      <c r="F27" s="122">
        <f>SUM(G27:I27)</f>
        <v>36109990.526737951</v>
      </c>
      <c r="G27" s="66">
        <v>34049908.422328703</v>
      </c>
      <c r="H27" s="66"/>
      <c r="I27" s="66">
        <v>2060082.1044092493</v>
      </c>
      <c r="K27" s="79"/>
    </row>
    <row r="28" spans="2:11" x14ac:dyDescent="0.2">
      <c r="F28" s="89"/>
      <c r="H28" s="88"/>
      <c r="I28" s="88"/>
    </row>
    <row r="29" spans="2:11" x14ac:dyDescent="0.2">
      <c r="B29" s="2" t="s">
        <v>99</v>
      </c>
      <c r="D29" s="2" t="s">
        <v>36</v>
      </c>
      <c r="F29" s="122">
        <f>SUM(G29:I29)</f>
        <v>86268966.03711392</v>
      </c>
      <c r="G29" s="66">
        <v>80748450.499689296</v>
      </c>
      <c r="H29" s="66">
        <v>0</v>
      </c>
      <c r="I29" s="66">
        <v>5520515.5374246296</v>
      </c>
    </row>
    <row r="30" spans="2:11" x14ac:dyDescent="0.2">
      <c r="B30" s="125" t="s">
        <v>16</v>
      </c>
      <c r="D30" s="2" t="s">
        <v>36</v>
      </c>
      <c r="F30" s="122">
        <f>SUM(G30:I30)</f>
        <v>91407549.759299994</v>
      </c>
      <c r="G30" s="66">
        <v>66266791.669299997</v>
      </c>
      <c r="H30" s="66">
        <v>0</v>
      </c>
      <c r="I30" s="66">
        <v>25140758.090000004</v>
      </c>
    </row>
    <row r="31" spans="2:11" x14ac:dyDescent="0.2">
      <c r="B31" s="125" t="s">
        <v>17</v>
      </c>
      <c r="D31" s="2" t="s">
        <v>36</v>
      </c>
      <c r="F31" s="122">
        <f>SUM(G31:I31)</f>
        <v>278238492.91641122</v>
      </c>
      <c r="G31" s="66">
        <v>261894575.145715</v>
      </c>
      <c r="H31" s="66">
        <v>0</v>
      </c>
      <c r="I31" s="66">
        <v>16343917.7706962</v>
      </c>
    </row>
    <row r="32" spans="2:11" x14ac:dyDescent="0.2">
      <c r="F32" s="89"/>
      <c r="G32" s="89"/>
      <c r="H32" s="89"/>
      <c r="I32" s="89"/>
    </row>
    <row r="33" spans="2:11" s="138" customFormat="1" x14ac:dyDescent="0.2">
      <c r="B33" s="138" t="s">
        <v>62</v>
      </c>
    </row>
    <row r="34" spans="2:11" x14ac:dyDescent="0.2">
      <c r="F34" s="89"/>
      <c r="G34" s="89"/>
      <c r="H34" s="89"/>
      <c r="I34" s="89"/>
    </row>
    <row r="35" spans="2:11" x14ac:dyDescent="0.2">
      <c r="B35" s="2" t="s">
        <v>159</v>
      </c>
      <c r="D35" s="2" t="s">
        <v>37</v>
      </c>
      <c r="F35" s="122">
        <f>SUM(G35:I35)</f>
        <v>328345079.25953126</v>
      </c>
      <c r="G35" s="66">
        <v>310461431.84281206</v>
      </c>
      <c r="H35" s="66">
        <v>0</v>
      </c>
      <c r="I35" s="66">
        <v>17883647.416719198</v>
      </c>
    </row>
    <row r="36" spans="2:11" x14ac:dyDescent="0.2">
      <c r="B36" s="2" t="s">
        <v>160</v>
      </c>
      <c r="D36" s="2" t="s">
        <v>37</v>
      </c>
      <c r="F36" s="122">
        <f>SUM(G36:I36)</f>
        <v>6681441482.0815277</v>
      </c>
      <c r="G36" s="66">
        <v>6353949975.787797</v>
      </c>
      <c r="H36" s="66">
        <v>0</v>
      </c>
      <c r="I36" s="66">
        <v>327491506.29373115</v>
      </c>
    </row>
    <row r="37" spans="2:11" x14ac:dyDescent="0.2">
      <c r="G37" s="169"/>
    </row>
    <row r="38" spans="2:11" s="79" customFormat="1" x14ac:dyDescent="0.2">
      <c r="B38" s="2" t="s">
        <v>165</v>
      </c>
      <c r="C38" s="2"/>
      <c r="D38" s="2" t="s">
        <v>37</v>
      </c>
      <c r="E38" s="2"/>
      <c r="F38" s="122">
        <f>SUM(G38:I38)</f>
        <v>6625967.8458557855</v>
      </c>
      <c r="G38" s="66">
        <v>6555513.0378849888</v>
      </c>
      <c r="H38" s="66">
        <v>0</v>
      </c>
      <c r="I38" s="66">
        <v>70454.807970796319</v>
      </c>
    </row>
    <row r="39" spans="2:11" x14ac:dyDescent="0.2">
      <c r="B39" s="2" t="s">
        <v>166</v>
      </c>
      <c r="D39" s="2" t="s">
        <v>37</v>
      </c>
      <c r="F39" s="122">
        <f>SUM(G39:I39)</f>
        <v>27109898.511649463</v>
      </c>
      <c r="G39" s="66">
        <v>25101936.484481767</v>
      </c>
      <c r="H39" s="66">
        <v>0</v>
      </c>
      <c r="I39" s="66">
        <v>2007962.0271676953</v>
      </c>
      <c r="K39" s="79"/>
    </row>
    <row r="40" spans="2:11" x14ac:dyDescent="0.2">
      <c r="B40" s="2" t="s">
        <v>186</v>
      </c>
      <c r="D40" s="2" t="s">
        <v>37</v>
      </c>
      <c r="F40" s="122">
        <f>SUM(G40:I40)</f>
        <v>25387142.053424645</v>
      </c>
      <c r="G40" s="66">
        <v>25228957.043424644</v>
      </c>
      <c r="H40" s="66"/>
      <c r="I40" s="66">
        <v>158185.01</v>
      </c>
      <c r="K40" s="79"/>
    </row>
    <row r="41" spans="2:11" x14ac:dyDescent="0.2">
      <c r="B41" s="1"/>
      <c r="F41" s="151"/>
      <c r="G41" s="169"/>
      <c r="H41" s="88"/>
      <c r="I41" s="88"/>
    </row>
    <row r="42" spans="2:11" x14ac:dyDescent="0.2">
      <c r="B42" s="2" t="s">
        <v>99</v>
      </c>
      <c r="D42" s="2" t="s">
        <v>37</v>
      </c>
      <c r="F42" s="122">
        <f>SUM(G42:I42)</f>
        <v>91886970.22341314</v>
      </c>
      <c r="G42" s="66">
        <v>86050642.822007701</v>
      </c>
      <c r="H42" s="66">
        <v>0</v>
      </c>
      <c r="I42" s="66">
        <v>5836327.4014054406</v>
      </c>
    </row>
    <row r="43" spans="2:11" x14ac:dyDescent="0.2">
      <c r="B43" s="125" t="s">
        <v>16</v>
      </c>
      <c r="D43" s="2" t="s">
        <v>37</v>
      </c>
      <c r="F43" s="122">
        <f>SUM(G43:I43)</f>
        <v>95423812.620000005</v>
      </c>
      <c r="G43" s="66">
        <v>70862926.549999997</v>
      </c>
      <c r="H43" s="66">
        <v>0</v>
      </c>
      <c r="I43" s="66">
        <v>24560886.07</v>
      </c>
    </row>
    <row r="44" spans="2:11" x14ac:dyDescent="0.2">
      <c r="B44" s="125" t="s">
        <v>17</v>
      </c>
      <c r="D44" s="2" t="s">
        <v>37</v>
      </c>
      <c r="F44" s="122">
        <f>SUM(G44:I44)</f>
        <v>219619949.97918132</v>
      </c>
      <c r="G44" s="66">
        <v>205729884.84706339</v>
      </c>
      <c r="H44" s="66">
        <v>0</v>
      </c>
      <c r="I44" s="66">
        <v>13890065.132117931</v>
      </c>
    </row>
    <row r="45" spans="2:11" x14ac:dyDescent="0.2">
      <c r="G45" s="89"/>
      <c r="I45" s="89"/>
    </row>
    <row r="46" spans="2:11" s="138" customFormat="1" x14ac:dyDescent="0.2">
      <c r="B46" s="138" t="s">
        <v>62</v>
      </c>
    </row>
    <row r="48" spans="2:11" s="79" customFormat="1" x14ac:dyDescent="0.2">
      <c r="B48" s="2" t="s">
        <v>167</v>
      </c>
      <c r="C48" s="2"/>
      <c r="D48" s="2" t="s">
        <v>28</v>
      </c>
      <c r="E48" s="2"/>
      <c r="F48" s="122">
        <f>SUM(G48:I48)</f>
        <v>4611788.3530372018</v>
      </c>
      <c r="G48" s="66">
        <v>4606394.2441962017</v>
      </c>
      <c r="H48" s="66">
        <v>0</v>
      </c>
      <c r="I48" s="66">
        <v>5394.1088410000002</v>
      </c>
    </row>
    <row r="49" spans="2:11" x14ac:dyDescent="0.2">
      <c r="B49" s="2" t="s">
        <v>168</v>
      </c>
      <c r="D49" s="2" t="s">
        <v>28</v>
      </c>
      <c r="F49" s="122">
        <f>SUM(G49:I49)</f>
        <v>19053363.791097607</v>
      </c>
      <c r="G49" s="66">
        <v>18899631.689129107</v>
      </c>
      <c r="H49" s="66">
        <v>0</v>
      </c>
      <c r="I49" s="66">
        <v>153732.10196850001</v>
      </c>
      <c r="K49" s="79"/>
    </row>
    <row r="55" spans="2:11" x14ac:dyDescent="0.2">
      <c r="H55" s="152"/>
      <c r="I55" s="152"/>
      <c r="J55" s="152"/>
      <c r="K55" s="153"/>
    </row>
    <row r="56" spans="2:11" x14ac:dyDescent="0.2">
      <c r="H56" s="152"/>
      <c r="I56" s="152"/>
      <c r="J56" s="152"/>
      <c r="K56" s="153"/>
    </row>
    <row r="57" spans="2:11" x14ac:dyDescent="0.2">
      <c r="H57" s="152"/>
      <c r="I57" s="152"/>
      <c r="J57" s="152"/>
      <c r="K57" s="153"/>
    </row>
    <row r="58" spans="2:11" x14ac:dyDescent="0.2">
      <c r="H58" s="152"/>
      <c r="I58" s="152"/>
      <c r="J58" s="152"/>
      <c r="K58" s="153"/>
    </row>
    <row r="59" spans="2:11" x14ac:dyDescent="0.2">
      <c r="H59" s="152"/>
      <c r="I59" s="152"/>
      <c r="J59" s="152"/>
      <c r="K59" s="153"/>
    </row>
    <row r="63" spans="2:11" x14ac:dyDescent="0.2">
      <c r="H63" s="152"/>
      <c r="I63" s="152"/>
      <c r="J63" s="152"/>
    </row>
    <row r="64" spans="2:11" x14ac:dyDescent="0.2">
      <c r="H64" s="152"/>
      <c r="I64" s="152"/>
      <c r="J64" s="152"/>
    </row>
    <row r="65" spans="8:10" x14ac:dyDescent="0.2">
      <c r="H65" s="152"/>
      <c r="I65" s="152"/>
      <c r="J65" s="152"/>
    </row>
    <row r="66" spans="8:10" x14ac:dyDescent="0.2">
      <c r="H66" s="152"/>
      <c r="I66" s="152"/>
      <c r="J66" s="152"/>
    </row>
    <row r="67" spans="8:10" x14ac:dyDescent="0.2">
      <c r="H67" s="152"/>
      <c r="I67" s="152"/>
      <c r="J67" s="152"/>
    </row>
    <row r="69" spans="8:10" x14ac:dyDescent="0.2">
      <c r="H69" s="153"/>
      <c r="I69" s="153"/>
      <c r="J69" s="153"/>
    </row>
  </sheetData>
  <phoneticPr fontId="3" type="noConversion"/>
  <pageMargins left="0.75" right="0.75" top="1" bottom="1" header="0.5" footer="0.5"/>
  <pageSetup paperSize="9" scale="3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J16"/>
  <sheetViews>
    <sheetView showGridLines="0" zoomScaleNormal="100" zoomScaleSheetLayoutView="70" workbookViewId="0"/>
  </sheetViews>
  <sheetFormatPr defaultRowHeight="15" x14ac:dyDescent="0.25"/>
  <cols>
    <col min="1" max="1" width="3.7109375" style="119" customWidth="1"/>
    <col min="2" max="2" width="53.85546875" style="119" customWidth="1"/>
    <col min="3" max="3" width="2.5703125" style="119" customWidth="1"/>
    <col min="4" max="4" width="14.7109375" style="119" bestFit="1" customWidth="1"/>
    <col min="5" max="5" width="2.5703125" style="119" customWidth="1"/>
    <col min="6" max="6" width="14" style="119" bestFit="1" customWidth="1"/>
    <col min="7" max="7" width="44.5703125" style="119" bestFit="1" customWidth="1"/>
    <col min="8" max="8" width="12.140625" style="119" bestFit="1" customWidth="1"/>
    <col min="9" max="9" width="22.85546875" style="119" bestFit="1" customWidth="1"/>
    <col min="10" max="10" width="55.7109375" style="119" bestFit="1" customWidth="1"/>
    <col min="11" max="11" width="26.85546875" style="119" bestFit="1" customWidth="1"/>
    <col min="12" max="16384" width="9.140625" style="119"/>
  </cols>
  <sheetData>
    <row r="1" spans="1:10" x14ac:dyDescent="0.25">
      <c r="A1" s="177"/>
      <c r="B1" s="178"/>
      <c r="C1" s="177"/>
      <c r="D1" s="177"/>
      <c r="E1" s="177"/>
      <c r="F1" s="177"/>
      <c r="G1" s="177"/>
      <c r="H1" s="177"/>
      <c r="I1" s="177"/>
      <c r="J1" s="177"/>
    </row>
    <row r="2" spans="1:10" s="136" customFormat="1" ht="15" customHeight="1" x14ac:dyDescent="0.2">
      <c r="A2" s="139"/>
      <c r="B2" s="139" t="s">
        <v>137</v>
      </c>
      <c r="C2" s="139"/>
      <c r="D2" s="139"/>
      <c r="E2" s="139"/>
      <c r="F2" s="139" t="s">
        <v>79</v>
      </c>
      <c r="G2" s="139" t="s">
        <v>151</v>
      </c>
      <c r="H2" s="139" t="s">
        <v>149</v>
      </c>
      <c r="I2" s="139" t="s">
        <v>150</v>
      </c>
      <c r="J2" s="139"/>
    </row>
    <row r="3" spans="1:10" x14ac:dyDescent="0.25">
      <c r="A3" s="177"/>
      <c r="B3" s="177"/>
      <c r="C3" s="177"/>
      <c r="D3" s="177"/>
      <c r="E3" s="177"/>
      <c r="F3" s="177"/>
      <c r="G3" s="177"/>
      <c r="H3" s="177"/>
      <c r="I3" s="177"/>
      <c r="J3" s="177"/>
    </row>
    <row r="4" spans="1:10" x14ac:dyDescent="0.25">
      <c r="A4" s="177"/>
      <c r="B4" s="177" t="s">
        <v>174</v>
      </c>
      <c r="C4" s="177"/>
      <c r="D4" s="2" t="s">
        <v>28</v>
      </c>
      <c r="E4" s="177"/>
      <c r="F4" s="177"/>
      <c r="G4" s="117">
        <v>126718400.04871152</v>
      </c>
      <c r="H4" s="179"/>
      <c r="I4" s="117">
        <v>14179381.246909684</v>
      </c>
      <c r="J4" s="177"/>
    </row>
    <row r="5" spans="1:10" x14ac:dyDescent="0.25">
      <c r="A5" s="177"/>
      <c r="B5" s="180" t="s">
        <v>206</v>
      </c>
      <c r="C5" s="180"/>
      <c r="D5" s="2" t="s">
        <v>28</v>
      </c>
      <c r="E5" s="180"/>
      <c r="F5" s="180"/>
      <c r="G5" s="181">
        <v>46183971.476779006</v>
      </c>
      <c r="H5" s="182"/>
      <c r="I5" s="181">
        <v>2383467.6323480625</v>
      </c>
      <c r="J5" s="177"/>
    </row>
    <row r="6" spans="1:10" x14ac:dyDescent="0.25">
      <c r="A6" s="177"/>
      <c r="B6" s="177" t="s">
        <v>175</v>
      </c>
      <c r="C6" s="177"/>
      <c r="D6" s="2" t="s">
        <v>28</v>
      </c>
      <c r="E6" s="177"/>
      <c r="F6" s="177"/>
      <c r="G6" s="183">
        <f>G4-G5</f>
        <v>80534428.571932524</v>
      </c>
      <c r="H6" s="179"/>
      <c r="I6" s="183">
        <f>I4-I5</f>
        <v>11795913.614561621</v>
      </c>
      <c r="J6" s="184"/>
    </row>
    <row r="7" spans="1:10" x14ac:dyDescent="0.25">
      <c r="A7" s="177"/>
      <c r="B7" s="177"/>
      <c r="C7" s="177"/>
      <c r="D7" s="2" t="s">
        <v>28</v>
      </c>
      <c r="E7" s="177"/>
      <c r="F7" s="177"/>
      <c r="G7" s="177"/>
      <c r="H7" s="177"/>
      <c r="I7" s="185"/>
      <c r="J7" s="177"/>
    </row>
    <row r="8" spans="1:10" x14ac:dyDescent="0.25">
      <c r="A8" s="177"/>
      <c r="B8" s="177" t="s">
        <v>170</v>
      </c>
      <c r="C8" s="177"/>
      <c r="D8" s="2" t="s">
        <v>28</v>
      </c>
      <c r="E8" s="177"/>
      <c r="F8" s="177"/>
      <c r="G8" s="117">
        <v>54316822.112349808</v>
      </c>
      <c r="H8" s="179"/>
      <c r="I8" s="117">
        <v>5320094.6674638493</v>
      </c>
      <c r="J8" s="178"/>
    </row>
    <row r="9" spans="1:10" x14ac:dyDescent="0.25">
      <c r="A9" s="177"/>
      <c r="B9" s="177" t="s">
        <v>171</v>
      </c>
      <c r="C9" s="177"/>
      <c r="D9" s="2" t="s">
        <v>28</v>
      </c>
      <c r="E9" s="177"/>
      <c r="F9" s="177"/>
      <c r="G9" s="117">
        <v>1699490958.9664447</v>
      </c>
      <c r="H9" s="179"/>
      <c r="I9" s="117">
        <v>154272283.44473511</v>
      </c>
      <c r="J9" s="178"/>
    </row>
    <row r="10" spans="1:10" x14ac:dyDescent="0.25">
      <c r="A10" s="177"/>
      <c r="B10" s="177" t="s">
        <v>130</v>
      </c>
      <c r="C10" s="177"/>
      <c r="D10" s="2" t="s">
        <v>58</v>
      </c>
      <c r="E10" s="177"/>
      <c r="F10" s="177"/>
      <c r="G10" s="186">
        <v>5.8000000000000003E-2</v>
      </c>
      <c r="H10" s="179"/>
      <c r="I10" s="186">
        <v>5.8000000000000003E-2</v>
      </c>
      <c r="J10" s="177"/>
    </row>
    <row r="11" spans="1:10" x14ac:dyDescent="0.25">
      <c r="A11" s="177"/>
      <c r="B11" s="177" t="s">
        <v>172</v>
      </c>
      <c r="C11" s="177"/>
      <c r="D11" s="2" t="s">
        <v>28</v>
      </c>
      <c r="E11" s="177"/>
      <c r="F11" s="177"/>
      <c r="G11" s="187">
        <f>G9*G10</f>
        <v>98570475.620053798</v>
      </c>
      <c r="H11" s="188"/>
      <c r="I11" s="187">
        <f>I9*I10</f>
        <v>8947792.4397946373</v>
      </c>
      <c r="J11" s="177"/>
    </row>
    <row r="12" spans="1:10" x14ac:dyDescent="0.25">
      <c r="A12" s="177"/>
      <c r="B12" s="177" t="s">
        <v>176</v>
      </c>
      <c r="C12" s="177"/>
      <c r="D12" s="2"/>
      <c r="E12" s="177"/>
      <c r="F12" s="177"/>
      <c r="G12" s="176">
        <v>1754336370.4091606</v>
      </c>
      <c r="H12" s="179"/>
      <c r="I12" s="176">
        <v>158785740.55551463</v>
      </c>
      <c r="J12" s="178"/>
    </row>
    <row r="13" spans="1:10" x14ac:dyDescent="0.25">
      <c r="A13" s="177"/>
      <c r="B13" s="177" t="s">
        <v>135</v>
      </c>
      <c r="C13" s="177"/>
      <c r="D13" s="2" t="s">
        <v>28</v>
      </c>
      <c r="E13" s="177"/>
      <c r="F13" s="177"/>
      <c r="G13" s="189">
        <f>G8+G11</f>
        <v>152887297.73240361</v>
      </c>
      <c r="H13" s="179"/>
      <c r="I13" s="189">
        <f>I8+I11</f>
        <v>14267887.107258487</v>
      </c>
      <c r="J13" s="177"/>
    </row>
    <row r="14" spans="1:10" x14ac:dyDescent="0.25">
      <c r="A14" s="177"/>
      <c r="B14" s="177" t="s">
        <v>173</v>
      </c>
      <c r="C14" s="177"/>
      <c r="D14" s="2" t="s">
        <v>28</v>
      </c>
      <c r="E14" s="177"/>
      <c r="F14" s="177"/>
      <c r="G14" s="190">
        <f>G4</f>
        <v>126718400.04871152</v>
      </c>
      <c r="H14" s="179"/>
      <c r="I14" s="190">
        <f>I4</f>
        <v>14179381.246909684</v>
      </c>
      <c r="J14" s="177"/>
    </row>
    <row r="15" spans="1:10" x14ac:dyDescent="0.25">
      <c r="A15" s="177"/>
      <c r="B15" s="177" t="s">
        <v>136</v>
      </c>
      <c r="C15" s="177"/>
      <c r="D15" s="2" t="s">
        <v>28</v>
      </c>
      <c r="E15" s="177"/>
      <c r="F15" s="177"/>
      <c r="G15" s="189">
        <f>G13-G14</f>
        <v>26168897.683692083</v>
      </c>
      <c r="H15" s="179"/>
      <c r="I15" s="189">
        <f>I13-I14</f>
        <v>88505.860348803923</v>
      </c>
      <c r="J15" s="177"/>
    </row>
    <row r="16" spans="1:10" x14ac:dyDescent="0.25">
      <c r="A16" s="177"/>
      <c r="B16" s="177" t="s">
        <v>169</v>
      </c>
      <c r="C16" s="177"/>
      <c r="D16" s="2" t="s">
        <v>28</v>
      </c>
      <c r="E16" s="177"/>
      <c r="F16" s="177"/>
      <c r="G16" s="191">
        <f>G5+G15</f>
        <v>72352869.160471082</v>
      </c>
      <c r="H16" s="179"/>
      <c r="I16" s="191">
        <f>I5+I15</f>
        <v>2471973.4926968664</v>
      </c>
      <c r="J16" s="178"/>
    </row>
  </sheetData>
  <pageMargins left="0.7" right="0.7" top="0.75" bottom="0.75" header="0.3" footer="0.3"/>
  <pageSetup paperSize="9" scale="3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1:R74"/>
  <sheetViews>
    <sheetView showGridLines="0" zoomScale="85" zoomScaleNormal="85" zoomScaleSheetLayoutView="70" workbookViewId="0">
      <pane xSplit="4" ySplit="2" topLeftCell="E60" activePane="bottomRight" state="frozen"/>
      <selection activeCell="A2" sqref="A2:XFD2"/>
      <selection pane="topRight" activeCell="A2" sqref="A2:XFD2"/>
      <selection pane="bottomLeft" activeCell="A2" sqref="A2:XFD2"/>
      <selection pane="bottomRight"/>
    </sheetView>
  </sheetViews>
  <sheetFormatPr defaultRowHeight="12.75" x14ac:dyDescent="0.2"/>
  <cols>
    <col min="1" max="1" width="3.7109375" style="96" customWidth="1"/>
    <col min="2" max="2" width="56.28515625" style="96" customWidth="1"/>
    <col min="3" max="3" width="2.5703125" style="96" customWidth="1"/>
    <col min="4" max="4" width="16.28515625" style="96" customWidth="1"/>
    <col min="5" max="5" width="2.5703125" style="96" customWidth="1"/>
    <col min="6" max="6" width="21.42578125" style="96" customWidth="1"/>
    <col min="7" max="7" width="53" style="96" bestFit="1" customWidth="1"/>
    <col min="8" max="8" width="15" style="96" bestFit="1" customWidth="1"/>
    <col min="9" max="9" width="27.28515625" style="96" bestFit="1" customWidth="1"/>
    <col min="10" max="10" width="14.28515625" style="96" bestFit="1" customWidth="1"/>
    <col min="11" max="11" width="15.28515625" style="96" bestFit="1" customWidth="1"/>
    <col min="12" max="12" width="15" style="96" bestFit="1" customWidth="1"/>
    <col min="13" max="13" width="14.5703125" style="96" bestFit="1" customWidth="1"/>
    <col min="14" max="14" width="12.85546875" style="96" bestFit="1" customWidth="1"/>
    <col min="15" max="15" width="11.28515625" style="96" bestFit="1" customWidth="1"/>
    <col min="16" max="16" width="10.28515625" style="96" bestFit="1" customWidth="1"/>
    <col min="17" max="17" width="14" style="96" bestFit="1" customWidth="1"/>
    <col min="18" max="18" width="15" style="96" bestFit="1" customWidth="1"/>
    <col min="19" max="16384" width="9.140625" style="96"/>
  </cols>
  <sheetData>
    <row r="1" spans="1:18" ht="12" customHeight="1" x14ac:dyDescent="0.2"/>
    <row r="2" spans="1:18" s="136" customFormat="1" ht="15" customHeight="1" x14ac:dyDescent="0.2">
      <c r="B2" s="136" t="s">
        <v>57</v>
      </c>
      <c r="F2" s="136" t="s">
        <v>34</v>
      </c>
      <c r="G2" s="139" t="s">
        <v>151</v>
      </c>
      <c r="H2" s="139" t="s">
        <v>149</v>
      </c>
      <c r="I2" s="139" t="s">
        <v>150</v>
      </c>
    </row>
    <row r="3" spans="1:18" s="10" customFormat="1" ht="12" customHeight="1" x14ac:dyDescent="0.2"/>
    <row r="4" spans="1:18" s="6" customFormat="1" ht="63.75" x14ac:dyDescent="0.2">
      <c r="B4" s="27" t="s">
        <v>145</v>
      </c>
      <c r="F4" s="62"/>
      <c r="I4" s="1"/>
    </row>
    <row r="5" spans="1:18" s="10" customFormat="1" x14ac:dyDescent="0.2">
      <c r="F5" s="62"/>
      <c r="I5" s="1"/>
    </row>
    <row r="6" spans="1:18" s="10" customFormat="1" x14ac:dyDescent="0.2">
      <c r="B6" s="21" t="s">
        <v>32</v>
      </c>
      <c r="D6" s="21" t="s">
        <v>33</v>
      </c>
    </row>
    <row r="7" spans="1:18" s="10" customFormat="1" x14ac:dyDescent="0.2">
      <c r="B7" s="2" t="s">
        <v>120</v>
      </c>
      <c r="D7" s="28">
        <v>41494</v>
      </c>
    </row>
    <row r="8" spans="1:18" x14ac:dyDescent="0.2">
      <c r="F8" s="97"/>
      <c r="G8" s="97"/>
      <c r="H8" s="97"/>
      <c r="I8" s="97"/>
      <c r="J8" s="98"/>
    </row>
    <row r="9" spans="1:18" s="137" customFormat="1" x14ac:dyDescent="0.2">
      <c r="B9" s="137" t="s">
        <v>64</v>
      </c>
    </row>
    <row r="10" spans="1:18" x14ac:dyDescent="0.2">
      <c r="A10" s="109"/>
      <c r="B10" s="100" t="s">
        <v>138</v>
      </c>
      <c r="D10" s="96" t="s">
        <v>28</v>
      </c>
      <c r="G10" s="101">
        <v>371935971.95584029</v>
      </c>
      <c r="H10" s="102"/>
      <c r="I10" s="102"/>
    </row>
    <row r="11" spans="1:18" x14ac:dyDescent="0.2">
      <c r="A11" s="109"/>
      <c r="B11" s="100" t="s">
        <v>139</v>
      </c>
      <c r="D11" s="96" t="s">
        <v>28</v>
      </c>
      <c r="G11" s="101">
        <v>527319626.74834293</v>
      </c>
      <c r="H11" s="102"/>
      <c r="I11" s="102"/>
      <c r="L11" s="116"/>
      <c r="M11" s="116"/>
      <c r="N11" s="116"/>
      <c r="O11" s="116"/>
      <c r="P11" s="116"/>
      <c r="Q11" s="116"/>
      <c r="R11" s="116"/>
    </row>
    <row r="12" spans="1:18" x14ac:dyDescent="0.2">
      <c r="A12" s="109"/>
      <c r="B12" s="100" t="s">
        <v>140</v>
      </c>
      <c r="D12" s="96" t="s">
        <v>28</v>
      </c>
      <c r="G12" s="117">
        <v>16577494.870321434</v>
      </c>
      <c r="H12" s="102"/>
      <c r="I12" s="102"/>
      <c r="L12" s="116"/>
      <c r="M12" s="116"/>
      <c r="N12" s="116"/>
      <c r="O12" s="116"/>
      <c r="P12" s="116"/>
      <c r="Q12" s="116"/>
      <c r="R12" s="116"/>
    </row>
    <row r="13" spans="1:18" x14ac:dyDescent="0.2">
      <c r="A13" s="109"/>
      <c r="B13" s="100" t="s">
        <v>141</v>
      </c>
      <c r="D13" s="96" t="s">
        <v>28</v>
      </c>
      <c r="G13" s="117">
        <v>413105.63490122603</v>
      </c>
      <c r="H13" s="102"/>
      <c r="I13" s="102"/>
    </row>
    <row r="14" spans="1:18" x14ac:dyDescent="0.2">
      <c r="A14" s="109"/>
      <c r="B14" s="100" t="s">
        <v>142</v>
      </c>
      <c r="D14" s="96" t="s">
        <v>28</v>
      </c>
      <c r="G14" s="101">
        <v>82734.931086025899</v>
      </c>
      <c r="H14" s="102"/>
      <c r="I14" s="102"/>
    </row>
    <row r="15" spans="1:18" x14ac:dyDescent="0.2">
      <c r="A15" s="109"/>
      <c r="B15" s="100" t="s">
        <v>143</v>
      </c>
      <c r="D15" s="96" t="s">
        <v>28</v>
      </c>
      <c r="G15" s="102"/>
      <c r="H15" s="102"/>
      <c r="I15" s="101">
        <v>84305903.667451367</v>
      </c>
    </row>
    <row r="16" spans="1:18" x14ac:dyDescent="0.2">
      <c r="A16" s="109"/>
      <c r="B16" s="103" t="s">
        <v>72</v>
      </c>
      <c r="G16" s="104">
        <f>SUM(G10:G15)</f>
        <v>916328934.14049196</v>
      </c>
      <c r="H16" s="102"/>
      <c r="I16" s="105">
        <f>SUM(I10:I15)</f>
        <v>84305903.667451367</v>
      </c>
    </row>
    <row r="17" spans="1:10" x14ac:dyDescent="0.2">
      <c r="A17" s="109"/>
      <c r="B17" s="106" t="s">
        <v>67</v>
      </c>
      <c r="G17" s="101">
        <v>916328934.14049196</v>
      </c>
      <c r="H17" s="102"/>
      <c r="I17" s="107">
        <v>84305903.667451367</v>
      </c>
    </row>
    <row r="18" spans="1:10" s="109" customFormat="1" x14ac:dyDescent="0.2">
      <c r="B18" s="108"/>
      <c r="G18" s="110"/>
      <c r="H18" s="110"/>
      <c r="I18" s="111"/>
    </row>
    <row r="19" spans="1:10" s="137" customFormat="1" x14ac:dyDescent="0.2">
      <c r="B19" s="137" t="s">
        <v>73</v>
      </c>
    </row>
    <row r="20" spans="1:10" x14ac:dyDescent="0.2">
      <c r="A20" s="109"/>
      <c r="B20" s="100" t="s">
        <v>138</v>
      </c>
      <c r="D20" s="96" t="s">
        <v>28</v>
      </c>
      <c r="G20" s="66">
        <v>-60395884.55603388</v>
      </c>
      <c r="H20" s="68"/>
      <c r="I20" s="68"/>
    </row>
    <row r="21" spans="1:10" x14ac:dyDescent="0.2">
      <c r="A21" s="109"/>
      <c r="B21" s="100" t="s">
        <v>139</v>
      </c>
      <c r="D21" s="96" t="s">
        <v>28</v>
      </c>
      <c r="G21" s="66">
        <v>-88120415.898524716</v>
      </c>
      <c r="H21" s="68"/>
      <c r="I21" s="68"/>
    </row>
    <row r="22" spans="1:10" x14ac:dyDescent="0.2">
      <c r="A22" s="109"/>
      <c r="B22" s="100" t="s">
        <v>140</v>
      </c>
      <c r="D22" s="96" t="s">
        <v>28</v>
      </c>
      <c r="G22" s="66">
        <v>-2797380.9257165021</v>
      </c>
      <c r="H22" s="68"/>
      <c r="I22" s="68"/>
    </row>
    <row r="23" spans="1:10" x14ac:dyDescent="0.2">
      <c r="A23" s="109"/>
      <c r="B23" s="100" t="s">
        <v>141</v>
      </c>
      <c r="D23" s="96" t="s">
        <v>28</v>
      </c>
      <c r="G23" s="68"/>
      <c r="H23" s="68"/>
      <c r="I23" s="68"/>
    </row>
    <row r="24" spans="1:10" x14ac:dyDescent="0.2">
      <c r="A24" s="109"/>
      <c r="B24" s="100" t="s">
        <v>142</v>
      </c>
      <c r="D24" s="96" t="s">
        <v>28</v>
      </c>
      <c r="G24" s="68"/>
      <c r="H24" s="68"/>
      <c r="I24" s="68"/>
    </row>
    <row r="25" spans="1:10" x14ac:dyDescent="0.2">
      <c r="A25" s="109"/>
      <c r="B25" s="100" t="s">
        <v>143</v>
      </c>
      <c r="D25" s="96" t="s">
        <v>28</v>
      </c>
      <c r="G25" s="68"/>
      <c r="H25" s="68"/>
      <c r="I25" s="66">
        <v>-55893404.069065988</v>
      </c>
    </row>
    <row r="26" spans="1:10" x14ac:dyDescent="0.2">
      <c r="A26" s="109"/>
      <c r="B26" s="103" t="s">
        <v>66</v>
      </c>
      <c r="D26" s="96" t="s">
        <v>28</v>
      </c>
      <c r="G26" s="69">
        <f>SUM(G20:G25)</f>
        <v>-151313681.3802751</v>
      </c>
      <c r="H26" s="68"/>
      <c r="I26" s="70">
        <f>SUM(I20:I25)</f>
        <v>-55893404.069065988</v>
      </c>
      <c r="J26" s="98"/>
    </row>
    <row r="27" spans="1:10" x14ac:dyDescent="0.2">
      <c r="A27" s="109"/>
      <c r="B27" s="106" t="s">
        <v>67</v>
      </c>
      <c r="D27" s="96" t="s">
        <v>28</v>
      </c>
      <c r="G27" s="66">
        <v>0</v>
      </c>
      <c r="H27" s="68"/>
      <c r="I27" s="71">
        <v>0</v>
      </c>
      <c r="J27" s="98"/>
    </row>
    <row r="28" spans="1:10" x14ac:dyDescent="0.2">
      <c r="A28" s="109"/>
      <c r="G28" s="49"/>
      <c r="H28" s="49"/>
      <c r="I28" s="60"/>
    </row>
    <row r="29" spans="1:10" s="137" customFormat="1" x14ac:dyDescent="0.2">
      <c r="B29" s="137" t="s">
        <v>74</v>
      </c>
    </row>
    <row r="30" spans="1:10" x14ac:dyDescent="0.2">
      <c r="A30" s="109"/>
      <c r="B30" s="100" t="s">
        <v>138</v>
      </c>
      <c r="D30" s="96" t="s">
        <v>28</v>
      </c>
      <c r="G30" s="66">
        <v>4756429.8713178318</v>
      </c>
      <c r="H30" s="68"/>
      <c r="I30" s="68"/>
    </row>
    <row r="31" spans="1:10" x14ac:dyDescent="0.2">
      <c r="A31" s="109"/>
      <c r="B31" s="100" t="s">
        <v>139</v>
      </c>
      <c r="D31" s="96" t="s">
        <v>28</v>
      </c>
      <c r="G31" s="66">
        <v>6939853.2951997221</v>
      </c>
      <c r="H31" s="68"/>
      <c r="I31" s="68"/>
    </row>
    <row r="32" spans="1:10" x14ac:dyDescent="0.2">
      <c r="A32" s="109"/>
      <c r="B32" s="100" t="s">
        <v>140</v>
      </c>
      <c r="D32" s="96" t="s">
        <v>28</v>
      </c>
      <c r="G32" s="66">
        <v>220305.51078671872</v>
      </c>
      <c r="H32" s="68"/>
      <c r="I32" s="68"/>
    </row>
    <row r="33" spans="1:9" x14ac:dyDescent="0.2">
      <c r="A33" s="109"/>
      <c r="B33" s="100" t="s">
        <v>141</v>
      </c>
      <c r="D33" s="96" t="s">
        <v>28</v>
      </c>
      <c r="G33" s="68"/>
      <c r="H33" s="68"/>
      <c r="I33" s="68"/>
    </row>
    <row r="34" spans="1:9" x14ac:dyDescent="0.2">
      <c r="A34" s="109"/>
      <c r="B34" s="100" t="s">
        <v>142</v>
      </c>
      <c r="D34" s="96" t="s">
        <v>28</v>
      </c>
      <c r="G34" s="68"/>
      <c r="H34" s="68"/>
      <c r="I34" s="68"/>
    </row>
    <row r="35" spans="1:9" x14ac:dyDescent="0.2">
      <c r="A35" s="109"/>
      <c r="B35" s="100" t="s">
        <v>144</v>
      </c>
      <c r="D35" s="96" t="s">
        <v>28</v>
      </c>
      <c r="G35" s="68"/>
      <c r="H35" s="68"/>
      <c r="I35" s="66">
        <v>-4611321.7948987596</v>
      </c>
    </row>
    <row r="36" spans="1:9" x14ac:dyDescent="0.2">
      <c r="A36" s="109"/>
      <c r="B36" s="103" t="s">
        <v>68</v>
      </c>
      <c r="D36" s="96" t="s">
        <v>28</v>
      </c>
      <c r="G36" s="69">
        <f>SUM(G30:G35)</f>
        <v>11916588.677304273</v>
      </c>
      <c r="H36" s="68"/>
      <c r="I36" s="70">
        <f>SUM(I30:I35)</f>
        <v>-4611321.7948987596</v>
      </c>
    </row>
    <row r="37" spans="1:9" x14ac:dyDescent="0.2">
      <c r="A37" s="109"/>
      <c r="B37" s="106" t="s">
        <v>67</v>
      </c>
      <c r="D37" s="96" t="s">
        <v>28</v>
      </c>
      <c r="G37" s="66">
        <v>0</v>
      </c>
      <c r="H37" s="68"/>
      <c r="I37" s="71">
        <v>0</v>
      </c>
    </row>
    <row r="38" spans="1:9" s="109" customFormat="1" x14ac:dyDescent="0.2">
      <c r="G38" s="59"/>
      <c r="H38" s="59"/>
      <c r="I38" s="60"/>
    </row>
    <row r="39" spans="1:9" s="137" customFormat="1" x14ac:dyDescent="0.2">
      <c r="B39" s="137" t="s">
        <v>75</v>
      </c>
    </row>
    <row r="40" spans="1:9" x14ac:dyDescent="0.2">
      <c r="A40" s="109"/>
      <c r="B40" s="100" t="s">
        <v>138</v>
      </c>
      <c r="D40" s="96" t="s">
        <v>28</v>
      </c>
      <c r="G40" s="66">
        <v>728866.93997509545</v>
      </c>
      <c r="H40" s="68"/>
      <c r="I40" s="68"/>
    </row>
    <row r="41" spans="1:9" x14ac:dyDescent="0.2">
      <c r="A41" s="109"/>
      <c r="B41" s="100" t="s">
        <v>139</v>
      </c>
      <c r="D41" s="96" t="s">
        <v>28</v>
      </c>
      <c r="G41" s="66">
        <v>1063450.9016206411</v>
      </c>
      <c r="H41" s="68"/>
      <c r="I41" s="68"/>
    </row>
    <row r="42" spans="1:9" x14ac:dyDescent="0.2">
      <c r="A42" s="109"/>
      <c r="B42" s="100" t="s">
        <v>140</v>
      </c>
      <c r="D42" s="96" t="s">
        <v>28</v>
      </c>
      <c r="G42" s="66">
        <v>33759.228633865401</v>
      </c>
      <c r="H42" s="68"/>
      <c r="I42" s="68"/>
    </row>
    <row r="43" spans="1:9" x14ac:dyDescent="0.2">
      <c r="A43" s="109"/>
      <c r="B43" s="100" t="s">
        <v>141</v>
      </c>
      <c r="D43" s="96" t="s">
        <v>28</v>
      </c>
      <c r="G43" s="68"/>
      <c r="H43" s="68"/>
      <c r="I43" s="68"/>
    </row>
    <row r="44" spans="1:9" x14ac:dyDescent="0.2">
      <c r="A44" s="109"/>
      <c r="B44" s="100" t="s">
        <v>142</v>
      </c>
      <c r="D44" s="96" t="s">
        <v>28</v>
      </c>
      <c r="G44" s="68"/>
      <c r="H44" s="68"/>
      <c r="I44" s="68"/>
    </row>
    <row r="45" spans="1:9" x14ac:dyDescent="0.2">
      <c r="A45" s="109"/>
      <c r="B45" s="100" t="s">
        <v>144</v>
      </c>
      <c r="D45" s="96" t="s">
        <v>28</v>
      </c>
      <c r="G45" s="68"/>
      <c r="H45" s="68"/>
      <c r="I45" s="66">
        <v>0</v>
      </c>
    </row>
    <row r="46" spans="1:9" x14ac:dyDescent="0.2">
      <c r="A46" s="109"/>
      <c r="B46" s="103" t="s">
        <v>69</v>
      </c>
      <c r="D46" s="96" t="s">
        <v>28</v>
      </c>
      <c r="G46" s="69">
        <f>SUM(G40:G45)</f>
        <v>1826077.070229602</v>
      </c>
      <c r="H46" s="68"/>
      <c r="I46" s="70">
        <f>SUM(I40:I45)</f>
        <v>0</v>
      </c>
    </row>
    <row r="47" spans="1:9" x14ac:dyDescent="0.2">
      <c r="A47" s="109"/>
      <c r="B47" s="106" t="s">
        <v>67</v>
      </c>
      <c r="D47" s="96" t="s">
        <v>28</v>
      </c>
      <c r="G47" s="66">
        <v>0</v>
      </c>
      <c r="H47" s="68"/>
      <c r="I47" s="71">
        <v>0</v>
      </c>
    </row>
    <row r="48" spans="1:9" x14ac:dyDescent="0.2">
      <c r="A48" s="109"/>
      <c r="G48" s="59"/>
      <c r="H48" s="59"/>
      <c r="I48" s="60"/>
    </row>
    <row r="49" spans="1:11" s="137" customFormat="1" x14ac:dyDescent="0.2">
      <c r="B49" s="137" t="s">
        <v>76</v>
      </c>
    </row>
    <row r="50" spans="1:11" x14ac:dyDescent="0.2">
      <c r="A50" s="109"/>
      <c r="B50" s="100" t="s">
        <v>138</v>
      </c>
      <c r="D50" s="96" t="s">
        <v>28</v>
      </c>
      <c r="G50" s="66">
        <v>50694.813574914791</v>
      </c>
      <c r="H50" s="68"/>
      <c r="I50" s="68"/>
      <c r="K50" s="113"/>
    </row>
    <row r="51" spans="1:11" x14ac:dyDescent="0.2">
      <c r="A51" s="109"/>
      <c r="B51" s="100" t="s">
        <v>139</v>
      </c>
      <c r="D51" s="96" t="s">
        <v>28</v>
      </c>
      <c r="G51" s="66">
        <v>73966.1003222008</v>
      </c>
      <c r="H51" s="68"/>
      <c r="I51" s="68"/>
      <c r="J51" s="98"/>
      <c r="K51" s="113"/>
    </row>
    <row r="52" spans="1:11" x14ac:dyDescent="0.2">
      <c r="A52" s="109"/>
      <c r="B52" s="100" t="s">
        <v>140</v>
      </c>
      <c r="D52" s="96" t="s">
        <v>28</v>
      </c>
      <c r="G52" s="66">
        <v>2348.0524471108729</v>
      </c>
      <c r="H52" s="68"/>
      <c r="I52" s="68"/>
      <c r="K52" s="113"/>
    </row>
    <row r="53" spans="1:11" x14ac:dyDescent="0.2">
      <c r="A53" s="109"/>
      <c r="B53" s="100" t="s">
        <v>141</v>
      </c>
      <c r="D53" s="96" t="s">
        <v>28</v>
      </c>
      <c r="G53" s="68"/>
      <c r="H53" s="68"/>
      <c r="I53" s="68"/>
    </row>
    <row r="54" spans="1:11" x14ac:dyDescent="0.2">
      <c r="A54" s="109"/>
      <c r="B54" s="100" t="s">
        <v>142</v>
      </c>
      <c r="D54" s="96" t="s">
        <v>28</v>
      </c>
      <c r="G54" s="68"/>
      <c r="H54" s="68"/>
      <c r="I54" s="68"/>
    </row>
    <row r="55" spans="1:11" x14ac:dyDescent="0.2">
      <c r="A55" s="109"/>
      <c r="B55" s="100" t="s">
        <v>144</v>
      </c>
      <c r="D55" s="96" t="s">
        <v>28</v>
      </c>
      <c r="G55" s="68"/>
      <c r="H55" s="68"/>
      <c r="I55" s="66">
        <v>0</v>
      </c>
    </row>
    <row r="56" spans="1:11" x14ac:dyDescent="0.2">
      <c r="A56" s="109"/>
      <c r="B56" s="103" t="s">
        <v>70</v>
      </c>
      <c r="D56" s="96" t="s">
        <v>28</v>
      </c>
      <c r="G56" s="69">
        <f>SUM(G50:G55)</f>
        <v>127008.96634422647</v>
      </c>
      <c r="H56" s="68"/>
      <c r="I56" s="11"/>
    </row>
    <row r="57" spans="1:11" x14ac:dyDescent="0.2">
      <c r="A57" s="109"/>
      <c r="B57" s="106" t="s">
        <v>65</v>
      </c>
      <c r="D57" s="96" t="s">
        <v>28</v>
      </c>
      <c r="G57" s="66">
        <v>62765.960400000004</v>
      </c>
      <c r="H57" s="68"/>
      <c r="I57" s="71">
        <v>0</v>
      </c>
    </row>
    <row r="58" spans="1:11" x14ac:dyDescent="0.2">
      <c r="A58" s="109"/>
      <c r="G58" s="72"/>
      <c r="H58" s="11"/>
      <c r="I58" s="11"/>
    </row>
    <row r="59" spans="1:11" s="137" customFormat="1" x14ac:dyDescent="0.2">
      <c r="B59" s="137" t="s">
        <v>77</v>
      </c>
    </row>
    <row r="60" spans="1:11" x14ac:dyDescent="0.2">
      <c r="A60" s="109"/>
      <c r="B60" s="100" t="s">
        <v>138</v>
      </c>
      <c r="D60" s="96" t="s">
        <v>28</v>
      </c>
      <c r="G60" s="66">
        <v>40726647.886087351</v>
      </c>
      <c r="H60" s="68"/>
      <c r="I60" s="68"/>
      <c r="K60" s="113"/>
    </row>
    <row r="61" spans="1:11" x14ac:dyDescent="0.2">
      <c r="A61" s="109"/>
      <c r="B61" s="100" t="s">
        <v>139</v>
      </c>
      <c r="D61" s="96" t="s">
        <v>28</v>
      </c>
      <c r="G61" s="66">
        <v>59422081.094700105</v>
      </c>
      <c r="H61" s="68"/>
      <c r="I61" s="68"/>
      <c r="K61" s="113"/>
    </row>
    <row r="62" spans="1:11" x14ac:dyDescent="0.2">
      <c r="A62" s="109"/>
      <c r="B62" s="100" t="s">
        <v>140</v>
      </c>
      <c r="D62" s="96" t="s">
        <v>28</v>
      </c>
      <c r="G62" s="66">
        <v>1886352.8335149018</v>
      </c>
      <c r="H62" s="68"/>
      <c r="I62" s="68"/>
      <c r="K62" s="113"/>
    </row>
    <row r="63" spans="1:11" x14ac:dyDescent="0.2">
      <c r="A63" s="109"/>
      <c r="B63" s="100" t="s">
        <v>141</v>
      </c>
      <c r="D63" s="96" t="s">
        <v>28</v>
      </c>
      <c r="G63" s="68"/>
      <c r="H63" s="68"/>
      <c r="I63" s="68"/>
    </row>
    <row r="64" spans="1:11" x14ac:dyDescent="0.2">
      <c r="A64" s="109"/>
      <c r="B64" s="100" t="s">
        <v>142</v>
      </c>
      <c r="D64" s="96" t="s">
        <v>28</v>
      </c>
      <c r="G64" s="68"/>
      <c r="H64" s="68"/>
      <c r="I64" s="68"/>
    </row>
    <row r="65" spans="1:10" x14ac:dyDescent="0.2">
      <c r="A65" s="109"/>
      <c r="B65" s="100" t="s">
        <v>144</v>
      </c>
      <c r="D65" s="96" t="s">
        <v>28</v>
      </c>
      <c r="G65" s="68"/>
      <c r="H65" s="68"/>
      <c r="I65" s="66">
        <v>22726448.748028513</v>
      </c>
    </row>
    <row r="66" spans="1:10" x14ac:dyDescent="0.2">
      <c r="A66" s="109"/>
      <c r="B66" s="103" t="s">
        <v>71</v>
      </c>
      <c r="D66" s="96" t="s">
        <v>28</v>
      </c>
      <c r="G66" s="69">
        <f>SUM(G60:G65)</f>
        <v>102035081.81430236</v>
      </c>
      <c r="H66" s="68"/>
      <c r="I66" s="70">
        <f>SUM(I60:I65)</f>
        <v>22726448.748028513</v>
      </c>
    </row>
    <row r="67" spans="1:10" x14ac:dyDescent="0.2">
      <c r="A67" s="109"/>
      <c r="B67" s="106" t="s">
        <v>65</v>
      </c>
      <c r="D67" s="96" t="s">
        <v>28</v>
      </c>
      <c r="G67" s="66">
        <v>80534428.57193251</v>
      </c>
      <c r="H67" s="68"/>
      <c r="I67" s="71">
        <v>11795913.614561621</v>
      </c>
    </row>
    <row r="68" spans="1:10" x14ac:dyDescent="0.2">
      <c r="A68" s="109"/>
      <c r="G68" s="114"/>
      <c r="H68" s="112"/>
      <c r="I68" s="114"/>
    </row>
    <row r="69" spans="1:10" x14ac:dyDescent="0.2">
      <c r="A69" s="109"/>
      <c r="B69" s="99" t="s">
        <v>63</v>
      </c>
      <c r="G69" s="115"/>
      <c r="H69" s="115"/>
      <c r="I69" s="115"/>
      <c r="J69" s="98"/>
    </row>
    <row r="70" spans="1:10" x14ac:dyDescent="0.2">
      <c r="A70" s="109"/>
      <c r="B70" s="106" t="s">
        <v>65</v>
      </c>
      <c r="G70" s="104">
        <f>G17+G27+G37+G47+G57+G67</f>
        <v>996926128.6728245</v>
      </c>
      <c r="H70" s="102"/>
      <c r="I70" s="104">
        <f>I17+I27+I37+I47+I57+I67</f>
        <v>96101817.282012984</v>
      </c>
      <c r="J70" s="121">
        <f>I70+G70</f>
        <v>1093027945.9548376</v>
      </c>
    </row>
    <row r="71" spans="1:10" x14ac:dyDescent="0.2">
      <c r="A71" s="109"/>
      <c r="B71" s="100" t="s">
        <v>133</v>
      </c>
      <c r="G71" s="135">
        <v>46183971.476779006</v>
      </c>
      <c r="H71" s="102"/>
      <c r="I71" s="135">
        <v>2383467.6323480625</v>
      </c>
    </row>
    <row r="72" spans="1:10" x14ac:dyDescent="0.2">
      <c r="A72" s="109"/>
      <c r="B72" s="100" t="s">
        <v>134</v>
      </c>
      <c r="G72" s="162">
        <f>'Berekening volumegroei ''12-''13'!G15</f>
        <v>26168897.683692083</v>
      </c>
      <c r="H72" s="102"/>
      <c r="I72" s="162">
        <f>'Berekening volumegroei ''12-''13'!I15</f>
        <v>88505.860348803923</v>
      </c>
    </row>
    <row r="73" spans="1:10" s="109" customFormat="1" x14ac:dyDescent="0.2">
      <c r="B73" s="108"/>
      <c r="G73" s="97"/>
      <c r="H73" s="97"/>
      <c r="I73" s="97"/>
      <c r="J73" s="118"/>
    </row>
    <row r="74" spans="1:10" x14ac:dyDescent="0.2">
      <c r="G74" s="112"/>
      <c r="H74" s="112"/>
      <c r="I74" s="112"/>
    </row>
  </sheetData>
  <pageMargins left="0.75" right="0.75" top="1" bottom="1" header="0.5" footer="0.5"/>
  <pageSetup paperSize="9" scale="3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tabColor indexed="42"/>
  </sheetPr>
  <dimension ref="B1:V49"/>
  <sheetViews>
    <sheetView showGridLines="0" zoomScale="70" zoomScaleNormal="70" zoomScaleSheetLayoutView="70" workbookViewId="0">
      <pane xSplit="6" ySplit="3" topLeftCell="G100" activePane="bottomRight" state="frozen"/>
      <selection activeCell="A2" sqref="A2:XFD2"/>
      <selection pane="topRight" activeCell="A2" sqref="A2:XFD2"/>
      <selection pane="bottomLeft" activeCell="A2" sqref="A2:XFD2"/>
      <selection pane="bottomRight"/>
    </sheetView>
  </sheetViews>
  <sheetFormatPr defaultRowHeight="12.75" x14ac:dyDescent="0.2"/>
  <cols>
    <col min="1" max="1" width="3.7109375" style="12" customWidth="1"/>
    <col min="2" max="2" width="34.140625" style="12" customWidth="1"/>
    <col min="3" max="3" width="2.42578125" style="12" customWidth="1"/>
    <col min="4" max="4" width="5.140625" style="12" bestFit="1" customWidth="1"/>
    <col min="5" max="5" width="10" style="12" customWidth="1"/>
    <col min="6" max="6" width="6.140625" style="12" bestFit="1" customWidth="1"/>
    <col min="7" max="21" width="12" style="12" customWidth="1"/>
    <col min="22" max="54" width="12.28515625" style="12" customWidth="1"/>
    <col min="55" max="16384" width="9.140625" style="12"/>
  </cols>
  <sheetData>
    <row r="1" spans="2:6" s="2" customFormat="1" ht="12" customHeight="1" x14ac:dyDescent="0.2"/>
    <row r="2" spans="2:6" s="136" customFormat="1" ht="15" customHeight="1" x14ac:dyDescent="0.2">
      <c r="B2" s="136" t="s">
        <v>29</v>
      </c>
    </row>
    <row r="3" spans="2:6" s="10" customFormat="1" ht="12" customHeight="1" x14ac:dyDescent="0.2"/>
    <row r="5" spans="2:6" s="137" customFormat="1" x14ac:dyDescent="0.2">
      <c r="B5" s="137" t="s">
        <v>38</v>
      </c>
    </row>
    <row r="7" spans="2:6" s="10" customFormat="1" x14ac:dyDescent="0.2">
      <c r="B7" s="21" t="s">
        <v>39</v>
      </c>
    </row>
    <row r="8" spans="2:6" s="10" customFormat="1" x14ac:dyDescent="0.2">
      <c r="B8" s="21"/>
      <c r="D8" s="10">
        <v>2001</v>
      </c>
      <c r="F8" s="84">
        <v>2.5</v>
      </c>
    </row>
    <row r="9" spans="2:6" s="10" customFormat="1" x14ac:dyDescent="0.2">
      <c r="B9" s="21"/>
      <c r="D9" s="10">
        <v>2002</v>
      </c>
      <c r="F9" s="84">
        <v>4.7</v>
      </c>
    </row>
    <row r="10" spans="2:6" s="10" customFormat="1" x14ac:dyDescent="0.2">
      <c r="B10" s="21"/>
      <c r="D10" s="10">
        <v>2003</v>
      </c>
      <c r="F10" s="84">
        <v>3.3</v>
      </c>
    </row>
    <row r="11" spans="2:6" s="10" customFormat="1" x14ac:dyDescent="0.2">
      <c r="B11" s="21"/>
      <c r="D11" s="10">
        <v>2004</v>
      </c>
      <c r="F11" s="84">
        <v>2.1</v>
      </c>
    </row>
    <row r="12" spans="2:6" s="10" customFormat="1" x14ac:dyDescent="0.2">
      <c r="B12" s="21"/>
      <c r="D12" s="10">
        <v>2005</v>
      </c>
      <c r="F12" s="84">
        <v>1.1000000000000001</v>
      </c>
    </row>
    <row r="13" spans="2:6" s="10" customFormat="1" x14ac:dyDescent="0.2">
      <c r="B13" s="21"/>
      <c r="D13" s="10">
        <v>2006</v>
      </c>
      <c r="F13" s="84">
        <v>1.8</v>
      </c>
    </row>
    <row r="14" spans="2:6" s="10" customFormat="1" x14ac:dyDescent="0.2">
      <c r="B14" s="21"/>
      <c r="D14" s="10">
        <v>2007</v>
      </c>
      <c r="F14" s="84">
        <v>1.4</v>
      </c>
    </row>
    <row r="15" spans="2:6" s="10" customFormat="1" x14ac:dyDescent="0.2">
      <c r="B15" s="21"/>
      <c r="D15" s="10">
        <v>2008</v>
      </c>
      <c r="F15" s="84">
        <v>1.1000000000000001</v>
      </c>
    </row>
    <row r="16" spans="2:6" s="10" customFormat="1" x14ac:dyDescent="0.2">
      <c r="B16" s="21"/>
      <c r="D16" s="10">
        <v>2009</v>
      </c>
      <c r="F16" s="84">
        <v>3.2</v>
      </c>
    </row>
    <row r="17" spans="2:22" s="10" customFormat="1" x14ac:dyDescent="0.2">
      <c r="B17" s="21"/>
      <c r="D17" s="10">
        <v>2010</v>
      </c>
      <c r="F17" s="84">
        <v>0.3</v>
      </c>
    </row>
    <row r="18" spans="2:22" s="10" customFormat="1" x14ac:dyDescent="0.2">
      <c r="B18" s="21"/>
      <c r="D18" s="10">
        <v>2011</v>
      </c>
      <c r="F18" s="84">
        <v>1.5</v>
      </c>
    </row>
    <row r="19" spans="2:22" s="10" customFormat="1" x14ac:dyDescent="0.2">
      <c r="B19" s="21"/>
      <c r="D19" s="10">
        <v>2012</v>
      </c>
      <c r="F19" s="84">
        <v>2.6</v>
      </c>
    </row>
    <row r="20" spans="2:22" s="10" customFormat="1" x14ac:dyDescent="0.2">
      <c r="B20" s="21"/>
      <c r="D20" s="11">
        <v>2013</v>
      </c>
      <c r="F20" s="84">
        <v>2.2999999999999998</v>
      </c>
    </row>
    <row r="21" spans="2:22" s="6" customFormat="1" x14ac:dyDescent="0.2">
      <c r="B21" s="21"/>
      <c r="C21" s="10"/>
      <c r="D21" s="11">
        <v>2014</v>
      </c>
      <c r="E21" s="10"/>
      <c r="F21" s="85">
        <v>2</v>
      </c>
    </row>
    <row r="22" spans="2:22" s="6" customFormat="1" x14ac:dyDescent="0.2">
      <c r="B22" s="21"/>
      <c r="C22" s="10"/>
      <c r="D22" s="11">
        <v>2015</v>
      </c>
      <c r="E22" s="10"/>
      <c r="F22" s="85">
        <v>2</v>
      </c>
    </row>
    <row r="23" spans="2:22" s="6" customFormat="1" x14ac:dyDescent="0.2">
      <c r="B23" s="21"/>
      <c r="C23" s="10"/>
      <c r="D23" s="11">
        <v>2016</v>
      </c>
      <c r="E23" s="10"/>
      <c r="F23" s="85">
        <v>2</v>
      </c>
    </row>
    <row r="24" spans="2:22" s="6" customFormat="1" x14ac:dyDescent="0.2">
      <c r="B24" s="21"/>
      <c r="C24" s="10"/>
      <c r="D24" s="11">
        <v>2017</v>
      </c>
      <c r="E24" s="10"/>
      <c r="F24" s="85">
        <v>2</v>
      </c>
    </row>
    <row r="25" spans="2:22" s="6" customFormat="1" x14ac:dyDescent="0.2">
      <c r="B25" s="21"/>
      <c r="C25" s="10"/>
      <c r="D25" s="10">
        <v>2018</v>
      </c>
      <c r="E25" s="10"/>
      <c r="F25" s="85">
        <v>2</v>
      </c>
    </row>
    <row r="26" spans="2:22" s="10" customFormat="1" x14ac:dyDescent="0.2">
      <c r="B26" s="21"/>
    </row>
    <row r="27" spans="2:22" s="10" customFormat="1" x14ac:dyDescent="0.2">
      <c r="B27" s="21"/>
      <c r="G27" s="22"/>
      <c r="H27" s="22"/>
      <c r="I27" s="22"/>
      <c r="J27" s="22"/>
      <c r="K27" s="22"/>
      <c r="L27" s="22"/>
      <c r="M27" s="22"/>
      <c r="N27" s="22"/>
      <c r="O27" s="22"/>
      <c r="P27" s="22"/>
      <c r="Q27" s="22"/>
      <c r="R27" s="22"/>
      <c r="S27" s="22"/>
      <c r="T27" s="22"/>
      <c r="U27" s="22"/>
      <c r="V27" s="22"/>
    </row>
    <row r="28" spans="2:22" s="137" customFormat="1" x14ac:dyDescent="0.2">
      <c r="B28" s="137" t="s">
        <v>40</v>
      </c>
    </row>
    <row r="29" spans="2:22" s="10" customFormat="1" x14ac:dyDescent="0.2">
      <c r="B29" s="21"/>
    </row>
    <row r="30" spans="2:22" s="6" customFormat="1" x14ac:dyDescent="0.2">
      <c r="B30" s="21" t="s">
        <v>1</v>
      </c>
    </row>
    <row r="31" spans="2:22" s="10" customFormat="1" x14ac:dyDescent="0.2">
      <c r="B31" s="6"/>
      <c r="C31" s="6"/>
      <c r="D31" s="8"/>
      <c r="E31" s="9"/>
      <c r="F31" s="10" t="s">
        <v>42</v>
      </c>
      <c r="H31" s="9"/>
      <c r="I31" s="9"/>
      <c r="J31" s="9"/>
      <c r="K31" s="9"/>
      <c r="L31" s="9"/>
      <c r="M31" s="9"/>
      <c r="N31" s="9"/>
      <c r="O31" s="9"/>
      <c r="P31" s="9"/>
      <c r="Q31" s="9"/>
      <c r="R31" s="9"/>
      <c r="S31" s="9"/>
    </row>
    <row r="32" spans="2:22" x14ac:dyDescent="0.2">
      <c r="B32" s="10"/>
      <c r="C32" s="10"/>
      <c r="D32" s="3" t="s">
        <v>41</v>
      </c>
      <c r="E32" s="6"/>
      <c r="F32" s="48" t="s">
        <v>0</v>
      </c>
      <c r="G32" s="13">
        <v>2001</v>
      </c>
      <c r="H32" s="13">
        <v>2002</v>
      </c>
      <c r="I32" s="13">
        <v>2003</v>
      </c>
      <c r="J32" s="13">
        <v>2004</v>
      </c>
      <c r="K32" s="13">
        <v>2005</v>
      </c>
      <c r="L32" s="13">
        <v>2006</v>
      </c>
      <c r="M32" s="13">
        <v>2007</v>
      </c>
      <c r="N32" s="13">
        <v>2008</v>
      </c>
      <c r="O32" s="13">
        <v>2009</v>
      </c>
      <c r="P32" s="13">
        <v>2010</v>
      </c>
      <c r="Q32" s="13">
        <v>2011</v>
      </c>
      <c r="R32" s="13">
        <v>2012</v>
      </c>
      <c r="S32" s="13">
        <v>2013</v>
      </c>
      <c r="T32" s="13">
        <v>2014</v>
      </c>
      <c r="U32" s="13">
        <v>2015</v>
      </c>
      <c r="V32" s="13">
        <v>2016</v>
      </c>
    </row>
    <row r="33" spans="2:22" x14ac:dyDescent="0.2">
      <c r="D33" s="14">
        <v>2000</v>
      </c>
      <c r="F33" s="15"/>
      <c r="G33" s="16">
        <f t="shared" ref="G33:V33" si="0">G34*$F34</f>
        <v>1.0249999999999999</v>
      </c>
      <c r="H33" s="16">
        <f t="shared" si="0"/>
        <v>1.0731749999999998</v>
      </c>
      <c r="I33" s="16">
        <f t="shared" si="0"/>
        <v>1.1085897749999998</v>
      </c>
      <c r="J33" s="16">
        <f t="shared" si="0"/>
        <v>1.1318701602749996</v>
      </c>
      <c r="K33" s="16">
        <f t="shared" si="0"/>
        <v>1.1443207320380246</v>
      </c>
      <c r="L33" s="16">
        <f t="shared" si="0"/>
        <v>1.1649185052147089</v>
      </c>
      <c r="M33" s="16">
        <f t="shared" si="0"/>
        <v>1.1812273642877147</v>
      </c>
      <c r="N33" s="16">
        <f t="shared" si="0"/>
        <v>1.1942208652948796</v>
      </c>
      <c r="O33" s="16">
        <f t="shared" si="0"/>
        <v>1.2324359329843158</v>
      </c>
      <c r="P33" s="16">
        <f t="shared" si="0"/>
        <v>1.2361332407832686</v>
      </c>
      <c r="Q33" s="16">
        <f t="shared" si="0"/>
        <v>1.2546752393950178</v>
      </c>
      <c r="R33" s="16">
        <f t="shared" si="0"/>
        <v>1.2872967956192884</v>
      </c>
      <c r="S33" s="16">
        <f t="shared" si="0"/>
        <v>1.3169046219185316</v>
      </c>
      <c r="T33" s="16">
        <f t="shared" si="0"/>
        <v>1.3432427143569019</v>
      </c>
      <c r="U33" s="16">
        <f t="shared" si="0"/>
        <v>1.3701075686440403</v>
      </c>
      <c r="V33" s="16">
        <f t="shared" si="0"/>
        <v>1.3975097200169211</v>
      </c>
    </row>
    <row r="34" spans="2:22" x14ac:dyDescent="0.2">
      <c r="D34" s="14">
        <v>2001</v>
      </c>
      <c r="F34" s="17">
        <f>1+F8/100</f>
        <v>1.0249999999999999</v>
      </c>
      <c r="G34" s="19">
        <v>1</v>
      </c>
      <c r="H34" s="16">
        <f t="shared" ref="H34:V34" si="1">H35*$F35</f>
        <v>1.0469999999999999</v>
      </c>
      <c r="I34" s="16">
        <f t="shared" si="1"/>
        <v>1.0815509999999999</v>
      </c>
      <c r="J34" s="16">
        <f t="shared" si="1"/>
        <v>1.1042635709999997</v>
      </c>
      <c r="K34" s="16">
        <f t="shared" si="1"/>
        <v>1.1164104702809998</v>
      </c>
      <c r="L34" s="16">
        <f t="shared" si="1"/>
        <v>1.1365058587460575</v>
      </c>
      <c r="M34" s="16">
        <f t="shared" si="1"/>
        <v>1.1524169407685023</v>
      </c>
      <c r="N34" s="16">
        <f t="shared" si="1"/>
        <v>1.1650935271169558</v>
      </c>
      <c r="O34" s="16">
        <f t="shared" si="1"/>
        <v>1.2023765199846983</v>
      </c>
      <c r="P34" s="16">
        <f t="shared" si="1"/>
        <v>1.2059836495446523</v>
      </c>
      <c r="Q34" s="16">
        <f t="shared" si="1"/>
        <v>1.2240734042878223</v>
      </c>
      <c r="R34" s="16">
        <f t="shared" si="1"/>
        <v>1.2558993127993059</v>
      </c>
      <c r="S34" s="16">
        <f t="shared" si="1"/>
        <v>1.2847849969936895</v>
      </c>
      <c r="T34" s="16">
        <f t="shared" si="1"/>
        <v>1.3104806969335629</v>
      </c>
      <c r="U34" s="16">
        <f t="shared" si="1"/>
        <v>1.3366903108722346</v>
      </c>
      <c r="V34" s="16">
        <f t="shared" si="1"/>
        <v>1.3634241170896793</v>
      </c>
    </row>
    <row r="35" spans="2:22" x14ac:dyDescent="0.2">
      <c r="D35" s="14">
        <v>2002</v>
      </c>
      <c r="F35" s="17">
        <f t="shared" ref="F35:F49" si="2">1+F9/100</f>
        <v>1.0469999999999999</v>
      </c>
      <c r="G35" s="15"/>
      <c r="H35" s="19">
        <v>1</v>
      </c>
      <c r="I35" s="16">
        <f t="shared" ref="I35:V35" si="3">I36*$F36</f>
        <v>1.0329999999999999</v>
      </c>
      <c r="J35" s="16">
        <f t="shared" si="3"/>
        <v>1.0546929999999999</v>
      </c>
      <c r="K35" s="16">
        <f t="shared" si="3"/>
        <v>1.0662946229999999</v>
      </c>
      <c r="L35" s="16">
        <f t="shared" si="3"/>
        <v>1.0854879262139996</v>
      </c>
      <c r="M35" s="16">
        <f t="shared" si="3"/>
        <v>1.1006847571809957</v>
      </c>
      <c r="N35" s="16">
        <f t="shared" si="3"/>
        <v>1.1127922895099864</v>
      </c>
      <c r="O35" s="16">
        <f t="shared" si="3"/>
        <v>1.148401642774306</v>
      </c>
      <c r="P35" s="16">
        <f t="shared" si="3"/>
        <v>1.1518468477026289</v>
      </c>
      <c r="Q35" s="16">
        <f t="shared" si="3"/>
        <v>1.1691245504181684</v>
      </c>
      <c r="R35" s="16">
        <f t="shared" si="3"/>
        <v>1.199521788729041</v>
      </c>
      <c r="S35" s="16">
        <f t="shared" si="3"/>
        <v>1.2271107898698086</v>
      </c>
      <c r="T35" s="16">
        <f t="shared" si="3"/>
        <v>1.2516530056672044</v>
      </c>
      <c r="U35" s="16">
        <f t="shared" si="3"/>
        <v>1.2766860657805488</v>
      </c>
      <c r="V35" s="16">
        <f t="shared" si="3"/>
        <v>1.3022197870961598</v>
      </c>
    </row>
    <row r="36" spans="2:22" x14ac:dyDescent="0.2">
      <c r="D36" s="14">
        <v>2003</v>
      </c>
      <c r="F36" s="17">
        <f t="shared" si="2"/>
        <v>1.0329999999999999</v>
      </c>
      <c r="G36" s="15"/>
      <c r="H36" s="15"/>
      <c r="I36" s="19">
        <v>1</v>
      </c>
      <c r="J36" s="16">
        <f t="shared" ref="J36:V36" si="4">J37*$F37</f>
        <v>1.0209999999999999</v>
      </c>
      <c r="K36" s="16">
        <f t="shared" si="4"/>
        <v>1.0322309999999999</v>
      </c>
      <c r="L36" s="16">
        <f t="shared" si="4"/>
        <v>1.0508111579999997</v>
      </c>
      <c r="M36" s="16">
        <f t="shared" si="4"/>
        <v>1.0655225142119997</v>
      </c>
      <c r="N36" s="16">
        <f t="shared" si="4"/>
        <v>1.0772432618683316</v>
      </c>
      <c r="O36" s="16">
        <f t="shared" si="4"/>
        <v>1.1117150462481182</v>
      </c>
      <c r="P36" s="16">
        <f t="shared" si="4"/>
        <v>1.1150501913868625</v>
      </c>
      <c r="Q36" s="16">
        <f t="shared" si="4"/>
        <v>1.1317759442576656</v>
      </c>
      <c r="R36" s="16">
        <f t="shared" si="4"/>
        <v>1.161202118808365</v>
      </c>
      <c r="S36" s="16">
        <f t="shared" si="4"/>
        <v>1.1879097675409571</v>
      </c>
      <c r="T36" s="16">
        <f t="shared" si="4"/>
        <v>1.2116679628917759</v>
      </c>
      <c r="U36" s="16">
        <f t="shared" si="4"/>
        <v>1.2359013221496118</v>
      </c>
      <c r="V36" s="16">
        <f t="shared" si="4"/>
        <v>1.260619348592604</v>
      </c>
    </row>
    <row r="37" spans="2:22" x14ac:dyDescent="0.2">
      <c r="D37" s="14">
        <v>2004</v>
      </c>
      <c r="F37" s="17">
        <f t="shared" si="2"/>
        <v>1.0209999999999999</v>
      </c>
      <c r="G37" s="15"/>
      <c r="H37" s="15"/>
      <c r="I37" s="15"/>
      <c r="J37" s="19">
        <v>1</v>
      </c>
      <c r="K37" s="16">
        <f t="shared" ref="K37:V37" si="5">K38*$F38</f>
        <v>1.0109999999999999</v>
      </c>
      <c r="L37" s="16">
        <f t="shared" si="5"/>
        <v>1.0291979999999998</v>
      </c>
      <c r="M37" s="16">
        <f t="shared" si="5"/>
        <v>1.0436067719999997</v>
      </c>
      <c r="N37" s="16">
        <f t="shared" si="5"/>
        <v>1.0550864464919998</v>
      </c>
      <c r="O37" s="16">
        <f t="shared" si="5"/>
        <v>1.0888492127797438</v>
      </c>
      <c r="P37" s="16">
        <f t="shared" si="5"/>
        <v>1.0921157604180829</v>
      </c>
      <c r="Q37" s="16">
        <f t="shared" si="5"/>
        <v>1.1084974968243542</v>
      </c>
      <c r="R37" s="16">
        <f t="shared" si="5"/>
        <v>1.1373184317417875</v>
      </c>
      <c r="S37" s="16">
        <f t="shared" si="5"/>
        <v>1.1634767556718484</v>
      </c>
      <c r="T37" s="16">
        <f t="shared" si="5"/>
        <v>1.186746290785285</v>
      </c>
      <c r="U37" s="16">
        <f t="shared" si="5"/>
        <v>1.2104812166009911</v>
      </c>
      <c r="V37" s="16">
        <f t="shared" si="5"/>
        <v>1.2346908409330108</v>
      </c>
    </row>
    <row r="38" spans="2:22" x14ac:dyDescent="0.2">
      <c r="D38" s="14">
        <v>2005</v>
      </c>
      <c r="F38" s="17">
        <f t="shared" si="2"/>
        <v>1.0109999999999999</v>
      </c>
      <c r="G38" s="15"/>
      <c r="H38" s="15"/>
      <c r="I38" s="15"/>
      <c r="J38" s="15"/>
      <c r="K38" s="19">
        <v>1</v>
      </c>
      <c r="L38" s="16">
        <f t="shared" ref="L38:V38" si="6">L39*$F39</f>
        <v>1.018</v>
      </c>
      <c r="M38" s="16">
        <f t="shared" si="6"/>
        <v>1.0322519999999999</v>
      </c>
      <c r="N38" s="16">
        <f t="shared" si="6"/>
        <v>1.043606772</v>
      </c>
      <c r="O38" s="16">
        <f t="shared" si="6"/>
        <v>1.077002188704</v>
      </c>
      <c r="P38" s="16">
        <f t="shared" si="6"/>
        <v>1.0802331952701119</v>
      </c>
      <c r="Q38" s="16">
        <f t="shared" si="6"/>
        <v>1.0964366931991634</v>
      </c>
      <c r="R38" s="16">
        <f t="shared" si="6"/>
        <v>1.1249440472223418</v>
      </c>
      <c r="S38" s="16">
        <f t="shared" si="6"/>
        <v>1.1508177603084555</v>
      </c>
      <c r="T38" s="16">
        <f t="shared" si="6"/>
        <v>1.1738341155146244</v>
      </c>
      <c r="U38" s="16">
        <f t="shared" si="6"/>
        <v>1.1973107978249171</v>
      </c>
      <c r="V38" s="16">
        <f t="shared" si="6"/>
        <v>1.2212570137814154</v>
      </c>
    </row>
    <row r="39" spans="2:22" x14ac:dyDescent="0.2">
      <c r="D39" s="14">
        <v>2006</v>
      </c>
      <c r="F39" s="17">
        <f t="shared" si="2"/>
        <v>1.018</v>
      </c>
      <c r="G39" s="15"/>
      <c r="H39" s="15"/>
      <c r="I39" s="15"/>
      <c r="J39" s="15"/>
      <c r="K39" s="15"/>
      <c r="L39" s="19">
        <v>1</v>
      </c>
      <c r="M39" s="16">
        <f t="shared" ref="M39:V39" si="7">M40*$F40</f>
        <v>1.014</v>
      </c>
      <c r="N39" s="16">
        <f t="shared" si="7"/>
        <v>1.0251539999999999</v>
      </c>
      <c r="O39" s="16">
        <f t="shared" si="7"/>
        <v>1.0579589279999999</v>
      </c>
      <c r="P39" s="16">
        <f t="shared" si="7"/>
        <v>1.0611328047839999</v>
      </c>
      <c r="Q39" s="16">
        <f t="shared" si="7"/>
        <v>1.0770497968557597</v>
      </c>
      <c r="R39" s="16">
        <f t="shared" si="7"/>
        <v>1.1050530915740095</v>
      </c>
      <c r="S39" s="16">
        <f t="shared" si="7"/>
        <v>1.1304693126802117</v>
      </c>
      <c r="T39" s="16">
        <f t="shared" si="7"/>
        <v>1.1530786989338158</v>
      </c>
      <c r="U39" s="16">
        <f t="shared" si="7"/>
        <v>1.1761402729124923</v>
      </c>
      <c r="V39" s="16">
        <f t="shared" si="7"/>
        <v>1.199663078370742</v>
      </c>
    </row>
    <row r="40" spans="2:22" x14ac:dyDescent="0.2">
      <c r="B40" s="14"/>
      <c r="C40" s="14"/>
      <c r="D40" s="14">
        <v>2007</v>
      </c>
      <c r="E40" s="14"/>
      <c r="F40" s="17">
        <f t="shared" si="2"/>
        <v>1.014</v>
      </c>
      <c r="G40" s="15"/>
      <c r="H40" s="15"/>
      <c r="I40" s="15"/>
      <c r="J40" s="15"/>
      <c r="K40" s="15"/>
      <c r="L40" s="15"/>
      <c r="M40" s="19">
        <v>1</v>
      </c>
      <c r="N40" s="16">
        <f t="shared" ref="N40:V40" si="8">N41*$F41</f>
        <v>1.0109999999999999</v>
      </c>
      <c r="O40" s="16">
        <f t="shared" si="8"/>
        <v>1.0433519999999998</v>
      </c>
      <c r="P40" s="16">
        <f t="shared" si="8"/>
        <v>1.0464820559999999</v>
      </c>
      <c r="Q40" s="16">
        <f t="shared" si="8"/>
        <v>1.0621792868399997</v>
      </c>
      <c r="R40" s="16">
        <f t="shared" si="8"/>
        <v>1.0897959482978399</v>
      </c>
      <c r="S40" s="16">
        <f t="shared" si="8"/>
        <v>1.1148612551086901</v>
      </c>
      <c r="T40" s="16">
        <f t="shared" si="8"/>
        <v>1.1371584802108636</v>
      </c>
      <c r="U40" s="16">
        <f t="shared" si="8"/>
        <v>1.1599016498150811</v>
      </c>
      <c r="V40" s="16">
        <f t="shared" si="8"/>
        <v>1.1830996828113827</v>
      </c>
    </row>
    <row r="41" spans="2:22" x14ac:dyDescent="0.2">
      <c r="B41" s="14"/>
      <c r="C41" s="14"/>
      <c r="D41" s="14">
        <v>2008</v>
      </c>
      <c r="E41" s="14"/>
      <c r="F41" s="17">
        <f t="shared" si="2"/>
        <v>1.0109999999999999</v>
      </c>
      <c r="G41" s="15"/>
      <c r="H41" s="15"/>
      <c r="I41" s="15"/>
      <c r="J41" s="15"/>
      <c r="K41" s="15"/>
      <c r="L41" s="15"/>
      <c r="M41" s="15"/>
      <c r="N41" s="19">
        <v>1</v>
      </c>
      <c r="O41" s="16">
        <f>O42*$F42</f>
        <v>1.032</v>
      </c>
      <c r="P41" s="16">
        <f t="shared" ref="P41:V41" si="9">P42*$F42</f>
        <v>1.035096</v>
      </c>
      <c r="Q41" s="16">
        <f t="shared" si="9"/>
        <v>1.0506224399999999</v>
      </c>
      <c r="R41" s="16">
        <f t="shared" si="9"/>
        <v>1.0779386234399999</v>
      </c>
      <c r="S41" s="16">
        <f t="shared" si="9"/>
        <v>1.1027312117791199</v>
      </c>
      <c r="T41" s="16">
        <f t="shared" si="9"/>
        <v>1.1247858360147021</v>
      </c>
      <c r="U41" s="16">
        <f t="shared" si="9"/>
        <v>1.1472815527349962</v>
      </c>
      <c r="V41" s="16">
        <f t="shared" si="9"/>
        <v>1.170227183789696</v>
      </c>
    </row>
    <row r="42" spans="2:22" x14ac:dyDescent="0.2">
      <c r="B42" s="14"/>
      <c r="C42" s="14"/>
      <c r="D42" s="14">
        <v>2009</v>
      </c>
      <c r="E42" s="14"/>
      <c r="F42" s="17">
        <f t="shared" si="2"/>
        <v>1.032</v>
      </c>
      <c r="G42" s="15"/>
      <c r="H42" s="15"/>
      <c r="I42" s="15"/>
      <c r="J42" s="15"/>
      <c r="K42" s="15"/>
      <c r="L42" s="15"/>
      <c r="M42" s="15"/>
      <c r="N42" s="15"/>
      <c r="O42" s="19">
        <v>1</v>
      </c>
      <c r="P42" s="16">
        <f t="shared" ref="P42:V42" si="10">P43*$F43</f>
        <v>1.0029999999999999</v>
      </c>
      <c r="Q42" s="16">
        <f t="shared" si="10"/>
        <v>1.0180449999999999</v>
      </c>
      <c r="R42" s="16">
        <f t="shared" si="10"/>
        <v>1.0445141699999998</v>
      </c>
      <c r="S42" s="16">
        <f t="shared" si="10"/>
        <v>1.0685379959099999</v>
      </c>
      <c r="T42" s="16">
        <f t="shared" si="10"/>
        <v>1.0899087558281997</v>
      </c>
      <c r="U42" s="16">
        <f t="shared" si="10"/>
        <v>1.1117069309447638</v>
      </c>
      <c r="V42" s="16">
        <f t="shared" si="10"/>
        <v>1.1339410695636589</v>
      </c>
    </row>
    <row r="43" spans="2:22" x14ac:dyDescent="0.2">
      <c r="B43" s="14"/>
      <c r="C43" s="14"/>
      <c r="D43" s="14">
        <v>2010</v>
      </c>
      <c r="E43" s="14"/>
      <c r="F43" s="17">
        <f t="shared" si="2"/>
        <v>1.0029999999999999</v>
      </c>
      <c r="G43" s="18"/>
      <c r="H43" s="18"/>
      <c r="I43" s="18"/>
      <c r="J43" s="18"/>
      <c r="K43" s="18"/>
      <c r="L43" s="18"/>
      <c r="M43" s="18"/>
      <c r="N43" s="18"/>
      <c r="O43" s="18"/>
      <c r="P43" s="20">
        <v>1</v>
      </c>
      <c r="Q43" s="16">
        <f t="shared" ref="Q43:V43" si="11">Q44*$F44</f>
        <v>1.0149999999999999</v>
      </c>
      <c r="R43" s="16">
        <f t="shared" si="11"/>
        <v>1.0413899999999998</v>
      </c>
      <c r="S43" s="16">
        <f t="shared" si="11"/>
        <v>1.06534197</v>
      </c>
      <c r="T43" s="16">
        <f t="shared" si="11"/>
        <v>1.0866488093999997</v>
      </c>
      <c r="U43" s="16">
        <f t="shared" si="11"/>
        <v>1.1083817855879998</v>
      </c>
      <c r="V43" s="16">
        <f t="shared" si="11"/>
        <v>1.1305494212997598</v>
      </c>
    </row>
    <row r="44" spans="2:22" x14ac:dyDescent="0.2">
      <c r="B44" s="14"/>
      <c r="C44" s="14"/>
      <c r="D44" s="14">
        <v>2011</v>
      </c>
      <c r="E44" s="14"/>
      <c r="F44" s="17">
        <f t="shared" si="2"/>
        <v>1.0149999999999999</v>
      </c>
      <c r="G44" s="18"/>
      <c r="H44" s="18"/>
      <c r="I44" s="18"/>
      <c r="J44" s="18"/>
      <c r="K44" s="18"/>
      <c r="L44" s="18"/>
      <c r="M44" s="18"/>
      <c r="N44" s="18"/>
      <c r="O44" s="18"/>
      <c r="P44" s="18"/>
      <c r="Q44" s="20">
        <v>1</v>
      </c>
      <c r="R44" s="16">
        <f>R45*$F45</f>
        <v>1.026</v>
      </c>
      <c r="S44" s="16">
        <f>S45*$F45</f>
        <v>1.049598</v>
      </c>
      <c r="T44" s="16">
        <f>T45*$F45</f>
        <v>1.07058996</v>
      </c>
      <c r="U44" s="16">
        <f>U45*$F45</f>
        <v>1.0920017592</v>
      </c>
      <c r="V44" s="16">
        <f>V45*$F45</f>
        <v>1.1138417943839998</v>
      </c>
    </row>
    <row r="45" spans="2:22" x14ac:dyDescent="0.2">
      <c r="B45" s="14"/>
      <c r="C45" s="14"/>
      <c r="D45" s="14">
        <v>2012</v>
      </c>
      <c r="E45" s="14"/>
      <c r="F45" s="17">
        <f t="shared" si="2"/>
        <v>1.026</v>
      </c>
      <c r="G45" s="18"/>
      <c r="H45" s="18"/>
      <c r="I45" s="18"/>
      <c r="J45" s="18"/>
      <c r="K45" s="18"/>
      <c r="L45" s="18"/>
      <c r="M45" s="18"/>
      <c r="N45" s="18"/>
      <c r="O45" s="18"/>
      <c r="P45" s="18"/>
      <c r="Q45" s="18"/>
      <c r="R45" s="20">
        <v>1</v>
      </c>
      <c r="S45" s="16">
        <f>S46*$F46</f>
        <v>1.0229999999999999</v>
      </c>
      <c r="T45" s="16">
        <f>T46*$F46</f>
        <v>1.0434599999999998</v>
      </c>
      <c r="U45" s="16">
        <f>U46*$F46</f>
        <v>1.0643292</v>
      </c>
      <c r="V45" s="16">
        <f>V46*$F46</f>
        <v>1.0856157839999998</v>
      </c>
    </row>
    <row r="46" spans="2:22" x14ac:dyDescent="0.2">
      <c r="B46" s="14"/>
      <c r="C46" s="14"/>
      <c r="D46" s="14">
        <v>2013</v>
      </c>
      <c r="E46" s="14"/>
      <c r="F46" s="17">
        <f t="shared" si="2"/>
        <v>1.0229999999999999</v>
      </c>
      <c r="G46" s="18"/>
      <c r="H46" s="18"/>
      <c r="I46" s="18"/>
      <c r="J46" s="18"/>
      <c r="K46" s="18"/>
      <c r="L46" s="18"/>
      <c r="M46" s="18"/>
      <c r="N46" s="18"/>
      <c r="O46" s="18"/>
      <c r="P46" s="18"/>
      <c r="Q46" s="18"/>
      <c r="R46" s="18"/>
      <c r="S46" s="20">
        <v>1</v>
      </c>
      <c r="T46" s="16">
        <f>T47*$F47</f>
        <v>1.02</v>
      </c>
      <c r="U46" s="16">
        <f>U47*$F47</f>
        <v>1.0404</v>
      </c>
      <c r="V46" s="16">
        <f>V47*$F47</f>
        <v>1.0612079999999999</v>
      </c>
    </row>
    <row r="47" spans="2:22" x14ac:dyDescent="0.2">
      <c r="B47" s="14"/>
      <c r="C47" s="14"/>
      <c r="D47" s="14">
        <v>2014</v>
      </c>
      <c r="E47" s="14"/>
      <c r="F47" s="17">
        <f t="shared" si="2"/>
        <v>1.02</v>
      </c>
      <c r="G47" s="18"/>
      <c r="H47" s="18"/>
      <c r="I47" s="18"/>
      <c r="J47" s="18"/>
      <c r="K47" s="18"/>
      <c r="L47" s="18"/>
      <c r="M47" s="18"/>
      <c r="N47" s="18"/>
      <c r="O47" s="18"/>
      <c r="P47" s="18"/>
      <c r="Q47" s="18"/>
      <c r="R47" s="18"/>
      <c r="S47" s="18"/>
      <c r="T47" s="20">
        <v>1</v>
      </c>
      <c r="U47" s="16">
        <f>U48*$F48</f>
        <v>1.02</v>
      </c>
      <c r="V47" s="16">
        <f>V48*$F48</f>
        <v>1.0404</v>
      </c>
    </row>
    <row r="48" spans="2:22" x14ac:dyDescent="0.2">
      <c r="B48" s="14"/>
      <c r="C48" s="14"/>
      <c r="D48" s="14">
        <v>2015</v>
      </c>
      <c r="E48" s="14"/>
      <c r="F48" s="17">
        <f t="shared" si="2"/>
        <v>1.02</v>
      </c>
      <c r="G48" s="18"/>
      <c r="H48" s="18"/>
      <c r="I48" s="18"/>
      <c r="J48" s="18"/>
      <c r="K48" s="18"/>
      <c r="L48" s="18"/>
      <c r="M48" s="18"/>
      <c r="N48" s="18"/>
      <c r="O48" s="18"/>
      <c r="P48" s="18"/>
      <c r="Q48" s="18"/>
      <c r="R48" s="18"/>
      <c r="S48" s="18"/>
      <c r="T48" s="18"/>
      <c r="U48" s="20">
        <v>1</v>
      </c>
      <c r="V48" s="16">
        <f>V49*$F49</f>
        <v>1.02</v>
      </c>
    </row>
    <row r="49" spans="2:22" x14ac:dyDescent="0.2">
      <c r="B49" s="14"/>
      <c r="C49" s="14"/>
      <c r="D49" s="14">
        <v>2016</v>
      </c>
      <c r="E49" s="14"/>
      <c r="F49" s="17">
        <f t="shared" si="2"/>
        <v>1.02</v>
      </c>
      <c r="G49" s="18"/>
      <c r="H49" s="18"/>
      <c r="I49" s="18"/>
      <c r="J49" s="18"/>
      <c r="K49" s="18"/>
      <c r="L49" s="18"/>
      <c r="M49" s="18"/>
      <c r="N49" s="18"/>
      <c r="O49" s="18"/>
      <c r="P49" s="18"/>
      <c r="Q49" s="18"/>
      <c r="R49" s="18"/>
      <c r="S49" s="18"/>
      <c r="T49" s="18"/>
      <c r="U49" s="18"/>
      <c r="V49" s="20">
        <v>1</v>
      </c>
    </row>
  </sheetData>
  <phoneticPr fontId="3" type="noConversion"/>
  <pageMargins left="0.75" right="0.75" top="1" bottom="1" header="0.5" footer="0.5"/>
  <pageSetup paperSize="9" scale="2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0" enableFormatConditionsCalculation="0">
    <tabColor indexed="43"/>
  </sheetPr>
  <dimension ref="A1:N106"/>
  <sheetViews>
    <sheetView showGridLines="0" zoomScale="70" zoomScaleNormal="70" zoomScaleSheetLayoutView="70" workbookViewId="0">
      <pane xSplit="4" ySplit="2" topLeftCell="F3" activePane="bottomRight" state="frozen"/>
      <selection sqref="A1:XFD1"/>
      <selection pane="topRight" sqref="A1:XFD1"/>
      <selection pane="bottomLeft" sqref="A1:XFD1"/>
      <selection pane="bottomRight"/>
    </sheetView>
  </sheetViews>
  <sheetFormatPr defaultRowHeight="12.75" x14ac:dyDescent="0.2"/>
  <cols>
    <col min="1" max="1" width="3.7109375" style="6" customWidth="1"/>
    <col min="2" max="2" width="104.85546875" style="6" customWidth="1"/>
    <col min="3" max="3" width="2.5703125" style="6" customWidth="1"/>
    <col min="4" max="4" width="12.5703125" style="6" bestFit="1" customWidth="1"/>
    <col min="5" max="5" width="2.5703125" style="6" customWidth="1"/>
    <col min="6" max="6" width="16.7109375" style="6" customWidth="1"/>
    <col min="7" max="9" width="21.42578125" style="6" customWidth="1"/>
    <col min="10" max="10" width="26.42578125" style="6" customWidth="1"/>
    <col min="11" max="11" width="21.42578125" style="6" customWidth="1"/>
    <col min="12" max="12" width="27.28515625" style="6" bestFit="1" customWidth="1"/>
    <col min="13" max="13" width="21.42578125" style="6" customWidth="1"/>
    <col min="14" max="14" width="20.42578125" style="157" customWidth="1"/>
    <col min="15" max="15" width="14.85546875" style="6" customWidth="1"/>
    <col min="16" max="16384" width="9.140625" style="6"/>
  </cols>
  <sheetData>
    <row r="1" spans="2:14" s="2" customFormat="1" ht="12" customHeight="1" x14ac:dyDescent="0.2">
      <c r="N1" s="154"/>
    </row>
    <row r="2" spans="2:14" s="136" customFormat="1" ht="15" customHeight="1" x14ac:dyDescent="0.2">
      <c r="B2" s="136" t="s">
        <v>15</v>
      </c>
      <c r="F2" s="136" t="s">
        <v>79</v>
      </c>
      <c r="G2" s="136" t="s">
        <v>80</v>
      </c>
      <c r="H2" s="139" t="s">
        <v>146</v>
      </c>
      <c r="I2" s="139" t="s">
        <v>147</v>
      </c>
      <c r="J2" s="139" t="s">
        <v>148</v>
      </c>
      <c r="K2" s="139" t="s">
        <v>149</v>
      </c>
      <c r="L2" s="139" t="s">
        <v>150</v>
      </c>
      <c r="N2" s="160" t="s">
        <v>153</v>
      </c>
    </row>
    <row r="3" spans="2:14" s="10" customFormat="1" ht="12" customHeight="1" x14ac:dyDescent="0.2">
      <c r="N3" s="155"/>
    </row>
    <row r="4" spans="2:14" s="10" customFormat="1" x14ac:dyDescent="0.2">
      <c r="B4" s="56" t="s">
        <v>105</v>
      </c>
      <c r="N4" s="155"/>
    </row>
    <row r="6" spans="2:14" s="137" customFormat="1" x14ac:dyDescent="0.2">
      <c r="B6" s="137" t="s">
        <v>43</v>
      </c>
      <c r="N6" s="156"/>
    </row>
    <row r="8" spans="2:14" s="10" customFormat="1" x14ac:dyDescent="0.2">
      <c r="B8" s="21" t="s">
        <v>40</v>
      </c>
      <c r="G8" s="10" t="s">
        <v>22</v>
      </c>
      <c r="N8" s="155"/>
    </row>
    <row r="9" spans="2:14" x14ac:dyDescent="0.2">
      <c r="B9" s="10"/>
      <c r="C9" s="10"/>
      <c r="D9" s="10" t="s">
        <v>41</v>
      </c>
      <c r="E9" s="4"/>
      <c r="F9" s="4"/>
      <c r="G9" s="5">
        <v>2010</v>
      </c>
      <c r="H9" s="5">
        <v>2011</v>
      </c>
      <c r="I9" s="5">
        <v>2012</v>
      </c>
      <c r="J9" s="5">
        <v>2013</v>
      </c>
      <c r="K9" s="5">
        <v>2014</v>
      </c>
      <c r="L9" s="5">
        <v>2015</v>
      </c>
      <c r="M9" s="5">
        <v>2016</v>
      </c>
    </row>
    <row r="10" spans="2:14" x14ac:dyDescent="0.2">
      <c r="D10" s="5">
        <v>2010</v>
      </c>
      <c r="G10" s="54"/>
      <c r="H10" s="50">
        <f>CPI!Q43</f>
        <v>1.0149999999999999</v>
      </c>
      <c r="I10" s="50">
        <f>CPI!R43</f>
        <v>1.0413899999999998</v>
      </c>
      <c r="J10" s="50">
        <f>CPI!S43</f>
        <v>1.06534197</v>
      </c>
      <c r="K10" s="50">
        <f>CPI!T43</f>
        <v>1.0866488093999997</v>
      </c>
      <c r="L10" s="50">
        <f>CPI!U43</f>
        <v>1.1083817855879998</v>
      </c>
      <c r="M10" s="50">
        <f>CPI!V43</f>
        <v>1.1305494212997598</v>
      </c>
    </row>
    <row r="11" spans="2:14" x14ac:dyDescent="0.2">
      <c r="D11" s="5">
        <v>2011</v>
      </c>
      <c r="G11" s="54"/>
      <c r="H11" s="54"/>
      <c r="I11" s="50">
        <f>CPI!R44</f>
        <v>1.026</v>
      </c>
      <c r="J11" s="50">
        <f>CPI!S44</f>
        <v>1.049598</v>
      </c>
      <c r="K11" s="50">
        <f>CPI!T44</f>
        <v>1.07058996</v>
      </c>
      <c r="L11" s="50">
        <f>CPI!U44</f>
        <v>1.0920017592</v>
      </c>
      <c r="M11" s="50">
        <f>CPI!V44</f>
        <v>1.1138417943839998</v>
      </c>
    </row>
    <row r="12" spans="2:14" x14ac:dyDescent="0.2">
      <c r="D12" s="5">
        <v>2012</v>
      </c>
      <c r="G12" s="54"/>
      <c r="H12" s="54"/>
      <c r="I12" s="54"/>
      <c r="J12" s="50">
        <f>CPI!S45</f>
        <v>1.0229999999999999</v>
      </c>
      <c r="K12" s="50">
        <f>CPI!T45</f>
        <v>1.0434599999999998</v>
      </c>
      <c r="L12" s="50">
        <f>CPI!U45</f>
        <v>1.0643292</v>
      </c>
      <c r="M12" s="50">
        <f>CPI!V45</f>
        <v>1.0856157839999998</v>
      </c>
    </row>
    <row r="13" spans="2:14" x14ac:dyDescent="0.2">
      <c r="D13" s="5">
        <v>2013</v>
      </c>
      <c r="G13" s="54"/>
      <c r="H13" s="54"/>
      <c r="I13" s="54"/>
      <c r="J13" s="54"/>
      <c r="K13" s="50">
        <f>CPI!T46</f>
        <v>1.02</v>
      </c>
      <c r="L13" s="50">
        <f>CPI!U46</f>
        <v>1.0404</v>
      </c>
      <c r="M13" s="50">
        <f>CPI!V46</f>
        <v>1.0612079999999999</v>
      </c>
    </row>
    <row r="14" spans="2:14" x14ac:dyDescent="0.2">
      <c r="D14" s="5">
        <v>2014</v>
      </c>
      <c r="G14" s="54"/>
      <c r="H14" s="54"/>
      <c r="I14" s="54"/>
      <c r="J14" s="54"/>
      <c r="K14" s="54"/>
      <c r="L14" s="50">
        <f>CPI!U47</f>
        <v>1.02</v>
      </c>
      <c r="M14" s="50">
        <f>CPI!V47</f>
        <v>1.0404</v>
      </c>
    </row>
    <row r="15" spans="2:14" x14ac:dyDescent="0.2">
      <c r="D15" s="5">
        <v>2015</v>
      </c>
      <c r="G15" s="54"/>
      <c r="H15" s="54"/>
      <c r="I15" s="54"/>
      <c r="J15" s="54"/>
      <c r="K15" s="54"/>
      <c r="L15" s="54"/>
      <c r="M15" s="50">
        <f>CPI!V48</f>
        <v>1.02</v>
      </c>
    </row>
    <row r="16" spans="2:14" x14ac:dyDescent="0.2">
      <c r="D16" s="5">
        <v>2016</v>
      </c>
      <c r="G16" s="54"/>
      <c r="H16" s="54"/>
      <c r="I16" s="54"/>
      <c r="J16" s="54"/>
      <c r="K16" s="54"/>
      <c r="L16" s="54"/>
      <c r="M16" s="54"/>
    </row>
    <row r="18" spans="1:14" s="137" customFormat="1" x14ac:dyDescent="0.2">
      <c r="B18" s="137" t="s">
        <v>24</v>
      </c>
      <c r="N18" s="156"/>
    </row>
    <row r="20" spans="1:14" s="10" customFormat="1" x14ac:dyDescent="0.2">
      <c r="B20" s="2" t="s">
        <v>129</v>
      </c>
      <c r="G20" s="31">
        <f>Parameters!F4</f>
        <v>3.5999999999999997E-2</v>
      </c>
      <c r="N20" s="155"/>
    </row>
    <row r="21" spans="1:14" s="10" customFormat="1" x14ac:dyDescent="0.2">
      <c r="B21" s="2" t="s">
        <v>187</v>
      </c>
      <c r="H21" s="194">
        <f>Parameters!G5</f>
        <v>0.91399999999999992</v>
      </c>
      <c r="I21" s="194">
        <f>Parameters!H5</f>
        <v>3.3000000000000002E-2</v>
      </c>
      <c r="J21" s="194">
        <f>Parameters!I5</f>
        <v>5.2999999999999999E-2</v>
      </c>
      <c r="N21" s="155"/>
    </row>
    <row r="22" spans="1:14" s="10" customFormat="1" x14ac:dyDescent="0.2">
      <c r="B22" s="2" t="s">
        <v>188</v>
      </c>
      <c r="H22" s="194">
        <f>Parameters!G6</f>
        <v>0.91399999999999992</v>
      </c>
      <c r="I22" s="194">
        <f>Parameters!H6</f>
        <v>3.3000000000000002E-2</v>
      </c>
      <c r="J22" s="194">
        <f>Parameters!I6</f>
        <v>5.2999999999999999E-2</v>
      </c>
      <c r="N22" s="155"/>
    </row>
    <row r="23" spans="1:14" s="10" customFormat="1" x14ac:dyDescent="0.2">
      <c r="A23" s="22"/>
      <c r="B23" s="125" t="s">
        <v>207</v>
      </c>
      <c r="G23" s="194">
        <f>Parameters!F7</f>
        <v>1.0999999999999999E-2</v>
      </c>
      <c r="H23" s="62"/>
      <c r="N23" s="155"/>
    </row>
    <row r="24" spans="1:14" s="10" customFormat="1" x14ac:dyDescent="0.2">
      <c r="A24" s="22"/>
      <c r="B24" s="75" t="s">
        <v>208</v>
      </c>
      <c r="G24" s="194">
        <f>Parameters!F8</f>
        <v>0.01</v>
      </c>
      <c r="H24" s="62"/>
      <c r="N24" s="155"/>
    </row>
    <row r="25" spans="1:14" s="10" customFormat="1" x14ac:dyDescent="0.2">
      <c r="B25" s="75" t="s">
        <v>121</v>
      </c>
      <c r="G25" s="195">
        <f>Parameters!F9</f>
        <v>0.01</v>
      </c>
      <c r="H25" s="62"/>
      <c r="N25" s="155"/>
    </row>
    <row r="27" spans="1:14" s="137" customFormat="1" x14ac:dyDescent="0.2">
      <c r="B27" s="137" t="s">
        <v>9</v>
      </c>
      <c r="N27" s="156"/>
    </row>
    <row r="28" spans="1:14" s="23" customFormat="1" x14ac:dyDescent="0.2">
      <c r="D28" s="123"/>
      <c r="F28" s="6"/>
      <c r="N28" s="158"/>
    </row>
    <row r="29" spans="1:14" s="23" customFormat="1" x14ac:dyDescent="0.2">
      <c r="B29" s="196" t="s">
        <v>90</v>
      </c>
      <c r="C29" s="197"/>
      <c r="D29" s="198"/>
      <c r="N29" s="158"/>
    </row>
    <row r="30" spans="1:14" x14ac:dyDescent="0.2">
      <c r="B30" s="7"/>
      <c r="C30" s="7"/>
      <c r="D30" s="124"/>
    </row>
    <row r="31" spans="1:14" s="10" customFormat="1" x14ac:dyDescent="0.2">
      <c r="B31" s="125" t="s">
        <v>132</v>
      </c>
      <c r="C31" s="11"/>
      <c r="D31" s="126" t="s">
        <v>47</v>
      </c>
      <c r="F31" s="43">
        <f>SUM(H31:L31)</f>
        <v>1167852788.6080053</v>
      </c>
      <c r="G31" s="36">
        <f>'Inkomsten RV 2014-2016'!G70+'Inkomsten RV 2014-2016'!G71+'Inkomsten RV 2014-2016'!G72</f>
        <v>1069278997.8332956</v>
      </c>
      <c r="H31" s="34">
        <f>$G$31*H21</f>
        <v>977321004.0196321</v>
      </c>
      <c r="I31" s="34">
        <f>$G$31*I21</f>
        <v>35286206.928498752</v>
      </c>
      <c r="J31" s="34">
        <f>$G$31*J21</f>
        <v>56671786.885164663</v>
      </c>
      <c r="K31" s="36">
        <f>'Inkomsten RV 2014-2016'!H70+'Inkomsten RV 2014-2016'!H71+'Inkomsten RV 2014-2016'!H72</f>
        <v>0</v>
      </c>
      <c r="L31" s="36">
        <f>'Inkomsten RV 2014-2016'!I70+'Inkomsten RV 2014-2016'!I71+'Inkomsten RV 2014-2016'!I72</f>
        <v>98573790.774709851</v>
      </c>
      <c r="N31" s="161" t="s">
        <v>154</v>
      </c>
    </row>
    <row r="32" spans="1:14" x14ac:dyDescent="0.2">
      <c r="B32" s="127"/>
      <c r="C32" s="127"/>
      <c r="D32" s="128"/>
    </row>
    <row r="33" spans="1:14" s="137" customFormat="1" x14ac:dyDescent="0.2">
      <c r="B33" s="137" t="s">
        <v>13</v>
      </c>
      <c r="N33" s="156"/>
    </row>
    <row r="34" spans="1:14" s="23" customFormat="1" x14ac:dyDescent="0.2">
      <c r="B34" s="55"/>
      <c r="N34" s="166"/>
    </row>
    <row r="35" spans="1:14" s="23" customFormat="1" ht="35.25" customHeight="1" x14ac:dyDescent="0.2">
      <c r="B35" s="196" t="s">
        <v>101</v>
      </c>
      <c r="C35" s="200"/>
      <c r="D35" s="200"/>
      <c r="F35" s="77"/>
      <c r="H35" s="58"/>
      <c r="N35" s="166"/>
    </row>
    <row r="36" spans="1:14" x14ac:dyDescent="0.2">
      <c r="B36" s="78"/>
      <c r="H36" s="24"/>
      <c r="N36" s="154"/>
    </row>
    <row r="37" spans="1:14" s="10" customFormat="1" x14ac:dyDescent="0.2">
      <c r="B37" s="2" t="s">
        <v>111</v>
      </c>
      <c r="G37" s="24"/>
      <c r="H37" s="73"/>
      <c r="N37" s="154"/>
    </row>
    <row r="38" spans="1:14" s="10" customFormat="1" x14ac:dyDescent="0.2">
      <c r="B38" s="2" t="s">
        <v>106</v>
      </c>
      <c r="D38" s="25" t="s">
        <v>46</v>
      </c>
      <c r="F38" s="43">
        <f>SUM(H38:L38)</f>
        <v>568876972.61446619</v>
      </c>
      <c r="H38" s="43">
        <f>H45</f>
        <v>492832118.70765185</v>
      </c>
      <c r="I38" s="43">
        <f>I45</f>
        <v>17793719.822048701</v>
      </c>
      <c r="J38" s="43">
        <f>J45</f>
        <v>28577792.441472154</v>
      </c>
      <c r="K38" s="43">
        <f>K45</f>
        <v>0</v>
      </c>
      <c r="L38" s="43">
        <f>L45</f>
        <v>29673341.643293519</v>
      </c>
      <c r="N38" s="161" t="s">
        <v>189</v>
      </c>
    </row>
    <row r="39" spans="1:14" s="10" customFormat="1" x14ac:dyDescent="0.2">
      <c r="B39" s="2" t="s">
        <v>104</v>
      </c>
      <c r="D39" s="25" t="s">
        <v>46</v>
      </c>
      <c r="F39" s="43">
        <f>SUM(H39:L39)</f>
        <v>95423812.620000005</v>
      </c>
      <c r="H39" s="43">
        <f>H54</f>
        <v>64768714.866699994</v>
      </c>
      <c r="I39" s="43">
        <f>I54</f>
        <v>2338476.5761500001</v>
      </c>
      <c r="J39" s="43">
        <f>J54</f>
        <v>3755735.1071499996</v>
      </c>
      <c r="K39" s="43">
        <f>K54</f>
        <v>0</v>
      </c>
      <c r="L39" s="43">
        <f>L54</f>
        <v>24560886.07</v>
      </c>
      <c r="N39" s="161"/>
    </row>
    <row r="40" spans="1:14" s="10" customFormat="1" x14ac:dyDescent="0.2">
      <c r="B40" s="2" t="s">
        <v>177</v>
      </c>
      <c r="D40" s="25" t="s">
        <v>46</v>
      </c>
      <c r="F40" s="43">
        <f>SUM(H40:L40)</f>
        <v>308230855.91040838</v>
      </c>
      <c r="H40" s="43">
        <f>H53+H55</f>
        <v>263393432.93714452</v>
      </c>
      <c r="I40" s="43">
        <f>I53+I55</f>
        <v>9509828.5414942782</v>
      </c>
      <c r="J40" s="43">
        <f>J53+J55</f>
        <v>15273360.990884747</v>
      </c>
      <c r="K40" s="43">
        <f>K53+K55</f>
        <v>0</v>
      </c>
      <c r="L40" s="43">
        <f>L53+L55</f>
        <v>20054233.440884911</v>
      </c>
      <c r="N40" s="161"/>
    </row>
    <row r="41" spans="1:14" s="10" customFormat="1" x14ac:dyDescent="0.2">
      <c r="F41" s="24"/>
      <c r="G41" s="22"/>
      <c r="N41" s="154"/>
    </row>
    <row r="42" spans="1:14" s="25" customFormat="1" x14ac:dyDescent="0.2">
      <c r="B42" s="32" t="s">
        <v>12</v>
      </c>
      <c r="M42" s="33"/>
      <c r="N42" s="167"/>
    </row>
    <row r="43" spans="1:14" s="25" customFormat="1" x14ac:dyDescent="0.2">
      <c r="A43" s="10"/>
      <c r="B43" s="25" t="s">
        <v>20</v>
      </c>
      <c r="D43" s="25" t="s">
        <v>46</v>
      </c>
      <c r="G43" s="36">
        <f>'OPEX CAPEX'!G35</f>
        <v>310461431.84281206</v>
      </c>
      <c r="H43" s="40">
        <f>$G$43*H21</f>
        <v>283761748.70433021</v>
      </c>
      <c r="I43" s="40">
        <f>$G$43*I21</f>
        <v>10245227.250812799</v>
      </c>
      <c r="J43" s="40">
        <f>$G$43*J21</f>
        <v>16454455.887669038</v>
      </c>
      <c r="K43" s="35">
        <f>'OPEX CAPEX'!H35</f>
        <v>0</v>
      </c>
      <c r="L43" s="35">
        <f>'OPEX CAPEX'!I35</f>
        <v>17883647.416719198</v>
      </c>
      <c r="M43" s="33"/>
      <c r="N43" s="167"/>
    </row>
    <row r="44" spans="1:14" s="25" customFormat="1" ht="13.5" thickBot="1" x14ac:dyDescent="0.25">
      <c r="A44" s="10"/>
      <c r="B44" s="25" t="s">
        <v>21</v>
      </c>
      <c r="D44" s="25" t="s">
        <v>46</v>
      </c>
      <c r="G44" s="40">
        <f>'OPEX CAPEX'!G36*G20</f>
        <v>228742199.12836069</v>
      </c>
      <c r="H44" s="41">
        <f>$G$44*H21</f>
        <v>209070370.00332165</v>
      </c>
      <c r="I44" s="41">
        <f>$G$44*I21</f>
        <v>7548492.5712359035</v>
      </c>
      <c r="J44" s="41">
        <f>$G$44*J21</f>
        <v>12123336.553803116</v>
      </c>
      <c r="K44" s="41">
        <f>'OPEX CAPEX'!H36*$G$20</f>
        <v>0</v>
      </c>
      <c r="L44" s="41">
        <f>'OPEX CAPEX'!I36*$G$20</f>
        <v>11789694.22657432</v>
      </c>
      <c r="M44" s="33"/>
      <c r="N44" s="167"/>
    </row>
    <row r="45" spans="1:14" s="25" customFormat="1" ht="13.5" thickTop="1" x14ac:dyDescent="0.2">
      <c r="A45" s="10"/>
      <c r="B45" s="61" t="s">
        <v>82</v>
      </c>
      <c r="D45" s="25" t="s">
        <v>46</v>
      </c>
      <c r="H45" s="34">
        <f>H43+H44</f>
        <v>492832118.70765185</v>
      </c>
      <c r="I45" s="34">
        <f>I43+I44</f>
        <v>17793719.822048701</v>
      </c>
      <c r="J45" s="34">
        <f>J43+J44</f>
        <v>28577792.441472154</v>
      </c>
      <c r="K45" s="34">
        <f>K43+K44</f>
        <v>0</v>
      </c>
      <c r="L45" s="34">
        <f>L43+L44</f>
        <v>29673341.643293519</v>
      </c>
      <c r="M45" s="33"/>
      <c r="N45" s="167"/>
    </row>
    <row r="46" spans="1:14" s="33" customFormat="1" x14ac:dyDescent="0.2">
      <c r="H46" s="39"/>
      <c r="I46" s="39"/>
      <c r="J46" s="39"/>
      <c r="K46" s="39"/>
      <c r="L46" s="39"/>
      <c r="N46" s="167"/>
    </row>
    <row r="47" spans="1:14" s="33" customFormat="1" x14ac:dyDescent="0.2">
      <c r="B47" s="78" t="s">
        <v>94</v>
      </c>
      <c r="D47" s="25" t="s">
        <v>44</v>
      </c>
      <c r="G47" s="36">
        <f>'OPEX CAPEX'!G16</f>
        <v>77665085.940311804</v>
      </c>
      <c r="H47" s="40">
        <f>$G$47*H22</f>
        <v>70985888.549444988</v>
      </c>
      <c r="I47" s="40">
        <f>$G$47*I22</f>
        <v>2562947.8360302895</v>
      </c>
      <c r="J47" s="40">
        <f>$G$47*J22</f>
        <v>4116249.5548365256</v>
      </c>
      <c r="K47" s="36">
        <f>'OPEX CAPEX'!H16</f>
        <v>0</v>
      </c>
      <c r="L47" s="36">
        <f>'OPEX CAPEX'!I16</f>
        <v>6906046.3773282198</v>
      </c>
      <c r="N47" s="167"/>
    </row>
    <row r="48" spans="1:14" s="33" customFormat="1" x14ac:dyDescent="0.2">
      <c r="B48" s="78" t="s">
        <v>97</v>
      </c>
      <c r="D48" s="25" t="s">
        <v>46</v>
      </c>
      <c r="H48" s="40">
        <f>H47*$I$10*(1-$G$24)^2</f>
        <v>72452906.986424014</v>
      </c>
      <c r="I48" s="40">
        <f>I47*$I$10*(1-$G$24)^2</f>
        <v>2615914.5848490074</v>
      </c>
      <c r="J48" s="40">
        <f>J47*$I$10*(1-$G$24)^2</f>
        <v>4201317.3635453749</v>
      </c>
      <c r="K48" s="40">
        <f>K47*$I$10*(1-$G$24)^2</f>
        <v>0</v>
      </c>
      <c r="L48" s="40">
        <f>L47*$I$10*(1-$G$24)^2</f>
        <v>7048769.0729118055</v>
      </c>
      <c r="N48" s="167"/>
    </row>
    <row r="49" spans="1:14" s="33" customFormat="1" x14ac:dyDescent="0.2">
      <c r="B49" s="78" t="s">
        <v>95</v>
      </c>
      <c r="D49" s="25" t="s">
        <v>45</v>
      </c>
      <c r="G49" s="36">
        <f>'OPEX CAPEX'!G29</f>
        <v>80748450.499689296</v>
      </c>
      <c r="H49" s="40">
        <f>$G$49*H22</f>
        <v>73804083.756716013</v>
      </c>
      <c r="I49" s="40">
        <f>$G$49*I22</f>
        <v>2664698.8664897471</v>
      </c>
      <c r="J49" s="40">
        <f>$G$49*J22</f>
        <v>4279667.8764835326</v>
      </c>
      <c r="K49" s="36">
        <f>'OPEX CAPEX'!H29</f>
        <v>0</v>
      </c>
      <c r="L49" s="36">
        <f>'OPEX CAPEX'!I29</f>
        <v>5520515.5374246296</v>
      </c>
      <c r="N49" s="167"/>
    </row>
    <row r="50" spans="1:14" s="33" customFormat="1" x14ac:dyDescent="0.2">
      <c r="B50" s="78" t="s">
        <v>98</v>
      </c>
      <c r="D50" s="25" t="s">
        <v>46</v>
      </c>
      <c r="H50" s="40">
        <f>H49*$I$11*(1-$G$24)^1</f>
        <v>74965760.035046726</v>
      </c>
      <c r="I50" s="40">
        <f>I49*$I$11*(1-$G$24)^1</f>
        <v>2706641.2266482958</v>
      </c>
      <c r="J50" s="40">
        <f>J49*$I$11*(1-$G$24)^1</f>
        <v>4347029.8488593837</v>
      </c>
      <c r="K50" s="40">
        <f>K49*$I$11*(1-$G$24)^1</f>
        <v>0</v>
      </c>
      <c r="L50" s="40">
        <f>L49*$I$11*(1-$G$24)^1</f>
        <v>5607408.4519836931</v>
      </c>
      <c r="N50" s="167"/>
    </row>
    <row r="51" spans="1:14" s="33" customFormat="1" x14ac:dyDescent="0.2">
      <c r="B51" s="78" t="s">
        <v>96</v>
      </c>
      <c r="D51" s="25" t="s">
        <v>46</v>
      </c>
      <c r="G51" s="36">
        <f>'OPEX CAPEX'!G42</f>
        <v>86050642.822007701</v>
      </c>
      <c r="H51" s="40">
        <f>$G$51*H22</f>
        <v>78650287.53931503</v>
      </c>
      <c r="I51" s="40">
        <f>$G$51*I22</f>
        <v>2839671.2131262543</v>
      </c>
      <c r="J51" s="40">
        <f>$G$51*J22</f>
        <v>4560684.0695664082</v>
      </c>
      <c r="K51" s="36">
        <f>'OPEX CAPEX'!H42</f>
        <v>0</v>
      </c>
      <c r="L51" s="36">
        <f>'OPEX CAPEX'!I42</f>
        <v>5836327.4014054406</v>
      </c>
      <c r="N51" s="167"/>
    </row>
    <row r="52" spans="1:14" s="80" customFormat="1" x14ac:dyDescent="0.2">
      <c r="A52" s="78"/>
      <c r="B52" s="79"/>
      <c r="G52" s="81"/>
      <c r="H52" s="81"/>
      <c r="I52" s="81"/>
      <c r="J52" s="81"/>
      <c r="K52" s="81"/>
      <c r="L52" s="81"/>
      <c r="N52" s="168"/>
    </row>
    <row r="53" spans="1:14" s="33" customFormat="1" x14ac:dyDescent="0.2">
      <c r="A53" s="22"/>
      <c r="B53" s="78" t="s">
        <v>100</v>
      </c>
      <c r="D53" s="25" t="s">
        <v>46</v>
      </c>
      <c r="H53" s="40">
        <f>AVERAGE(H48,H50,H51)</f>
        <v>75356318.186928585</v>
      </c>
      <c r="I53" s="40">
        <f>AVERAGE(I48,I50,I51)</f>
        <v>2720742.3415411855</v>
      </c>
      <c r="J53" s="40">
        <f>AVERAGE(J48,J50,J51)</f>
        <v>4369677.0939903883</v>
      </c>
      <c r="K53" s="40">
        <f>AVERAGE(K48,K50,K51)</f>
        <v>0</v>
      </c>
      <c r="L53" s="40">
        <f>AVERAGE(L48,L50,L51)</f>
        <v>6164168.3087669797</v>
      </c>
      <c r="N53" s="161" t="s">
        <v>190</v>
      </c>
    </row>
    <row r="54" spans="1:14" s="25" customFormat="1" x14ac:dyDescent="0.2">
      <c r="A54" s="10"/>
      <c r="B54" s="63" t="s">
        <v>19</v>
      </c>
      <c r="D54" s="25" t="s">
        <v>46</v>
      </c>
      <c r="G54" s="36">
        <f>'OPEX CAPEX'!G43</f>
        <v>70862926.549999997</v>
      </c>
      <c r="H54" s="40">
        <f>$G$54*H22</f>
        <v>64768714.866699994</v>
      </c>
      <c r="I54" s="40">
        <f>$G$54*I22</f>
        <v>2338476.5761500001</v>
      </c>
      <c r="J54" s="40">
        <f>$G$54*J22</f>
        <v>3755735.1071499996</v>
      </c>
      <c r="K54" s="36">
        <f>'OPEX CAPEX'!H43</f>
        <v>0</v>
      </c>
      <c r="L54" s="36">
        <f>'OPEX CAPEX'!I43</f>
        <v>24560886.07</v>
      </c>
      <c r="M54" s="33"/>
      <c r="N54" s="2"/>
    </row>
    <row r="55" spans="1:14" s="25" customFormat="1" ht="13.5" thickBot="1" x14ac:dyDescent="0.25">
      <c r="A55" s="10"/>
      <c r="B55" s="63" t="s">
        <v>18</v>
      </c>
      <c r="D55" s="25" t="s">
        <v>46</v>
      </c>
      <c r="G55" s="36">
        <f>'OPEX CAPEX'!G44</f>
        <v>205729884.84706339</v>
      </c>
      <c r="H55" s="41">
        <f>$G$55*H22</f>
        <v>188037114.75021592</v>
      </c>
      <c r="I55" s="41">
        <f>$G$55*I22</f>
        <v>6789086.1999530923</v>
      </c>
      <c r="J55" s="41">
        <f>$G$55*J22</f>
        <v>10903683.89689436</v>
      </c>
      <c r="K55" s="37">
        <f>'OPEX CAPEX'!H44</f>
        <v>0</v>
      </c>
      <c r="L55" s="37">
        <f>'OPEX CAPEX'!I44</f>
        <v>13890065.132117931</v>
      </c>
      <c r="N55" s="154"/>
    </row>
    <row r="56" spans="1:14" s="25" customFormat="1" ht="13.5" thickTop="1" x14ac:dyDescent="0.2">
      <c r="A56" s="10"/>
      <c r="B56" s="25" t="s">
        <v>48</v>
      </c>
      <c r="D56" s="25" t="s">
        <v>46</v>
      </c>
      <c r="H56" s="38">
        <f>SUM(H53:H55)</f>
        <v>328162147.80384445</v>
      </c>
      <c r="I56" s="38">
        <f>SUM(I53:I55)</f>
        <v>11848305.117644278</v>
      </c>
      <c r="J56" s="38">
        <f>SUM(J53:J55)</f>
        <v>19029096.098034747</v>
      </c>
      <c r="K56" s="38">
        <f>SUM(K53:K55)</f>
        <v>0</v>
      </c>
      <c r="L56" s="38">
        <f>SUM(L53:L55)</f>
        <v>44615119.510884911</v>
      </c>
      <c r="M56" s="64"/>
      <c r="N56" s="161" t="s">
        <v>155</v>
      </c>
    </row>
    <row r="57" spans="1:14" s="33" customFormat="1" x14ac:dyDescent="0.2">
      <c r="H57" s="42"/>
      <c r="I57" s="42"/>
      <c r="J57" s="42"/>
      <c r="K57" s="42"/>
      <c r="L57" s="42"/>
      <c r="N57" s="167"/>
    </row>
    <row r="58" spans="1:14" s="137" customFormat="1" x14ac:dyDescent="0.2">
      <c r="B58" s="137" t="s">
        <v>14</v>
      </c>
      <c r="N58" s="156"/>
    </row>
    <row r="59" spans="1:14" s="23" customFormat="1" x14ac:dyDescent="0.2">
      <c r="B59" s="78"/>
      <c r="N59" s="166"/>
    </row>
    <row r="60" spans="1:14" s="23" customFormat="1" ht="29.25" customHeight="1" x14ac:dyDescent="0.2">
      <c r="B60" s="196" t="s">
        <v>107</v>
      </c>
      <c r="C60" s="200"/>
      <c r="D60" s="200"/>
      <c r="N60" s="166"/>
    </row>
    <row r="61" spans="1:14" s="33" customFormat="1" x14ac:dyDescent="0.2">
      <c r="H61" s="39"/>
      <c r="I61" s="39"/>
      <c r="J61" s="39"/>
      <c r="K61" s="39"/>
      <c r="L61" s="39"/>
      <c r="N61" s="167"/>
    </row>
    <row r="62" spans="1:14" s="23" customFormat="1" x14ac:dyDescent="0.2">
      <c r="B62" s="57" t="s">
        <v>92</v>
      </c>
      <c r="N62" s="166"/>
    </row>
    <row r="63" spans="1:14" s="25" customFormat="1" x14ac:dyDescent="0.2">
      <c r="B63" s="32" t="s">
        <v>10</v>
      </c>
      <c r="G63" s="33"/>
      <c r="N63" s="154"/>
    </row>
    <row r="64" spans="1:14" s="33" customFormat="1" x14ac:dyDescent="0.2">
      <c r="A64" s="22"/>
      <c r="B64" s="65" t="s">
        <v>84</v>
      </c>
      <c r="D64" s="2" t="s">
        <v>44</v>
      </c>
      <c r="G64" s="86">
        <f>'OPEX CAPEX'!G25/$H$10</f>
        <v>5009726.4433047911</v>
      </c>
      <c r="H64" s="34">
        <f>$G$64*H21</f>
        <v>4578889.9691805784</v>
      </c>
      <c r="I64" s="34">
        <f>$G$64*I21</f>
        <v>165320.97262905812</v>
      </c>
      <c r="J64" s="34">
        <f>$G$64*J21</f>
        <v>265515.50149515393</v>
      </c>
      <c r="K64" s="36">
        <f>'OPEX CAPEX'!H25/$H$10</f>
        <v>0</v>
      </c>
      <c r="L64" s="36">
        <f>'OPEX CAPEX'!I25/$H$10</f>
        <v>137314.02489192222</v>
      </c>
      <c r="N64" s="167"/>
    </row>
    <row r="65" spans="1:14" s="33" customFormat="1" x14ac:dyDescent="0.2">
      <c r="A65" s="22"/>
      <c r="B65" s="65" t="s">
        <v>85</v>
      </c>
      <c r="D65" s="2" t="s">
        <v>44</v>
      </c>
      <c r="G65" s="40">
        <f>'OPEX CAPEX'!G26/$H$10*G20</f>
        <v>3513533.8121089661</v>
      </c>
      <c r="H65" s="40">
        <f>$G$65*H21</f>
        <v>3211369.9042675947</v>
      </c>
      <c r="I65" s="40">
        <f>$G$65*I21</f>
        <v>115946.61579959588</v>
      </c>
      <c r="J65" s="40">
        <f>$G$65*J21</f>
        <v>186217.29204177519</v>
      </c>
      <c r="K65" s="40">
        <f>'OPEX CAPEX'!H26/$H$10*G20</f>
        <v>0</v>
      </c>
      <c r="L65" s="40">
        <f>'OPEX CAPEX'!I26/$H$10*G20</f>
        <v>140884.18953911221</v>
      </c>
      <c r="M65" s="10"/>
      <c r="N65" s="167"/>
    </row>
    <row r="66" spans="1:14" s="33" customFormat="1" ht="13.5" thickBot="1" x14ac:dyDescent="0.25">
      <c r="A66" s="22"/>
      <c r="B66" s="78" t="s">
        <v>125</v>
      </c>
      <c r="C66" s="120"/>
      <c r="D66" s="25" t="s">
        <v>44</v>
      </c>
      <c r="E66" s="120"/>
      <c r="F66" s="120"/>
      <c r="G66" s="129">
        <f>$G$25*'OPEX CAPEX'!G14</f>
        <v>1051127.5111242845</v>
      </c>
      <c r="H66" s="129">
        <f>$G$66*H22</f>
        <v>960730.54516759596</v>
      </c>
      <c r="I66" s="129">
        <f>$G$66*I22</f>
        <v>34687.207867101388</v>
      </c>
      <c r="J66" s="129">
        <f>$G$66*J22</f>
        <v>55709.758089587078</v>
      </c>
      <c r="K66" s="129">
        <f>'OPEX CAPEX'!H14*$G$25</f>
        <v>0</v>
      </c>
      <c r="L66" s="129">
        <f>$G$25*'OPEX CAPEX'!I14</f>
        <v>41194.207467576663</v>
      </c>
      <c r="N66" s="167"/>
    </row>
    <row r="67" spans="1:14" s="33" customFormat="1" ht="13.5" thickTop="1" x14ac:dyDescent="0.2">
      <c r="B67" s="78" t="s">
        <v>126</v>
      </c>
      <c r="D67" s="25" t="s">
        <v>46</v>
      </c>
      <c r="G67" s="34">
        <f>SUM(H67:J67)</f>
        <v>9772255.3098387644</v>
      </c>
      <c r="H67" s="82">
        <f>((H64+H65+H66)*$I$10)*(1-$G$24)^2</f>
        <v>8931841.3531926312</v>
      </c>
      <c r="I67" s="82">
        <f>((I64+I65+I66)*$I$10)*(1-$G$24)^2</f>
        <v>322484.42522467935</v>
      </c>
      <c r="J67" s="82">
        <f>((J64+J65+J66)*$I$10)*(1-$G$24)^2</f>
        <v>517929.53142145462</v>
      </c>
      <c r="K67" s="82">
        <f>((K64+K65+K66)*$I$10)*(1-$G$24)^2</f>
        <v>0</v>
      </c>
      <c r="L67" s="82">
        <f>((L64+L65+L66)*$I$10)*(1-$G$24)^2</f>
        <v>325993.09396359872</v>
      </c>
      <c r="N67" s="161" t="s">
        <v>156</v>
      </c>
    </row>
    <row r="68" spans="1:14" s="33" customFormat="1" x14ac:dyDescent="0.2">
      <c r="A68" s="78"/>
      <c r="B68" s="78"/>
      <c r="G68" s="42"/>
      <c r="H68" s="39"/>
      <c r="I68" s="39"/>
      <c r="J68" s="39"/>
      <c r="K68" s="39"/>
      <c r="L68" s="39"/>
      <c r="N68" s="167"/>
    </row>
    <row r="69" spans="1:14" s="25" customFormat="1" x14ac:dyDescent="0.2">
      <c r="A69" s="33"/>
      <c r="B69" s="32" t="s">
        <v>11</v>
      </c>
      <c r="M69" s="33"/>
      <c r="N69" s="167"/>
    </row>
    <row r="70" spans="1:14" s="33" customFormat="1" x14ac:dyDescent="0.2">
      <c r="A70" s="22"/>
      <c r="B70" s="78" t="s">
        <v>86</v>
      </c>
      <c r="C70" s="78"/>
      <c r="D70" s="2" t="s">
        <v>45</v>
      </c>
      <c r="G70" s="86">
        <f>'OPEX CAPEX'!G38/$I$11</f>
        <v>6389388.9258138295</v>
      </c>
      <c r="H70" s="40">
        <f>$G$70*H21</f>
        <v>5839901.47819384</v>
      </c>
      <c r="I70" s="40">
        <f>$G$70*I21</f>
        <v>210849.83455185639</v>
      </c>
      <c r="J70" s="40">
        <f>$G$70*J21</f>
        <v>338637.61306813295</v>
      </c>
      <c r="K70" s="36">
        <f>'OPEX CAPEX'!H38/$I$11</f>
        <v>0</v>
      </c>
      <c r="L70" s="36">
        <f>'OPEX CAPEX'!I38/$I$11</f>
        <v>68669.403480308305</v>
      </c>
      <c r="N70" s="167"/>
    </row>
    <row r="71" spans="1:14" s="33" customFormat="1" x14ac:dyDescent="0.2">
      <c r="A71" s="22"/>
      <c r="B71" s="78" t="s">
        <v>87</v>
      </c>
      <c r="C71" s="78"/>
      <c r="D71" s="2" t="s">
        <v>45</v>
      </c>
      <c r="G71" s="86">
        <f>'OPEX CAPEX'!G39/$I$11*G20</f>
        <v>880769.70120988647</v>
      </c>
      <c r="H71" s="40">
        <f>$G$71*H21</f>
        <v>805023.50690583617</v>
      </c>
      <c r="I71" s="40">
        <f>$G$71*I21</f>
        <v>29065.400139926256</v>
      </c>
      <c r="J71" s="40">
        <f>$G$71*J21</f>
        <v>46680.794164123981</v>
      </c>
      <c r="K71" s="40">
        <f>'OPEX CAPEX'!H39/$I$11*G20</f>
        <v>0</v>
      </c>
      <c r="L71" s="40">
        <f>'OPEX CAPEX'!I39/$I$11*G20</f>
        <v>70454.807970796319</v>
      </c>
      <c r="N71" s="167"/>
    </row>
    <row r="72" spans="1:14" s="33" customFormat="1" ht="13.5" thickBot="1" x14ac:dyDescent="0.25">
      <c r="A72" s="22"/>
      <c r="B72" s="78" t="s">
        <v>122</v>
      </c>
      <c r="C72" s="78"/>
      <c r="D72" s="2" t="s">
        <v>45</v>
      </c>
      <c r="E72" s="120"/>
      <c r="F72" s="120"/>
      <c r="G72" s="129">
        <f>$G$25*'OPEX CAPEX'!G27</f>
        <v>340499.08422328706</v>
      </c>
      <c r="H72" s="129">
        <f>$G$72*H$21</f>
        <v>311216.16298008437</v>
      </c>
      <c r="I72" s="129">
        <f>$G$72*I$21</f>
        <v>11236.469779368474</v>
      </c>
      <c r="J72" s="129">
        <f>$G$72*J$21</f>
        <v>18046.451463834215</v>
      </c>
      <c r="K72" s="129">
        <f>$G$25*'OPEX CAPEX'!H27</f>
        <v>0</v>
      </c>
      <c r="L72" s="129">
        <f>$G$25*'OPEX CAPEX'!I27</f>
        <v>20600.821044092492</v>
      </c>
      <c r="N72" s="167"/>
    </row>
    <row r="73" spans="1:14" s="33" customFormat="1" ht="13.5" thickTop="1" x14ac:dyDescent="0.2">
      <c r="A73" s="22"/>
      <c r="B73" s="78" t="s">
        <v>127</v>
      </c>
      <c r="C73" s="78"/>
      <c r="D73" s="2" t="s">
        <v>46</v>
      </c>
      <c r="G73" s="34">
        <f>SUM(H73:J73)</f>
        <v>7730449.4636220299</v>
      </c>
      <c r="H73" s="82">
        <f>(H70+H71+H72)*$I$11*(1-$G$24)</f>
        <v>7065630.8097505355</v>
      </c>
      <c r="I73" s="82">
        <f>(I70+I71+I72)*$I$11*(1-$G$24)</f>
        <v>255104.83229952701</v>
      </c>
      <c r="J73" s="82">
        <f>(J70+J71+J72)*$I$11*(1-$G$24)</f>
        <v>409713.82157196762</v>
      </c>
      <c r="K73" s="82">
        <f t="shared" ref="K73:L73" si="0">(K70+K71+K72)*$I$11*(1-$G$24)</f>
        <v>0</v>
      </c>
      <c r="L73" s="82">
        <f t="shared" si="0"/>
        <v>162239.10450667152</v>
      </c>
      <c r="N73" s="161" t="s">
        <v>156</v>
      </c>
    </row>
    <row r="74" spans="1:14" s="25" customFormat="1" x14ac:dyDescent="0.2">
      <c r="A74" s="22"/>
      <c r="B74" s="2"/>
      <c r="C74" s="2"/>
      <c r="D74" s="2"/>
      <c r="G74" s="33"/>
      <c r="H74" s="33"/>
      <c r="I74" s="33"/>
      <c r="J74" s="33"/>
      <c r="K74" s="33"/>
      <c r="L74" s="33"/>
      <c r="M74" s="33"/>
      <c r="N74" s="167"/>
    </row>
    <row r="75" spans="1:14" s="25" customFormat="1" x14ac:dyDescent="0.2">
      <c r="A75" s="22"/>
      <c r="B75" s="56" t="s">
        <v>12</v>
      </c>
      <c r="C75" s="2"/>
      <c r="D75" s="2"/>
      <c r="G75" s="33"/>
      <c r="H75" s="33"/>
      <c r="I75" s="33"/>
      <c r="J75" s="33"/>
      <c r="K75" s="33"/>
      <c r="L75" s="33"/>
      <c r="M75" s="33"/>
      <c r="N75" s="167"/>
    </row>
    <row r="76" spans="1:14" s="25" customFormat="1" x14ac:dyDescent="0.2">
      <c r="A76" s="22"/>
      <c r="B76" s="78" t="s">
        <v>88</v>
      </c>
      <c r="C76" s="2"/>
      <c r="D76" s="2" t="s">
        <v>46</v>
      </c>
      <c r="G76" s="86">
        <f>'OPEX CAPEX'!G48/$J$12</f>
        <v>4502829.1732123187</v>
      </c>
      <c r="H76" s="40">
        <f>$G$76*H21</f>
        <v>4115585.8643160588</v>
      </c>
      <c r="I76" s="40">
        <f>$G$76*I21</f>
        <v>148593.36271600652</v>
      </c>
      <c r="J76" s="40">
        <f>$G$76*J21</f>
        <v>238649.94618025288</v>
      </c>
      <c r="K76" s="36">
        <f>'OPEX CAPEX'!H48/$J$12</f>
        <v>0</v>
      </c>
      <c r="L76" s="36">
        <f>'OPEX CAPEX'!I48/$J$12</f>
        <v>5272.8336666666673</v>
      </c>
      <c r="M76" s="33"/>
      <c r="N76" s="167"/>
    </row>
    <row r="77" spans="1:14" s="25" customFormat="1" x14ac:dyDescent="0.2">
      <c r="A77" s="22"/>
      <c r="B77" s="78" t="s">
        <v>89</v>
      </c>
      <c r="C77" s="2"/>
      <c r="D77" s="2" t="s">
        <v>46</v>
      </c>
      <c r="G77" s="86">
        <f>'OPEX CAPEX'!G49/$J$12*G20</f>
        <v>665089.67820982204</v>
      </c>
      <c r="H77" s="40">
        <f>$G$77*H21</f>
        <v>607891.96588377724</v>
      </c>
      <c r="I77" s="40">
        <f>$G$77*I21</f>
        <v>21947.959380924127</v>
      </c>
      <c r="J77" s="40">
        <f>$G$77*J21</f>
        <v>35249.75294512057</v>
      </c>
      <c r="K77" s="86">
        <f>'OPEX CAPEX'!H49/$J$12*G20</f>
        <v>0</v>
      </c>
      <c r="L77" s="86">
        <f>'OPEX CAPEX'!I49/$J$12*G20</f>
        <v>5409.927342</v>
      </c>
      <c r="M77" s="33"/>
      <c r="N77" s="167"/>
    </row>
    <row r="78" spans="1:14" s="25" customFormat="1" ht="13.5" thickBot="1" x14ac:dyDescent="0.25">
      <c r="A78" s="22"/>
      <c r="B78" s="78" t="s">
        <v>123</v>
      </c>
      <c r="C78" s="78"/>
      <c r="D78" s="78" t="s">
        <v>46</v>
      </c>
      <c r="E78" s="120"/>
      <c r="F78" s="120"/>
      <c r="G78" s="129">
        <f>$G$25*'OPEX CAPEX'!G40</f>
        <v>252289.57043424645</v>
      </c>
      <c r="H78" s="129">
        <f>$G$78*H$21</f>
        <v>230592.66737690123</v>
      </c>
      <c r="I78" s="129">
        <f>$G$78*I$21</f>
        <v>8325.555824330133</v>
      </c>
      <c r="J78" s="129">
        <f>$G$78*J$21</f>
        <v>13371.347233015062</v>
      </c>
      <c r="K78" s="129">
        <f>$G$25*'OPEX CAPEX'!H40</f>
        <v>0</v>
      </c>
      <c r="L78" s="129">
        <f>$G$25*'OPEX CAPEX'!I40</f>
        <v>1581.8501000000001</v>
      </c>
      <c r="M78" s="33"/>
      <c r="N78" s="167"/>
    </row>
    <row r="79" spans="1:14" s="33" customFormat="1" ht="13.5" thickTop="1" x14ac:dyDescent="0.2">
      <c r="A79" s="22"/>
      <c r="B79" s="78" t="s">
        <v>205</v>
      </c>
      <c r="C79" s="78"/>
      <c r="D79" s="2" t="s">
        <v>46</v>
      </c>
      <c r="G79" s="34">
        <f>SUM(H79:J79)</f>
        <v>5420208.4218563866</v>
      </c>
      <c r="H79" s="34">
        <f>H76+H77+H78</f>
        <v>4954070.4975767368</v>
      </c>
      <c r="I79" s="34">
        <f>I76+I77+I78</f>
        <v>178866.87792126078</v>
      </c>
      <c r="J79" s="34">
        <f>J76+J77+J78</f>
        <v>287271.0463583885</v>
      </c>
      <c r="K79" s="34">
        <f>K76+K77+K78</f>
        <v>0</v>
      </c>
      <c r="L79" s="34">
        <f>L76+L77+L78</f>
        <v>12264.611108666668</v>
      </c>
      <c r="N79" s="161" t="s">
        <v>156</v>
      </c>
    </row>
    <row r="80" spans="1:14" x14ac:dyDescent="0.2">
      <c r="A80" s="22"/>
      <c r="B80" s="2"/>
      <c r="C80" s="2"/>
      <c r="D80" s="2"/>
      <c r="F80" s="83"/>
      <c r="H80" s="95"/>
      <c r="I80" s="95"/>
      <c r="J80" s="95"/>
      <c r="K80" s="95"/>
      <c r="L80" s="95"/>
      <c r="N80" s="154"/>
    </row>
    <row r="81" spans="1:14" s="10" customFormat="1" x14ac:dyDescent="0.2">
      <c r="A81" s="22"/>
      <c r="B81" s="57" t="s">
        <v>91</v>
      </c>
      <c r="G81" s="24"/>
      <c r="H81" s="30"/>
      <c r="I81" s="24"/>
      <c r="N81" s="154"/>
    </row>
    <row r="82" spans="1:14" x14ac:dyDescent="0.2">
      <c r="A82" s="22"/>
      <c r="B82" s="10" t="s">
        <v>8</v>
      </c>
      <c r="C82" s="10"/>
      <c r="D82" s="10"/>
      <c r="E82" s="10"/>
      <c r="F82" s="10"/>
      <c r="G82" s="74">
        <f>M12</f>
        <v>1.0856157839999998</v>
      </c>
      <c r="H82" s="10"/>
      <c r="I82" s="51"/>
      <c r="J82" s="10"/>
      <c r="K82" s="10"/>
      <c r="L82" s="10"/>
      <c r="M82" s="2"/>
      <c r="N82" s="154"/>
    </row>
    <row r="83" spans="1:14" x14ac:dyDescent="0.2">
      <c r="A83" s="22"/>
      <c r="B83" s="2" t="s">
        <v>179</v>
      </c>
      <c r="D83" s="6" t="s">
        <v>23</v>
      </c>
      <c r="G83" s="43">
        <f>SUM(H83:J83)</f>
        <v>560599913.53753078</v>
      </c>
      <c r="H83" s="29">
        <f>H38*$G$82*(1-$G$24)*(1-$G$23)^3</f>
        <v>512388320.97330314</v>
      </c>
      <c r="I83" s="29">
        <f>I38*$G$82*(1-$G$24)*(1-$G$23)^3</f>
        <v>18499797.146738518</v>
      </c>
      <c r="J83" s="29">
        <f>J38*$G$82*(1-$G$24)*(1-$G$23)^3</f>
        <v>29711795.417489134</v>
      </c>
      <c r="K83" s="29">
        <f>K38*$G$82*(1-$G$24)*(1-$G$23)^3</f>
        <v>0</v>
      </c>
      <c r="L83" s="29">
        <f>L38*$G$82*(1-$G$24)*(1-$G$23)^3</f>
        <v>30850817.398314781</v>
      </c>
      <c r="M83" s="1"/>
      <c r="N83" s="161" t="s">
        <v>157</v>
      </c>
    </row>
    <row r="84" spans="1:14" x14ac:dyDescent="0.2">
      <c r="A84" s="22"/>
      <c r="B84" s="2" t="s">
        <v>93</v>
      </c>
      <c r="D84" s="6" t="s">
        <v>23</v>
      </c>
      <c r="G84" s="43">
        <f>SUM(H84:J84)</f>
        <v>26330966.275581136</v>
      </c>
      <c r="H84" s="82">
        <f>AVERAGE(H67,H73,H79)*(1-$G$24)*(1-$G$23)^3*$G$82*3.5</f>
        <v>25413414.124478519</v>
      </c>
      <c r="I84" s="82">
        <f>AVERAGE(I67,I73,I79)*(1-$G$24)*(1-$G$23)^3*$G$82*3.5</f>
        <v>917552.15110261634</v>
      </c>
      <c r="J84" s="130">
        <v>0</v>
      </c>
      <c r="K84" s="82">
        <f>AVERAGE(K67,K73,K79)*(1-$G$24)*(1-$G$23)^3*$G$82*3.5</f>
        <v>0</v>
      </c>
      <c r="L84" s="82">
        <f>AVERAGE(L67,L73,L79)*(1-$G$24)*(1-$G$23)^3*$G$82*3.5</f>
        <v>607083.34922647499</v>
      </c>
      <c r="M84" s="1"/>
      <c r="N84" s="161" t="s">
        <v>180</v>
      </c>
    </row>
    <row r="85" spans="1:14" x14ac:dyDescent="0.2">
      <c r="A85" s="22"/>
      <c r="B85" s="2" t="s">
        <v>103</v>
      </c>
      <c r="D85" s="6" t="s">
        <v>23</v>
      </c>
      <c r="G85" s="43">
        <f>SUM(H85:J85)</f>
        <v>76929911.563112661</v>
      </c>
      <c r="H85" s="82">
        <f>H39*$G$82</f>
        <v>70313939.168684959</v>
      </c>
      <c r="I85" s="82">
        <f>I39*$G$82</f>
        <v>2538687.0815827176</v>
      </c>
      <c r="J85" s="82">
        <f>J39*$G$82</f>
        <v>4077285.3128449703</v>
      </c>
      <c r="K85" s="82">
        <f>K39*$G$82</f>
        <v>0</v>
      </c>
      <c r="L85" s="82">
        <f>L39*$G$82</f>
        <v>26663685.586617723</v>
      </c>
      <c r="M85" s="1"/>
      <c r="N85" s="161" t="s">
        <v>192</v>
      </c>
    </row>
    <row r="86" spans="1:14" x14ac:dyDescent="0.2">
      <c r="A86" s="22"/>
      <c r="B86" s="2" t="s">
        <v>178</v>
      </c>
      <c r="D86" s="6" t="s">
        <v>23</v>
      </c>
      <c r="G86" s="43">
        <f>SUM(H86:J86)</f>
        <v>299611835.60462624</v>
      </c>
      <c r="H86" s="29">
        <f>H40*$G$82*(1-$G$24)*(1-$G$23)^3</f>
        <v>273845217.7426284</v>
      </c>
      <c r="I86" s="29">
        <f>I40*$G$82*(1-$G$24)*(1-$G$23)^3</f>
        <v>9887190.5749526676</v>
      </c>
      <c r="J86" s="29">
        <f>J40*$G$82*(1-$G$24)*(1-$G$23)^3</f>
        <v>15879427.28704519</v>
      </c>
      <c r="K86" s="29">
        <f>K40*$G$82*(1-$G$24)*(1-$G$23)^3</f>
        <v>0</v>
      </c>
      <c r="L86" s="29">
        <f>L40*$G$82*(1-$G$24)*(1-$G$23)^3</f>
        <v>20850010.807183508</v>
      </c>
      <c r="M86" s="1"/>
      <c r="N86" s="161" t="s">
        <v>157</v>
      </c>
    </row>
    <row r="87" spans="1:14" x14ac:dyDescent="0.2">
      <c r="A87" s="22"/>
      <c r="B87" s="2" t="s">
        <v>158</v>
      </c>
      <c r="D87" s="6" t="s">
        <v>23</v>
      </c>
      <c r="F87" s="43">
        <f>SUM(H87:L87)</f>
        <v>1042444224.1221932</v>
      </c>
      <c r="H87" s="43">
        <f>SUM(H83:H86)</f>
        <v>881960892.00909495</v>
      </c>
      <c r="I87" s="43">
        <f>SUM(I83:I86)</f>
        <v>31843226.954376519</v>
      </c>
      <c r="J87" s="43">
        <f>SUM(J83:J86)</f>
        <v>49668508.017379291</v>
      </c>
      <c r="K87" s="43">
        <f>SUM(K83:K86)</f>
        <v>0</v>
      </c>
      <c r="L87" s="43">
        <f>SUM(L83:L86)</f>
        <v>78971597.141342491</v>
      </c>
      <c r="N87" s="161" t="s">
        <v>157</v>
      </c>
    </row>
    <row r="88" spans="1:14" x14ac:dyDescent="0.2">
      <c r="N88" s="154"/>
    </row>
    <row r="89" spans="1:14" s="137" customFormat="1" x14ac:dyDescent="0.2">
      <c r="B89" s="137" t="s">
        <v>15</v>
      </c>
      <c r="N89" s="156"/>
    </row>
    <row r="90" spans="1:14" s="23" customFormat="1" x14ac:dyDescent="0.2">
      <c r="B90" s="55"/>
      <c r="I90" s="53"/>
      <c r="J90" s="53"/>
      <c r="K90" s="53"/>
      <c r="L90" s="53"/>
      <c r="M90" s="53"/>
      <c r="N90" s="166"/>
    </row>
    <row r="91" spans="1:14" s="23" customFormat="1" x14ac:dyDescent="0.2">
      <c r="B91" s="196" t="s">
        <v>110</v>
      </c>
      <c r="C91" s="199"/>
      <c r="D91" s="199"/>
      <c r="I91" s="53"/>
      <c r="J91" s="53"/>
      <c r="K91" s="53"/>
      <c r="L91" s="53"/>
      <c r="M91" s="53"/>
      <c r="N91" s="166"/>
    </row>
    <row r="92" spans="1:14" s="23" customFormat="1" x14ac:dyDescent="0.2">
      <c r="N92" s="166"/>
    </row>
    <row r="93" spans="1:14" x14ac:dyDescent="0.2">
      <c r="A93" s="10"/>
      <c r="B93" s="6" t="s">
        <v>25</v>
      </c>
      <c r="D93" s="6" t="s">
        <v>47</v>
      </c>
      <c r="F93" s="43">
        <f>SUM(H93:L93)</f>
        <v>1167852788.6080053</v>
      </c>
      <c r="G93" s="34">
        <f>SUM(H93:J93)</f>
        <v>1069278997.8332955</v>
      </c>
      <c r="H93" s="44">
        <f>H31</f>
        <v>977321004.0196321</v>
      </c>
      <c r="I93" s="44">
        <f>I31</f>
        <v>35286206.928498752</v>
      </c>
      <c r="J93" s="44">
        <f>J31</f>
        <v>56671786.885164663</v>
      </c>
      <c r="K93" s="44">
        <f>K31</f>
        <v>0</v>
      </c>
      <c r="L93" s="44">
        <f>L31</f>
        <v>98573790.774709851</v>
      </c>
      <c r="N93" s="154"/>
    </row>
    <row r="94" spans="1:14" x14ac:dyDescent="0.2">
      <c r="A94" s="10"/>
      <c r="B94" s="6" t="s">
        <v>7</v>
      </c>
      <c r="D94" s="6" t="s">
        <v>23</v>
      </c>
      <c r="F94" s="43">
        <f>SUM(H94:L94)</f>
        <v>1042444224.1221932</v>
      </c>
      <c r="G94" s="34">
        <f>SUM(H94:J94)</f>
        <v>963472626.9808507</v>
      </c>
      <c r="H94" s="44">
        <f>H87</f>
        <v>881960892.00909495</v>
      </c>
      <c r="I94" s="44">
        <f>I87</f>
        <v>31843226.954376519</v>
      </c>
      <c r="J94" s="44">
        <f>J87</f>
        <v>49668508.017379291</v>
      </c>
      <c r="K94" s="44">
        <f>K87</f>
        <v>0</v>
      </c>
      <c r="L94" s="44">
        <f>L87</f>
        <v>78971597.141342491</v>
      </c>
      <c r="N94" s="161" t="s">
        <v>202</v>
      </c>
    </row>
    <row r="95" spans="1:14" x14ac:dyDescent="0.2">
      <c r="A95" s="10"/>
      <c r="H95" s="52"/>
      <c r="N95" s="154"/>
    </row>
    <row r="96" spans="1:14" x14ac:dyDescent="0.2">
      <c r="A96" s="10"/>
      <c r="B96" s="78" t="s">
        <v>108</v>
      </c>
      <c r="H96" s="87">
        <f>($M$13^(1/3)-1)*100</f>
        <v>2.0000000000000018</v>
      </c>
      <c r="I96" s="87">
        <f>($M$13^(1/3)-1)*100</f>
        <v>2.0000000000000018</v>
      </c>
      <c r="J96" s="87">
        <f>($M$13^(1/3)-1)*100</f>
        <v>2.0000000000000018</v>
      </c>
      <c r="K96" s="87">
        <f>($M$13^(1/3)-1)*100</f>
        <v>2.0000000000000018</v>
      </c>
      <c r="L96" s="87">
        <f>($M$13^(1/3)-1)*100</f>
        <v>2.0000000000000018</v>
      </c>
      <c r="M96" s="2"/>
      <c r="N96" s="154"/>
    </row>
    <row r="97" spans="1:14" x14ac:dyDescent="0.2">
      <c r="A97" s="10"/>
      <c r="B97" s="6" t="s">
        <v>27</v>
      </c>
      <c r="H97" s="45">
        <f>(1+H96/100-(H94/H93)^(1/3))*100</f>
        <v>5.3643515592353701</v>
      </c>
      <c r="I97" s="45">
        <f>(1+I96/100-(I94/I93)^(1/3))*100</f>
        <v>5.3643515592353586</v>
      </c>
      <c r="J97" s="45">
        <f>IF(J93=0,0,(1+J96/100-(J94/J93)^(1/3))*100)</f>
        <v>6.3015869398807762</v>
      </c>
      <c r="K97" s="45">
        <f>IF(K93=0,0,(1+K96/100-(K94/K93)^(1/3))*100)</f>
        <v>0</v>
      </c>
      <c r="L97" s="45">
        <f>(1+L96/100-(L94/L93)^(1/3))*100</f>
        <v>9.1240745212517123</v>
      </c>
      <c r="M97" s="2"/>
      <c r="N97" s="161" t="s">
        <v>203</v>
      </c>
    </row>
    <row r="98" spans="1:14" x14ac:dyDescent="0.2">
      <c r="A98" s="10"/>
      <c r="B98" s="6" t="s">
        <v>26</v>
      </c>
      <c r="H98" s="46">
        <f>IF(H97&gt;0,ROUNDDOWN(H97,2),ROUNDUP(H97,2))</f>
        <v>5.36</v>
      </c>
      <c r="I98" s="46">
        <f>IF(I97&gt;0,ROUNDDOWN(I97,2),ROUNDUP(I97,2))</f>
        <v>5.36</v>
      </c>
      <c r="J98" s="175">
        <f>IF(J97&gt;0,ROUNDDOWN(J97,2),ROUNDUP(J97,2))</f>
        <v>6.3</v>
      </c>
      <c r="K98" s="46">
        <f>IF(K97&gt;0,ROUNDDOWN(K97,2),ROUNDUP(K97,2))</f>
        <v>0</v>
      </c>
      <c r="L98" s="175">
        <f>IF(L97&gt;0,ROUNDDOWN(L97,2),ROUNDUP(L97,2))</f>
        <v>9.1199999999999992</v>
      </c>
      <c r="N98" s="161" t="s">
        <v>203</v>
      </c>
    </row>
    <row r="99" spans="1:14" x14ac:dyDescent="0.2">
      <c r="A99" s="10"/>
      <c r="H99" s="5"/>
      <c r="I99" s="5"/>
      <c r="J99" s="5"/>
      <c r="K99" s="5"/>
      <c r="L99" s="5"/>
      <c r="N99" s="154"/>
    </row>
    <row r="100" spans="1:14" x14ac:dyDescent="0.2">
      <c r="A100" s="10"/>
      <c r="B100" s="7" t="s">
        <v>4</v>
      </c>
      <c r="D100" s="6" t="s">
        <v>2</v>
      </c>
      <c r="F100" s="43">
        <f>SUM(H100:L100)</f>
        <v>1124373845.5809267</v>
      </c>
      <c r="G100" s="34">
        <f>SUM(H100:J100)</f>
        <v>1032818508.7093762</v>
      </c>
      <c r="H100" s="47">
        <f>H93*(K13-H98/100)</f>
        <v>944483018.28457248</v>
      </c>
      <c r="I100" s="47">
        <f>I93*(K13-I98/100)</f>
        <v>34100590.375701196</v>
      </c>
      <c r="J100" s="47">
        <f>J93*(K13-J98/100)</f>
        <v>54234900.049102589</v>
      </c>
      <c r="K100" s="47">
        <f>K93*(K13-K98/100)</f>
        <v>0</v>
      </c>
      <c r="L100" s="47">
        <f>L93*(K13-L98/100)</f>
        <v>91555336.871550515</v>
      </c>
      <c r="N100" s="161" t="s">
        <v>193</v>
      </c>
    </row>
    <row r="101" spans="1:14" x14ac:dyDescent="0.2">
      <c r="A101" s="10"/>
      <c r="B101" s="7" t="s">
        <v>5</v>
      </c>
      <c r="D101" s="6" t="s">
        <v>3</v>
      </c>
      <c r="F101" s="43">
        <f>SUM(H101:L101)</f>
        <v>1082642595.6425757</v>
      </c>
      <c r="G101" s="34">
        <f>SUM(H101:J101)</f>
        <v>997605998.75627971</v>
      </c>
      <c r="H101" s="47">
        <f>H100*(L14-H98/100)</f>
        <v>912748388.87021089</v>
      </c>
      <c r="I101" s="47">
        <f>I100*(L14-I98/100)</f>
        <v>32954810.539077636</v>
      </c>
      <c r="J101" s="47">
        <f>J100*(L14-J98/100)</f>
        <v>51902799.346991181</v>
      </c>
      <c r="K101" s="47">
        <f>K100*(L14-K98/100)</f>
        <v>0</v>
      </c>
      <c r="L101" s="47">
        <f>L100*(L14-L98/100)</f>
        <v>85036596.886296123</v>
      </c>
      <c r="N101" s="161" t="s">
        <v>194</v>
      </c>
    </row>
    <row r="102" spans="1:14" x14ac:dyDescent="0.2">
      <c r="B102" s="7" t="s">
        <v>6</v>
      </c>
      <c r="D102" s="6" t="s">
        <v>23</v>
      </c>
      <c r="F102" s="43">
        <f>SUM(H102:L102)</f>
        <v>1042580542.072199</v>
      </c>
      <c r="G102" s="34">
        <f>SUM(H102:J102)</f>
        <v>963598550.88420713</v>
      </c>
      <c r="H102" s="47">
        <f>H101*(M15-H98/100)</f>
        <v>882080043.00417185</v>
      </c>
      <c r="I102" s="47">
        <f>I101*(M15-I98/100)</f>
        <v>31847528.90496463</v>
      </c>
      <c r="J102" s="47">
        <f>J101*(M15-J98/100)</f>
        <v>49670978.975070566</v>
      </c>
      <c r="K102" s="47">
        <f>K101*(M15-K98/100)</f>
        <v>0</v>
      </c>
      <c r="L102" s="47">
        <f>L101*(M15-L98/100)</f>
        <v>78981991.187991843</v>
      </c>
      <c r="N102" s="161" t="s">
        <v>195</v>
      </c>
    </row>
    <row r="103" spans="1:14" s="67" customFormat="1" x14ac:dyDescent="0.2">
      <c r="B103" s="90"/>
      <c r="F103" s="91"/>
      <c r="G103" s="92"/>
      <c r="H103" s="91"/>
      <c r="I103" s="91"/>
      <c r="J103" s="91"/>
      <c r="K103" s="91"/>
      <c r="L103" s="91"/>
      <c r="N103" s="168"/>
    </row>
    <row r="104" spans="1:14" s="137" customFormat="1" x14ac:dyDescent="0.2">
      <c r="B104" s="138" t="s">
        <v>109</v>
      </c>
      <c r="N104" s="156"/>
    </row>
    <row r="105" spans="1:14" s="94" customFormat="1" x14ac:dyDescent="0.2">
      <c r="B105" s="93"/>
      <c r="N105" s="159"/>
    </row>
    <row r="106" spans="1:14" s="23" customFormat="1" ht="42.75" customHeight="1" x14ac:dyDescent="0.2">
      <c r="A106" s="6"/>
      <c r="B106" s="196" t="s">
        <v>124</v>
      </c>
      <c r="C106" s="201"/>
      <c r="D106" s="201"/>
      <c r="I106" s="53"/>
      <c r="J106" s="53"/>
      <c r="K106" s="53"/>
      <c r="L106" s="53"/>
      <c r="M106" s="53"/>
      <c r="N106" s="161" t="s">
        <v>204</v>
      </c>
    </row>
  </sheetData>
  <mergeCells count="5">
    <mergeCell ref="B29:D29"/>
    <mergeCell ref="B91:D91"/>
    <mergeCell ref="B60:D60"/>
    <mergeCell ref="B35:D35"/>
    <mergeCell ref="B106:D106"/>
  </mergeCells>
  <phoneticPr fontId="3" type="noConversion"/>
  <pageMargins left="0.75" right="0.75" top="1" bottom="1" header="0.5" footer="0.5"/>
  <pageSetup paperSize="9" scale="27"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sheetPr>
  <dimension ref="A1:N72"/>
  <sheetViews>
    <sheetView showGridLines="0" zoomScale="70" zoomScaleNormal="70" zoomScaleSheetLayoutView="70" workbookViewId="0">
      <pane xSplit="4" ySplit="2" topLeftCell="E3" activePane="bottomRight" state="frozen"/>
      <selection sqref="A1:XFD1"/>
      <selection pane="topRight" sqref="A1:XFD1"/>
      <selection pane="bottomLeft" sqref="A1:XFD1"/>
      <selection pane="bottomRight"/>
    </sheetView>
  </sheetViews>
  <sheetFormatPr defaultRowHeight="12.75" x14ac:dyDescent="0.2"/>
  <cols>
    <col min="1" max="1" width="3.7109375" style="6" customWidth="1"/>
    <col min="2" max="2" width="104.85546875" style="6" customWidth="1"/>
    <col min="3" max="3" width="2.5703125" style="6" customWidth="1"/>
    <col min="4" max="4" width="12.5703125" style="6" bestFit="1" customWidth="1"/>
    <col min="5" max="5" width="2.5703125" style="6" customWidth="1"/>
    <col min="6" max="6" width="16.7109375" style="6" customWidth="1"/>
    <col min="7" max="9" width="21.42578125" style="6" customWidth="1"/>
    <col min="10" max="10" width="26.42578125" style="6" customWidth="1"/>
    <col min="11" max="11" width="21.42578125" style="6" customWidth="1"/>
    <col min="12" max="12" width="27.28515625" style="6" bestFit="1" customWidth="1"/>
    <col min="13" max="13" width="21.42578125" style="6" customWidth="1"/>
    <col min="14" max="14" width="3.7109375" style="6" customWidth="1"/>
    <col min="15" max="15" width="14.85546875" style="6" customWidth="1"/>
    <col min="16" max="16384" width="9.140625" style="6"/>
  </cols>
  <sheetData>
    <row r="1" spans="2:13" s="2" customFormat="1" ht="12" customHeight="1" x14ac:dyDescent="0.2"/>
    <row r="2" spans="2:13" s="136" customFormat="1" ht="15" customHeight="1" x14ac:dyDescent="0.2">
      <c r="B2" s="136" t="s">
        <v>15</v>
      </c>
      <c r="F2" s="136" t="s">
        <v>79</v>
      </c>
      <c r="G2" s="136" t="s">
        <v>80</v>
      </c>
      <c r="H2" s="139" t="s">
        <v>146</v>
      </c>
      <c r="I2" s="139" t="s">
        <v>147</v>
      </c>
      <c r="J2" s="139" t="s">
        <v>148</v>
      </c>
      <c r="K2" s="139" t="s">
        <v>149</v>
      </c>
      <c r="L2" s="139" t="s">
        <v>150</v>
      </c>
    </row>
    <row r="3" spans="2:13" s="10" customFormat="1" ht="12" customHeight="1" x14ac:dyDescent="0.2"/>
    <row r="4" spans="2:13" s="10" customFormat="1" x14ac:dyDescent="0.2">
      <c r="B4" s="56" t="s">
        <v>105</v>
      </c>
    </row>
    <row r="6" spans="2:13" s="137" customFormat="1" x14ac:dyDescent="0.2">
      <c r="B6" s="137" t="s">
        <v>43</v>
      </c>
    </row>
    <row r="8" spans="2:13" s="10" customFormat="1" x14ac:dyDescent="0.2">
      <c r="B8" s="21" t="s">
        <v>40</v>
      </c>
      <c r="G8" s="10" t="s">
        <v>22</v>
      </c>
    </row>
    <row r="9" spans="2:13" x14ac:dyDescent="0.2">
      <c r="B9" s="10"/>
      <c r="C9" s="10"/>
      <c r="D9" s="10" t="s">
        <v>41</v>
      </c>
      <c r="E9" s="4"/>
      <c r="F9" s="4"/>
      <c r="G9" s="5">
        <v>2010</v>
      </c>
      <c r="H9" s="5">
        <v>2011</v>
      </c>
      <c r="I9" s="5">
        <v>2012</v>
      </c>
      <c r="J9" s="5">
        <v>2013</v>
      </c>
      <c r="K9" s="10"/>
      <c r="L9" s="10"/>
      <c r="M9" s="10"/>
    </row>
    <row r="10" spans="2:13" x14ac:dyDescent="0.2">
      <c r="D10" s="5">
        <v>2010</v>
      </c>
      <c r="G10" s="54"/>
      <c r="H10" s="50">
        <f>CPI!Q43</f>
        <v>1.0149999999999999</v>
      </c>
      <c r="I10" s="50">
        <f>CPI!R43</f>
        <v>1.0413899999999998</v>
      </c>
      <c r="J10" s="50">
        <f>CPI!S43</f>
        <v>1.06534197</v>
      </c>
      <c r="K10" s="10"/>
      <c r="L10" s="10"/>
      <c r="M10" s="10"/>
    </row>
    <row r="11" spans="2:13" x14ac:dyDescent="0.2">
      <c r="D11" s="5">
        <v>2011</v>
      </c>
      <c r="G11" s="54"/>
      <c r="H11" s="54"/>
      <c r="I11" s="50">
        <f>CPI!R44</f>
        <v>1.026</v>
      </c>
      <c r="J11" s="50">
        <f>CPI!S44</f>
        <v>1.049598</v>
      </c>
      <c r="K11" s="10"/>
      <c r="L11" s="10"/>
      <c r="M11" s="10"/>
    </row>
    <row r="12" spans="2:13" x14ac:dyDescent="0.2">
      <c r="D12" s="5">
        <v>2012</v>
      </c>
      <c r="G12" s="54"/>
      <c r="H12" s="54"/>
      <c r="I12" s="54"/>
      <c r="J12" s="50">
        <f>CPI!S45</f>
        <v>1.0229999999999999</v>
      </c>
      <c r="K12" s="10"/>
      <c r="L12" s="10"/>
      <c r="M12" s="10"/>
    </row>
    <row r="13" spans="2:13" x14ac:dyDescent="0.2">
      <c r="D13" s="5">
        <v>2013</v>
      </c>
      <c r="G13" s="54"/>
      <c r="H13" s="54"/>
      <c r="I13" s="54"/>
      <c r="J13" s="54"/>
      <c r="K13" s="10"/>
      <c r="L13" s="10"/>
      <c r="M13" s="10"/>
    </row>
    <row r="14" spans="2:13" x14ac:dyDescent="0.2">
      <c r="D14" s="5">
        <v>2014</v>
      </c>
      <c r="G14" s="54"/>
      <c r="H14" s="54"/>
      <c r="I14" s="54"/>
      <c r="J14" s="54"/>
      <c r="K14" s="10"/>
      <c r="L14" s="10"/>
      <c r="M14" s="10"/>
    </row>
    <row r="15" spans="2:13" x14ac:dyDescent="0.2">
      <c r="D15" s="5">
        <v>2015</v>
      </c>
      <c r="G15" s="54"/>
      <c r="H15" s="54"/>
      <c r="I15" s="54"/>
      <c r="J15" s="54"/>
      <c r="K15" s="10"/>
      <c r="L15" s="10"/>
      <c r="M15" s="10"/>
    </row>
    <row r="16" spans="2:13" x14ac:dyDescent="0.2">
      <c r="D16" s="5">
        <v>2016</v>
      </c>
      <c r="G16" s="54"/>
      <c r="H16" s="54"/>
      <c r="I16" s="54"/>
      <c r="J16" s="54"/>
      <c r="K16" s="10"/>
      <c r="L16" s="10"/>
      <c r="M16" s="10"/>
    </row>
    <row r="17" spans="1:14" x14ac:dyDescent="0.2">
      <c r="K17" s="10"/>
      <c r="L17" s="10"/>
      <c r="M17" s="10"/>
    </row>
    <row r="18" spans="1:14" s="137" customFormat="1" x14ac:dyDescent="0.2">
      <c r="B18" s="137" t="s">
        <v>24</v>
      </c>
    </row>
    <row r="19" spans="1:14" x14ac:dyDescent="0.2">
      <c r="B19" s="2" t="s">
        <v>130</v>
      </c>
      <c r="G19" s="132">
        <v>5.8000000000000003E-2</v>
      </c>
    </row>
    <row r="20" spans="1:14" s="10" customFormat="1" x14ac:dyDescent="0.2">
      <c r="B20" s="61" t="s">
        <v>81</v>
      </c>
      <c r="H20" s="194">
        <f>Parameters!G5</f>
        <v>0.91399999999999992</v>
      </c>
      <c r="I20" s="194">
        <f>Parameters!H5</f>
        <v>3.3000000000000002E-2</v>
      </c>
      <c r="J20" s="194">
        <f>Parameters!I5</f>
        <v>5.2999999999999999E-2</v>
      </c>
    </row>
    <row r="21" spans="1:14" s="10" customFormat="1" x14ac:dyDescent="0.2">
      <c r="B21" s="61" t="s">
        <v>78</v>
      </c>
      <c r="H21" s="194">
        <f>Parameters!G6</f>
        <v>0.91399999999999992</v>
      </c>
      <c r="I21" s="194">
        <f>Parameters!H6</f>
        <v>3.3000000000000002E-2</v>
      </c>
      <c r="J21" s="194">
        <f>Parameters!I6</f>
        <v>5.2999999999999999E-2</v>
      </c>
    </row>
    <row r="22" spans="1:14" s="10" customFormat="1" x14ac:dyDescent="0.2">
      <c r="B22" s="75" t="s">
        <v>208</v>
      </c>
      <c r="G22" s="194">
        <f>Parameters!F8</f>
        <v>0.01</v>
      </c>
      <c r="H22" s="62"/>
    </row>
    <row r="23" spans="1:14" s="10" customFormat="1" x14ac:dyDescent="0.2">
      <c r="B23" s="75" t="s">
        <v>121</v>
      </c>
      <c r="G23" s="195">
        <f>Parameters!F9</f>
        <v>0.01</v>
      </c>
      <c r="H23" s="62"/>
    </row>
    <row r="25" spans="1:14" s="137" customFormat="1" x14ac:dyDescent="0.2">
      <c r="B25" s="138" t="s">
        <v>191</v>
      </c>
    </row>
    <row r="26" spans="1:14" s="23" customFormat="1" x14ac:dyDescent="0.2">
      <c r="D26" s="123"/>
      <c r="F26" s="6"/>
    </row>
    <row r="27" spans="1:14" s="23" customFormat="1" x14ac:dyDescent="0.2">
      <c r="B27" s="196" t="s">
        <v>90</v>
      </c>
      <c r="C27" s="197"/>
      <c r="D27" s="198"/>
    </row>
    <row r="28" spans="1:14" x14ac:dyDescent="0.2">
      <c r="B28" s="7"/>
      <c r="C28" s="7"/>
      <c r="D28" s="124"/>
    </row>
    <row r="29" spans="1:14" s="10" customFormat="1" x14ac:dyDescent="0.2">
      <c r="B29" s="125" t="s">
        <v>25</v>
      </c>
      <c r="C29" s="11"/>
      <c r="D29" s="126" t="s">
        <v>47</v>
      </c>
      <c r="F29" s="43">
        <f>F71</f>
        <v>1143901583.0875962</v>
      </c>
      <c r="G29" s="134">
        <f>SUM(H29:J29)</f>
        <v>1060899706.5065508</v>
      </c>
      <c r="H29" s="133">
        <f>H71</f>
        <v>969662331.74698734</v>
      </c>
      <c r="I29" s="133">
        <f>I71</f>
        <v>35009690.314716175</v>
      </c>
      <c r="J29" s="133">
        <f>J71</f>
        <v>56227684.444847181</v>
      </c>
      <c r="K29" s="133">
        <f>K71</f>
        <v>0</v>
      </c>
      <c r="L29" s="133">
        <f>L71</f>
        <v>83001876.581045434</v>
      </c>
    </row>
    <row r="30" spans="1:14" s="10" customFormat="1" x14ac:dyDescent="0.2">
      <c r="B30" s="125"/>
      <c r="C30" s="11"/>
      <c r="D30" s="126"/>
      <c r="F30" s="91"/>
      <c r="G30" s="81"/>
      <c r="H30" s="92"/>
      <c r="I30" s="92"/>
      <c r="J30" s="92"/>
      <c r="K30" s="81"/>
      <c r="L30" s="81"/>
    </row>
    <row r="31" spans="1:14" s="25" customFormat="1" x14ac:dyDescent="0.2">
      <c r="A31" s="10"/>
      <c r="B31" s="25" t="s">
        <v>20</v>
      </c>
      <c r="D31" s="25" t="s">
        <v>46</v>
      </c>
      <c r="G31" s="36">
        <f>'OPEX CAPEX'!G35</f>
        <v>310461431.84281206</v>
      </c>
      <c r="H31" s="86">
        <f>$G$31*H20</f>
        <v>283761748.70433021</v>
      </c>
      <c r="I31" s="86">
        <f>$G$31*I20</f>
        <v>10245227.250812799</v>
      </c>
      <c r="J31" s="86">
        <f>$G$31*J20</f>
        <v>16454455.887669038</v>
      </c>
      <c r="K31" s="36">
        <f>'OPEX CAPEX'!H35</f>
        <v>0</v>
      </c>
      <c r="L31" s="36">
        <f>'OPEX CAPEX'!I35</f>
        <v>17883647.416719198</v>
      </c>
      <c r="M31" s="33"/>
      <c r="N31" s="33"/>
    </row>
    <row r="32" spans="1:14" s="25" customFormat="1" ht="13.5" thickBot="1" x14ac:dyDescent="0.25">
      <c r="A32" s="10"/>
      <c r="B32" s="2" t="s">
        <v>131</v>
      </c>
      <c r="D32" s="25" t="s">
        <v>46</v>
      </c>
      <c r="G32" s="40">
        <f>'OPEX CAPEX'!G36*G19</f>
        <v>368529098.59569222</v>
      </c>
      <c r="H32" s="41">
        <f>$G$32*H20</f>
        <v>336835596.11646265</v>
      </c>
      <c r="I32" s="41">
        <f>$G$32*I20</f>
        <v>12161460.253657844</v>
      </c>
      <c r="J32" s="41">
        <f>$G$32*J20</f>
        <v>19532042.225571688</v>
      </c>
      <c r="K32" s="41">
        <f>'OPEX CAPEX'!H36*$G$19</f>
        <v>0</v>
      </c>
      <c r="L32" s="41">
        <f>'OPEX CAPEX'!I36*$G$19</f>
        <v>18994507.365036409</v>
      </c>
      <c r="M32" s="33"/>
      <c r="N32" s="33"/>
    </row>
    <row r="33" spans="1:14" s="25" customFormat="1" ht="13.5" thickTop="1" x14ac:dyDescent="0.2">
      <c r="A33" s="10"/>
      <c r="B33" s="61" t="s">
        <v>82</v>
      </c>
      <c r="D33" s="25" t="s">
        <v>46</v>
      </c>
      <c r="H33" s="34">
        <f>H31+H32</f>
        <v>620597344.82079291</v>
      </c>
      <c r="I33" s="34">
        <f>I31+I32</f>
        <v>22406687.504470643</v>
      </c>
      <c r="J33" s="34">
        <f>J31+J32</f>
        <v>35986498.113240726</v>
      </c>
      <c r="K33" s="34">
        <f>K31+K32</f>
        <v>0</v>
      </c>
      <c r="L33" s="34">
        <f>L31+L32</f>
        <v>36878154.781755611</v>
      </c>
      <c r="M33" s="33"/>
      <c r="N33" s="33"/>
    </row>
    <row r="34" spans="1:14" s="33" customFormat="1" x14ac:dyDescent="0.2">
      <c r="H34" s="39"/>
      <c r="I34" s="39"/>
      <c r="J34" s="39"/>
      <c r="K34" s="39"/>
      <c r="L34" s="39"/>
    </row>
    <row r="35" spans="1:14" s="23" customFormat="1" x14ac:dyDescent="0.2">
      <c r="B35" s="57" t="s">
        <v>92</v>
      </c>
    </row>
    <row r="36" spans="1:14" s="25" customFormat="1" x14ac:dyDescent="0.2">
      <c r="B36" s="32" t="s">
        <v>10</v>
      </c>
      <c r="G36" s="33"/>
    </row>
    <row r="37" spans="1:14" s="33" customFormat="1" x14ac:dyDescent="0.2">
      <c r="A37" s="22"/>
      <c r="B37" s="65" t="s">
        <v>84</v>
      </c>
      <c r="D37" s="2" t="s">
        <v>44</v>
      </c>
      <c r="G37" s="173">
        <f>'OPEX CAPEX'!G25/$H$10</f>
        <v>5009726.4433047911</v>
      </c>
      <c r="H37" s="36">
        <f>$G$37*H20</f>
        <v>4578889.9691805784</v>
      </c>
      <c r="I37" s="36">
        <f>$G$37*I20</f>
        <v>165320.97262905812</v>
      </c>
      <c r="J37" s="36">
        <f>$G$37*J20</f>
        <v>265515.50149515393</v>
      </c>
      <c r="K37" s="36">
        <f>'OPEX CAPEX'!H25/$H$10</f>
        <v>0</v>
      </c>
      <c r="L37" s="36">
        <f>'OPEX CAPEX'!I25/$H$10</f>
        <v>137314.02489192222</v>
      </c>
    </row>
    <row r="38" spans="1:14" s="33" customFormat="1" x14ac:dyDescent="0.2">
      <c r="A38" s="22"/>
      <c r="B38" s="65" t="s">
        <v>85</v>
      </c>
      <c r="D38" s="2" t="s">
        <v>44</v>
      </c>
      <c r="G38" s="40">
        <f>'OPEX CAPEX'!G26/$H$10*G19</f>
        <v>5660693.3639533352</v>
      </c>
      <c r="H38" s="40">
        <f>$G$38*H20</f>
        <v>5173873.7346533481</v>
      </c>
      <c r="I38" s="40">
        <f>$G$38*I20</f>
        <v>186802.88101046009</v>
      </c>
      <c r="J38" s="40">
        <f>$G$38*J20</f>
        <v>300016.74828952673</v>
      </c>
      <c r="K38" s="40">
        <f>'OPEX CAPEX'!H26/$H$10*F19</f>
        <v>0</v>
      </c>
      <c r="L38" s="40">
        <f>'OPEX CAPEX'!I26/$H$10*G19</f>
        <v>226980.08314634746</v>
      </c>
      <c r="M38" s="10"/>
    </row>
    <row r="39" spans="1:14" s="33" customFormat="1" x14ac:dyDescent="0.2">
      <c r="A39" s="22"/>
      <c r="B39" s="78" t="s">
        <v>125</v>
      </c>
      <c r="C39" s="120"/>
      <c r="D39" s="25" t="s">
        <v>44</v>
      </c>
      <c r="E39" s="120"/>
      <c r="F39" s="120"/>
      <c r="G39" s="170">
        <f>$G$23*'OPEX CAPEX'!G14</f>
        <v>1051127.5111242845</v>
      </c>
      <c r="H39" s="170">
        <f>$G$39*H21</f>
        <v>960730.54516759596</v>
      </c>
      <c r="I39" s="170">
        <f>$G$39*I21</f>
        <v>34687.207867101388</v>
      </c>
      <c r="J39" s="170">
        <f>$G$39*J21</f>
        <v>55709.758089587078</v>
      </c>
      <c r="K39" s="170">
        <f>'OPEX CAPEX'!H14*$G$23</f>
        <v>0</v>
      </c>
      <c r="L39" s="170">
        <f>$G$23*'OPEX CAPEX'!I14</f>
        <v>41194.207467576663</v>
      </c>
    </row>
    <row r="40" spans="1:14" s="33" customFormat="1" x14ac:dyDescent="0.2">
      <c r="B40" s="78" t="s">
        <v>126</v>
      </c>
      <c r="D40" s="25" t="s">
        <v>46</v>
      </c>
      <c r="G40" s="34">
        <f>SUM(H40:J40)</f>
        <v>11963788.788868638</v>
      </c>
      <c r="H40" s="82">
        <f>((H37+H38+H39)*$I$10)*(1-$G$22)^2</f>
        <v>10934902.953025935</v>
      </c>
      <c r="I40" s="82">
        <f>((I37+I38+I39)*$I$10)*(1-$G$22)^2</f>
        <v>394805.03003266512</v>
      </c>
      <c r="J40" s="82">
        <f>((J37+J38+J39)*$I$10)*(1-$G$22)^2</f>
        <v>634080.805810038</v>
      </c>
      <c r="K40" s="82">
        <f>((K37+K38+K39)*$I$10)*(1-$G$22)^2</f>
        <v>0</v>
      </c>
      <c r="L40" s="82">
        <f>((L37+L38+L39)*$I$10)*(1-$G$22)^2</f>
        <v>413868.274494629</v>
      </c>
    </row>
    <row r="41" spans="1:14" s="33" customFormat="1" x14ac:dyDescent="0.2">
      <c r="A41" s="78"/>
      <c r="B41" s="78"/>
      <c r="G41" s="42"/>
      <c r="H41" s="39"/>
      <c r="I41" s="39"/>
      <c r="J41" s="39"/>
      <c r="K41" s="39"/>
      <c r="L41" s="39"/>
    </row>
    <row r="42" spans="1:14" s="25" customFormat="1" x14ac:dyDescent="0.2">
      <c r="A42" s="33"/>
      <c r="B42" s="32" t="s">
        <v>11</v>
      </c>
      <c r="M42" s="33"/>
      <c r="N42" s="33"/>
    </row>
    <row r="43" spans="1:14" s="33" customFormat="1" x14ac:dyDescent="0.2">
      <c r="A43" s="22"/>
      <c r="B43" s="78" t="s">
        <v>86</v>
      </c>
      <c r="C43" s="78"/>
      <c r="D43" s="2" t="s">
        <v>45</v>
      </c>
      <c r="G43" s="173">
        <f>'OPEX CAPEX'!G38/$I$11</f>
        <v>6389388.9258138295</v>
      </c>
      <c r="H43" s="36">
        <f>$G$43*H20</f>
        <v>5839901.47819384</v>
      </c>
      <c r="I43" s="36">
        <f>$G$43*I20</f>
        <v>210849.83455185639</v>
      </c>
      <c r="J43" s="36">
        <f>$G$43*J20</f>
        <v>338637.61306813295</v>
      </c>
      <c r="K43" s="36">
        <f>'OPEX CAPEX'!H38/$I$11</f>
        <v>0</v>
      </c>
      <c r="L43" s="36">
        <f>'OPEX CAPEX'!I38/$I$11</f>
        <v>68669.403480308305</v>
      </c>
    </row>
    <row r="44" spans="1:14" s="33" customFormat="1" x14ac:dyDescent="0.2">
      <c r="A44" s="22"/>
      <c r="B44" s="78" t="s">
        <v>87</v>
      </c>
      <c r="C44" s="78"/>
      <c r="D44" s="2" t="s">
        <v>45</v>
      </c>
      <c r="G44" s="86">
        <f>'OPEX CAPEX'!G39*G19/$I$11</f>
        <v>1419017.8519492617</v>
      </c>
      <c r="H44" s="40">
        <f>$G$44*H20</f>
        <v>1296982.3166816251</v>
      </c>
      <c r="I44" s="40">
        <f>$G$44*I20</f>
        <v>46827.589114325638</v>
      </c>
      <c r="J44" s="40">
        <f>$G$44*J20</f>
        <v>75207.94615331087</v>
      </c>
      <c r="K44" s="40">
        <f>'OPEX CAPEX'!H39/$I$11*F19</f>
        <v>0</v>
      </c>
      <c r="L44" s="40">
        <f>'OPEX CAPEX'!I39/$I$11*G19</f>
        <v>113510.52395294965</v>
      </c>
    </row>
    <row r="45" spans="1:14" s="33" customFormat="1" x14ac:dyDescent="0.2">
      <c r="A45" s="22"/>
      <c r="B45" s="78" t="s">
        <v>122</v>
      </c>
      <c r="C45" s="78"/>
      <c r="D45" s="2" t="s">
        <v>45</v>
      </c>
      <c r="E45" s="120"/>
      <c r="F45" s="120"/>
      <c r="G45" s="170">
        <f>$G$23*'OPEX CAPEX'!G27</f>
        <v>340499.08422328706</v>
      </c>
      <c r="H45" s="170">
        <f>$G$45*H$20</f>
        <v>311216.16298008437</v>
      </c>
      <c r="I45" s="170">
        <f>$G$45*I$20</f>
        <v>11236.469779368474</v>
      </c>
      <c r="J45" s="170">
        <f>$G$45*J$20</f>
        <v>18046.451463834215</v>
      </c>
      <c r="K45" s="170">
        <f>$G$23*'OPEX CAPEX'!H27</f>
        <v>0</v>
      </c>
      <c r="L45" s="170">
        <f>$G$23*'OPEX CAPEX'!I27</f>
        <v>20600.821044092492</v>
      </c>
    </row>
    <row r="46" spans="1:14" s="33" customFormat="1" x14ac:dyDescent="0.2">
      <c r="A46" s="22"/>
      <c r="B46" s="78" t="s">
        <v>127</v>
      </c>
      <c r="C46" s="78"/>
      <c r="D46" s="2" t="s">
        <v>46</v>
      </c>
      <c r="G46" s="34">
        <f>SUM(H46:J46)</f>
        <v>8277169.640254044</v>
      </c>
      <c r="H46" s="82">
        <f>(H43+H44+H45)*$I$11*(1-$G$22)</f>
        <v>7565333.0511921961</v>
      </c>
      <c r="I46" s="82">
        <f>(I43+I44+I45)*$I$11*(1-$G$22)</f>
        <v>273146.59812838351</v>
      </c>
      <c r="J46" s="82">
        <f>(J43+J44+J45)*$I$11*(1-$G$22)</f>
        <v>438689.99093346432</v>
      </c>
      <c r="K46" s="82">
        <f>(K43+K44+K45)*$I$11*(1-$G$22)</f>
        <v>0</v>
      </c>
      <c r="L46" s="82">
        <f>(L43+L44+L45)*$I$11*(1-$G$22)</f>
        <v>205972.51745838395</v>
      </c>
    </row>
    <row r="47" spans="1:14" s="25" customFormat="1" x14ac:dyDescent="0.2">
      <c r="A47" s="22"/>
      <c r="B47" s="2"/>
      <c r="C47" s="2"/>
      <c r="D47" s="2"/>
      <c r="G47" s="33"/>
      <c r="H47" s="33"/>
      <c r="I47" s="33"/>
      <c r="J47" s="33"/>
      <c r="K47" s="33"/>
      <c r="L47" s="33"/>
      <c r="M47" s="33"/>
      <c r="N47" s="33"/>
    </row>
    <row r="48" spans="1:14" s="25" customFormat="1" x14ac:dyDescent="0.2">
      <c r="A48" s="22"/>
      <c r="B48" s="56" t="s">
        <v>12</v>
      </c>
      <c r="C48" s="2"/>
      <c r="D48" s="2"/>
      <c r="G48" s="33"/>
      <c r="H48" s="33"/>
      <c r="I48" s="33"/>
      <c r="J48" s="33"/>
      <c r="K48" s="33"/>
      <c r="L48" s="33"/>
      <c r="M48" s="33"/>
      <c r="N48" s="33"/>
    </row>
    <row r="49" spans="1:14" s="25" customFormat="1" x14ac:dyDescent="0.2">
      <c r="A49" s="22"/>
      <c r="B49" s="78" t="s">
        <v>88</v>
      </c>
      <c r="C49" s="2"/>
      <c r="D49" s="2" t="s">
        <v>46</v>
      </c>
      <c r="G49" s="86">
        <f>'OPEX CAPEX'!G48/$J$12</f>
        <v>4502829.1732123187</v>
      </c>
      <c r="H49" s="86">
        <f>$G$49*H20</f>
        <v>4115585.8643160588</v>
      </c>
      <c r="I49" s="86">
        <f>$G$49*I20</f>
        <v>148593.36271600652</v>
      </c>
      <c r="J49" s="86">
        <f>$G$49*J20</f>
        <v>238649.94618025288</v>
      </c>
      <c r="K49" s="36">
        <f>'OPEX CAPEX'!H48/$J$12</f>
        <v>0</v>
      </c>
      <c r="L49" s="36">
        <f>'OPEX CAPEX'!I48/$J$12</f>
        <v>5272.8336666666673</v>
      </c>
      <c r="M49" s="33"/>
      <c r="N49" s="33"/>
    </row>
    <row r="50" spans="1:14" s="25" customFormat="1" x14ac:dyDescent="0.2">
      <c r="A50" s="22"/>
      <c r="B50" s="78" t="s">
        <v>89</v>
      </c>
      <c r="C50" s="2"/>
      <c r="D50" s="2" t="s">
        <v>46</v>
      </c>
      <c r="G50" s="86">
        <f>'OPEX CAPEX'!G49/$J$12*G19</f>
        <v>1071533.3704491579</v>
      </c>
      <c r="H50" s="40">
        <f>$G$50*H20</f>
        <v>979381.50059053022</v>
      </c>
      <c r="I50" s="40">
        <f>$G$50*I20</f>
        <v>35360.60122482221</v>
      </c>
      <c r="J50" s="40">
        <f>$G$50*J20</f>
        <v>56791.268633805368</v>
      </c>
      <c r="K50" s="86">
        <f>'OPEX CAPEX'!H49/$J$12*F19</f>
        <v>0</v>
      </c>
      <c r="L50" s="86">
        <f>'OPEX CAPEX'!I49/$J$12*G19</f>
        <v>8715.9940510000015</v>
      </c>
      <c r="M50" s="33"/>
      <c r="N50" s="33"/>
    </row>
    <row r="51" spans="1:14" s="25" customFormat="1" x14ac:dyDescent="0.2">
      <c r="A51" s="22"/>
      <c r="B51" s="78" t="s">
        <v>123</v>
      </c>
      <c r="C51" s="78"/>
      <c r="D51" s="78" t="s">
        <v>46</v>
      </c>
      <c r="E51" s="120"/>
      <c r="F51" s="120"/>
      <c r="G51" s="170">
        <f>$G$23*'OPEX CAPEX'!G40</f>
        <v>252289.57043424645</v>
      </c>
      <c r="H51" s="170">
        <f>$G$51*H$20</f>
        <v>230592.66737690123</v>
      </c>
      <c r="I51" s="170">
        <f>$G$51*I$20</f>
        <v>8325.555824330133</v>
      </c>
      <c r="J51" s="170">
        <f>$G$51*J$20</f>
        <v>13371.347233015062</v>
      </c>
      <c r="K51" s="170">
        <f>$G$23*'OPEX CAPEX'!H40</f>
        <v>0</v>
      </c>
      <c r="L51" s="170">
        <f>$G$23*'OPEX CAPEX'!I40</f>
        <v>1581.8501000000001</v>
      </c>
      <c r="M51" s="33"/>
      <c r="N51" s="33"/>
    </row>
    <row r="52" spans="1:14" s="33" customFormat="1" x14ac:dyDescent="0.2">
      <c r="A52" s="22"/>
      <c r="B52" s="78" t="s">
        <v>83</v>
      </c>
      <c r="C52" s="78"/>
      <c r="D52" s="2" t="s">
        <v>46</v>
      </c>
      <c r="G52" s="34">
        <f>SUM(H52:J52)</f>
        <v>5826652.1140957223</v>
      </c>
      <c r="H52" s="34">
        <f>H49+H50+H51</f>
        <v>5325560.0322834896</v>
      </c>
      <c r="I52" s="34">
        <f t="shared" ref="I52:L52" si="0">I49+I50+I51</f>
        <v>192279.51976515888</v>
      </c>
      <c r="J52" s="34">
        <f t="shared" si="0"/>
        <v>308812.56204707333</v>
      </c>
      <c r="K52" s="34">
        <f t="shared" si="0"/>
        <v>0</v>
      </c>
      <c r="L52" s="34">
        <f t="shared" si="0"/>
        <v>15570.677817666668</v>
      </c>
    </row>
    <row r="53" spans="1:14" x14ac:dyDescent="0.2">
      <c r="A53" s="5"/>
      <c r="B53" s="7"/>
      <c r="C53" s="7"/>
      <c r="D53" s="124"/>
    </row>
    <row r="54" spans="1:14" s="33" customFormat="1" x14ac:dyDescent="0.2">
      <c r="B54" s="78" t="s">
        <v>94</v>
      </c>
      <c r="D54" s="25" t="s">
        <v>44</v>
      </c>
      <c r="G54" s="36">
        <f>'OPEX CAPEX'!G16</f>
        <v>77665085.940311804</v>
      </c>
      <c r="H54" s="40">
        <f>$G$54*H21</f>
        <v>70985888.549444988</v>
      </c>
      <c r="I54" s="40">
        <f>$G$54*I21</f>
        <v>2562947.8360302895</v>
      </c>
      <c r="J54" s="40">
        <f>$G$54*J21</f>
        <v>4116249.5548365256</v>
      </c>
      <c r="K54" s="36">
        <f>'OPEX CAPEX'!H16</f>
        <v>0</v>
      </c>
      <c r="L54" s="36">
        <f>'OPEX CAPEX'!I16</f>
        <v>6906046.3773282198</v>
      </c>
    </row>
    <row r="55" spans="1:14" s="33" customFormat="1" x14ac:dyDescent="0.2">
      <c r="B55" s="78" t="s">
        <v>97</v>
      </c>
      <c r="D55" s="25" t="s">
        <v>46</v>
      </c>
      <c r="H55" s="40">
        <f>H54*$I$10*(1-$G$22)^2</f>
        <v>72452906.986424014</v>
      </c>
      <c r="I55" s="40">
        <f>I54*$I$10*(1-$G$22)^2</f>
        <v>2615914.5848490074</v>
      </c>
      <c r="J55" s="40">
        <f>J54*$I$10*(1-$G$22)^2</f>
        <v>4201317.3635453749</v>
      </c>
      <c r="K55" s="40">
        <f>K54*$I$10*(1-$G$22)^2</f>
        <v>0</v>
      </c>
      <c r="L55" s="40">
        <f>L54*$I$10*(1-$G$22)^2</f>
        <v>7048769.0729118055</v>
      </c>
    </row>
    <row r="56" spans="1:14" s="33" customFormat="1" x14ac:dyDescent="0.2">
      <c r="B56" s="78" t="s">
        <v>95</v>
      </c>
      <c r="D56" s="25" t="s">
        <v>45</v>
      </c>
      <c r="G56" s="36">
        <f>'OPEX CAPEX'!G29</f>
        <v>80748450.499689296</v>
      </c>
      <c r="H56" s="40">
        <f>$G$56*H21</f>
        <v>73804083.756716013</v>
      </c>
      <c r="I56" s="40">
        <f>$G$56*I21</f>
        <v>2664698.8664897471</v>
      </c>
      <c r="J56" s="40">
        <f>$G$56*J21</f>
        <v>4279667.8764835326</v>
      </c>
      <c r="K56" s="36">
        <f>'OPEX CAPEX'!H29</f>
        <v>0</v>
      </c>
      <c r="L56" s="36">
        <f>'OPEX CAPEX'!I29</f>
        <v>5520515.5374246296</v>
      </c>
    </row>
    <row r="57" spans="1:14" s="33" customFormat="1" x14ac:dyDescent="0.2">
      <c r="B57" s="78" t="s">
        <v>98</v>
      </c>
      <c r="D57" s="25" t="s">
        <v>46</v>
      </c>
      <c r="H57" s="40">
        <f>H56*$I$11*(1-$G$22)^1</f>
        <v>74965760.035046726</v>
      </c>
      <c r="I57" s="40">
        <f>I56*$I$11*(1-$G$22)^1</f>
        <v>2706641.2266482958</v>
      </c>
      <c r="J57" s="40">
        <f>J56*$I$11*(1-$G$22)^1</f>
        <v>4347029.8488593837</v>
      </c>
      <c r="K57" s="40">
        <f>K56*$I$11*(1-$G$22)^1</f>
        <v>0</v>
      </c>
      <c r="L57" s="40">
        <f>L56*$I$11*(1-$G$22)^1</f>
        <v>5607408.4519836931</v>
      </c>
    </row>
    <row r="58" spans="1:14" s="33" customFormat="1" x14ac:dyDescent="0.2">
      <c r="B58" s="78" t="s">
        <v>96</v>
      </c>
      <c r="D58" s="25" t="s">
        <v>46</v>
      </c>
      <c r="G58" s="36">
        <f>'OPEX CAPEX'!G42</f>
        <v>86050642.822007701</v>
      </c>
      <c r="H58" s="40">
        <f>$G$58*H21</f>
        <v>78650287.53931503</v>
      </c>
      <c r="I58" s="40">
        <f>$G$58*I21</f>
        <v>2839671.2131262543</v>
      </c>
      <c r="J58" s="40">
        <f>$G$58*J21</f>
        <v>4560684.0695664082</v>
      </c>
      <c r="K58" s="36">
        <f>'OPEX CAPEX'!H42</f>
        <v>0</v>
      </c>
      <c r="L58" s="36">
        <f>'OPEX CAPEX'!I42</f>
        <v>5836327.4014054406</v>
      </c>
    </row>
    <row r="59" spans="1:14" s="80" customFormat="1" x14ac:dyDescent="0.2">
      <c r="A59" s="78"/>
      <c r="B59" s="79"/>
      <c r="G59" s="81"/>
      <c r="H59" s="81"/>
      <c r="I59" s="81"/>
      <c r="J59" s="81"/>
      <c r="K59" s="81"/>
      <c r="L59" s="81"/>
    </row>
    <row r="60" spans="1:14" s="33" customFormat="1" x14ac:dyDescent="0.2">
      <c r="A60" s="22"/>
      <c r="B60" s="78" t="s">
        <v>100</v>
      </c>
      <c r="D60" s="25" t="s">
        <v>46</v>
      </c>
      <c r="H60" s="40">
        <f>AVERAGE(H55,H57,H58)</f>
        <v>75356318.186928585</v>
      </c>
      <c r="I60" s="40">
        <f>AVERAGE(I55,I57,I58)</f>
        <v>2720742.3415411855</v>
      </c>
      <c r="J60" s="40">
        <f>AVERAGE(J55,J57,J58)</f>
        <v>4369677.0939903883</v>
      </c>
      <c r="K60" s="40">
        <f>AVERAGE(K55,K57,K58)</f>
        <v>0</v>
      </c>
      <c r="L60" s="40">
        <f>AVERAGE(L55,L57,L58)</f>
        <v>6164168.3087669797</v>
      </c>
    </row>
    <row r="61" spans="1:14" s="25" customFormat="1" x14ac:dyDescent="0.2">
      <c r="A61" s="22"/>
      <c r="B61" s="63" t="s">
        <v>19</v>
      </c>
      <c r="D61" s="25" t="s">
        <v>46</v>
      </c>
      <c r="G61" s="36">
        <f>'OPEX CAPEX'!G43</f>
        <v>70862926.549999997</v>
      </c>
      <c r="H61" s="40">
        <f>$G$61*H21</f>
        <v>64768714.866699994</v>
      </c>
      <c r="I61" s="40">
        <f>$G$61*I21</f>
        <v>2338476.5761500001</v>
      </c>
      <c r="J61" s="40">
        <f>$G$61*J21</f>
        <v>3755735.1071499996</v>
      </c>
      <c r="K61" s="36">
        <f>'OPEX CAPEX'!H43</f>
        <v>0</v>
      </c>
      <c r="L61" s="36">
        <f>'OPEX CAPEX'!I43</f>
        <v>24560886.07</v>
      </c>
      <c r="M61" s="33"/>
      <c r="N61" s="33"/>
    </row>
    <row r="62" spans="1:14" s="25" customFormat="1" ht="13.5" thickBot="1" x14ac:dyDescent="0.25">
      <c r="A62" s="22"/>
      <c r="B62" s="63" t="s">
        <v>18</v>
      </c>
      <c r="D62" s="25" t="s">
        <v>46</v>
      </c>
      <c r="G62" s="36">
        <f>'OPEX CAPEX'!G44</f>
        <v>205729884.84706339</v>
      </c>
      <c r="H62" s="41">
        <f>$G$62*H21</f>
        <v>188037114.75021592</v>
      </c>
      <c r="I62" s="41">
        <f>$G$62*I21</f>
        <v>6789086.1999530923</v>
      </c>
      <c r="J62" s="41">
        <f>$G$62*J21</f>
        <v>10903683.89689436</v>
      </c>
      <c r="K62" s="37">
        <f>'OPEX CAPEX'!H44</f>
        <v>0</v>
      </c>
      <c r="L62" s="37">
        <f>'OPEX CAPEX'!I44</f>
        <v>13890065.132117931</v>
      </c>
    </row>
    <row r="63" spans="1:14" s="25" customFormat="1" ht="13.5" thickTop="1" x14ac:dyDescent="0.2">
      <c r="A63" s="22"/>
      <c r="B63" s="25" t="s">
        <v>48</v>
      </c>
      <c r="D63" s="25" t="s">
        <v>46</v>
      </c>
      <c r="H63" s="38">
        <f>SUM(H60:H62)</f>
        <v>328162147.80384445</v>
      </c>
      <c r="I63" s="38">
        <f>SUM(I60:I62)</f>
        <v>11848305.117644278</v>
      </c>
      <c r="J63" s="38">
        <f>SUM(J60:J62)</f>
        <v>19029096.098034747</v>
      </c>
      <c r="K63" s="38">
        <f>SUM(K60:K62)</f>
        <v>0</v>
      </c>
      <c r="L63" s="38">
        <f>SUM(L60:L62)</f>
        <v>44615119.510884911</v>
      </c>
      <c r="M63" s="64"/>
    </row>
    <row r="64" spans="1:14" s="33" customFormat="1" x14ac:dyDescent="0.2">
      <c r="H64" s="42"/>
      <c r="I64" s="42"/>
      <c r="J64" s="42"/>
      <c r="K64" s="42"/>
      <c r="L64" s="42"/>
    </row>
    <row r="65" spans="1:12" x14ac:dyDescent="0.2">
      <c r="A65" s="5"/>
      <c r="B65" s="57" t="s">
        <v>112</v>
      </c>
      <c r="C65" s="2"/>
      <c r="D65" s="2"/>
    </row>
    <row r="66" spans="1:12" x14ac:dyDescent="0.2">
      <c r="A66" s="22"/>
      <c r="B66" s="2" t="s">
        <v>113</v>
      </c>
      <c r="G66" s="74">
        <f>J12</f>
        <v>1.0229999999999999</v>
      </c>
    </row>
    <row r="67" spans="1:12" x14ac:dyDescent="0.2">
      <c r="A67" s="5"/>
      <c r="B67" s="2" t="s">
        <v>114</v>
      </c>
      <c r="D67" s="25" t="s">
        <v>47</v>
      </c>
      <c r="F67" s="95"/>
      <c r="H67" s="131">
        <f>H33*$G$66*(1-$G$22)^1</f>
        <v>628522372.91415441</v>
      </c>
      <c r="I67" s="131">
        <f>I33*$G$66*(1-$G$22)^1</f>
        <v>22692820.903902728</v>
      </c>
      <c r="J67" s="131">
        <f>J33*$G$66*(1-$G$22)^1</f>
        <v>36446045.694146805</v>
      </c>
      <c r="K67" s="131">
        <f>K33*$G$66*(1-$G$22)^1</f>
        <v>0</v>
      </c>
      <c r="L67" s="131">
        <f>L33*$G$66*(1-$G$22)^1</f>
        <v>37349088.818318628</v>
      </c>
    </row>
    <row r="68" spans="1:12" x14ac:dyDescent="0.2">
      <c r="A68" s="5"/>
      <c r="B68" s="2" t="s">
        <v>128</v>
      </c>
      <c r="D68" s="25" t="s">
        <v>47</v>
      </c>
      <c r="H68" s="131">
        <f>AVERAGE(H40,H46,H52)*$G$66*1</f>
        <v>8124596.4484470524</v>
      </c>
      <c r="I68" s="131">
        <f>AVERAGE(I40,I46,I52)*$G$66*1</f>
        <v>293338.82144283672</v>
      </c>
      <c r="J68" s="131">
        <f>AVERAGE(J40,J46,J52)*$G$66*1</f>
        <v>471119.92534758628</v>
      </c>
      <c r="K68" s="131">
        <f>AVERAGE(K40,K46,K52)*$G$66*1</f>
        <v>0</v>
      </c>
      <c r="L68" s="131">
        <f>AVERAGE(L40,L46,L52)*$G$66*1</f>
        <v>216675.31119180174</v>
      </c>
    </row>
    <row r="69" spans="1:12" x14ac:dyDescent="0.2">
      <c r="A69" s="22"/>
      <c r="B69" s="2" t="s">
        <v>115</v>
      </c>
      <c r="D69" s="25" t="s">
        <v>47</v>
      </c>
      <c r="H69" s="171">
        <f>H61*$G$66</f>
        <v>66258395.308634087</v>
      </c>
      <c r="I69" s="171">
        <f>I61*$G$66</f>
        <v>2392261.5374014499</v>
      </c>
      <c r="J69" s="171">
        <f>J61*$G$66</f>
        <v>3842117.0146144493</v>
      </c>
      <c r="K69" s="171">
        <f>K61*$G$66</f>
        <v>0</v>
      </c>
      <c r="L69" s="171">
        <f>L61*$G$66</f>
        <v>25125786.449609999</v>
      </c>
    </row>
    <row r="70" spans="1:12" x14ac:dyDescent="0.2">
      <c r="A70" s="22"/>
      <c r="B70" s="2" t="s">
        <v>177</v>
      </c>
      <c r="D70" s="25" t="s">
        <v>47</v>
      </c>
      <c r="H70" s="171">
        <f>(H60+H62)*$G$66*(1-$G$22)^1</f>
        <v>266756967.07575181</v>
      </c>
      <c r="I70" s="171">
        <f>(I60+I62)*$G$66*(1-$G$22)^1</f>
        <v>9631269.0519691594</v>
      </c>
      <c r="J70" s="171">
        <f>(J60+J62)*$G$66*(1-$G$22)^1</f>
        <v>15468401.810738344</v>
      </c>
      <c r="K70" s="171">
        <f>(K60+K62)*$G$66*(1-$G$22)^1</f>
        <v>0</v>
      </c>
      <c r="L70" s="171">
        <f>(L60+L62)*$G$66*(1-$G$22)^1</f>
        <v>20310326.001925007</v>
      </c>
    </row>
    <row r="71" spans="1:12" x14ac:dyDescent="0.2">
      <c r="A71" s="22"/>
      <c r="B71" s="2" t="s">
        <v>116</v>
      </c>
      <c r="D71" s="25" t="s">
        <v>47</v>
      </c>
      <c r="F71" s="43">
        <f>SUM(H71:L71)</f>
        <v>1143901583.0875962</v>
      </c>
      <c r="H71" s="43">
        <f>SUM(H67:H70)</f>
        <v>969662331.74698734</v>
      </c>
      <c r="I71" s="43">
        <f>SUM(I67:I70)</f>
        <v>35009690.314716175</v>
      </c>
      <c r="J71" s="43">
        <f>SUM(J67:J70)</f>
        <v>56227684.444847181</v>
      </c>
      <c r="K71" s="43">
        <f>SUM(K67:K70)</f>
        <v>0</v>
      </c>
      <c r="L71" s="43">
        <f>SUM(L67:L70)</f>
        <v>83001876.581045434</v>
      </c>
    </row>
    <row r="72" spans="1:12" x14ac:dyDescent="0.2">
      <c r="H72" s="91"/>
      <c r="I72" s="91"/>
      <c r="J72" s="91"/>
      <c r="K72" s="91"/>
      <c r="L72" s="91"/>
    </row>
  </sheetData>
  <mergeCells count="1">
    <mergeCell ref="B27:D27"/>
  </mergeCells>
  <pageMargins left="0.75" right="0.75" top="1" bottom="1" header="0.5" footer="0.5"/>
  <pageSetup paperSize="9" scale="27"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4"/>
  <sheetViews>
    <sheetView showGridLines="0" zoomScaleNormal="100" zoomScaleSheetLayoutView="70" workbookViewId="0"/>
  </sheetViews>
  <sheetFormatPr defaultRowHeight="12.75" x14ac:dyDescent="0.2"/>
  <cols>
    <col min="1" max="1" width="3.7109375" customWidth="1"/>
    <col min="6" max="6" width="14.7109375" bestFit="1" customWidth="1"/>
    <col min="7" max="7" width="9.42578125" bestFit="1" customWidth="1"/>
    <col min="8" max="12" width="22.42578125" customWidth="1"/>
    <col min="13" max="13" width="7.5703125" customWidth="1"/>
  </cols>
  <sheetData>
    <row r="1" spans="2:14" s="2" customFormat="1" ht="12" customHeight="1" x14ac:dyDescent="0.2"/>
    <row r="2" spans="2:14" s="136" customFormat="1" ht="15" customHeight="1" x14ac:dyDescent="0.2">
      <c r="B2" s="139" t="s">
        <v>197</v>
      </c>
      <c r="F2" s="136" t="s">
        <v>79</v>
      </c>
      <c r="H2" s="139" t="s">
        <v>146</v>
      </c>
      <c r="I2" s="139" t="s">
        <v>147</v>
      </c>
      <c r="J2" s="139" t="s">
        <v>148</v>
      </c>
      <c r="K2" s="139" t="s">
        <v>149</v>
      </c>
      <c r="L2" s="139" t="s">
        <v>150</v>
      </c>
      <c r="M2" s="139"/>
      <c r="N2" s="139" t="s">
        <v>200</v>
      </c>
    </row>
    <row r="3" spans="2:14" s="10" customFormat="1" ht="12" customHeight="1" x14ac:dyDescent="0.2"/>
    <row r="4" spans="2:14" s="10" customFormat="1" ht="12" customHeight="1" x14ac:dyDescent="0.2">
      <c r="B4" s="56" t="s">
        <v>198</v>
      </c>
      <c r="N4" s="174" t="s">
        <v>199</v>
      </c>
    </row>
    <row r="5" spans="2:14" x14ac:dyDescent="0.2">
      <c r="B5" s="2" t="s">
        <v>184</v>
      </c>
      <c r="H5" s="163">
        <f>'X-factorberekening'!H31</f>
        <v>977321004.0196321</v>
      </c>
      <c r="I5" s="163">
        <f>'X-factorberekening'!I31</f>
        <v>35286206.928498752</v>
      </c>
      <c r="J5" s="163">
        <f>'X-factorberekening'!J31</f>
        <v>56671786.885164663</v>
      </c>
      <c r="K5" s="163">
        <f>'X-factorberekening'!K31</f>
        <v>0</v>
      </c>
      <c r="L5" s="163">
        <f>'X-factorberekening'!L31</f>
        <v>98573790.774709851</v>
      </c>
    </row>
    <row r="6" spans="2:14" x14ac:dyDescent="0.2">
      <c r="B6" t="s">
        <v>181</v>
      </c>
      <c r="H6" s="163">
        <f>'Berekening aanpassen BI'!H29</f>
        <v>969662331.74698734</v>
      </c>
      <c r="I6" s="163">
        <f>'Berekening aanpassen BI'!I29</f>
        <v>35009690.314716175</v>
      </c>
      <c r="J6" s="163">
        <f>'Berekening aanpassen BI'!J29</f>
        <v>56227684.444847181</v>
      </c>
      <c r="K6" s="163">
        <f>'Berekening aanpassen BI'!K29</f>
        <v>0</v>
      </c>
      <c r="L6" s="163">
        <f>'Berekening aanpassen BI'!L29</f>
        <v>83001876.581045434</v>
      </c>
    </row>
    <row r="7" spans="2:14" x14ac:dyDescent="0.2">
      <c r="B7" t="s">
        <v>182</v>
      </c>
      <c r="H7" s="164">
        <f>H5-H6</f>
        <v>7658672.2726447582</v>
      </c>
      <c r="I7" s="164">
        <f t="shared" ref="I7:L7" si="0">I5-I6</f>
        <v>276516.61378257722</v>
      </c>
      <c r="J7" s="164">
        <f t="shared" si="0"/>
        <v>444102.44031748176</v>
      </c>
      <c r="K7" s="164">
        <f t="shared" si="0"/>
        <v>0</v>
      </c>
      <c r="L7" s="164">
        <f t="shared" si="0"/>
        <v>15571914.193664417</v>
      </c>
    </row>
    <row r="8" spans="2:14" x14ac:dyDescent="0.2">
      <c r="B8" t="s">
        <v>183</v>
      </c>
      <c r="H8" s="165">
        <f>H7/H5</f>
        <v>7.8363938165099678E-3</v>
      </c>
      <c r="I8" s="165">
        <f t="shared" ref="I8:L8" si="1">I7/I5</f>
        <v>7.8363938165099227E-3</v>
      </c>
      <c r="J8" s="165">
        <f t="shared" si="1"/>
        <v>7.8363938165100858E-3</v>
      </c>
      <c r="K8" s="165"/>
      <c r="L8" s="172">
        <f t="shared" si="1"/>
        <v>0.15797215539020901</v>
      </c>
    </row>
    <row r="10" spans="2:14" x14ac:dyDescent="0.2">
      <c r="B10" s="56" t="s">
        <v>196</v>
      </c>
      <c r="N10" s="174" t="s">
        <v>201</v>
      </c>
    </row>
    <row r="11" spans="2:14" x14ac:dyDescent="0.2">
      <c r="B11" s="2" t="s">
        <v>184</v>
      </c>
      <c r="F11" s="164">
        <f>SUM(H5:L5)</f>
        <v>1167852788.6080053</v>
      </c>
    </row>
    <row r="12" spans="2:14" x14ac:dyDescent="0.2">
      <c r="B12" t="s">
        <v>181</v>
      </c>
      <c r="F12" s="164">
        <f>SUM(H6:L6)</f>
        <v>1143901583.0875962</v>
      </c>
    </row>
    <row r="13" spans="2:14" x14ac:dyDescent="0.2">
      <c r="B13" t="s">
        <v>182</v>
      </c>
      <c r="F13" s="164">
        <f>SUM(H7:L7)</f>
        <v>23951205.520409234</v>
      </c>
    </row>
    <row r="14" spans="2:14" x14ac:dyDescent="0.2">
      <c r="B14" t="s">
        <v>183</v>
      </c>
      <c r="F14" s="165">
        <f>F13/F11</f>
        <v>2.050875397485441E-2</v>
      </c>
    </row>
  </sheetData>
  <pageMargins left="0.7" right="0.7" top="0.75" bottom="0.75" header="0.3" footer="0.3"/>
  <pageSetup paperSize="9" scale="4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9</vt:i4>
      </vt:variant>
      <vt:variant>
        <vt:lpstr>Benoemde bereiken</vt:lpstr>
      </vt:variant>
      <vt:variant>
        <vt:i4>5</vt:i4>
      </vt:variant>
    </vt:vector>
  </HeadingPairs>
  <TitlesOfParts>
    <vt:vector size="14" baseType="lpstr">
      <vt:lpstr>Toelichting</vt:lpstr>
      <vt:lpstr>Parameters</vt:lpstr>
      <vt:lpstr>OPEX CAPEX</vt:lpstr>
      <vt:lpstr>Berekening volumegroei '12-'13</vt:lpstr>
      <vt:lpstr>Inkomsten RV 2014-2016</vt:lpstr>
      <vt:lpstr>CPI</vt:lpstr>
      <vt:lpstr>X-factorberekening</vt:lpstr>
      <vt:lpstr>Berekening aanpassen BI</vt:lpstr>
      <vt:lpstr>Aanpassen begininkomsten</vt:lpstr>
      <vt:lpstr>'Inkomsten RV 2014-2016'!Afdrukbereik</vt:lpstr>
      <vt:lpstr>'OPEX CAPEX'!Afdrukbereik</vt:lpstr>
      <vt:lpstr>Parameters!Afdrukbereik</vt:lpstr>
      <vt:lpstr>Toelichting!Afdrukbereik</vt:lpstr>
      <vt:lpstr>'X-factorberekening'!Afdrukbereik</vt:lpstr>
    </vt:vector>
  </TitlesOfParts>
  <Company>Autoriteit Consument &amp; Markt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X-factormodel GTS</dc:title>
  <dc:creator>Autoriteit Consument &amp; Markt</dc:creator>
  <cp:keywords>besluit;gas;elektriciteit</cp:keywords>
  <cp:lastModifiedBy>Hoogdorp, Sergio</cp:lastModifiedBy>
  <cp:lastPrinted>2012-12-27T17:45:12Z</cp:lastPrinted>
  <dcterms:created xsi:type="dcterms:W3CDTF">2012-11-12T13:29:01Z</dcterms:created>
  <dcterms:modified xsi:type="dcterms:W3CDTF">2017-05-04T12:57:51Z</dcterms:modified>
</cp:coreProperties>
</file>