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345" tabRatio="795"/>
  </bookViews>
  <sheets>
    <sheet name="Toelichting" sheetId="2" r:id="rId1"/>
    <sheet name="TI-berekening 2017" sheetId="1" r:id="rId2"/>
    <sheet name="Berekening richtbedragen" sheetId="25" r:id="rId3"/>
    <sheet name="Nacalculaties en correcties" sheetId="3" r:id="rId4"/>
    <sheet name="Nacalculaties --&gt;" sheetId="4" r:id="rId5"/>
    <sheet name="TI2011-2013" sheetId="21" r:id="rId6"/>
    <sheet name="TI2014-2016" sheetId="20" r:id="rId7"/>
    <sheet name="Lokale heffingen 2015" sheetId="8" r:id="rId8"/>
    <sheet name="VolVerschuiving Adm. 2016" sheetId="9" r:id="rId9"/>
    <sheet name="VolVerschuiving Codewijz. 2016" sheetId="19" r:id="rId10"/>
    <sheet name="Lagere tarieven Enexis" sheetId="23" r:id="rId11"/>
    <sheet name="Parameters --&gt;" sheetId="10" r:id="rId12"/>
    <sheet name="Heffingsrente" sheetId="16" r:id="rId13"/>
    <sheet name="CPI" sheetId="17" r:id="rId14"/>
    <sheet name="TI2016 obv RV2017-2021" sheetId="24"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10">#REF!</definedName>
    <definedName name="__CPI2001" localSheetId="5">#REF!</definedName>
    <definedName name="__CPI2001">#REF!</definedName>
    <definedName name="__CPI2002" localSheetId="10">#REF!</definedName>
    <definedName name="__CPI2002" localSheetId="5">#REF!</definedName>
    <definedName name="__CPI2002">#REF!</definedName>
    <definedName name="__CPI2003" localSheetId="10">#REF!</definedName>
    <definedName name="__CPI2003" localSheetId="5">#REF!</definedName>
    <definedName name="__CPI2003">#REF!</definedName>
    <definedName name="__CPI2004" localSheetId="10">#REF!</definedName>
    <definedName name="__CPI2004" localSheetId="5">#REF!</definedName>
    <definedName name="__CPI2004">#REF!</definedName>
    <definedName name="__CPI2005" localSheetId="10">#REF!</definedName>
    <definedName name="__CPI2005" localSheetId="5">#REF!</definedName>
    <definedName name="__CPI2005">#REF!</definedName>
    <definedName name="__CPI2006" localSheetId="10">#REF!</definedName>
    <definedName name="__CPI2006" localSheetId="5">#REF!</definedName>
    <definedName name="__CPI2006">#REF!</definedName>
    <definedName name="__CPI2007" localSheetId="10">#REF!</definedName>
    <definedName name="__CPI2007" localSheetId="5">#REF!</definedName>
    <definedName name="__CPI2007">#REF!</definedName>
    <definedName name="__CPI2008" localSheetId="10">#REF!</definedName>
    <definedName name="__CPI2008" localSheetId="5">#REF!</definedName>
    <definedName name="__CPI2008">#REF!</definedName>
    <definedName name="__CPI2009" localSheetId="10">#REF!</definedName>
    <definedName name="__CPI2009" localSheetId="5">#REF!</definedName>
    <definedName name="__CPI2009">#REF!</definedName>
    <definedName name="__CPI2010" localSheetId="10">#REF!</definedName>
    <definedName name="__CPI2010" localSheetId="5">#REF!</definedName>
    <definedName name="__CPI2010">#REF!</definedName>
    <definedName name="__CPI2011" localSheetId="10">#REF!</definedName>
    <definedName name="__CPI2011" localSheetId="5">#REF!</definedName>
    <definedName name="__CPI2011">#REF!</definedName>
    <definedName name="__CPI2012" localSheetId="10">#REF!</definedName>
    <definedName name="__CPI2012" localSheetId="5">#REF!</definedName>
    <definedName name="__CPI2012">#REF!</definedName>
    <definedName name="__CPI2013" localSheetId="10">#REF!</definedName>
    <definedName name="__CPI2013" localSheetId="5">#REF!</definedName>
    <definedName name="__CPI2013">#REF!</definedName>
    <definedName name="__CPI2014" localSheetId="10">#REF!</definedName>
    <definedName name="__CPI2014" localSheetId="5">#REF!</definedName>
    <definedName name="__CPI2014">#REF!</definedName>
    <definedName name="_CPI2001" localSheetId="10">#REF!</definedName>
    <definedName name="_CPI2001" localSheetId="5">#REF!</definedName>
    <definedName name="_CPI2001">#REF!</definedName>
    <definedName name="_CPI2002" localSheetId="10">#REF!</definedName>
    <definedName name="_CPI2002" localSheetId="5">#REF!</definedName>
    <definedName name="_CPI2002">#REF!</definedName>
    <definedName name="_CPI2003" localSheetId="10">#REF!</definedName>
    <definedName name="_CPI2003" localSheetId="5">#REF!</definedName>
    <definedName name="_CPI2003">#REF!</definedName>
    <definedName name="_CPI2004" localSheetId="10">#REF!</definedName>
    <definedName name="_CPI2004" localSheetId="5">#REF!</definedName>
    <definedName name="_CPI2004">#REF!</definedName>
    <definedName name="_CPI2005" localSheetId="10">#REF!</definedName>
    <definedName name="_CPI2005" localSheetId="5">#REF!</definedName>
    <definedName name="_CPI2005">#REF!</definedName>
    <definedName name="_CPI2006" localSheetId="10">#REF!</definedName>
    <definedName name="_CPI2006" localSheetId="5">#REF!</definedName>
    <definedName name="_CPI2006">#REF!</definedName>
    <definedName name="_CPI2007" localSheetId="10">#REF!</definedName>
    <definedName name="_CPI2007" localSheetId="5">#REF!</definedName>
    <definedName name="_CPI2007">#REF!</definedName>
    <definedName name="_CPI2008" localSheetId="10">#REF!</definedName>
    <definedName name="_CPI2008" localSheetId="5">#REF!</definedName>
    <definedName name="_CPI2008">#REF!</definedName>
    <definedName name="_CPI2009" localSheetId="10">#REF!</definedName>
    <definedName name="_CPI2009" localSheetId="5">#REF!</definedName>
    <definedName name="_CPI2009">#REF!</definedName>
    <definedName name="_CPI2010" localSheetId="10">#REF!</definedName>
    <definedName name="_CPI2010" localSheetId="5">#REF!</definedName>
    <definedName name="_CPI2010">#REF!</definedName>
    <definedName name="_CPI2011" localSheetId="10">#REF!</definedName>
    <definedName name="_CPI2011" localSheetId="5">#REF!</definedName>
    <definedName name="_CPI2011">#REF!</definedName>
    <definedName name="_CPI2012" localSheetId="10">#REF!</definedName>
    <definedName name="_CPI2012" localSheetId="5">#REF!</definedName>
    <definedName name="_CPI2012">#REF!</definedName>
    <definedName name="_CPI2013" localSheetId="10">#REF!</definedName>
    <definedName name="_CPI2013" localSheetId="5">#REF!</definedName>
    <definedName name="_CPI2013">#REF!</definedName>
    <definedName name="_CPI2014" localSheetId="10">#REF!</definedName>
    <definedName name="_CPI2014" localSheetId="5">#REF!</definedName>
    <definedName name="_CPI2014">#REF!</definedName>
    <definedName name="_ftn1" localSheetId="9">'VolVerschuiving Codewijz. 2016'!$B$16</definedName>
    <definedName name="_ftn2" localSheetId="9">'VolVerschuiving Codewijz. 2016'!$B$17</definedName>
    <definedName name="_xlnm.Print_Area" localSheetId="5">'TI2011-2013'!$A$1:$R$33</definedName>
    <definedName name="_xlnm.Print_Area" localSheetId="6">'TI2014-2016'!$A$1:$R$44</definedName>
    <definedName name="AS2DocOpenMode" hidden="1">"AS2DocumentEdit"</definedName>
    <definedName name="BijzWrdVerm">'[2]Tabel 2A - Bijz mutaties activa'!$F$46,'[2]Tabel 2A - Bijz mutaties activa'!$J$46,'[2]Tabel 2A - Bijz mutaties activa'!$N$46,'[2]Tabel 2A - Bijz mutaties activa'!$R$46,'[2]Tabel 2A - Bijz mutaties activa'!$V$46,'[2]Tabel 2A - Bijz mutaties activa'!$Z$46,'[2]Tabel 2A - Bijz mutaties activa'!$AD$46,'[2]Tabel 2A - Bijz mutaties activa'!$AH$46,'[2]Tabel 2A - Bijz mutaties activa'!$AL$46</definedName>
    <definedName name="BijzWrdVermTAHdLd">'[3]Tabel 2A - Bijz mutaties activa'!$H$39,'[3]Tabel 2A - Bijz mutaties activa'!$L$39,'[3]Tabel 2A - Bijz mutaties activa'!$P$39,'[3]Tabel 2A - Bijz mutaties activa'!$T$39,'[3]Tabel 2A - Bijz mutaties activa'!$X$39,'[3]Tabel 2A - Bijz mutaties activa'!$AB$39</definedName>
    <definedName name="CPIv2000n2001" localSheetId="10">#REF!</definedName>
    <definedName name="CPIv2000n2001" localSheetId="5">#REF!</definedName>
    <definedName name="CPIv2000n2001">#REF!</definedName>
    <definedName name="CPIv2000n2002" localSheetId="10">#REF!</definedName>
    <definedName name="CPIv2000n2002" localSheetId="5">#REF!</definedName>
    <definedName name="CPIv2000n2002">#REF!</definedName>
    <definedName name="CPIv2000n2003" localSheetId="10">#REF!</definedName>
    <definedName name="CPIv2000n2003" localSheetId="5">#REF!</definedName>
    <definedName name="CPIv2000n2003">#REF!</definedName>
    <definedName name="CPIv2000n2004" localSheetId="10">#REF!</definedName>
    <definedName name="CPIv2000n2004" localSheetId="5">#REF!</definedName>
    <definedName name="CPIv2000n2004">#REF!</definedName>
    <definedName name="CPIv2000n2005" localSheetId="10">#REF!</definedName>
    <definedName name="CPIv2000n2005" localSheetId="5">#REF!</definedName>
    <definedName name="CPIv2000n2005">#REF!</definedName>
    <definedName name="CPIv2000n2006" localSheetId="10">#REF!</definedName>
    <definedName name="CPIv2000n2006" localSheetId="5">#REF!</definedName>
    <definedName name="CPIv2000n2006">#REF!</definedName>
    <definedName name="CPIv2000n2007" localSheetId="10">#REF!</definedName>
    <definedName name="CPIv2000n2007" localSheetId="5">#REF!</definedName>
    <definedName name="CPIv2000n2007">#REF!</definedName>
    <definedName name="CPIv2000n2008" localSheetId="10">#REF!</definedName>
    <definedName name="CPIv2000n2008" localSheetId="5">#REF!</definedName>
    <definedName name="CPIv2000n2008">#REF!</definedName>
    <definedName name="CPIv2000n2009" localSheetId="10">#REF!</definedName>
    <definedName name="CPIv2000n2009" localSheetId="5">#REF!</definedName>
    <definedName name="CPIv2000n2009">#REF!</definedName>
    <definedName name="CPIv2000n2010" localSheetId="10">#REF!</definedName>
    <definedName name="CPIv2000n2010" localSheetId="5">#REF!</definedName>
    <definedName name="CPIv2000n2010">#REF!</definedName>
    <definedName name="CPIv2000n2011" localSheetId="10">#REF!</definedName>
    <definedName name="CPIv2000n2011" localSheetId="5">#REF!</definedName>
    <definedName name="CPIv2000n2011">#REF!</definedName>
    <definedName name="CPIv2000n2012" localSheetId="10">#REF!</definedName>
    <definedName name="CPIv2000n2012" localSheetId="5">#REF!</definedName>
    <definedName name="CPIv2000n2012">#REF!</definedName>
    <definedName name="CPIv2000n2013" localSheetId="10">#REF!</definedName>
    <definedName name="CPIv2000n2013" localSheetId="5">#REF!</definedName>
    <definedName name="CPIv2000n2013">#REF!</definedName>
    <definedName name="CPIv2000n2014">#REF!</definedName>
    <definedName name="CPIv2001n2002" localSheetId="10">#REF!</definedName>
    <definedName name="CPIv2001n2002" localSheetId="5">#REF!</definedName>
    <definedName name="CPIv2001n2002">#REF!</definedName>
    <definedName name="CPIv2001n2003" localSheetId="10">#REF!</definedName>
    <definedName name="CPIv2001n2003" localSheetId="5">#REF!</definedName>
    <definedName name="CPIv2001n2003">#REF!</definedName>
    <definedName name="CPIv2001n2004" localSheetId="10">#REF!</definedName>
    <definedName name="CPIv2001n2004" localSheetId="5">#REF!</definedName>
    <definedName name="CPIv2001n2004">#REF!</definedName>
    <definedName name="CPIv2001n2005" localSheetId="10">#REF!</definedName>
    <definedName name="CPIv2001n2005" localSheetId="5">#REF!</definedName>
    <definedName name="CPIv2001n2005">#REF!</definedName>
    <definedName name="CPIv2001n2006" localSheetId="10">#REF!</definedName>
    <definedName name="CPIv2001n2006" localSheetId="5">#REF!</definedName>
    <definedName name="CPIv2001n2006">#REF!</definedName>
    <definedName name="CPIv2001n2007" localSheetId="10">#REF!</definedName>
    <definedName name="CPIv2001n2007" localSheetId="5">#REF!</definedName>
    <definedName name="CPIv2001n2007">#REF!</definedName>
    <definedName name="CPIv2001n2008" localSheetId="10">#REF!</definedName>
    <definedName name="CPIv2001n2008" localSheetId="5">#REF!</definedName>
    <definedName name="CPIv2001n2008">#REF!</definedName>
    <definedName name="CPIv2001n2009" localSheetId="10">#REF!</definedName>
    <definedName name="CPIv2001n2009" localSheetId="5">#REF!</definedName>
    <definedName name="CPIv2001n2009">#REF!</definedName>
    <definedName name="CPIv2001n2010" localSheetId="10">#REF!</definedName>
    <definedName name="CPIv2001n2010" localSheetId="5">#REF!</definedName>
    <definedName name="CPIv2001n2010">#REF!</definedName>
    <definedName name="CPIv2001n2011" localSheetId="10">#REF!</definedName>
    <definedName name="CPIv2001n2011" localSheetId="5">#REF!</definedName>
    <definedName name="CPIv2001n2011">#REF!</definedName>
    <definedName name="CPIv2001n2012" localSheetId="10">#REF!</definedName>
    <definedName name="CPIv2001n2012" localSheetId="5">#REF!</definedName>
    <definedName name="CPIv2001n2012">#REF!</definedName>
    <definedName name="CPIv2001n2013" localSheetId="10">#REF!</definedName>
    <definedName name="CPIv2001n2013" localSheetId="5">#REF!</definedName>
    <definedName name="CPIv2001n2013">#REF!</definedName>
    <definedName name="CPIv2001n2014">#REF!</definedName>
    <definedName name="CPIv2002n2003" localSheetId="10">#REF!</definedName>
    <definedName name="CPIv2002n2003" localSheetId="5">#REF!</definedName>
    <definedName name="CPIv2002n2003">#REF!</definedName>
    <definedName name="CPIv2002n2004" localSheetId="10">#REF!</definedName>
    <definedName name="CPIv2002n2004" localSheetId="5">#REF!</definedName>
    <definedName name="CPIv2002n2004">#REF!</definedName>
    <definedName name="CPIv2002n2005" localSheetId="10">#REF!</definedName>
    <definedName name="CPIv2002n2005" localSheetId="5">#REF!</definedName>
    <definedName name="CPIv2002n2005">#REF!</definedName>
    <definedName name="CPIv2002n2006" localSheetId="10">#REF!</definedName>
    <definedName name="CPIv2002n2006" localSheetId="5">#REF!</definedName>
    <definedName name="CPIv2002n2006">#REF!</definedName>
    <definedName name="CPIv2002n2007" localSheetId="10">#REF!</definedName>
    <definedName name="CPIv2002n2007" localSheetId="5">#REF!</definedName>
    <definedName name="CPIv2002n2007">#REF!</definedName>
    <definedName name="CPIv2002n2008" localSheetId="10">#REF!</definedName>
    <definedName name="CPIv2002n2008" localSheetId="5">#REF!</definedName>
    <definedName name="CPIv2002n2008">#REF!</definedName>
    <definedName name="CPIv2002n2009" localSheetId="10">#REF!</definedName>
    <definedName name="CPIv2002n2009" localSheetId="5">#REF!</definedName>
    <definedName name="CPIv2002n2009">#REF!</definedName>
    <definedName name="CPIv2002n2010" localSheetId="10">#REF!</definedName>
    <definedName name="CPIv2002n2010" localSheetId="5">#REF!</definedName>
    <definedName name="CPIv2002n2010">#REF!</definedName>
    <definedName name="CPIv2002n2011" localSheetId="10">#REF!</definedName>
    <definedName name="CPIv2002n2011" localSheetId="5">#REF!</definedName>
    <definedName name="CPIv2002n2011">#REF!</definedName>
    <definedName name="CPIv2002n2012" localSheetId="10">#REF!</definedName>
    <definedName name="CPIv2002n2012" localSheetId="5">#REF!</definedName>
    <definedName name="CPIv2002n2012">#REF!</definedName>
    <definedName name="CPIv2002n2013" localSheetId="10">#REF!</definedName>
    <definedName name="CPIv2002n2013" localSheetId="5">#REF!</definedName>
    <definedName name="CPIv2002n2013">#REF!</definedName>
    <definedName name="CPIv2002n2014">#REF!</definedName>
    <definedName name="CPIv2003n2004" localSheetId="10">#REF!</definedName>
    <definedName name="CPIv2003n2004" localSheetId="5">#REF!</definedName>
    <definedName name="CPIv2003n2004">#REF!</definedName>
    <definedName name="CPIv2003n2005" localSheetId="10">#REF!</definedName>
    <definedName name="CPIv2003n2005" localSheetId="5">#REF!</definedName>
    <definedName name="CPIv2003n2005">#REF!</definedName>
    <definedName name="CPIv2003n2006" localSheetId="10">#REF!</definedName>
    <definedName name="CPIv2003n2006" localSheetId="5">#REF!</definedName>
    <definedName name="CPIv2003n2006">#REF!</definedName>
    <definedName name="CPIv2003n2007" localSheetId="10">#REF!</definedName>
    <definedName name="CPIv2003n2007" localSheetId="5">#REF!</definedName>
    <definedName name="CPIv2003n2007">#REF!</definedName>
    <definedName name="CPIv2003n2008" localSheetId="10">#REF!</definedName>
    <definedName name="CPIv2003n2008" localSheetId="5">#REF!</definedName>
    <definedName name="CPIv2003n2008">#REF!</definedName>
    <definedName name="CPIv2003n2009" localSheetId="10">#REF!</definedName>
    <definedName name="CPIv2003n2009" localSheetId="5">#REF!</definedName>
    <definedName name="CPIv2003n2009">#REF!</definedName>
    <definedName name="CPIv2003n2010" localSheetId="10">#REF!</definedName>
    <definedName name="CPIv2003n2010" localSheetId="5">#REF!</definedName>
    <definedName name="CPIv2003n2010">#REF!</definedName>
    <definedName name="CPIv2003n2011" localSheetId="10">#REF!</definedName>
    <definedName name="CPIv2003n2011" localSheetId="5">#REF!</definedName>
    <definedName name="CPIv2003n2011">#REF!</definedName>
    <definedName name="CPIv2003n2012" localSheetId="10">#REF!</definedName>
    <definedName name="CPIv2003n2012" localSheetId="5">#REF!</definedName>
    <definedName name="CPIv2003n2012">#REF!</definedName>
    <definedName name="CPIv2003n2013" localSheetId="10">#REF!</definedName>
    <definedName name="CPIv2003n2013" localSheetId="5">#REF!</definedName>
    <definedName name="CPIv2003n2013">#REF!</definedName>
    <definedName name="CPIv2003n2014">#REF!</definedName>
    <definedName name="CPIv2004n2005" localSheetId="10">#REF!</definedName>
    <definedName name="CPIv2004n2005" localSheetId="5">#REF!</definedName>
    <definedName name="CPIv2004n2005">#REF!</definedName>
    <definedName name="CPIv2004n2006" localSheetId="10">#REF!</definedName>
    <definedName name="CPIv2004n2006" localSheetId="5">#REF!</definedName>
    <definedName name="CPIv2004n2006">#REF!</definedName>
    <definedName name="CPIv2004n2007" localSheetId="10">#REF!</definedName>
    <definedName name="CPIv2004n2007" localSheetId="5">#REF!</definedName>
    <definedName name="CPIv2004n2007">#REF!</definedName>
    <definedName name="CPIv2004n2008" localSheetId="10">#REF!</definedName>
    <definedName name="CPIv2004n2008" localSheetId="5">#REF!</definedName>
    <definedName name="CPIv2004n2008">#REF!</definedName>
    <definedName name="CPIv2004n2009" localSheetId="10">#REF!</definedName>
    <definedName name="CPIv2004n2009" localSheetId="5">#REF!</definedName>
    <definedName name="CPIv2004n2009">#REF!</definedName>
    <definedName name="CPIv2004n2010" localSheetId="10">#REF!</definedName>
    <definedName name="CPIv2004n2010" localSheetId="5">#REF!</definedName>
    <definedName name="CPIv2004n2010">#REF!</definedName>
    <definedName name="CPIv2004n2011" localSheetId="10">#REF!</definedName>
    <definedName name="CPIv2004n2011" localSheetId="5">#REF!</definedName>
    <definedName name="CPIv2004n2011">#REF!</definedName>
    <definedName name="CPIv2004n2012" localSheetId="10">#REF!</definedName>
    <definedName name="CPIv2004n2012" localSheetId="5">#REF!</definedName>
    <definedName name="CPIv2004n2012">#REF!</definedName>
    <definedName name="CPIv2004n2013" localSheetId="10">#REF!</definedName>
    <definedName name="CPIv2004n2013" localSheetId="5">#REF!</definedName>
    <definedName name="CPIv2004n2013">#REF!</definedName>
    <definedName name="CPIv2004n2014">#REF!</definedName>
    <definedName name="CPIv2005n2006" localSheetId="10">#REF!</definedName>
    <definedName name="CPIv2005n2006" localSheetId="5">#REF!</definedName>
    <definedName name="CPIv2005n2006">#REF!</definedName>
    <definedName name="CPIv2005n2007" localSheetId="10">#REF!</definedName>
    <definedName name="CPIv2005n2007" localSheetId="5">#REF!</definedName>
    <definedName name="CPIv2005n2007">#REF!</definedName>
    <definedName name="CPIv2005n2008" localSheetId="10">#REF!</definedName>
    <definedName name="CPIv2005n2008" localSheetId="5">#REF!</definedName>
    <definedName name="CPIv2005n2008">#REF!</definedName>
    <definedName name="CPIv2005n2009" localSheetId="10">#REF!</definedName>
    <definedName name="CPIv2005n2009" localSheetId="5">#REF!</definedName>
    <definedName name="CPIv2005n2009">#REF!</definedName>
    <definedName name="CPIv2005n2010" localSheetId="10">#REF!</definedName>
    <definedName name="CPIv2005n2010" localSheetId="5">#REF!</definedName>
    <definedName name="CPIv2005n2010">#REF!</definedName>
    <definedName name="CPIv2005n2011" localSheetId="10">#REF!</definedName>
    <definedName name="CPIv2005n2011" localSheetId="5">#REF!</definedName>
    <definedName name="CPIv2005n2011">#REF!</definedName>
    <definedName name="CPIv2005n2012" localSheetId="10">#REF!</definedName>
    <definedName name="CPIv2005n2012" localSheetId="5">#REF!</definedName>
    <definedName name="CPIv2005n2012">#REF!</definedName>
    <definedName name="CPIv2005n2013" localSheetId="10">#REF!</definedName>
    <definedName name="CPIv2005n2013" localSheetId="5">#REF!</definedName>
    <definedName name="CPIv2005n2013">#REF!</definedName>
    <definedName name="CPIv2005n2014">#REF!</definedName>
    <definedName name="CPIv2006n2007" localSheetId="10">#REF!</definedName>
    <definedName name="CPIv2006n2007" localSheetId="5">#REF!</definedName>
    <definedName name="CPIv2006n2007">#REF!</definedName>
    <definedName name="CPIv2006n2008" localSheetId="10">#REF!</definedName>
    <definedName name="CPIv2006n2008" localSheetId="5">#REF!</definedName>
    <definedName name="CPIv2006n2008">#REF!</definedName>
    <definedName name="CPIv2006n2009" localSheetId="10">#REF!</definedName>
    <definedName name="CPIv2006n2009" localSheetId="5">#REF!</definedName>
    <definedName name="CPIv2006n2009">#REF!</definedName>
    <definedName name="CPIv2006n2010" localSheetId="10">#REF!</definedName>
    <definedName name="CPIv2006n2010" localSheetId="5">#REF!</definedName>
    <definedName name="CPIv2006n2010">#REF!</definedName>
    <definedName name="CPIv2006n2011" localSheetId="10">#REF!</definedName>
    <definedName name="CPIv2006n2011" localSheetId="5">#REF!</definedName>
    <definedName name="CPIv2006n2011">#REF!</definedName>
    <definedName name="CPIv2006n2012" localSheetId="10">#REF!</definedName>
    <definedName name="CPIv2006n2012" localSheetId="5">#REF!</definedName>
    <definedName name="CPIv2006n2012">#REF!</definedName>
    <definedName name="CPIv2006n2013" localSheetId="10">#REF!</definedName>
    <definedName name="CPIv2006n2013" localSheetId="5">#REF!</definedName>
    <definedName name="CPIv2006n2013">#REF!</definedName>
    <definedName name="CPIv2006n2014">#REF!</definedName>
    <definedName name="CPIv2007n2008" localSheetId="10">#REF!</definedName>
    <definedName name="CPIv2007n2008" localSheetId="5">#REF!</definedName>
    <definedName name="CPIv2007n2008">#REF!</definedName>
    <definedName name="CPIv2007n2009" localSheetId="10">#REF!</definedName>
    <definedName name="CPIv2007n2009" localSheetId="5">#REF!</definedName>
    <definedName name="CPIv2007n2009">#REF!</definedName>
    <definedName name="CPIv2007n2010" localSheetId="10">#REF!</definedName>
    <definedName name="CPIv2007n2010" localSheetId="5">#REF!</definedName>
    <definedName name="CPIv2007n2010">#REF!</definedName>
    <definedName name="CPIv2007n2011" localSheetId="10">#REF!</definedName>
    <definedName name="CPIv2007n2011" localSheetId="5">#REF!</definedName>
    <definedName name="CPIv2007n2011">#REF!</definedName>
    <definedName name="CPIv2007n2012" localSheetId="10">#REF!</definedName>
    <definedName name="CPIv2007n2012" localSheetId="5">#REF!</definedName>
    <definedName name="CPIv2007n2012">#REF!</definedName>
    <definedName name="CPIv2007n2013" localSheetId="10">#REF!</definedName>
    <definedName name="CPIv2007n2013" localSheetId="5">#REF!</definedName>
    <definedName name="CPIv2007n2013">#REF!</definedName>
    <definedName name="CPIv2007n2014">#REF!</definedName>
    <definedName name="CPIv2008n2009" localSheetId="10">#REF!</definedName>
    <definedName name="CPIv2008n2009" localSheetId="5">#REF!</definedName>
    <definedName name="CPIv2008n2009">#REF!</definedName>
    <definedName name="CPIv2008n2010" localSheetId="10">#REF!</definedName>
    <definedName name="CPIv2008n2010" localSheetId="5">#REF!</definedName>
    <definedName name="CPIv2008n2010">#REF!</definedName>
    <definedName name="CPIv2008n2011" localSheetId="10">#REF!</definedName>
    <definedName name="CPIv2008n2011" localSheetId="5">#REF!</definedName>
    <definedName name="CPIv2008n2011">#REF!</definedName>
    <definedName name="CPIv2008n2012" localSheetId="10">#REF!</definedName>
    <definedName name="CPIv2008n2012" localSheetId="5">#REF!</definedName>
    <definedName name="CPIv2008n2012">#REF!</definedName>
    <definedName name="CPIv2008n2013" localSheetId="10">#REF!</definedName>
    <definedName name="CPIv2008n2013" localSheetId="5">#REF!</definedName>
    <definedName name="CPIv2008n2013">#REF!</definedName>
    <definedName name="CPIv2008n2014">#REF!</definedName>
    <definedName name="CPIv2009n2010" localSheetId="10">#REF!</definedName>
    <definedName name="CPIv2009n2010" localSheetId="5">#REF!</definedName>
    <definedName name="CPIv2009n2010">#REF!</definedName>
    <definedName name="CPIv2009n2011" localSheetId="10">#REF!</definedName>
    <definedName name="CPIv2009n2011" localSheetId="5">#REF!</definedName>
    <definedName name="CPIv2009n2011">#REF!</definedName>
    <definedName name="CPIv2009n2012" localSheetId="10">#REF!</definedName>
    <definedName name="CPIv2009n2012" localSheetId="5">#REF!</definedName>
    <definedName name="CPIv2009n2012">#REF!</definedName>
    <definedName name="CPIv2009n2013" localSheetId="10">#REF!</definedName>
    <definedName name="CPIv2009n2013" localSheetId="5">#REF!</definedName>
    <definedName name="CPIv2009n2013">#REF!</definedName>
    <definedName name="CPIv2009n2014">#REF!</definedName>
    <definedName name="CPIv2010n2011" localSheetId="10">#REF!</definedName>
    <definedName name="CPIv2010n2011" localSheetId="5">#REF!</definedName>
    <definedName name="CPIv2010n2011">#REF!</definedName>
    <definedName name="CPIv2010n2012" localSheetId="10">#REF!</definedName>
    <definedName name="CPIv2010n2012" localSheetId="5">#REF!</definedName>
    <definedName name="CPIv2010n2012">#REF!</definedName>
    <definedName name="CPIv2010n2013" localSheetId="10">#REF!</definedName>
    <definedName name="CPIv2010n2013" localSheetId="5">#REF!</definedName>
    <definedName name="CPIv2010n2013">#REF!</definedName>
    <definedName name="CPIv2010n2014">#REF!</definedName>
    <definedName name="CPIv2011n2012" localSheetId="10">#REF!</definedName>
    <definedName name="CPIv2011n2012" localSheetId="5">#REF!</definedName>
    <definedName name="CPIv2011n2012">#REF!</definedName>
    <definedName name="CPIv2011n2013" localSheetId="10">#REF!</definedName>
    <definedName name="CPIv2011n2013" localSheetId="5">#REF!</definedName>
    <definedName name="CPIv2011n2013">#REF!</definedName>
    <definedName name="CPIv2011n2014">#REF!</definedName>
    <definedName name="CPIv2012n2013" localSheetId="10">#REF!</definedName>
    <definedName name="CPIv2012n2013" localSheetId="5">#REF!</definedName>
    <definedName name="CPIv2012n2013">#REF!</definedName>
    <definedName name="CPIv2012n2014">#REF!</definedName>
    <definedName name="CPIv2013n2014">#REF!</definedName>
    <definedName name="DTE_old">#REF!</definedName>
    <definedName name="EofG" localSheetId="10">'[4]Lokale heffingen (LH)'!#REF!</definedName>
    <definedName name="EofG" localSheetId="5">'[4]Lokale heffingen (LH)'!#REF!</definedName>
    <definedName name="EofG">'[4]Lokale heffingen (LH)'!#REF!</definedName>
    <definedName name="extraveld_kolom">#REF!</definedName>
    <definedName name="extraveld_rij">#REF!</definedName>
    <definedName name="Naam" localSheetId="10">#REF!</definedName>
    <definedName name="Naam" localSheetId="5">#REF!</definedName>
    <definedName name="Naam">#REF!</definedName>
    <definedName name="Naam_GA">'[1]Kapitaalkosten Gasaansluiting'!$C$1</definedName>
    <definedName name="Netbeheerders">[1]Netbeheerders!$B$2:$B$25</definedName>
    <definedName name="Overzicht_EofG">#REF!</definedName>
    <definedName name="Overzicht_Gasaansluiting">#REF!</definedName>
    <definedName name="Overzicht_Netbeheerder">#REF!</definedName>
    <definedName name="Overzicht_totJaar">#REF!</definedName>
    <definedName name="Overzicht_vanafJaar">#REF!</definedName>
    <definedName name="wacc">[5]Data!#REF!</definedName>
    <definedName name="wacc_exc_tax">[6]constants!$E$3</definedName>
    <definedName name="wacc_inc_tax">[5]constants!$E$4</definedName>
    <definedName name="WACC2001">#REF!</definedName>
    <definedName name="WACC2002">#REF!</definedName>
    <definedName name="WACC2003">#REF!</definedName>
    <definedName name="WACC2004">#REF!</definedName>
    <definedName name="WACC2005">#REF!</definedName>
    <definedName name="WACC2006">#REF!</definedName>
    <definedName name="WACC2007">#REF!</definedName>
    <definedName name="WACC2008">#REF!</definedName>
    <definedName name="WACC2009">#REF!</definedName>
    <definedName name="WACC2010">#REF!</definedName>
    <definedName name="WACC2011_2013">'[7]CPI&amp;WACC'!$D$14</definedName>
    <definedName name="WACCtabel">'[8]CPI en WACC'!$B$6:$D$26</definedName>
    <definedName name="winstcorrectie">#REF!</definedName>
  </definedNames>
  <calcPr calcId="145621"/>
</workbook>
</file>

<file path=xl/calcChain.xml><?xml version="1.0" encoding="utf-8"?>
<calcChain xmlns="http://schemas.openxmlformats.org/spreadsheetml/2006/main">
  <c r="N293" i="24" l="1"/>
  <c r="M293" i="24"/>
  <c r="L293" i="24"/>
  <c r="K293" i="24"/>
  <c r="J293" i="24"/>
  <c r="I293" i="24"/>
  <c r="H293" i="24"/>
  <c r="G293" i="24"/>
  <c r="K43" i="20" l="1"/>
  <c r="J43" i="20"/>
  <c r="K36" i="20"/>
  <c r="J36" i="20"/>
  <c r="H27" i="25" l="1"/>
  <c r="H26" i="25" s="1"/>
  <c r="H29" i="25" s="1"/>
  <c r="H40" i="25" s="1"/>
  <c r="I27" i="25"/>
  <c r="I26" i="25" s="1"/>
  <c r="I29" i="25" s="1"/>
  <c r="I40" i="25" s="1"/>
  <c r="J27" i="25"/>
  <c r="J26" i="25" s="1"/>
  <c r="J29" i="25" s="1"/>
  <c r="J40" i="25" s="1"/>
  <c r="K27" i="25"/>
  <c r="K26" i="25" s="1"/>
  <c r="K29" i="25" s="1"/>
  <c r="K40" i="25" s="1"/>
  <c r="L27" i="25"/>
  <c r="L26" i="25" s="1"/>
  <c r="L29" i="25" s="1"/>
  <c r="L40" i="25" s="1"/>
  <c r="M27" i="25"/>
  <c r="M26" i="25" s="1"/>
  <c r="M29" i="25" s="1"/>
  <c r="M40" i="25" s="1"/>
  <c r="N27" i="25"/>
  <c r="N26" i="25" s="1"/>
  <c r="N29" i="25" s="1"/>
  <c r="N40" i="25" s="1"/>
  <c r="G27" i="25"/>
  <c r="D22" i="25"/>
  <c r="H33" i="25" s="1"/>
  <c r="H32" i="25" s="1"/>
  <c r="H35" i="25" s="1"/>
  <c r="H45" i="25" s="1"/>
  <c r="G26" i="25" l="1"/>
  <c r="G29" i="25" s="1"/>
  <c r="G33" i="25"/>
  <c r="M33" i="25"/>
  <c r="M32" i="25" s="1"/>
  <c r="M35" i="25" s="1"/>
  <c r="M45" i="25" s="1"/>
  <c r="M50" i="25" s="1"/>
  <c r="K33" i="25"/>
  <c r="K32" i="25" s="1"/>
  <c r="K35" i="25" s="1"/>
  <c r="K45" i="25" s="1"/>
  <c r="I33" i="25"/>
  <c r="I32" i="25" s="1"/>
  <c r="I35" i="25" s="1"/>
  <c r="I45" i="25" s="1"/>
  <c r="I50" i="25" s="1"/>
  <c r="N33" i="25"/>
  <c r="N32" i="25" s="1"/>
  <c r="N35" i="25" s="1"/>
  <c r="N45" i="25" s="1"/>
  <c r="L33" i="25"/>
  <c r="L32" i="25" s="1"/>
  <c r="L35" i="25" s="1"/>
  <c r="L45" i="25" s="1"/>
  <c r="J33" i="25"/>
  <c r="J32" i="25" s="1"/>
  <c r="J35" i="25" s="1"/>
  <c r="J45" i="25" s="1"/>
  <c r="L50" i="25"/>
  <c r="H50" i="25"/>
  <c r="K50" i="25"/>
  <c r="J50" i="25"/>
  <c r="N50" i="25"/>
  <c r="K37" i="25"/>
  <c r="K38" i="25"/>
  <c r="K39" i="25"/>
  <c r="K42" i="25"/>
  <c r="K43" i="25"/>
  <c r="K44" i="25"/>
  <c r="I37" i="25"/>
  <c r="M37" i="25"/>
  <c r="I38" i="25"/>
  <c r="M38" i="25"/>
  <c r="I39" i="25"/>
  <c r="M39" i="25"/>
  <c r="I42" i="25"/>
  <c r="I43" i="25"/>
  <c r="I44" i="25"/>
  <c r="H37" i="25"/>
  <c r="J37" i="25"/>
  <c r="L37" i="25"/>
  <c r="N37" i="25"/>
  <c r="H38" i="25"/>
  <c r="J38" i="25"/>
  <c r="L38" i="25"/>
  <c r="N38" i="25"/>
  <c r="H39" i="25"/>
  <c r="J39" i="25"/>
  <c r="L39" i="25"/>
  <c r="N39" i="25"/>
  <c r="H42" i="25"/>
  <c r="J42" i="25"/>
  <c r="L42" i="25"/>
  <c r="N42" i="25"/>
  <c r="H43" i="25"/>
  <c r="J43" i="25"/>
  <c r="L43" i="25"/>
  <c r="N43" i="25"/>
  <c r="H44" i="25"/>
  <c r="J44" i="25"/>
  <c r="L44" i="25"/>
  <c r="N44" i="25"/>
  <c r="G40" i="25" l="1"/>
  <c r="G37" i="25"/>
  <c r="G39" i="25"/>
  <c r="M44" i="25"/>
  <c r="M49" i="25" s="1"/>
  <c r="M43" i="25"/>
  <c r="M42" i="25"/>
  <c r="G38" i="25"/>
  <c r="G35" i="25"/>
  <c r="G32" i="25"/>
  <c r="L49" i="25"/>
  <c r="H49" i="25"/>
  <c r="L48" i="25"/>
  <c r="H48" i="25"/>
  <c r="L47" i="25"/>
  <c r="H47" i="25"/>
  <c r="I49" i="25"/>
  <c r="I48" i="25"/>
  <c r="I47" i="25"/>
  <c r="N49" i="25"/>
  <c r="J49" i="25"/>
  <c r="N48" i="25"/>
  <c r="J48" i="25"/>
  <c r="N47" i="25"/>
  <c r="J47" i="25"/>
  <c r="M48" i="25"/>
  <c r="M47" i="25"/>
  <c r="K49" i="25"/>
  <c r="K48" i="25"/>
  <c r="K47" i="25"/>
  <c r="G45" i="25" l="1"/>
  <c r="G50" i="25" s="1"/>
  <c r="G42" i="25"/>
  <c r="G47" i="25" s="1"/>
  <c r="G44" i="25"/>
  <c r="G49" i="25" s="1"/>
  <c r="G43" i="25"/>
  <c r="G48" i="25" s="1"/>
  <c r="H299" i="24" l="1"/>
  <c r="I299" i="24"/>
  <c r="J299" i="24"/>
  <c r="K299" i="24"/>
  <c r="L299" i="24"/>
  <c r="M299" i="24"/>
  <c r="N299" i="24"/>
  <c r="G299" i="24"/>
  <c r="H297" i="24"/>
  <c r="I297" i="24"/>
  <c r="J297" i="24"/>
  <c r="K297" i="24"/>
  <c r="L297" i="24"/>
  <c r="M297" i="24"/>
  <c r="N297" i="24"/>
  <c r="G297" i="24"/>
  <c r="H295" i="24"/>
  <c r="I295" i="24"/>
  <c r="J295" i="24"/>
  <c r="K295" i="24"/>
  <c r="L295" i="24"/>
  <c r="M295" i="24"/>
  <c r="N295" i="24"/>
  <c r="G295" i="24"/>
  <c r="H292" i="24"/>
  <c r="I292" i="24"/>
  <c r="J292" i="24"/>
  <c r="K292" i="24"/>
  <c r="L292" i="24"/>
  <c r="M292" i="24"/>
  <c r="N292" i="24"/>
  <c r="G292" i="24"/>
  <c r="E9" i="1" l="1"/>
  <c r="J15" i="3" l="1"/>
  <c r="G52" i="20" l="1"/>
  <c r="H52" i="20"/>
  <c r="I52" i="20"/>
  <c r="J52" i="20"/>
  <c r="K52" i="20"/>
  <c r="L52" i="20"/>
  <c r="M52" i="20"/>
  <c r="N52" i="20"/>
  <c r="O52" i="20"/>
  <c r="G53" i="20"/>
  <c r="H53" i="20"/>
  <c r="I53" i="20"/>
  <c r="L53" i="20"/>
  <c r="M53" i="20"/>
  <c r="N53" i="20"/>
  <c r="O53" i="20"/>
  <c r="H51" i="20"/>
  <c r="I51" i="20"/>
  <c r="J51" i="20"/>
  <c r="K51" i="20"/>
  <c r="L51" i="20"/>
  <c r="M51" i="20"/>
  <c r="N51" i="20"/>
  <c r="O51" i="20"/>
  <c r="G51" i="20"/>
  <c r="K48" i="20"/>
  <c r="J48" i="20"/>
  <c r="I19" i="3" l="1"/>
  <c r="J32" i="20" l="1"/>
  <c r="J34" i="20" l="1"/>
  <c r="E67" i="8" l="1"/>
  <c r="E66" i="8"/>
  <c r="I69" i="8" s="1"/>
  <c r="I70" i="8" l="1"/>
  <c r="G69" i="8"/>
  <c r="G70" i="8" s="1"/>
  <c r="N69" i="8"/>
  <c r="N70" i="8" s="1"/>
  <c r="L69" i="8"/>
  <c r="L70" i="8" s="1"/>
  <c r="J69" i="8"/>
  <c r="J70" i="8" s="1"/>
  <c r="H69" i="8"/>
  <c r="H70" i="8" s="1"/>
  <c r="O69" i="8"/>
  <c r="O70" i="8" s="1"/>
  <c r="M69" i="8"/>
  <c r="M70" i="8" s="1"/>
  <c r="K69" i="8"/>
  <c r="K70" i="8" s="1"/>
  <c r="E41" i="23" l="1"/>
  <c r="E19" i="23"/>
  <c r="E25" i="21" l="1"/>
  <c r="E24" i="21"/>
  <c r="E23" i="21"/>
  <c r="P27" i="21" l="1"/>
  <c r="P28" i="21" s="1"/>
  <c r="P29" i="21" s="1"/>
  <c r="P33" i="21" s="1"/>
  <c r="N13" i="3" s="1"/>
  <c r="I27" i="21"/>
  <c r="I31" i="21" s="1"/>
  <c r="M27" i="21"/>
  <c r="M31" i="21" s="1"/>
  <c r="K11" i="3" s="1"/>
  <c r="G27" i="21"/>
  <c r="K27" i="21"/>
  <c r="K28" i="21" s="1"/>
  <c r="K29" i="21" s="1"/>
  <c r="O27" i="21"/>
  <c r="M28" i="21"/>
  <c r="H27" i="21"/>
  <c r="J27" i="21"/>
  <c r="L27" i="21"/>
  <c r="N27" i="21"/>
  <c r="E24" i="20"/>
  <c r="E25" i="20"/>
  <c r="E23" i="20"/>
  <c r="F26" i="3"/>
  <c r="F27" i="3"/>
  <c r="F28" i="3"/>
  <c r="F29" i="3"/>
  <c r="F30" i="3"/>
  <c r="F25" i="3"/>
  <c r="P32" i="21" l="1"/>
  <c r="N12" i="3" s="1"/>
  <c r="P31" i="21"/>
  <c r="N11" i="3" s="1"/>
  <c r="I28" i="21"/>
  <c r="I32" i="21" s="1"/>
  <c r="G31" i="21"/>
  <c r="G11" i="3" s="1"/>
  <c r="G28" i="21"/>
  <c r="O31" i="21"/>
  <c r="M11" i="3" s="1"/>
  <c r="O28" i="21"/>
  <c r="L28" i="21"/>
  <c r="L31" i="21"/>
  <c r="J11" i="3" s="1"/>
  <c r="H31" i="21"/>
  <c r="H11" i="3" s="1"/>
  <c r="H28" i="21"/>
  <c r="I29" i="21"/>
  <c r="I33" i="21" s="1"/>
  <c r="N28" i="21"/>
  <c r="N31" i="21"/>
  <c r="L11" i="3" s="1"/>
  <c r="J31" i="21"/>
  <c r="I11" i="3" s="1"/>
  <c r="J28" i="21"/>
  <c r="M32" i="21"/>
  <c r="K12" i="3" s="1"/>
  <c r="M29" i="21"/>
  <c r="M33" i="21" s="1"/>
  <c r="K13" i="3" s="1"/>
  <c r="O32" i="21" l="1"/>
  <c r="M12" i="3" s="1"/>
  <c r="O29" i="21"/>
  <c r="O33" i="21" s="1"/>
  <c r="M13" i="3" s="1"/>
  <c r="G32" i="21"/>
  <c r="G12" i="3" s="1"/>
  <c r="G29" i="21"/>
  <c r="G33" i="21" s="1"/>
  <c r="G13" i="3" s="1"/>
  <c r="J29" i="21"/>
  <c r="J33" i="21" s="1"/>
  <c r="J32" i="21"/>
  <c r="H29" i="21"/>
  <c r="H33" i="21" s="1"/>
  <c r="H13" i="3" s="1"/>
  <c r="H32" i="21"/>
  <c r="H12" i="3" s="1"/>
  <c r="N32" i="21"/>
  <c r="L12" i="3" s="1"/>
  <c r="N29" i="21"/>
  <c r="N33" i="21" s="1"/>
  <c r="L13" i="3" s="1"/>
  <c r="L32" i="21"/>
  <c r="J12" i="3" s="1"/>
  <c r="L29" i="21"/>
  <c r="L33" i="21" s="1"/>
  <c r="J13" i="3" s="1"/>
  <c r="D18" i="16"/>
  <c r="D19" i="16"/>
  <c r="D33" i="16"/>
  <c r="D83" i="16"/>
  <c r="D82" i="16"/>
  <c r="I12" i="3" l="1"/>
  <c r="E25" i="23"/>
  <c r="E27" i="23" s="1"/>
  <c r="E32" i="23" s="1"/>
  <c r="I20" i="3" s="1"/>
  <c r="I43" i="3" s="1"/>
  <c r="I24" i="1" s="1"/>
  <c r="I13" i="3"/>
  <c r="E47" i="23"/>
  <c r="E49" i="23" s="1"/>
  <c r="E53" i="23" s="1"/>
  <c r="I21" i="3" s="1"/>
  <c r="I44" i="3" s="1"/>
  <c r="I25" i="1" s="1"/>
  <c r="I27" i="20"/>
  <c r="I41" i="20" l="1"/>
  <c r="I28" i="20"/>
  <c r="I42" i="20" s="1"/>
  <c r="O27" i="20"/>
  <c r="O41" i="20" s="1"/>
  <c r="N34" i="3"/>
  <c r="N15" i="1" s="1"/>
  <c r="K27" i="20"/>
  <c r="K41" i="20" s="1"/>
  <c r="G27" i="20"/>
  <c r="G41" i="20" s="1"/>
  <c r="M27" i="20"/>
  <c r="H27" i="20"/>
  <c r="J27" i="20"/>
  <c r="L27" i="20"/>
  <c r="N27" i="20"/>
  <c r="M14" i="3" l="1"/>
  <c r="M37" i="3" s="1"/>
  <c r="M18" i="1" s="1"/>
  <c r="N41" i="20"/>
  <c r="I14" i="3"/>
  <c r="I37" i="3" s="1"/>
  <c r="I18" i="1" s="1"/>
  <c r="J41" i="20"/>
  <c r="L14" i="3"/>
  <c r="L37" i="3" s="1"/>
  <c r="L18" i="1" s="1"/>
  <c r="M41" i="20"/>
  <c r="K14" i="3"/>
  <c r="K37" i="3" s="1"/>
  <c r="K18" i="1" s="1"/>
  <c r="L41" i="20"/>
  <c r="H14" i="3"/>
  <c r="H37" i="3" s="1"/>
  <c r="H18" i="1" s="1"/>
  <c r="H41" i="20"/>
  <c r="I29" i="20"/>
  <c r="I33" i="8"/>
  <c r="I75" i="8" s="1"/>
  <c r="O28" i="20"/>
  <c r="N36" i="3"/>
  <c r="N17" i="1" s="1"/>
  <c r="N35" i="3"/>
  <c r="N16" i="1" s="1"/>
  <c r="K28" i="20"/>
  <c r="N28" i="20"/>
  <c r="N42" i="20" s="1"/>
  <c r="J28" i="20"/>
  <c r="J42" i="20" s="1"/>
  <c r="L28" i="20"/>
  <c r="L42" i="20" s="1"/>
  <c r="H28" i="20"/>
  <c r="H42" i="20" s="1"/>
  <c r="M28" i="20"/>
  <c r="M42" i="20" s="1"/>
  <c r="G28" i="20"/>
  <c r="G42" i="20" s="1"/>
  <c r="K34" i="3"/>
  <c r="K15" i="1" s="1"/>
  <c r="L34" i="3"/>
  <c r="L15" i="1" s="1"/>
  <c r="H34" i="3"/>
  <c r="H15" i="1" s="1"/>
  <c r="M34" i="3"/>
  <c r="M15" i="1" s="1"/>
  <c r="G34" i="3"/>
  <c r="G15" i="1" s="1"/>
  <c r="I34" i="3"/>
  <c r="I15" i="1" s="1"/>
  <c r="J34" i="3"/>
  <c r="J15" i="1" s="1"/>
  <c r="K33" i="8" l="1"/>
  <c r="K75" i="8" s="1"/>
  <c r="K42" i="20"/>
  <c r="O33" i="8"/>
  <c r="O75" i="8" s="1"/>
  <c r="O42" i="20"/>
  <c r="I43" i="20"/>
  <c r="G29" i="20"/>
  <c r="G33" i="8"/>
  <c r="G75" i="8" s="1"/>
  <c r="M29" i="20"/>
  <c r="M33" i="8"/>
  <c r="M75" i="8" s="1"/>
  <c r="H29" i="20"/>
  <c r="H33" i="8"/>
  <c r="H75" i="8" s="1"/>
  <c r="L29" i="20"/>
  <c r="L33" i="8"/>
  <c r="L75" i="8" s="1"/>
  <c r="J29" i="20"/>
  <c r="J33" i="8"/>
  <c r="J75" i="8" s="1"/>
  <c r="N29" i="20"/>
  <c r="N33" i="8"/>
  <c r="N75" i="8" s="1"/>
  <c r="K29" i="20"/>
  <c r="O29" i="20"/>
  <c r="J14" i="3"/>
  <c r="J37" i="3" s="1"/>
  <c r="J18" i="1" s="1"/>
  <c r="G14" i="3"/>
  <c r="G37" i="3" s="1"/>
  <c r="G18" i="1" s="1"/>
  <c r="N14" i="3"/>
  <c r="N37" i="3" s="1"/>
  <c r="N18" i="1" s="1"/>
  <c r="J35" i="3"/>
  <c r="J16" i="1" s="1"/>
  <c r="J36" i="3"/>
  <c r="J17" i="1" s="1"/>
  <c r="L35" i="3"/>
  <c r="L16" i="1" s="1"/>
  <c r="L36" i="3"/>
  <c r="L17" i="1" s="1"/>
  <c r="I36" i="3"/>
  <c r="I17" i="1" s="1"/>
  <c r="I35" i="3"/>
  <c r="I16" i="1" s="1"/>
  <c r="G35" i="3"/>
  <c r="G16" i="1" s="1"/>
  <c r="G36" i="3"/>
  <c r="G17" i="1" s="1"/>
  <c r="M35" i="3"/>
  <c r="M16" i="1" s="1"/>
  <c r="M36" i="3"/>
  <c r="M17" i="1" s="1"/>
  <c r="H36" i="3"/>
  <c r="H17" i="1" s="1"/>
  <c r="H35" i="3"/>
  <c r="H16" i="1" s="1"/>
  <c r="K35" i="3"/>
  <c r="K16" i="1" s="1"/>
  <c r="K36" i="3"/>
  <c r="K17" i="1" s="1"/>
  <c r="N16" i="3" l="1"/>
  <c r="N39" i="3" s="1"/>
  <c r="N20" i="1" s="1"/>
  <c r="O43" i="20"/>
  <c r="N43" i="20"/>
  <c r="J53" i="20"/>
  <c r="L43" i="20"/>
  <c r="H43" i="20"/>
  <c r="M43" i="20"/>
  <c r="G43" i="20"/>
  <c r="K16" i="3"/>
  <c r="K39" i="3" s="1"/>
  <c r="K20" i="1" s="1"/>
  <c r="M16" i="3"/>
  <c r="M39" i="3" s="1"/>
  <c r="M20" i="1" s="1"/>
  <c r="H16" i="3"/>
  <c r="H39" i="3" s="1"/>
  <c r="H20" i="1" s="1"/>
  <c r="L16" i="3"/>
  <c r="L39" i="3" s="1"/>
  <c r="L20" i="1" s="1"/>
  <c r="G16" i="3"/>
  <c r="G39" i="3" s="1"/>
  <c r="G20" i="1" s="1"/>
  <c r="M15" i="3"/>
  <c r="M38" i="3" s="1"/>
  <c r="M19" i="1" s="1"/>
  <c r="J38" i="3"/>
  <c r="J19" i="1" s="1"/>
  <c r="K15" i="3"/>
  <c r="K38" i="3" s="1"/>
  <c r="K19" i="1" s="1"/>
  <c r="H15" i="3"/>
  <c r="H38" i="3" s="1"/>
  <c r="H19" i="1" s="1"/>
  <c r="L15" i="3"/>
  <c r="L38" i="3" s="1"/>
  <c r="L19" i="1" s="1"/>
  <c r="G15" i="3"/>
  <c r="G38" i="3" s="1"/>
  <c r="G19" i="1" s="1"/>
  <c r="N15" i="3"/>
  <c r="N38" i="3" s="1"/>
  <c r="N19" i="1" s="1"/>
  <c r="I15" i="3"/>
  <c r="I38" i="3" s="1"/>
  <c r="I19" i="1" s="1"/>
  <c r="K53" i="20" l="1"/>
  <c r="I16" i="3"/>
  <c r="I39" i="3" s="1"/>
  <c r="I20" i="1" s="1"/>
  <c r="H49" i="19"/>
  <c r="I49" i="19"/>
  <c r="J49" i="19"/>
  <c r="K49" i="19"/>
  <c r="L49" i="19"/>
  <c r="M49" i="19"/>
  <c r="N49" i="19"/>
  <c r="O49" i="19"/>
  <c r="H50" i="19"/>
  <c r="I50" i="19"/>
  <c r="J50" i="19"/>
  <c r="K50" i="19"/>
  <c r="L50" i="19"/>
  <c r="M50" i="19"/>
  <c r="N50" i="19"/>
  <c r="O50" i="19"/>
  <c r="H51" i="19"/>
  <c r="I51" i="19"/>
  <c r="J51" i="19"/>
  <c r="K51" i="19"/>
  <c r="L51" i="19"/>
  <c r="M51" i="19"/>
  <c r="N51" i="19"/>
  <c r="O51" i="19"/>
  <c r="H52" i="19"/>
  <c r="I52" i="19"/>
  <c r="J52" i="19"/>
  <c r="K52" i="19"/>
  <c r="L52" i="19"/>
  <c r="M52" i="19"/>
  <c r="N52" i="19"/>
  <c r="O52" i="19"/>
  <c r="H53" i="19"/>
  <c r="I53" i="19"/>
  <c r="J53" i="19"/>
  <c r="K53" i="19"/>
  <c r="L53" i="19"/>
  <c r="M53" i="19"/>
  <c r="N53" i="19"/>
  <c r="O53" i="19"/>
  <c r="H54" i="19"/>
  <c r="I54" i="19"/>
  <c r="J54" i="19"/>
  <c r="K54" i="19"/>
  <c r="L54" i="19"/>
  <c r="M54" i="19"/>
  <c r="N54" i="19"/>
  <c r="O54" i="19"/>
  <c r="G50" i="19"/>
  <c r="G51" i="19"/>
  <c r="G52" i="19"/>
  <c r="G53" i="19"/>
  <c r="G54" i="19"/>
  <c r="G49" i="19"/>
  <c r="J16" i="3" l="1"/>
  <c r="J39" i="3" s="1"/>
  <c r="J20" i="1" s="1"/>
  <c r="H39" i="9"/>
  <c r="I39" i="9"/>
  <c r="I62" i="19" s="1"/>
  <c r="J39" i="9"/>
  <c r="J62" i="19" s="1"/>
  <c r="K39" i="9"/>
  <c r="K62" i="19" s="1"/>
  <c r="L39" i="9"/>
  <c r="L62" i="19" s="1"/>
  <c r="M39" i="9"/>
  <c r="M62" i="19" s="1"/>
  <c r="N39" i="9"/>
  <c r="N62" i="19" s="1"/>
  <c r="O39" i="9"/>
  <c r="O62" i="19" s="1"/>
  <c r="H40" i="9"/>
  <c r="H63" i="19" s="1"/>
  <c r="I40" i="9"/>
  <c r="I63" i="19" s="1"/>
  <c r="J40" i="9"/>
  <c r="J63" i="19" s="1"/>
  <c r="K40" i="9"/>
  <c r="K63" i="19" s="1"/>
  <c r="L40" i="9"/>
  <c r="L63" i="19" s="1"/>
  <c r="M40" i="9"/>
  <c r="M63" i="19" s="1"/>
  <c r="N40" i="9"/>
  <c r="N63" i="19" s="1"/>
  <c r="O40" i="9"/>
  <c r="O63" i="19" s="1"/>
  <c r="H41" i="9"/>
  <c r="H64" i="19" s="1"/>
  <c r="I41" i="9"/>
  <c r="I64" i="19" s="1"/>
  <c r="J41" i="9"/>
  <c r="J64" i="19" s="1"/>
  <c r="K41" i="9"/>
  <c r="K64" i="19" s="1"/>
  <c r="L41" i="9"/>
  <c r="L64" i="19" s="1"/>
  <c r="M41" i="9"/>
  <c r="M64" i="19" s="1"/>
  <c r="N41" i="9"/>
  <c r="N64" i="19" s="1"/>
  <c r="O41" i="9"/>
  <c r="O64" i="19" s="1"/>
  <c r="H42" i="9"/>
  <c r="H65" i="19" s="1"/>
  <c r="I42" i="9"/>
  <c r="I65" i="19" s="1"/>
  <c r="J42" i="9"/>
  <c r="J65" i="19" s="1"/>
  <c r="K42" i="9"/>
  <c r="K65" i="19" s="1"/>
  <c r="L42" i="9"/>
  <c r="L65" i="19" s="1"/>
  <c r="M42" i="9"/>
  <c r="M65" i="19" s="1"/>
  <c r="N42" i="9"/>
  <c r="N65" i="19" s="1"/>
  <c r="O42" i="9"/>
  <c r="O65" i="19" s="1"/>
  <c r="H43" i="9"/>
  <c r="H66" i="19" s="1"/>
  <c r="I43" i="9"/>
  <c r="I66" i="19" s="1"/>
  <c r="J43" i="9"/>
  <c r="J66" i="19" s="1"/>
  <c r="K43" i="9"/>
  <c r="K66" i="19" s="1"/>
  <c r="L43" i="9"/>
  <c r="L66" i="19" s="1"/>
  <c r="M43" i="9"/>
  <c r="M66" i="19" s="1"/>
  <c r="N43" i="9"/>
  <c r="N66" i="19" s="1"/>
  <c r="O43" i="9"/>
  <c r="O66" i="19" s="1"/>
  <c r="H44" i="9"/>
  <c r="H67" i="19" s="1"/>
  <c r="I44" i="9"/>
  <c r="I67" i="19" s="1"/>
  <c r="J44" i="9"/>
  <c r="J67" i="19" s="1"/>
  <c r="K44" i="9"/>
  <c r="K67" i="19" s="1"/>
  <c r="L44" i="9"/>
  <c r="L67" i="19" s="1"/>
  <c r="M44" i="9"/>
  <c r="M67" i="19" s="1"/>
  <c r="N44" i="9"/>
  <c r="N67" i="19" s="1"/>
  <c r="O44" i="9"/>
  <c r="O67" i="19" s="1"/>
  <c r="G40" i="9"/>
  <c r="G63" i="19" s="1"/>
  <c r="G41" i="9"/>
  <c r="G64" i="19" s="1"/>
  <c r="G42" i="9"/>
  <c r="G65" i="19" s="1"/>
  <c r="G43" i="9"/>
  <c r="G66" i="19" s="1"/>
  <c r="G44" i="9"/>
  <c r="G67" i="19" s="1"/>
  <c r="G39" i="9"/>
  <c r="L69" i="19" l="1"/>
  <c r="L71" i="19" s="1"/>
  <c r="K19" i="3" s="1"/>
  <c r="K42" i="3" s="1"/>
  <c r="K23" i="1" s="1"/>
  <c r="O69" i="19"/>
  <c r="M69" i="19"/>
  <c r="M71" i="19" s="1"/>
  <c r="L19" i="3" s="1"/>
  <c r="L42" i="3" s="1"/>
  <c r="L23" i="1" s="1"/>
  <c r="K69" i="19"/>
  <c r="K71" i="19" s="1"/>
  <c r="J19" i="3" s="1"/>
  <c r="J42" i="3" s="1"/>
  <c r="J23" i="1" s="1"/>
  <c r="I69" i="19"/>
  <c r="I71" i="19" s="1"/>
  <c r="N69" i="19"/>
  <c r="N71" i="19" s="1"/>
  <c r="M19" i="3" s="1"/>
  <c r="M42" i="3" s="1"/>
  <c r="M23" i="1" s="1"/>
  <c r="J69" i="19"/>
  <c r="J71" i="19" s="1"/>
  <c r="I42" i="3" s="1"/>
  <c r="I23" i="1" s="1"/>
  <c r="H62" i="19"/>
  <c r="H69" i="19" s="1"/>
  <c r="H71" i="19" s="1"/>
  <c r="H19" i="3" s="1"/>
  <c r="H42" i="3" s="1"/>
  <c r="H23" i="1" s="1"/>
  <c r="H55" i="9"/>
  <c r="H57" i="9" s="1"/>
  <c r="H18" i="3" s="1"/>
  <c r="H41" i="3" s="1"/>
  <c r="H22" i="1" s="1"/>
  <c r="O71" i="19"/>
  <c r="N19" i="3" s="1"/>
  <c r="N42" i="3" s="1"/>
  <c r="N23" i="1" s="1"/>
  <c r="G55" i="9"/>
  <c r="G57" i="9" s="1"/>
  <c r="G18" i="3" s="1"/>
  <c r="G41" i="3" s="1"/>
  <c r="G22" i="1" s="1"/>
  <c r="G62" i="19"/>
  <c r="O55" i="9"/>
  <c r="O57" i="9" s="1"/>
  <c r="N18" i="3" s="1"/>
  <c r="N41" i="3" s="1"/>
  <c r="N22" i="1" s="1"/>
  <c r="M55" i="9"/>
  <c r="M57" i="9" s="1"/>
  <c r="L18" i="3" s="1"/>
  <c r="L41" i="3" s="1"/>
  <c r="L22" i="1" s="1"/>
  <c r="K55" i="9"/>
  <c r="K57" i="9" s="1"/>
  <c r="J18" i="3" s="1"/>
  <c r="J41" i="3" s="1"/>
  <c r="J22" i="1" s="1"/>
  <c r="I55" i="9"/>
  <c r="I57" i="9" s="1"/>
  <c r="N55" i="9"/>
  <c r="N57" i="9" s="1"/>
  <c r="M18" i="3" s="1"/>
  <c r="M41" i="3" s="1"/>
  <c r="M22" i="1" s="1"/>
  <c r="L55" i="9"/>
  <c r="L57" i="9" s="1"/>
  <c r="K18" i="3" s="1"/>
  <c r="K41" i="3" s="1"/>
  <c r="K22" i="1" s="1"/>
  <c r="J55" i="9"/>
  <c r="J57" i="9" s="1"/>
  <c r="I18" i="3" l="1"/>
  <c r="I41" i="3" s="1"/>
  <c r="I22" i="1" s="1"/>
  <c r="G69" i="19"/>
  <c r="G71" i="19" s="1"/>
  <c r="G19" i="3" s="1"/>
  <c r="G42" i="3" s="1"/>
  <c r="G23" i="1" s="1"/>
  <c r="I11" i="1" l="1"/>
  <c r="K11" i="1"/>
  <c r="M11" i="1"/>
  <c r="G11" i="1"/>
  <c r="H11" i="1"/>
  <c r="J11" i="1"/>
  <c r="L11" i="1"/>
  <c r="N11" i="1"/>
  <c r="M36" i="17"/>
  <c r="L35" i="17"/>
  <c r="L36" i="17" s="1"/>
  <c r="K34" i="17"/>
  <c r="K35" i="17" s="1"/>
  <c r="K36" i="17" s="1"/>
  <c r="J34" i="17"/>
  <c r="J35" i="17" s="1"/>
  <c r="J36" i="17" s="1"/>
  <c r="J33" i="17"/>
  <c r="I32" i="17"/>
  <c r="I33" i="17" s="1"/>
  <c r="I34" i="17" s="1"/>
  <c r="I35" i="17" s="1"/>
  <c r="I36" i="17" s="1"/>
  <c r="H31" i="17"/>
  <c r="H32" i="17" s="1"/>
  <c r="H33" i="17" s="1"/>
  <c r="H34" i="17" s="1"/>
  <c r="H35" i="17" s="1"/>
  <c r="H36" i="17" s="1"/>
  <c r="G30" i="17"/>
  <c r="G31" i="17" s="1"/>
  <c r="G32" i="17" s="1"/>
  <c r="G33" i="17" s="1"/>
  <c r="G34" i="17" s="1"/>
  <c r="G35" i="17" s="1"/>
  <c r="G36" i="17" s="1"/>
  <c r="F29" i="17"/>
  <c r="F30" i="17" s="1"/>
  <c r="F31" i="17" s="1"/>
  <c r="F32" i="17" s="1"/>
  <c r="F33" i="17" s="1"/>
  <c r="F34" i="17" s="1"/>
  <c r="F35" i="17" s="1"/>
  <c r="F36" i="17" s="1"/>
  <c r="E28" i="17"/>
  <c r="E29" i="17" s="1"/>
  <c r="E30" i="17" s="1"/>
  <c r="E31" i="17" s="1"/>
  <c r="E32" i="17" s="1"/>
  <c r="E33" i="17" s="1"/>
  <c r="E34" i="17" s="1"/>
  <c r="E35" i="17" s="1"/>
  <c r="E36" i="17" s="1"/>
  <c r="D27" i="17"/>
  <c r="D28" i="17" s="1"/>
  <c r="D29" i="17" s="1"/>
  <c r="D30" i="17" s="1"/>
  <c r="D31" i="17" s="1"/>
  <c r="D32" i="17" s="1"/>
  <c r="D33" i="17" s="1"/>
  <c r="D34" i="17" s="1"/>
  <c r="D35" i="17" s="1"/>
  <c r="D36" i="17" s="1"/>
  <c r="D32" i="16"/>
  <c r="D31" i="16"/>
  <c r="D30" i="16"/>
  <c r="D29" i="16"/>
  <c r="D28" i="16"/>
  <c r="D27" i="16"/>
  <c r="D26" i="16"/>
  <c r="D25" i="16"/>
  <c r="D24" i="16"/>
  <c r="D17" i="16" l="1"/>
  <c r="H17" i="3"/>
  <c r="H40" i="3" s="1"/>
  <c r="H21" i="1" s="1"/>
  <c r="H27" i="1" s="1"/>
  <c r="K17" i="3"/>
  <c r="K40" i="3" s="1"/>
  <c r="K21" i="1" s="1"/>
  <c r="K27" i="1" s="1"/>
  <c r="M17" i="3"/>
  <c r="M40" i="3" s="1"/>
  <c r="M21" i="1" s="1"/>
  <c r="M27" i="1" s="1"/>
  <c r="G17" i="3"/>
  <c r="G40" i="3" s="1"/>
  <c r="G21" i="1" s="1"/>
  <c r="G27" i="1" s="1"/>
  <c r="D16" i="16" l="1"/>
  <c r="D15" i="16" s="1"/>
  <c r="D14" i="16" s="1"/>
  <c r="D13" i="16" s="1"/>
  <c r="D12" i="16" s="1"/>
  <c r="D11" i="16" s="1"/>
  <c r="D10" i="16" s="1"/>
  <c r="N17" i="3"/>
  <c r="N40" i="3" s="1"/>
  <c r="N21" i="1" s="1"/>
  <c r="N27" i="1" s="1"/>
  <c r="L17" i="3"/>
  <c r="L40" i="3" s="1"/>
  <c r="L21" i="1" s="1"/>
  <c r="L27" i="1" s="1"/>
  <c r="I17" i="3"/>
  <c r="I40" i="3" s="1"/>
  <c r="I21" i="1" s="1"/>
  <c r="I27" i="1" s="1"/>
  <c r="J17" i="3" l="1"/>
  <c r="J40" i="3" s="1"/>
  <c r="J21" i="1" s="1"/>
  <c r="J27" i="1" s="1"/>
  <c r="N31" i="1"/>
  <c r="M31" i="1"/>
  <c r="L31" i="1"/>
  <c r="K31" i="1"/>
  <c r="H31" i="1"/>
  <c r="G31" i="1"/>
  <c r="G55" i="25" l="1"/>
  <c r="G54" i="25"/>
  <c r="G53" i="25"/>
  <c r="G52" i="25"/>
  <c r="K55" i="25"/>
  <c r="K54" i="25"/>
  <c r="K53" i="25"/>
  <c r="K52" i="25"/>
  <c r="M55" i="25"/>
  <c r="M54" i="25"/>
  <c r="M53" i="25"/>
  <c r="M52" i="25"/>
  <c r="H55" i="25"/>
  <c r="H54" i="25"/>
  <c r="H53" i="25"/>
  <c r="H52" i="25"/>
  <c r="L55" i="25"/>
  <c r="L54" i="25"/>
  <c r="L53" i="25"/>
  <c r="L52" i="25"/>
  <c r="N55" i="25"/>
  <c r="N54" i="25"/>
  <c r="N53" i="25"/>
  <c r="N52" i="25"/>
  <c r="J31" i="1"/>
  <c r="J55" i="25" l="1"/>
  <c r="J54" i="25"/>
  <c r="J53" i="25"/>
  <c r="J52" i="25"/>
  <c r="N56" i="25"/>
  <c r="L56" i="25"/>
  <c r="H56" i="25"/>
  <c r="M56" i="25"/>
  <c r="K56" i="25"/>
  <c r="G56" i="25"/>
  <c r="I31" i="1"/>
  <c r="I55" i="25" l="1"/>
  <c r="I54" i="25"/>
  <c r="I53" i="25"/>
  <c r="I52" i="25"/>
  <c r="J56" i="25"/>
  <c r="I56" i="25" l="1"/>
</calcChain>
</file>

<file path=xl/comments1.xml><?xml version="1.0" encoding="utf-8"?>
<comments xmlns="http://schemas.openxmlformats.org/spreadsheetml/2006/main">
  <authors>
    <author>Vaanhold, Jorieke</author>
  </authors>
  <commentList>
    <comment ref="I2" authorId="0">
      <text>
        <r>
          <rPr>
            <sz val="8"/>
            <color indexed="81"/>
            <rFont val="Tahoma"/>
            <family val="2"/>
          </rPr>
          <t xml:space="preserve">Inclusief Endinet
</t>
        </r>
      </text>
    </comment>
  </commentList>
</comments>
</file>

<file path=xl/comments2.xml><?xml version="1.0" encoding="utf-8"?>
<comments xmlns="http://schemas.openxmlformats.org/spreadsheetml/2006/main">
  <authors>
    <author>Vaanhold, Jorieke</author>
  </authors>
  <commentList>
    <comment ref="I2" authorId="0">
      <text>
        <r>
          <rPr>
            <sz val="8"/>
            <color indexed="81"/>
            <rFont val="Tahoma"/>
            <family val="2"/>
          </rPr>
          <t xml:space="preserve">Inclusief Endinet
</t>
        </r>
      </text>
    </comment>
  </commentList>
</comments>
</file>

<file path=xl/comments3.xml><?xml version="1.0" encoding="utf-8"?>
<comments xmlns="http://schemas.openxmlformats.org/spreadsheetml/2006/main">
  <authors>
    <author>Vaanhold, Jorieke</author>
    <author>Adriaansen, Paul</author>
  </authors>
  <commentList>
    <comment ref="I2" authorId="0">
      <text>
        <r>
          <rPr>
            <sz val="8"/>
            <color indexed="81"/>
            <rFont val="Tahoma"/>
            <family val="2"/>
          </rPr>
          <t xml:space="preserve">Inclusief Endinet
</t>
        </r>
      </text>
    </comment>
    <comment ref="I11" authorId="1">
      <text>
        <r>
          <rPr>
            <sz val="8"/>
            <color indexed="81"/>
            <rFont val="Tahoma"/>
            <family val="2"/>
          </rPr>
          <t>Optelling van nacalculaties voor Enexis en Endinet</t>
        </r>
      </text>
    </comment>
  </commentList>
</comments>
</file>

<file path=xl/comments4.xml><?xml version="1.0" encoding="utf-8"?>
<comments xmlns="http://schemas.openxmlformats.org/spreadsheetml/2006/main">
  <authors>
    <author>Vaanhold, Jorieke</author>
    <author>Adriaansen, Paul</author>
  </authors>
  <commentList>
    <comment ref="H13" authorId="0">
      <text>
        <r>
          <rPr>
            <sz val="8"/>
            <color indexed="81"/>
            <rFont val="Tahoma"/>
            <family val="2"/>
          </rPr>
          <t>thans Enduris B.V.</t>
        </r>
      </text>
    </comment>
    <comment ref="J31" authorId="1">
      <text>
        <r>
          <rPr>
            <sz val="8"/>
            <color indexed="81"/>
            <rFont val="Tahoma"/>
            <family val="2"/>
          </rPr>
          <t>Inclusief TI-effect bij Intergas</t>
        </r>
      </text>
    </comment>
  </commentList>
</comments>
</file>

<file path=xl/comments5.xml><?xml version="1.0" encoding="utf-8"?>
<comments xmlns="http://schemas.openxmlformats.org/spreadsheetml/2006/main">
  <authors>
    <author>Vaanhold, Jorieke</author>
    <author>Langen, Vincent van</author>
  </authors>
  <commentList>
    <comment ref="H13" authorId="0">
      <text>
        <r>
          <rPr>
            <sz val="8"/>
            <color indexed="81"/>
            <rFont val="Tahoma"/>
            <family val="2"/>
          </rPr>
          <t>thans Enduris B.V.</t>
        </r>
      </text>
    </comment>
    <comment ref="J43" authorId="0">
      <text>
        <r>
          <rPr>
            <sz val="8"/>
            <color indexed="81"/>
            <rFont val="Tahoma"/>
            <family val="2"/>
          </rPr>
          <t xml:space="preserve">Alternatieve berekening i.v.m. FNOP overdracht
</t>
        </r>
      </text>
    </comment>
    <comment ref="K43" authorId="0">
      <text>
        <r>
          <rPr>
            <sz val="8"/>
            <color indexed="81"/>
            <rFont val="Tahoma"/>
            <family val="2"/>
          </rPr>
          <t xml:space="preserve">Alternatieve berekening i.v.m. FNOP overdracht
</t>
        </r>
      </text>
    </comment>
    <comment ref="J48" authorId="1">
      <text>
        <r>
          <rPr>
            <sz val="8"/>
            <color indexed="81"/>
            <rFont val="Tahoma"/>
            <family val="2"/>
          </rPr>
          <t>Gecorrigeerd voor FNOP-verschuiving.</t>
        </r>
      </text>
    </comment>
    <comment ref="K48" authorId="1">
      <text>
        <r>
          <rPr>
            <sz val="8"/>
            <color indexed="81"/>
            <rFont val="Tahoma"/>
            <family val="2"/>
          </rPr>
          <t>Gecorrigeerd voor FNOP-verschuiving.</t>
        </r>
      </text>
    </comment>
  </commentList>
</comments>
</file>

<file path=xl/comments6.xml><?xml version="1.0" encoding="utf-8"?>
<comments xmlns="http://schemas.openxmlformats.org/spreadsheetml/2006/main">
  <authors>
    <author>Vaanhold, Jorieke</author>
    <author>Adriaansen, Paul</author>
  </authors>
  <commentList>
    <comment ref="H2" authorId="0">
      <text>
        <r>
          <rPr>
            <sz val="8"/>
            <color indexed="81"/>
            <rFont val="Tahoma"/>
            <family val="2"/>
          </rPr>
          <t xml:space="preserve">thans Enduris B.V.
</t>
        </r>
      </text>
    </comment>
    <comment ref="J53" authorId="1">
      <text>
        <r>
          <rPr>
            <sz val="8"/>
            <color indexed="81"/>
            <rFont val="Tahoma"/>
            <family val="2"/>
          </rPr>
          <t>Intergas bestaat in de GAW-berekening nog als afzonderlijke netbeheerder/netdeel. In de x-factorberekening worden de kapitaalkosten van Intergas opgeteld bij Enexis.</t>
        </r>
      </text>
    </comment>
  </commentList>
</comments>
</file>

<file path=xl/comments7.xml><?xml version="1.0" encoding="utf-8"?>
<comments xmlns="http://schemas.openxmlformats.org/spreadsheetml/2006/main">
  <authors>
    <author>Vaanhold, Jorieke</author>
  </authors>
  <commentList>
    <comment ref="H2" authorId="0">
      <text>
        <r>
          <rPr>
            <sz val="8"/>
            <color indexed="81"/>
            <rFont val="Tahoma"/>
            <family val="2"/>
          </rPr>
          <t>thans Enduris B.V.</t>
        </r>
      </text>
    </comment>
  </commentList>
</comments>
</file>

<file path=xl/comments8.xml><?xml version="1.0" encoding="utf-8"?>
<comments xmlns="http://schemas.openxmlformats.org/spreadsheetml/2006/main">
  <authors>
    <author>Vaanhold, Jorieke</author>
  </authors>
  <commentList>
    <comment ref="H2" authorId="0">
      <text>
        <r>
          <rPr>
            <sz val="8"/>
            <color indexed="81"/>
            <rFont val="Tahoma"/>
            <family val="2"/>
          </rPr>
          <t>thans Enduris B.V.</t>
        </r>
      </text>
    </comment>
  </commentList>
</comments>
</file>

<file path=xl/comments9.xml><?xml version="1.0" encoding="utf-8"?>
<comments xmlns="http://schemas.openxmlformats.org/spreadsheetml/2006/main">
  <authors>
    <author>Adriaansen, Paul</author>
  </authors>
  <commentList>
    <comment ref="C20" authorId="0">
      <text>
        <r>
          <rPr>
            <sz val="8"/>
            <color indexed="81"/>
            <rFont val="Tahoma"/>
            <family val="2"/>
          </rPr>
          <t>CPI aug betreft het voorlopige cijfer van het CBS voor de maand aug 2016.</t>
        </r>
      </text>
    </comment>
  </commentList>
</comments>
</file>

<file path=xl/sharedStrings.xml><?xml version="1.0" encoding="utf-8"?>
<sst xmlns="http://schemas.openxmlformats.org/spreadsheetml/2006/main" count="913" uniqueCount="393">
  <si>
    <t>COGAS</t>
  </si>
  <si>
    <t>DNWB</t>
  </si>
  <si>
    <t>ENDINET</t>
  </si>
  <si>
    <t>ENEXIS</t>
  </si>
  <si>
    <t>LIANDER</t>
  </si>
  <si>
    <t>RENDO</t>
  </si>
  <si>
    <t>STEDIN</t>
  </si>
  <si>
    <t>WESTLAND</t>
  </si>
  <si>
    <t>ZEBRA</t>
  </si>
  <si>
    <t>Totale Inkomsten exclusief correcties</t>
  </si>
  <si>
    <t>X-factor 2014-2016</t>
  </si>
  <si>
    <t>€, pp 2013</t>
  </si>
  <si>
    <t>€, pp 2015</t>
  </si>
  <si>
    <t>€, pp 2016</t>
  </si>
  <si>
    <t>Verdeling inkomsten over transport- en aansluitdienst</t>
  </si>
  <si>
    <t>%</t>
  </si>
  <si>
    <t>Toelichting</t>
  </si>
  <si>
    <t>Toelichting bij TI-berekening</t>
  </si>
  <si>
    <t>Legenda celkleuren</t>
  </si>
  <si>
    <t>Data en input</t>
  </si>
  <si>
    <t>Berekende waarde</t>
  </si>
  <si>
    <t>Waarde die zonder berekening wordt overgenomen uit een andere cel</t>
  </si>
  <si>
    <t>Berekende of overgenomen waarde en tevens resultaat</t>
  </si>
  <si>
    <t>Waarde of berekening die speciale aandacht vraagt (toelichting in opmerking)</t>
  </si>
  <si>
    <t>Nacalculaties en correcties</t>
  </si>
  <si>
    <t>Nacalculaties</t>
  </si>
  <si>
    <t>€, pp 2014</t>
  </si>
  <si>
    <t>Heffingsrente</t>
  </si>
  <si>
    <t>Correcties</t>
  </si>
  <si>
    <t>van 2015 naar 2016</t>
  </si>
  <si>
    <t>CPI 2015</t>
  </si>
  <si>
    <t>Begininkomsten 2013 (exclusief correcties)</t>
  </si>
  <si>
    <t>Berekeningswijze nacalculatie volumewijzigingen</t>
  </si>
  <si>
    <t>Transportdienst</t>
  </si>
  <si>
    <t>=&lt; 10 m3(n)h, jaarverbruik &lt; 500 Nm3</t>
  </si>
  <si>
    <t>=&lt; 10 m3(n)h, jaarverbruik vanaf 500 Nm3 en &lt; 4.000 Nm3</t>
  </si>
  <si>
    <t>=&lt; 10 m3(n)h, jaarverbruik vanaf 4.000 Nm3</t>
  </si>
  <si>
    <t>&gt; 10 en =&lt; 16 m3(n)h</t>
  </si>
  <si>
    <t>&gt; 16 en =&lt; 25 m3(n)h</t>
  </si>
  <si>
    <t>&gt; 25 en =&lt; 40 m3(n)h</t>
  </si>
  <si>
    <t>Vastrecht kleinverbruik</t>
  </si>
  <si>
    <t>Vastrecht</t>
  </si>
  <si>
    <t>0 t/m 10 m3(n)/h</t>
  </si>
  <si>
    <t>10 t/m 16 m3(n)/h</t>
  </si>
  <si>
    <t>16 t/m 25 m3(n)/h</t>
  </si>
  <si>
    <t>25 t/m 40 m3(n)/h</t>
  </si>
  <si>
    <t>Rekencapaciteit</t>
  </si>
  <si>
    <t>TOTAAL</t>
  </si>
  <si>
    <t>Heffingsrente naar jaar van berekening TI</t>
  </si>
  <si>
    <t>naar jaar:</t>
  </si>
  <si>
    <t>van 2008</t>
  </si>
  <si>
    <t>van 2009</t>
  </si>
  <si>
    <t>van 2010</t>
  </si>
  <si>
    <t>van 2011</t>
  </si>
  <si>
    <t>van 2012</t>
  </si>
  <si>
    <t>van 2013</t>
  </si>
  <si>
    <t>van 2014</t>
  </si>
  <si>
    <t>van 2015</t>
  </si>
  <si>
    <t>Heffingsrente per jaar</t>
  </si>
  <si>
    <t>van 2007 naar 2008</t>
  </si>
  <si>
    <t>van 2008 naar 2009</t>
  </si>
  <si>
    <t>van 2009 naar 2010</t>
  </si>
  <si>
    <t>van 2010 naar 2011</t>
  </si>
  <si>
    <t>van 2011 naar 2012</t>
  </si>
  <si>
    <t>van 2012 naar 2013</t>
  </si>
  <si>
    <t>van 2013 naar 2014</t>
  </si>
  <si>
    <t>van 2014 naar 2015</t>
  </si>
  <si>
    <t>De heffingsrente wordt ieder kwartaal gepubliceerd door het Ministerie van Financiën.</t>
  </si>
  <si>
    <t>Data heffingsrente per kwartaal</t>
  </si>
  <si>
    <t>CPI</t>
  </si>
  <si>
    <t>Data</t>
  </si>
  <si>
    <t>Van jaar - naar jaar</t>
  </si>
  <si>
    <t>Van:</t>
  </si>
  <si>
    <t>Naar:</t>
  </si>
  <si>
    <t>#</t>
  </si>
  <si>
    <t>EUR, pp 2016</t>
  </si>
  <si>
    <t>van 2007</t>
  </si>
  <si>
    <r>
      <t xml:space="preserve">De </t>
    </r>
    <r>
      <rPr>
        <sz val="10"/>
        <color indexed="10"/>
        <rFont val="Arial"/>
        <family val="2"/>
      </rPr>
      <t>rode</t>
    </r>
    <r>
      <rPr>
        <sz val="10"/>
        <rFont val="Arial"/>
        <family val="2"/>
      </rPr>
      <t xml:space="preserve"> getallen betreffen een schatting, op basis van het laatst bekende kwartaal.</t>
    </r>
  </si>
  <si>
    <t xml:space="preserve">Precario </t>
  </si>
  <si>
    <t>Gedoogbelastingen</t>
  </si>
  <si>
    <t>Transportdienst &lt; 16 Bar</t>
  </si>
  <si>
    <t>Voor de kapitaalkosten van lokale heffingen is ook een uitbreiding van de GAW-sheet noodzakelijk. Om tot de juiste kapitaalkosten te komen worden de volgende stappen doorlopen:</t>
  </si>
  <si>
    <t>In het methodebesluit voor RNB's gas 2014-2016 is geen one-off toegepast, wat betekent dat bij de vaststelling van de nacalculatie lokale heffingen sprake is van een ingroei effect.</t>
  </si>
  <si>
    <t>3. Op het blad 'Dashboard Boekjaar' kunnen nu de afschrijvingen en boekwaarde van afgekochte precario voor Intergas en RENDO worden afgelezen (voor alle andere netbeheerders zijn de bedragen nul).</t>
  </si>
  <si>
    <t>Intergas</t>
  </si>
  <si>
    <t>Uitkomsten TI-berekening na aanpassing van gegevens (zie toelichting hierboven)</t>
  </si>
  <si>
    <t>Aansluitdienst &lt; 16 Bar - tabel A</t>
  </si>
  <si>
    <t>Aansluitdienst &lt; 16 Bar - tabel B</t>
  </si>
  <si>
    <t>Investeringsbedrag boekjaar precario</t>
  </si>
  <si>
    <t>Afschrijvingen precario</t>
  </si>
  <si>
    <t>Boekwaarde precario</t>
  </si>
  <si>
    <t>KOSTENDATA</t>
  </si>
  <si>
    <t>RESULTAAT</t>
  </si>
  <si>
    <t>Nacalculatiebedrag</t>
  </si>
  <si>
    <t>Volumewijzigingen in Rekenvolumes n.a.v. administratieve aanpassing capaciteiten</t>
  </si>
  <si>
    <t>Gemiddelde wijziging over 2010 t/m 2012 (bron: tarievenbesluit 2015)</t>
  </si>
  <si>
    <t>Periodieke aansluitvergoeding (lage druk)</t>
  </si>
  <si>
    <t>Basistarief per rekeneenheid</t>
  </si>
  <si>
    <t>Omzetverschil door verschoven volume (somproduct)</t>
  </si>
  <si>
    <t>EUR, pp 2015</t>
  </si>
  <si>
    <t>Nacalculatiebedrag volumeverschuiving administratief 2015</t>
  </si>
  <si>
    <t>Berekening gemiddelde volumeverschuiving in rekenvolumes</t>
  </si>
  <si>
    <t>Volumewijzigingen in Rekenvolumes n.a.v. volumeherleidingsfactor en hoogtecorrectie</t>
  </si>
  <si>
    <t>Volumeverschuivingen 2010</t>
  </si>
  <si>
    <t>Volumeverschuivingen 2012</t>
  </si>
  <si>
    <t>Volumeverschuivingen 2011</t>
  </si>
  <si>
    <t>Berekening nacalculatie</t>
  </si>
  <si>
    <t>Bron: eenmalig dataverzoek VOLRD(i) 15-03 (dataverzoek voor volumeverschuivingen)</t>
  </si>
  <si>
    <t>CPI 2014</t>
  </si>
  <si>
    <t>CPI 2016</t>
  </si>
  <si>
    <t>In onderstaand overzicht zijn de gegevens opgenomen die voor deze bewerking gebruikt zijn. In de gehele x-factorberekening wordt nu doorgerekend met deze nieuwe gegevens, waarbij de PV overigens niet beïnvloed wordt.</t>
  </si>
  <si>
    <t>4. Deze gegevens worden vervolgens, na correctie voor het juiste CPI niveau, ingevoerd in de GAW-tabellen in het x-factorbesluit op het blad 'Import GAW' voor de jaren 2010-2012.</t>
  </si>
  <si>
    <t xml:space="preserve"> Berekening van gemiddelde wijziging over 2010 t/m 2012</t>
  </si>
  <si>
    <t>Deze percentages zijn te vinden op de websites van de rijksoverheid en de belastingdienst (zie onder voor Bron), de wijze van bepaling van dit percentage is veranderd per 2012.</t>
  </si>
  <si>
    <t>Bron: http://www.belastingdienst.nl/wps/wcm/connect/bldcontentnl/standaard_functies/prive/contact/rechten_en_plichten_bij_de_belastingdienst/heffingsrente/overzicht_percentages_heffingsrente/overzicht_percentages_heffingsrente</t>
  </si>
  <si>
    <t>De relatieve wijziging van de consumentenprijsindex wordt berekend uit het quotiënt van van deze index, gepubliceerd in de vierde maand voorafgaande aan het jaar t, en van deze index, gepubliceerd in de zestiende maand voorafgaande aan het jaar t, zoals deze maandelijks wordt vastgesteld door het CBS.</t>
  </si>
  <si>
    <t>Bron: Tarievenbesluiten 2015, tabblad volumeverschuivingen in TI-berekening 2015, regel 66-78</t>
  </si>
  <si>
    <t>ACM heeft de netbeheerders verzocht om de bovenbeschreven volumewijzigingen in de jaren 2010 t/m 2012 aan ACM op te geven.</t>
  </si>
  <si>
    <r>
      <t>Naast de volumeverschuivingen met een administratieve achtergrond zijn er per 1 januari 2015 ook twee codewijzigingen in werking getreden die invloed hebben op de rekenvolumes voor de jaren 2010 tot en met 2012, welke in de herziene x-factorbesluiten voor de vijfde reguleringsperiode gas gebruikt worden. De betreffende codewijzigingen zijn de besluiten ‘Codewijziging administratieve volumeherleiding’ van 11 december 2014</t>
    </r>
    <r>
      <rPr>
        <sz val="10"/>
        <color rgb="FF000000"/>
        <rFont val="Arial"/>
        <family val="2"/>
      </rPr>
      <t xml:space="preserve"> en ‘Codewijziging hoogtecorrectie’ van 17 november 2014</t>
    </r>
    <r>
      <rPr>
        <sz val="10"/>
        <color rgb="FF000000"/>
        <rFont val="Arial"/>
        <family val="2"/>
      </rPr>
      <t>.</t>
    </r>
  </si>
  <si>
    <r>
      <t xml:space="preserve">De nacalculatie voor de codewijzigingen berekent ACM op dezelfde wijze als de eerdergenoemde ‘Nacalculatie Volumeverschuivingen Administratief 2015’. Uit de door de netbeheerders aangeleverde data berekent zij de gemiddelde verschuiving in de volumes voor de jaren 2010 tot en met 2012 </t>
    </r>
    <r>
      <rPr>
        <sz val="10"/>
        <color theme="1"/>
        <rFont val="Arial"/>
        <family val="2"/>
      </rPr>
      <t>voor de afzonderlijke kleinverbruikerscategorieën binnen de aansluit- en de transportdienst</t>
    </r>
    <r>
      <rPr>
        <sz val="10"/>
        <color rgb="FF000000"/>
        <rFont val="Arial"/>
        <family val="2"/>
      </rPr>
      <t>. Dit gemiddelde vermenigvuldigt zij met de respectievelijke tarieven die voor het jaar 2015 zijn vastgesteld. Wanneer dit vervolgens bij elkaar wordt opgeteld, resulteert het nacalculatiebedrag (in prijspeil van het jaar 2015) dat na een correctie voor de inflatie in de tarieven voor het jaar 2016 verwerkt zal worden.</t>
    </r>
  </si>
  <si>
    <t>Naar aanleiding van een zienswijze van Endinet en Liander is in het methodebesluit voor de vijfde reguleringsperiode opgenomen dat ACM voornemens is om substantiële volumeverschuivingen in de rekenvolumes te verwerken in de tarieven. De volumeverschuivingen dienen voort te komen uit meer dan gebruikelijke aanpassingen van capaciteiten van aansluitingen met een administratieve achtergrond als oorzaak (TROS Radar-uitzending).</t>
  </si>
  <si>
    <t>Het rode getal voor de cpi voor het jaar 2016 is een schatting op basis van de cpi voor het jaar 2015, aangezien de cpi voor het jaar 2016 op het moment van versturen van de TI-berekening nog niet beschikbaar is. De definitieve waarde van de cpi 2016 dient in cel C19 van het huidige tabblad ingevuld te worden.</t>
  </si>
  <si>
    <t>Dit Excel-bestand bevat de berekening van de Totale Inkomsten (TI) voor het jaar 2017 voor de regionale netbeheerders gas.</t>
  </si>
  <si>
    <t>Hieronder worden de nacalculaties die verrekend worden in de tarieven 2017 omgerekend van het jaar waarop ze zien (het 'TI-jaar' van de nacalculatie) naar correcties op de tarieven in 2017.</t>
  </si>
  <si>
    <t>€, pp 2017</t>
  </si>
  <si>
    <t>Nacalc. Lokale Heffingen 2015</t>
  </si>
  <si>
    <t>Volumeverschuivingen administratief 2016</t>
  </si>
  <si>
    <t>Volumeverschuivingen codewijzigingen 2016</t>
  </si>
  <si>
    <t>€, pp 2011</t>
  </si>
  <si>
    <t>€, pp 2012</t>
  </si>
  <si>
    <t>TI-berekening 2017</t>
  </si>
  <si>
    <t>Berekening nacalculatie ORV Lokale Heffingen 2015</t>
  </si>
  <si>
    <t>Begininkomsten 2016</t>
  </si>
  <si>
    <t>X-factor 2017-2021</t>
  </si>
  <si>
    <t>cpi 2017</t>
  </si>
  <si>
    <t>TI 2017 (exclusief correcties)</t>
  </si>
  <si>
    <t>Correcties in tarieven 2017</t>
  </si>
  <si>
    <t>Gewijzigde TI 2011</t>
  </si>
  <si>
    <t>Gewijzigde TI 2012</t>
  </si>
  <si>
    <t>Gewijzigde TI 2013</t>
  </si>
  <si>
    <t>Gewijzigde TI 2014</t>
  </si>
  <si>
    <t>Gewijzigde TI 2015</t>
  </si>
  <si>
    <t>Gewijzigde TI 2016</t>
  </si>
  <si>
    <t>Totaalbedrag Correcties in TI 2017</t>
  </si>
  <si>
    <t>Totale Inkomsten 2017 inclusief correcties</t>
  </si>
  <si>
    <t>Totale Inkomsten 2017 (incl. correcties)</t>
  </si>
  <si>
    <t>Berekening Nacalculaties TI 2011, 2012 en 2013</t>
  </si>
  <si>
    <t>INTERGAS</t>
  </si>
  <si>
    <t>TI 2011</t>
  </si>
  <si>
    <t>TI 2012</t>
  </si>
  <si>
    <t>TI 2013</t>
  </si>
  <si>
    <t>Begininkomsten 2010 (let op: incl. aansluitdienst)</t>
  </si>
  <si>
    <t>€, pp 2010</t>
  </si>
  <si>
    <t>X-factor 2011-2013</t>
  </si>
  <si>
    <t>CPI 2011</t>
  </si>
  <si>
    <t>CPI 2012</t>
  </si>
  <si>
    <t>CPI 2013</t>
  </si>
  <si>
    <t>Nieuwe kale TI-bedrag 2011 (zonder correcties)</t>
  </si>
  <si>
    <t>Nieuwe kale TI-bedrag 2012 (zonder correcties)</t>
  </si>
  <si>
    <t>Nieuwe kale TI-bedrag 2013 (zonder correcties)</t>
  </si>
  <si>
    <t>Nacalculatie TI2011</t>
  </si>
  <si>
    <t>Nacalculatie TI2012</t>
  </si>
  <si>
    <t>Nacalculatie TI2013</t>
  </si>
  <si>
    <t>TI 2014</t>
  </si>
  <si>
    <t>Nieuwe kale TI-bedrag 2014 (zonder correcties)</t>
  </si>
  <si>
    <t>Nacalculatie TI2014</t>
  </si>
  <si>
    <t>Berekening nacalculatie TI 2014, 2015 en 2016</t>
  </si>
  <si>
    <t>TI 2015</t>
  </si>
  <si>
    <t>TI 2016</t>
  </si>
  <si>
    <t>Nieuwe kale TI-bedrag 2015 (zonder correcties)</t>
  </si>
  <si>
    <t>Nieuwe kale TI-bedrag 2016 (zonder correcties)</t>
  </si>
  <si>
    <t>Nacalculatie TI2015</t>
  </si>
  <si>
    <t>Nacalculatie TI2016</t>
  </si>
  <si>
    <t>In deze nacalculatie wordt bepaald welk inkomstenbedrag de netbeheerders gekregen zouden hebben wanneer de gegevens over lokale heffingen over 2015 bekend zouden zijn geweest bij het vaststellen van de x-factoren voor NG5R.</t>
  </si>
  <si>
    <t>Het verschil tussen dit inkomstenbedrag en het inkomstenbedrag dat netbeheerders werkelijk voor 2015 ontvangen hebben (exclusief correcties), geeft het nacalculatiebedrag.</t>
  </si>
  <si>
    <t xml:space="preserve">Omdat in de bijbehorende (virtuele) x-factorberekening uitsluitend de eindinkomsten 2016 worden aangepast, geldt dat via deze nacalculatie slechts (ongeveer) een derde van het totale verschil tussen geschatte en werkelijke kosten voor de ORV Lokale heffingen in een correctie op de tarieven 2017 tot uitdrukking komt. </t>
  </si>
  <si>
    <t>Toegestane inkomsten voor 2015 o.b.v.  geschatte kosten voor lokale heffingen</t>
  </si>
  <si>
    <t>TI-bedrag 2015 o.b.v. oorspronkelijke x-factorberekening</t>
  </si>
  <si>
    <t>TI 2015 (exclusief correcties en inkoopkosten transport )</t>
  </si>
  <si>
    <t>Toegestane inkomsten voor 2015 o.b.v. daadwerkelijke kosten voor lokale heffingen</t>
  </si>
  <si>
    <t>Operationele kosten Lokale Heffingen 2015 op basis van RD2015 (kosten EHD overal nul)</t>
  </si>
  <si>
    <t>Kapitaalkosten die volgen uit bewerkte GAW-berekening voor kosten Precario-afkoop 2015</t>
  </si>
  <si>
    <t>Nacalculatiebedrag Lokale Heffingen 2015</t>
  </si>
  <si>
    <t>Volumeverschuivingen Administratief- 2016</t>
  </si>
  <si>
    <t>De nacalculatie voor de volumeverschuivingen berekent ACM als volgt. Uit de door de netbeheerders aangeleverde data berekent zij de gemiddelde verschuiving in de volumes voor de jaren 2010 tot en met 2012 voor de afzonderlijke kleinverbruikerscategorieën binnen de aansluit- en de transportdienst. Dit gemiddelde vermenigvuldigt zij met de respectievelijke tarieven die voor het jaar 2016 zijn vastgesteld. Wanneer dit vervolgens bij elkaar wordt opgeteld, resulteert het nacalculatiebedrag (in prijspeil van het jaar 2016) dat na een correctie voor de inflatie in de tarieven voor het jaar 2017 verwerkt zal worden.</t>
  </si>
  <si>
    <t>Tarieven 2016</t>
  </si>
  <si>
    <t>Nacalculatiebedrag volumeverschuiving administratief 2016</t>
  </si>
  <si>
    <t>van 2016 naar 2017</t>
  </si>
  <si>
    <t>van 2016</t>
  </si>
  <si>
    <t>ENDURIS</t>
  </si>
  <si>
    <t>van 2011 naar 2017</t>
  </si>
  <si>
    <t>van 2012 naar 2017</t>
  </si>
  <si>
    <t>van 2013 naar 2017</t>
  </si>
  <si>
    <t>van 2014 naar 2017</t>
  </si>
  <si>
    <t>van 2015 naar 2017</t>
  </si>
  <si>
    <t>Heffingsrentepercentages zoals te gebruiken voor de "TI-berekening 2017"</t>
  </si>
  <si>
    <t>Volumeverschuivingen Codewijzing (volumeherleidingsfactor en hoogtecorrectie) 2016</t>
  </si>
  <si>
    <t>Bron: Reguleringsdata 2015</t>
  </si>
  <si>
    <t>Gebaseerd op de herstelde x-factorberekening van augustus 2016 en met toepassing van de CPI voor 2015</t>
  </si>
  <si>
    <t>Als gevolg van het herstel van de x-factor en rekenvoluminabesluiten voor NG4R van 25 augustus 2016, zouden netbeheerders andere totale inkomsten hebben gekend voor de jaren 2011, 2012 en 2013.</t>
  </si>
  <si>
    <t>Hieruit volgen nieuwe bedragen voor de TI voor de jaren 2011, 2012 en 2013. Dit betreft de zgn. 'kale' TI, de TI zonder nacalulaties. Het nacalculatiebedrag is gelijk aan het verschil tussen het oorspronkelijk TI bedrag (op basis van de oorspronkelijke besluiten) en het nieuwe TI-bedrag (op basis van de nieuwe besluiten).</t>
  </si>
  <si>
    <t xml:space="preserve">Als gevolg van het herstel van de x-factor en rekenvoluminabesluiten voor NG5R van 25 augustus 2016, zouden netbeheerders andere totale inkomsten hebben gekend voor de jaren 2014, 2015 en 2016. </t>
  </si>
  <si>
    <t>Hieruit volgen nieuwe bedragen voor de TI voor de jaren 2014, 2015 en 2016. Dit betreft de zgn. 'kale' TI, de TI zonder nacalulaties. Het nacalculatiebedrag is gelijk aan het verschil tussen het oorspronkelijk TI bedrag (op basis van de oorspronkelijke besluiten) en het nieuwe TI-bedrag (op basis van de nieuwe besluiten).</t>
  </si>
  <si>
    <t>Bron: Herstelde x-factorberekening NG5R van 25 augustus 2016</t>
  </si>
  <si>
    <t>Bron: Berekening TI 2015 (www.acm.nl), blad "TI2011-2014", rij 29</t>
  </si>
  <si>
    <t>Bron: Berekening TI 2015 (www.acm.nl), blad "TI2011-2014", rij 27</t>
  </si>
  <si>
    <t>Bron: Berekening TI 2015 (www.acm.nl), blad "TI2011-2014", rij 28</t>
  </si>
  <si>
    <t>Bron: Herstelde x-factorberekening NE5R 25 augustus 2016 - tabblad x-factor, rij 8</t>
  </si>
  <si>
    <t>Bron: Herstelde x-factorberekening NE5R 25 augustus 2016 - tabblad x-factor, rij 17</t>
  </si>
  <si>
    <t>Berekening nacalculatie na wijziging van x-factoren NG4R (TI2011, TI2012 en TI2013)</t>
  </si>
  <si>
    <t>Berekening nacalculatie na wijziging van x-factoren NG5R (TI2014, TI2015 en TI2016)</t>
  </si>
  <si>
    <t>Bron: Berekening TI 2015 (www.acm.nl), blad "TI2011-2014", rij 47</t>
  </si>
  <si>
    <t>Bron: Berekening TI 2015 (www.acm.nl), blad "TI berekening 2015", rij 11</t>
  </si>
  <si>
    <t>Bron: Berekening TI 2016 (www.acm.nl), blad "TI bereking 2016", rij 13</t>
  </si>
  <si>
    <t>Bron: Tarievenbesluiten 2016</t>
  </si>
  <si>
    <t>1. Voor de bewerking wordt gebruik gemaakt van de GAW-sheet voor NG5R, zoals opnieuw gepubliceerd bij de herstelde x-factoren op 25 augustus 2016.</t>
  </si>
  <si>
    <t>Bijzonderheid: nacalc. saldo verrekenen i.v.m. lagere tarieven Enexis</t>
  </si>
  <si>
    <t>ACM stelt jaarlijks de maximum tarieven vast per netbeheerder. In de jaren 2012 en 2013 heeft Enexis tarieven gehanteerd die onder de maximum tarieven lagen.</t>
  </si>
  <si>
    <t>In maximumtarieven kunnen correcties worden gemaakt om rekening te houden met effecten van voorgaande jaren. ACM heeft besloten om, indien het saldo van deze latere correcties over het jaar 2012 of 2013 tot een lager niveau van inkomsten leidt,</t>
  </si>
  <si>
    <t>er rekening mee te houden dat Enexis in de jaren 2012 en 2013 met de daadwerkelijk gehanteerde tarieven minder dan de totale inkomsten op basis van de maximum tarieven heeft behaald.</t>
  </si>
  <si>
    <r>
      <t xml:space="preserve">Indien er een negatief saldo vanuit de nacalculaties over 2012 of 2013 resulteert, wordt dit met deze correctie </t>
    </r>
    <r>
      <rPr>
        <i/>
        <sz val="10"/>
        <rFont val="Arial"/>
        <family val="2"/>
      </rPr>
      <t>(nacalculatie saldo verrekenen i.v.m. lagere tarieven Enexis)</t>
    </r>
    <r>
      <rPr>
        <sz val="10"/>
        <rFont val="Arial"/>
        <family val="2"/>
      </rPr>
      <t xml:space="preserve"> gecompenseerd, tot aan het bedrag van inkomsten dat Enexis over 2012 of </t>
    </r>
  </si>
  <si>
    <t>2013 met de lagere tarieven niet heeft benut.</t>
  </si>
  <si>
    <t>Saldo verrekenen i.v.m. lagere tarieven Enexis 2012</t>
  </si>
  <si>
    <t>TI-bedragen (inclusief correcties) conform tarievenbesluit 2012</t>
  </si>
  <si>
    <t xml:space="preserve">Bron: Tarievenbesluit 2012 Enexis - somproduct tarieven en rekenvolumina </t>
  </si>
  <si>
    <t>TI-bedragen (inclusief correcties) met daadwerkelijk gehanteerde tarieven 2012</t>
  </si>
  <si>
    <t xml:space="preserve">Bron: Tarievenblad daadwerkelijke tarieven Enexis - somproduct tarieven en rekenvolumina </t>
  </si>
  <si>
    <t>Maximaal te verrekenen i.v.m. lagere tarieven Enexis over 2012</t>
  </si>
  <si>
    <t>Nacalculaties over 2012 na tariefjaar 2012</t>
  </si>
  <si>
    <t>Nacalc. Faillissement Orro en Trianel</t>
  </si>
  <si>
    <t xml:space="preserve">Bron: Tarievenbesluit 2014 Enexis </t>
  </si>
  <si>
    <t>Nacalc. Vervanging schatting door data Lokale Heffingen 2012</t>
  </si>
  <si>
    <t>Wijziging x-factorbesluit NG4R - TI 2012</t>
  </si>
  <si>
    <t>Reeds nagecalculeerd in TI 2014</t>
  </si>
  <si>
    <t>CORRECTIE</t>
  </si>
  <si>
    <t>Saldo verrekenen i.v.m. lagere tarieven Enexis 2013</t>
  </si>
  <si>
    <t>TI-bedragen (inclusief correcties) conform tarievenbesluit 2013</t>
  </si>
  <si>
    <t>TI-bedragen (inclusief correcties) met daadwerkelijk gehanteerde tarieven 2013</t>
  </si>
  <si>
    <t>Maximaal te verrekenen i.v.m. lagere tarieven Enexis over 2013</t>
  </si>
  <si>
    <t>Nacalculaties over 2013 na tariefjaar 2013</t>
  </si>
  <si>
    <t>Nacalc. Correctie vervallen vergoeding dubieuze debiteuren 2013</t>
  </si>
  <si>
    <t xml:space="preserve">Bron: Tarievenbesluit 2015 Enexis </t>
  </si>
  <si>
    <t>Nacalc. Lokale Heffingen 2013</t>
  </si>
  <si>
    <t>Wijziging x-factorbesluit NG4R - TI 2013</t>
  </si>
  <si>
    <t>Reeds nagecalculeerd in TI 2015</t>
  </si>
  <si>
    <t>Bijzonderheid: nacalc.saldo verrekenen i.v.m. lagere tarieven Enexis over 2012</t>
  </si>
  <si>
    <t>Bijzonderheid: nacalc.saldo verrekenen i.v.m. lagere tarieven Enexis over 2013</t>
  </si>
  <si>
    <t>Wel wijkt deze nacalculatie af van de werkwijze bij elektriciteit omdat in het methodebesluit elektriciteit wel gekozen is voor toepassing van de one-off (en er dus geen sprake is van ingroei).</t>
  </si>
  <si>
    <t>2. Op blad InpC wordt de CPI ingevuld voor 2014 (2,8%) en 2015 (1,0%)</t>
  </si>
  <si>
    <t>Begininkomsten 2013 (exclusief correcties) na aanpassing gegevens</t>
  </si>
  <si>
    <t>(virtuele) X-factor 2014-2016 na aanpassing gegevens</t>
  </si>
  <si>
    <t>Toegestane Inkomsten 2014 voor toepassing wettelijke formule</t>
  </si>
  <si>
    <t>Toegestane Inkomsten 2015 voor toepassing wettelijke formule</t>
  </si>
  <si>
    <t>Bron: herstelde x-factorberekening NG5R  (25 augustus 2016) na aanpassing van gegevens zoals boven beschreven (tab 'Indicatieve TI-bedragen 14-16', regel 11).</t>
  </si>
  <si>
    <t>Bron: herstelde x-factorberekening NG5R  (25 augustus 2016) na aanpassing van gegevens zoals boven beschreven (tab 'Indicatieve TI-bedragen 14-16', regel 12).</t>
  </si>
  <si>
    <t xml:space="preserve">Hierdoor sluit deze nacalcualtie aan op de werkwijze in vorige tarievenbesluiten, waarin eveneens sprake was van ingroei. </t>
  </si>
  <si>
    <t>De berekening is uitgevoerd in het (herstelde) x-factorbesluit voor de vijfde reguleringsperiode gas (2014-2016), zoals gepubliceerd in augustus 2016.</t>
  </si>
  <si>
    <t>Voor de operationele kosten van lokale heffingen wordt gebruik gemaakt van de reguleringsdata over 2015. Deze bedragen worden, na correctie voor het juiste CPI niveau, ingevoerd op het blad 'PRD OPEX 2009-2012' voor de jaren 2010 t/m 2012.</t>
  </si>
  <si>
    <t>Onderstaand wordt het nieuwe inkomstenbedrag voor 2015 (na aanpassing van LH gegevens) berekend, op basis van de Begininkomsten en (virtuele) x-factor die volgen uit de aangepaste x-factorberekening (op tabblad 'Indicatieve TI-berekening '14-'16')</t>
  </si>
  <si>
    <t>In dit bestand worden de berekeningen gepresenteerd voor de vaststelling van de tarieven voor 2017, inclusief de berekening van de nacalculatiebedragen.</t>
  </si>
  <si>
    <t>Deze berekeningen maken onderdeel uit van de tarievenbesluiten gas 2017.</t>
  </si>
  <si>
    <t>Overigens ontbreekt de nacalculatie van de overname van private netten, omdat hier bij geen van de netbeheerders sprake van is geweest.</t>
  </si>
  <si>
    <t>Specifiek voor het verschuiven van de inkomsten van het FNOP-gebied houdt ACM rekening met de effecten van de wijziging van het TI-bedrag.</t>
  </si>
  <si>
    <t>Oorspronkelijke TI-bedrag voor 2016 (o.b.v. herzien x-factorbesluit van 11 september 2014)</t>
  </si>
  <si>
    <t>Correctiebedrag voor ruilverkaveling FNOP</t>
  </si>
  <si>
    <t>Procentuele verschuiving van TI-bedrag 2016 van Enexis naar Liander</t>
  </si>
  <si>
    <t>Verschuiving nacalculatie FNOP 2016</t>
  </si>
  <si>
    <t>Bron: Tarievenbesluiten 2016, tabblad "ruilverkaveling FNOP 2016"</t>
  </si>
  <si>
    <t>Verschuiving nacalculatie TI-bedrag 2016</t>
  </si>
  <si>
    <t>Nacalculatie Lokale Heffingen 2015</t>
  </si>
  <si>
    <t>Nacalculatie volumeverschuivingen administratief 2016</t>
  </si>
  <si>
    <t>Nacalculatie volumeverschuivingen codewijzigingen 2016</t>
  </si>
  <si>
    <t>Kale TI-bedragen 2011-2013 (o.b.v. besluit 11 september 2014)</t>
  </si>
  <si>
    <t>Berekening nieuwe kale TI-bedragen 2011-2013 (o.b.v. besluit 25 augustus 2016)</t>
  </si>
  <si>
    <t>Het effect van het wijzigen van het TI-bedrag wordt hier bij benadering berekend door te kijken naar de procentuele verhouding van het FNOP-gebied op het totaal van de inkomsten van Enexis.</t>
  </si>
  <si>
    <t>Kale TI-bedragen 2014-2016 (o.b.v. x-factoren en RV in besluit 11 september 2014)</t>
  </si>
  <si>
    <t>Berekening nieuwe kale TI-bedragen 2014-2016 (o.b.v. besluit 25 augustus 2016)</t>
  </si>
  <si>
    <t>Gebaseerd op de herstelde x-factorberekening van 25 augustus 2016 en met toepassing van de CPI voor de jaren 2013-2015</t>
  </si>
  <si>
    <t>Bron: doorrekening in GAW-sheet</t>
  </si>
  <si>
    <t>Afgekochte precario (Transportdienst)</t>
  </si>
  <si>
    <t>Nacalculaties over 2012 opgenomen als correctie in:</t>
  </si>
  <si>
    <t>Tarievenbesluit 2014</t>
  </si>
  <si>
    <t>Tarievenbesluit 2017 (op basis van dit bestand)</t>
  </si>
  <si>
    <t>Tarievenbesluit 2015</t>
  </si>
  <si>
    <t>Nacalculaties over 2013 opgenomen als correctie in:</t>
  </si>
  <si>
    <t>Vanuit het oogpunt van kostenoriëntatie is het van belang dat de tariefinkomsten voor transport- en aansluitdienst de verhouding in onderliggende kosten weerspiegelen.</t>
  </si>
  <si>
    <t>Ten behoeve hiervan neemt ACM hier  een berekening op van richtbedragen voor de transport- en aansluitdienst, op basis van het nieuwe x-factormodel voor de periode 2017-2021.</t>
  </si>
  <si>
    <t>Verschil TI-bedragen 2014</t>
  </si>
  <si>
    <t>Verschil TI-bedragen 2015</t>
  </si>
  <si>
    <t>Verschil TI-bedragen 2016</t>
  </si>
  <si>
    <t>Verwerkt in tarievenbesluit 2014 ('Correctie netverliezen gas')</t>
  </si>
  <si>
    <t>Verwerkt in tarievenbesluit 2015 ('Correctie netverliezen gas')</t>
  </si>
  <si>
    <t>Verwerkt in tarievenbesluit 2016 ('Correctie netverliezen gas')</t>
  </si>
  <si>
    <t>Correctiebedrag op correctiebedrag netverliezen gas a.g.v. FNOP-effect</t>
  </si>
  <si>
    <t>Bron: Tarievenbesluit 2016, tabblad 'netverliezen gas'</t>
  </si>
  <si>
    <t>Bron: Tarievenbesluit 2015, tabblad 'corrNVG'</t>
  </si>
  <si>
    <t>Bron: Tarievenbesluit 2014, tabblad 'corrNVG'</t>
  </si>
  <si>
    <t>Bron: X-factor model REG2017, tabblad 'x-factor + TI-bedragen', rij 81</t>
  </si>
  <si>
    <t>Bron: X-factor model REG2017, tabblad 'x-factor + TI-bedragen', rij 85</t>
  </si>
  <si>
    <t>Efficiënte kosten 2016 TD</t>
  </si>
  <si>
    <t>Efficiënte kosten 2016 AD</t>
  </si>
  <si>
    <t>Efficiënte kosten 2016 EHD</t>
  </si>
  <si>
    <t>Efficiënte kosten 2016</t>
  </si>
  <si>
    <t>Efficiënte kosten 2021 TD</t>
  </si>
  <si>
    <t>Efficiënte kosten 2021 AD</t>
  </si>
  <si>
    <t>Efficiënte kosten 2021 EHD</t>
  </si>
  <si>
    <t>Efficiënte kosten 2021</t>
  </si>
  <si>
    <t>Aandeel TD in efficiënte kosten 2016</t>
  </si>
  <si>
    <t>Aandeel AD in efficiënte kosten 2016</t>
  </si>
  <si>
    <t>Aandeel EHD in efficiënte kosten 2016</t>
  </si>
  <si>
    <t>Aandeel TD in efficiënte kosten 2021</t>
  </si>
  <si>
    <t>Aandeel AD in efficiënte kosten 2021</t>
  </si>
  <si>
    <t>Aandeel EHD in efficiënte kosten 2021</t>
  </si>
  <si>
    <t>Aandeel TD in inkomsten 2017 o.b.v. ingroei</t>
  </si>
  <si>
    <t>Aandeel EHD in inkomsten 2017 o.b.v. ingroei</t>
  </si>
  <si>
    <t>Aandeel AD in inkomsten 2017 o.b.v. ingroei</t>
  </si>
  <si>
    <t>Inkomsten TD 2017 o.b.v. ingroei</t>
  </si>
  <si>
    <t>Inkomsten EHD 2017 o.b.v. ingroei</t>
  </si>
  <si>
    <t>Totale inkomsten 2017</t>
  </si>
  <si>
    <t>Inleiding</t>
  </si>
  <si>
    <t>TRANSPORTDIENST</t>
  </si>
  <si>
    <t>Cogas</t>
  </si>
  <si>
    <t>Enduris</t>
  </si>
  <si>
    <t>Enexis</t>
  </si>
  <si>
    <t>Liander</t>
  </si>
  <si>
    <t>Stedin</t>
  </si>
  <si>
    <t>Westland</t>
  </si>
  <si>
    <t>Zebra</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</si>
  <si>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</si>
  <si>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</si>
  <si>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</si>
  <si>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</si>
  <si>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</si>
  <si>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</si>
  <si>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</si>
  <si>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</si>
  <si>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Extra hoge druk (&gt;= 16 bar)</t>
  </si>
  <si>
    <t>AANSLUITDIENST</t>
  </si>
  <si>
    <t>Periodieke Aansluitvergoeding aansluitingen t/m 40 m3/h</t>
  </si>
  <si>
    <t>Lage druk aansluitingen</t>
  </si>
  <si>
    <t>Hoge druk aansluitingen</t>
  </si>
  <si>
    <t>Extra hoge druk aansluitingen</t>
  </si>
  <si>
    <t>0 t/m 40 m3(n)/h</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</si>
  <si>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</si>
  <si>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</si>
  <si>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</si>
  <si>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</si>
  <si>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</si>
  <si>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</si>
  <si>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</si>
  <si>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</si>
  <si>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</si>
  <si>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</si>
  <si>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</si>
  <si>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vanaf 40 m3(n)/h</t>
  </si>
  <si>
    <t>Bijdragen Eenmalige Aansluitvergoeding t/m 40 m3(n)/h - aansluiting t/m 25 meter</t>
  </si>
  <si>
    <t>Bijdragen Eenmalige Aansluitvergoeding t/m 40 m3(n)/h - meerlengte &gt; 25 meter</t>
  </si>
  <si>
    <t>Bijdragen Eenmalige Aansluitvergoeding &gt; 40 m3(n)/h</t>
  </si>
  <si>
    <t>Rekenvolumes 2017-2021</t>
  </si>
  <si>
    <t>Berekening TI 2016 o.b.v. rekenvolumes 2017-2021</t>
  </si>
  <si>
    <t>TI 2016 transportdienst o.b.v. rekenvolumes 2017-2021</t>
  </si>
  <si>
    <t>TI 2016 aansluitdienst PAV o.b.v. rekenvolumes 2017-2021</t>
  </si>
  <si>
    <t>TI 2016 aansluitdienst EAV o.b.v. rekenvolumes 2017-2021</t>
  </si>
  <si>
    <t>TI 2016 aansluitdienst EHD o.b.v. rekenvolumes 2017-2021</t>
  </si>
  <si>
    <t>Ten behoeve van de verwachte mutatie berekent ACM op dit tabblad de TI 2016 als het product van de tarieven 2016 en de rekenvolumes 2017-2021.</t>
  </si>
  <si>
    <t>Efficiënte kosten 2016 AD EAV</t>
  </si>
  <si>
    <t>Efficiënte kosten 2021 AD EAV</t>
  </si>
  <si>
    <t>Efficiënte kosten 2021 AD PAV</t>
  </si>
  <si>
    <t>Efficiënte kosten 2016 AD PAV</t>
  </si>
  <si>
    <t>EAV 2015</t>
  </si>
  <si>
    <t>EAV 2013</t>
  </si>
  <si>
    <t>EAV 2014</t>
  </si>
  <si>
    <t>Efficiënte kosten EAV 2016</t>
  </si>
  <si>
    <t>Efficiënte kosten EAV 2021</t>
  </si>
  <si>
    <t>PV</t>
  </si>
  <si>
    <t>cpi 2017-2021</t>
  </si>
  <si>
    <t>Bron: X-factor model REG2017, tabblad 'Totale kosten AD maatstaf', rij 21</t>
  </si>
  <si>
    <t>Bron: X-factor model REG2017, tabblad 'Totale kosten AD maatstaf', rij 32</t>
  </si>
  <si>
    <t>Bron: X-factor model REG2017, tabblad 'Totale kosten AD maatstaf', rij 43</t>
  </si>
  <si>
    <t>Bron: X-factor model REG2017, tabblad 'Productiviteitsverandering', rij 52</t>
  </si>
  <si>
    <t>Bron: X-factor model REG2017, tabblad 'WACC en cpi', rij 53</t>
  </si>
  <si>
    <t>Bron: X-factor model REG2017, tabblad 'Totale kosten AD maatstaf', rij 124</t>
  </si>
  <si>
    <t>Bron: X-factor model REG2017, tabblad 'X-factor + TI-bedragen', rij 61</t>
  </si>
  <si>
    <t>Bron: X-factor model REG2017, tabblad 'Totale kosten AD maatstaf', rij 115</t>
  </si>
  <si>
    <t>Bron: X-factor model REG2017, tabblad 'X-factor + TI-bedragen', rij 36</t>
  </si>
  <si>
    <t>Bron: X-factor model REG2017, tabblad 'X-factor + TI-bedragen', rij 66</t>
  </si>
  <si>
    <t>Bron: X-factor model REG2017, tabblad 'X-factor + TI-bedragen', rij 46</t>
  </si>
  <si>
    <t>Bron: X-factor model REG2017, tabblad 'X-factor + TI-bedragen', rij 76</t>
  </si>
  <si>
    <t>SO-bestand REG 2017-2021</t>
  </si>
  <si>
    <t>Tarievenbesluit 2016</t>
  </si>
  <si>
    <t>Inkomsten AD EAV 2017 o.b.v. ingroei</t>
  </si>
  <si>
    <t>Inkomsten AD PAV 2017 o.b.v. ingroei</t>
  </si>
  <si>
    <t xml:space="preserve">     waarvan Vastrecht Kleinverbruik (KV) en Profielgrootverbruik (PGV)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</si>
</sst>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_-* #,##0.0_-;_-* #,##0.0\-;_-* &quot;-&quot;??_-;_-@_-"/>
    <numFmt numFmtId="167" formatCode="_-* #,##0_-;_-* #,##0\-;_-* &quot;-&quot;_-;_-@_-"/>
    <numFmt numFmtId="168" formatCode="dd/mm/yyyy"/>
    <numFmt numFmtId="169" formatCode="_(* #,##0.00_);_(* \(#,##0.00\);_(* &quot;-&quot;??_);_(@_)"/>
    <numFmt numFmtId="170" formatCode="_([$€]* #,##0.00_);_([$€]* \(#,##0.00\);_([$€]* &quot;-&quot;??_);_(@_)"/>
    <numFmt numFmtId="171" formatCode="_ * #,##0_ ;_ * \-#,##0_ ;_ * &quot;-&quot;??_ ;_ @_ "/>
    <numFmt numFmtId="172" formatCode="_-[$€]\ * #,##0.00_-;_-[$€]\ * #,##0.00\-;_-[$€]\ * &quot;-&quot;??_-;_-@_-"/>
    <numFmt numFmtId="173" formatCode="0.0%"/>
  </numFmts>
  <fonts count="59">
    <font>
      <sz val="11"/>
      <color theme="1"/>
      <name val="Calibri"/>
      <family val="2"/>
      <scheme val="minor"/>
    </font>
    <font>
      <sz val="10"/>
      <name val="Arial"/>
      <family val="2"/>
    </font>
    <font>
      <b/>
      <sz val="12"/>
      <name val="Arial"/>
      <family val="2"/>
    </font>
    <font>
      <b/>
      <sz val="14"/>
      <name val="Arial"/>
      <family val="2"/>
    </font>
    <font>
      <b/>
      <sz val="10"/>
      <name val="Arial"/>
      <family val="2"/>
    </font>
    <font>
      <sz val="10"/>
      <color indexed="8"/>
      <name val="MS Sans Serif"/>
      <family val="2"/>
    </font>
    <font>
      <sz val="10"/>
      <color indexed="8"/>
      <name val="Arial"/>
      <family val="2"/>
    </font>
    <font>
      <sz val="10"/>
      <color theme="1"/>
      <name val="Arial"/>
      <family val="2"/>
    </font>
    <font>
      <i/>
      <sz val="10"/>
      <name val="Arial"/>
      <family val="2"/>
    </font>
    <font>
      <sz val="10"/>
      <color rgb="FFFF0000"/>
      <name val="Arial"/>
      <family val="2"/>
    </font>
    <font>
      <sz val="8"/>
      <name val="Arial"/>
      <family val="2"/>
    </font>
    <font>
      <i/>
      <sz val="10"/>
      <color rgb="FFFF0000"/>
      <name val="Arial"/>
      <family val="2"/>
    </font>
    <font>
      <sz val="10"/>
      <color indexed="10"/>
      <name val="Arial"/>
      <family val="2"/>
    </font>
    <font>
      <sz val="8"/>
      <color indexed="81"/>
      <name val="Tahoma"/>
      <family val="2"/>
    </font>
    <font>
      <b/>
      <sz val="10"/>
      <color theme="1"/>
      <name val="Arial"/>
      <family val="2"/>
    </font>
    <font>
      <sz val="14"/>
      <name val="Arial"/>
      <family val="2"/>
    </font>
    <font>
      <sz val="11"/>
      <color theme="1"/>
      <name val="Calibri"/>
      <family val="2"/>
      <scheme val="minor"/>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sz val="10"/>
      <color rgb="FF000000"/>
      <name val="Arial"/>
      <family val="2"/>
    </font>
    <font>
      <sz val="12"/>
      <name val="Arial"/>
      <family val="2"/>
    </font>
    <font>
      <sz val="10"/>
      <name val="DTLArgoT"/>
    </font>
  </fonts>
  <fills count="4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rgb="FFFFCC99"/>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59999389629810485"/>
        <bgColor indexed="64"/>
      </patternFill>
    </fill>
    <fill>
      <patternFill patternType="solid">
        <fgColor rgb="FFFF99FF"/>
        <bgColor indexed="64"/>
      </patternFill>
    </fill>
    <fill>
      <patternFill patternType="solid">
        <fgColor theme="0" tint="-0.14999847407452621"/>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87">
    <xf numFmtId="0" fontId="0" fillId="0" borderId="0"/>
    <xf numFmtId="0" fontId="1" fillId="0" borderId="0"/>
    <xf numFmtId="0" fontId="1" fillId="0" borderId="0"/>
    <xf numFmtId="0" fontId="1" fillId="0" borderId="0"/>
    <xf numFmtId="0" fontId="1" fillId="0" borderId="0"/>
    <xf numFmtId="0" fontId="1" fillId="0" borderId="0"/>
    <xf numFmtId="0" fontId="5"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5" fillId="0" borderId="0"/>
    <xf numFmtId="0" fontId="1" fillId="0" borderId="0"/>
    <xf numFmtId="0" fontId="17"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7" fillId="21" borderId="0" applyNumberFormat="0" applyBorder="0" applyAlignment="0" applyProtection="0"/>
    <xf numFmtId="0" fontId="18" fillId="21"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3"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6" borderId="0" applyNumberFormat="0" applyBorder="0" applyAlignment="0" applyProtection="0"/>
    <xf numFmtId="0" fontId="19" fillId="23" borderId="0" applyNumberFormat="0" applyBorder="0" applyAlignment="0" applyProtection="0"/>
    <xf numFmtId="0" fontId="20" fillId="23" borderId="0" applyNumberFormat="0" applyBorder="0" applyAlignment="0" applyProtection="0"/>
    <xf numFmtId="0" fontId="19" fillId="24" borderId="0" applyNumberFormat="0" applyBorder="0" applyAlignment="0" applyProtection="0"/>
    <xf numFmtId="0" fontId="20" fillId="24" borderId="0" applyNumberFormat="0" applyBorder="0" applyAlignment="0" applyProtection="0"/>
    <xf numFmtId="0" fontId="19" fillId="27" borderId="0" applyNumberFormat="0" applyBorder="0" applyAlignment="0" applyProtection="0"/>
    <xf numFmtId="0" fontId="20" fillId="27" borderId="0" applyNumberFormat="0" applyBorder="0" applyAlignment="0" applyProtection="0"/>
    <xf numFmtId="0" fontId="19" fillId="28" borderId="0" applyNumberFormat="0" applyBorder="0" applyAlignment="0" applyProtection="0"/>
    <xf numFmtId="0" fontId="20" fillId="28" borderId="0" applyNumberFormat="0" applyBorder="0" applyAlignment="0" applyProtection="0"/>
    <xf numFmtId="0" fontId="19" fillId="29" borderId="0" applyNumberFormat="0" applyBorder="0" applyAlignment="0" applyProtection="0"/>
    <xf numFmtId="0" fontId="20" fillId="29" borderId="0" applyNumberFormat="0" applyBorder="0" applyAlignment="0" applyProtection="0"/>
    <xf numFmtId="0" fontId="19" fillId="30" borderId="0" applyNumberFormat="0" applyBorder="0" applyAlignment="0" applyProtection="0"/>
    <xf numFmtId="0" fontId="20" fillId="30" borderId="0" applyNumberFormat="0" applyBorder="0" applyAlignment="0" applyProtection="0"/>
    <xf numFmtId="0" fontId="19" fillId="31" borderId="0" applyNumberFormat="0" applyBorder="0" applyAlignment="0" applyProtection="0"/>
    <xf numFmtId="0" fontId="20" fillId="31" borderId="0" applyNumberFormat="0" applyBorder="0" applyAlignment="0" applyProtection="0"/>
    <xf numFmtId="0" fontId="19" fillId="32" borderId="0" applyNumberFormat="0" applyBorder="0" applyAlignment="0" applyProtection="0"/>
    <xf numFmtId="0" fontId="20" fillId="32" borderId="0" applyNumberFormat="0" applyBorder="0" applyAlignment="0" applyProtection="0"/>
    <xf numFmtId="0" fontId="19" fillId="27" borderId="0" applyNumberFormat="0" applyBorder="0" applyAlignment="0" applyProtection="0"/>
    <xf numFmtId="0" fontId="20" fillId="27" borderId="0" applyNumberFormat="0" applyBorder="0" applyAlignment="0" applyProtection="0"/>
    <xf numFmtId="0" fontId="19" fillId="28" borderId="0" applyNumberFormat="0" applyBorder="0" applyAlignment="0" applyProtection="0"/>
    <xf numFmtId="0" fontId="20" fillId="28" borderId="0" applyNumberFormat="0" applyBorder="0" applyAlignment="0" applyProtection="0"/>
    <xf numFmtId="0" fontId="19" fillId="33" borderId="0" applyNumberFormat="0" applyBorder="0" applyAlignment="0" applyProtection="0"/>
    <xf numFmtId="0" fontId="20" fillId="33" borderId="0" applyNumberFormat="0" applyBorder="0" applyAlignment="0" applyProtection="0"/>
    <xf numFmtId="0" fontId="21" fillId="17" borderId="0" applyNumberFormat="0" applyBorder="0" applyAlignment="0" applyProtection="0"/>
    <xf numFmtId="0" fontId="22" fillId="17" borderId="0" applyNumberFormat="0" applyBorder="0" applyAlignment="0" applyProtection="0"/>
    <xf numFmtId="0" fontId="23" fillId="34" borderId="3" applyNumberFormat="0" applyAlignment="0" applyProtection="0"/>
    <xf numFmtId="0" fontId="23" fillId="34" borderId="3" applyNumberFormat="0" applyAlignment="0" applyProtection="0"/>
    <xf numFmtId="0" fontId="24" fillId="34" borderId="3" applyNumberFormat="0" applyAlignment="0" applyProtection="0"/>
    <xf numFmtId="0" fontId="25" fillId="35" borderId="4" applyNumberFormat="0" applyAlignment="0" applyProtection="0"/>
    <xf numFmtId="0" fontId="26" fillId="35" borderId="4" applyNumberFormat="0" applyAlignment="0" applyProtection="0"/>
    <xf numFmtId="169" fontId="27" fillId="0" borderId="0" applyFont="0" applyFill="0" applyBorder="0" applyAlignment="0" applyProtection="0"/>
    <xf numFmtId="43" fontId="27" fillId="0" borderId="0" applyFont="0" applyFill="0" applyBorder="0" applyAlignment="0" applyProtection="0"/>
    <xf numFmtId="0" fontId="25" fillId="35" borderId="4"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5" applyNumberFormat="0" applyFill="0" applyAlignment="0" applyProtection="0"/>
    <xf numFmtId="0" fontId="31" fillId="18" borderId="0" applyNumberFormat="0" applyBorder="0" applyAlignment="0" applyProtection="0"/>
    <xf numFmtId="0" fontId="31" fillId="18" borderId="0" applyNumberFormat="0" applyBorder="0" applyAlignment="0" applyProtection="0"/>
    <xf numFmtId="0" fontId="32" fillId="18" borderId="0" applyNumberFormat="0" applyBorder="0" applyAlignment="0" applyProtection="0"/>
    <xf numFmtId="0" fontId="33" fillId="0" borderId="0"/>
    <xf numFmtId="0" fontId="34" fillId="0" borderId="6"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9"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21" borderId="3" applyNumberFormat="0" applyAlignment="0" applyProtection="0"/>
    <xf numFmtId="0" fontId="41" fillId="21" borderId="3" applyNumberFormat="0" applyAlignment="0" applyProtection="0"/>
    <xf numFmtId="0" fontId="40" fillId="21" borderId="3"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6" fillId="0" borderId="0" applyFont="0" applyFill="0" applyBorder="0" applyAlignment="0" applyProtection="0"/>
    <xf numFmtId="164" fontId="1" fillId="0" borderId="0" applyFont="0" applyFill="0" applyBorder="0" applyAlignment="0" applyProtection="0"/>
    <xf numFmtId="0" fontId="34" fillId="0" borderId="6" applyNumberFormat="0" applyFill="0" applyAlignment="0" applyProtection="0"/>
    <xf numFmtId="0" fontId="36"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0" fillId="0" borderId="5" applyNumberFormat="0" applyFill="0" applyAlignment="0" applyProtection="0"/>
    <xf numFmtId="0" fontId="42" fillId="0" borderId="5" applyNumberFormat="0" applyFill="0" applyAlignment="0" applyProtection="0"/>
    <xf numFmtId="0" fontId="43" fillId="36" borderId="0" applyNumberFormat="0" applyBorder="0" applyAlignment="0" applyProtection="0"/>
    <xf numFmtId="0" fontId="43" fillId="36" borderId="0" applyNumberFormat="0" applyBorder="0" applyAlignment="0" applyProtection="0"/>
    <xf numFmtId="0" fontId="44" fillId="36" borderId="0" applyNumberFormat="0" applyBorder="0" applyAlignment="0" applyProtection="0"/>
    <xf numFmtId="0" fontId="45" fillId="0" borderId="0"/>
    <xf numFmtId="0" fontId="27" fillId="0" borderId="0"/>
    <xf numFmtId="0" fontId="46" fillId="0" borderId="0"/>
    <xf numFmtId="0" fontId="1" fillId="37" borderId="9" applyNumberFormat="0" applyFont="0" applyAlignment="0" applyProtection="0"/>
    <xf numFmtId="0" fontId="27" fillId="37" borderId="9" applyNumberFormat="0" applyFont="0" applyAlignment="0" applyProtection="0"/>
    <xf numFmtId="0" fontId="1" fillId="37" borderId="9" applyNumberFormat="0" applyFont="0" applyAlignment="0" applyProtection="0"/>
    <xf numFmtId="0" fontId="21" fillId="17" borderId="0" applyNumberFormat="0" applyBorder="0" applyAlignment="0" applyProtection="0"/>
    <xf numFmtId="0" fontId="47" fillId="34" borderId="10" applyNumberFormat="0" applyAlignment="0" applyProtection="0"/>
    <xf numFmtId="0" fontId="48" fillId="34" borderId="10" applyNumberFormat="0" applyAlignment="0" applyProtection="0"/>
    <xf numFmtId="9" fontId="16"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applyFill="0"/>
    <xf numFmtId="0" fontId="16" fillId="0" borderId="0"/>
    <xf numFmtId="0" fontId="16" fillId="0" borderId="0"/>
    <xf numFmtId="0" fontId="5" fillId="0" borderId="0"/>
    <xf numFmtId="0" fontId="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11" applyNumberFormat="0" applyFill="0" applyAlignment="0" applyProtection="0"/>
    <xf numFmtId="0" fontId="50" fillId="0" borderId="11" applyNumberFormat="0" applyFill="0" applyAlignment="0" applyProtection="0"/>
    <xf numFmtId="0" fontId="51" fillId="0" borderId="11" applyNumberFormat="0" applyFill="0" applyAlignment="0" applyProtection="0"/>
    <xf numFmtId="0" fontId="47" fillId="34" borderId="10" applyNumberFormat="0" applyAlignment="0" applyProtection="0"/>
    <xf numFmtId="44" fontId="1" fillId="0" borderId="0" applyFont="0" applyFill="0" applyBorder="0" applyAlignment="0" applyProtection="0"/>
    <xf numFmtId="0" fontId="2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10" fillId="0" borderId="0" applyNumberFormat="0" applyFon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9" fontId="16" fillId="0" borderId="0" applyFont="0" applyFill="0" applyBorder="0" applyAlignment="0" applyProtection="0"/>
    <xf numFmtId="0" fontId="18" fillId="24" borderId="0" applyNumberFormat="0" applyBorder="0" applyAlignment="0" applyProtection="0"/>
    <xf numFmtId="0" fontId="18" fillId="19" borderId="0" applyNumberFormat="0" applyBorder="0" applyAlignment="0" applyProtection="0"/>
    <xf numFmtId="172" fontId="1" fillId="0" borderId="0" applyFont="0" applyFill="0" applyBorder="0" applyAlignment="0" applyProtection="0"/>
    <xf numFmtId="0" fontId="18" fillId="22" borderId="0" applyNumberFormat="0" applyBorder="0" applyAlignment="0" applyProtection="0"/>
    <xf numFmtId="0" fontId="16" fillId="0" borderId="0"/>
    <xf numFmtId="0" fontId="58" fillId="0" borderId="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20" fillId="26"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33" borderId="0" applyNumberFormat="0" applyBorder="0" applyAlignment="0" applyProtection="0"/>
    <xf numFmtId="0" fontId="58" fillId="37" borderId="9" applyNumberFormat="0" applyFont="0" applyAlignment="0" applyProtection="0"/>
    <xf numFmtId="0" fontId="16" fillId="0" borderId="0"/>
    <xf numFmtId="9" fontId="1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cellStyleXfs>
  <cellXfs count="285">
    <xf numFmtId="0" fontId="0" fillId="0" borderId="0" xfId="0"/>
    <xf numFmtId="0" fontId="1" fillId="6" borderId="2" xfId="6" applyFont="1" applyFill="1" applyBorder="1"/>
    <xf numFmtId="0" fontId="1" fillId="5" borderId="2" xfId="6" applyFont="1" applyFill="1" applyBorder="1"/>
    <xf numFmtId="0" fontId="1" fillId="8" borderId="2" xfId="6" applyFont="1" applyFill="1" applyBorder="1"/>
    <xf numFmtId="0" fontId="1" fillId="13" borderId="2" xfId="6" applyFont="1" applyFill="1" applyBorder="1"/>
    <xf numFmtId="0" fontId="4" fillId="3" borderId="1" xfId="4" applyFont="1" applyFill="1" applyBorder="1" applyAlignment="1">
      <alignment horizontal="center"/>
    </xf>
    <xf numFmtId="0" fontId="0" fillId="12" borderId="0" xfId="0" applyFill="1"/>
    <xf numFmtId="0" fontId="2" fillId="3" borderId="1" xfId="11" applyFont="1" applyFill="1" applyBorder="1"/>
    <xf numFmtId="0" fontId="4" fillId="4" borderId="1" xfId="15" applyFont="1" applyFill="1" applyBorder="1"/>
    <xf numFmtId="0" fontId="1" fillId="4" borderId="1" xfId="15" applyFont="1" applyFill="1" applyBorder="1"/>
    <xf numFmtId="165" fontId="1" fillId="11" borderId="0" xfId="7" applyNumberFormat="1" applyFont="1" applyFill="1"/>
    <xf numFmtId="0" fontId="4" fillId="14" borderId="1" xfId="0" applyFont="1" applyFill="1" applyBorder="1" applyAlignment="1">
      <alignment horizontal="center"/>
    </xf>
    <xf numFmtId="10" fontId="1" fillId="10" borderId="0" xfId="8" applyNumberFormat="1" applyFont="1" applyFill="1"/>
    <xf numFmtId="10" fontId="1" fillId="7" borderId="0" xfId="8" applyNumberFormat="1" applyFont="1" applyFill="1"/>
    <xf numFmtId="0" fontId="1" fillId="0" borderId="0" xfId="0" applyNumberFormat="1" applyFont="1" applyFill="1" applyBorder="1" applyAlignment="1">
      <alignment vertical="top"/>
    </xf>
    <xf numFmtId="0" fontId="7" fillId="0" borderId="0" xfId="0" applyFont="1"/>
    <xf numFmtId="0" fontId="7" fillId="4" borderId="1" xfId="0" applyFont="1" applyFill="1" applyBorder="1"/>
    <xf numFmtId="10" fontId="7" fillId="5" borderId="0" xfId="0" applyNumberFormat="1" applyFont="1" applyFill="1"/>
    <xf numFmtId="167" fontId="7" fillId="6" borderId="0" xfId="0" applyNumberFormat="1" applyFont="1" applyFill="1"/>
    <xf numFmtId="164" fontId="7" fillId="6" borderId="0" xfId="0" applyNumberFormat="1" applyFont="1" applyFill="1"/>
    <xf numFmtId="165" fontId="7" fillId="8" borderId="0" xfId="0" applyNumberFormat="1" applyFont="1" applyFill="1"/>
    <xf numFmtId="0" fontId="1" fillId="0" borderId="0" xfId="0" applyFont="1" applyFill="1"/>
    <xf numFmtId="0" fontId="1" fillId="0" borderId="0" xfId="6" applyFont="1" applyFill="1" applyBorder="1"/>
    <xf numFmtId="0" fontId="6" fillId="0" borderId="0" xfId="6" applyFont="1" applyFill="1" applyBorder="1"/>
    <xf numFmtId="0" fontId="1" fillId="0" borderId="0" xfId="5" applyFont="1" applyFill="1" applyBorder="1"/>
    <xf numFmtId="0" fontId="1" fillId="0" borderId="0" xfId="1" applyFont="1" applyFill="1" applyBorder="1"/>
    <xf numFmtId="0" fontId="1" fillId="15" borderId="2" xfId="6" applyFont="1" applyFill="1" applyBorder="1"/>
    <xf numFmtId="0" fontId="1" fillId="0" borderId="0" xfId="1" applyFont="1" applyFill="1"/>
    <xf numFmtId="1" fontId="1" fillId="0" borderId="0" xfId="1" applyNumberFormat="1" applyFont="1" applyFill="1"/>
    <xf numFmtId="0" fontId="1" fillId="0" borderId="0" xfId="5" applyFont="1" applyFill="1"/>
    <xf numFmtId="0" fontId="14" fillId="4" borderId="1" xfId="0" applyFont="1" applyFill="1" applyBorder="1"/>
    <xf numFmtId="0" fontId="7" fillId="0" borderId="0" xfId="0" applyFont="1" applyFill="1"/>
    <xf numFmtId="1" fontId="7" fillId="0" borderId="0" xfId="0" applyNumberFormat="1" applyFont="1" applyFill="1"/>
    <xf numFmtId="0" fontId="15" fillId="14" borderId="1" xfId="1" applyFont="1" applyFill="1" applyBorder="1"/>
    <xf numFmtId="0" fontId="3" fillId="14" borderId="1" xfId="1" applyFont="1" applyFill="1" applyBorder="1" applyAlignment="1">
      <alignment vertical="center" wrapText="1"/>
    </xf>
    <xf numFmtId="0" fontId="3" fillId="14" borderId="1" xfId="1" applyFont="1" applyFill="1" applyBorder="1" applyAlignment="1">
      <alignment wrapText="1"/>
    </xf>
    <xf numFmtId="0" fontId="3" fillId="14" borderId="1" xfId="5" applyFont="1" applyFill="1" applyBorder="1" applyAlignment="1">
      <alignment horizontal="center" textRotation="90"/>
    </xf>
    <xf numFmtId="0" fontId="14" fillId="0" borderId="0" xfId="0" applyFont="1" applyFill="1"/>
    <xf numFmtId="167" fontId="7" fillId="15" borderId="0" xfId="0" applyNumberFormat="1" applyFont="1" applyFill="1"/>
    <xf numFmtId="0" fontId="1" fillId="14" borderId="1" xfId="1" applyFont="1" applyFill="1" applyBorder="1"/>
    <xf numFmtId="0" fontId="4" fillId="14" borderId="1" xfId="1" applyFont="1" applyFill="1" applyBorder="1" applyAlignment="1">
      <alignment wrapText="1"/>
    </xf>
    <xf numFmtId="0" fontId="4" fillId="14" borderId="1" xfId="5" applyFont="1" applyFill="1" applyBorder="1" applyAlignment="1">
      <alignment horizontal="center" textRotation="90"/>
    </xf>
    <xf numFmtId="0" fontId="15" fillId="14" borderId="1" xfId="2" applyFont="1" applyFill="1" applyBorder="1"/>
    <xf numFmtId="0" fontId="3" fillId="14" borderId="1" xfId="2" applyFont="1" applyFill="1" applyBorder="1" applyAlignment="1">
      <alignment vertical="center" wrapText="1"/>
    </xf>
    <xf numFmtId="0" fontId="3" fillId="14" borderId="1" xfId="2" applyFont="1" applyFill="1" applyBorder="1" applyAlignment="1">
      <alignment wrapText="1"/>
    </xf>
    <xf numFmtId="0" fontId="3" fillId="14" borderId="1" xfId="3" applyFont="1" applyFill="1" applyBorder="1" applyAlignment="1">
      <alignment horizontal="center" textRotation="90"/>
    </xf>
    <xf numFmtId="0" fontId="4" fillId="14" borderId="1" xfId="4" applyFont="1" applyFill="1" applyBorder="1" applyAlignment="1">
      <alignment horizontal="center"/>
    </xf>
    <xf numFmtId="165" fontId="1" fillId="0" borderId="0" xfId="7" applyNumberFormat="1" applyFont="1" applyFill="1"/>
    <xf numFmtId="0" fontId="1" fillId="14" borderId="1" xfId="11" applyFont="1" applyFill="1" applyBorder="1"/>
    <xf numFmtId="0" fontId="4" fillId="14" borderId="1" xfId="11" applyFont="1" applyFill="1" applyBorder="1" applyAlignment="1">
      <alignment horizontal="center"/>
    </xf>
    <xf numFmtId="0" fontId="54" fillId="0" borderId="0" xfId="0" applyFont="1" applyFill="1"/>
    <xf numFmtId="171" fontId="1" fillId="15" borderId="0" xfId="19" applyNumberFormat="1" applyFont="1" applyFill="1"/>
    <xf numFmtId="0" fontId="2" fillId="3" borderId="1" xfId="133" applyFont="1" applyFill="1" applyBorder="1"/>
    <xf numFmtId="0" fontId="1" fillId="0" borderId="0" xfId="127" applyFont="1" applyFill="1"/>
    <xf numFmtId="0" fontId="1" fillId="0" borderId="0" xfId="127" applyFont="1"/>
    <xf numFmtId="0" fontId="4" fillId="4" borderId="1" xfId="127" applyFont="1" applyFill="1" applyBorder="1"/>
    <xf numFmtId="0" fontId="1" fillId="4" borderId="1" xfId="127" applyFont="1" applyFill="1" applyBorder="1"/>
    <xf numFmtId="0" fontId="55" fillId="0" borderId="0" xfId="127" applyFont="1"/>
    <xf numFmtId="0" fontId="1" fillId="0" borderId="0" xfId="15" applyFont="1" applyFill="1"/>
    <xf numFmtId="165" fontId="4" fillId="0" borderId="0" xfId="101" applyNumberFormat="1" applyFont="1" applyFill="1" applyBorder="1" applyAlignment="1">
      <alignment horizontal="center"/>
    </xf>
    <xf numFmtId="0" fontId="4" fillId="0" borderId="0" xfId="15" applyFont="1" applyFill="1" applyBorder="1" applyAlignment="1">
      <alignment horizontal="center" textRotation="90"/>
    </xf>
    <xf numFmtId="0" fontId="4" fillId="0" borderId="0" xfId="15" applyFont="1" applyFill="1" applyBorder="1" applyAlignment="1">
      <alignment horizontal="left"/>
    </xf>
    <xf numFmtId="0" fontId="4" fillId="0" borderId="0" xfId="127" applyFont="1"/>
    <xf numFmtId="0" fontId="11" fillId="0" borderId="0" xfId="15" applyFont="1" applyFill="1"/>
    <xf numFmtId="0" fontId="3" fillId="3" borderId="1" xfId="17" applyFont="1" applyFill="1" applyBorder="1" applyAlignment="1">
      <alignment horizontal="left"/>
    </xf>
    <xf numFmtId="0" fontId="4" fillId="3" borderId="1" xfId="17" applyFont="1" applyFill="1" applyBorder="1"/>
    <xf numFmtId="0" fontId="1" fillId="3" borderId="1" xfId="17" applyFont="1" applyFill="1" applyBorder="1"/>
    <xf numFmtId="0" fontId="1" fillId="0" borderId="0" xfId="127" applyFont="1" applyAlignment="1">
      <alignment horizontal="right"/>
    </xf>
    <xf numFmtId="10" fontId="1" fillId="11" borderId="0" xfId="8" applyNumberFormat="1" applyFont="1" applyFill="1"/>
    <xf numFmtId="10" fontId="7" fillId="0" borderId="0" xfId="8" applyNumberFormat="1" applyFont="1"/>
    <xf numFmtId="16" fontId="1" fillId="0" borderId="0" xfId="127" applyNumberFormat="1" applyFont="1"/>
    <xf numFmtId="10" fontId="1" fillId="0" borderId="0" xfId="8" applyNumberFormat="1" applyFont="1" applyFill="1"/>
    <xf numFmtId="0" fontId="1" fillId="0" borderId="0" xfId="18" applyFont="1"/>
    <xf numFmtId="0" fontId="1" fillId="0" borderId="0" xfId="127" applyFont="1" applyBorder="1"/>
    <xf numFmtId="168" fontId="1" fillId="0" borderId="0" xfId="127" applyNumberFormat="1" applyFont="1" applyBorder="1"/>
    <xf numFmtId="14" fontId="1" fillId="0" borderId="0" xfId="127" applyNumberFormat="1" applyFont="1"/>
    <xf numFmtId="10" fontId="1" fillId="9" borderId="0" xfId="127" applyNumberFormat="1" applyFont="1" applyFill="1"/>
    <xf numFmtId="168" fontId="1" fillId="0" borderId="0" xfId="127" applyNumberFormat="1" applyFont="1"/>
    <xf numFmtId="10" fontId="1" fillId="9" borderId="0" xfId="8" applyNumberFormat="1" applyFont="1" applyFill="1"/>
    <xf numFmtId="10" fontId="1" fillId="6" borderId="0" xfId="127" applyNumberFormat="1" applyFont="1" applyFill="1"/>
    <xf numFmtId="10" fontId="9" fillId="5" borderId="0" xfId="127" applyNumberFormat="1" applyFont="1" applyFill="1"/>
    <xf numFmtId="0" fontId="3" fillId="3" borderId="1" xfId="127" applyFont="1" applyFill="1" applyBorder="1"/>
    <xf numFmtId="0" fontId="1" fillId="3" borderId="1" xfId="127" applyFill="1" applyBorder="1"/>
    <xf numFmtId="0" fontId="1" fillId="4" borderId="1" xfId="127" applyFill="1" applyBorder="1"/>
    <xf numFmtId="0" fontId="1" fillId="0" borderId="0" xfId="127"/>
    <xf numFmtId="10" fontId="1" fillId="9" borderId="0" xfId="8" applyNumberFormat="1" applyFill="1"/>
    <xf numFmtId="0" fontId="1" fillId="0" borderId="0" xfId="127" applyFill="1"/>
    <xf numFmtId="10" fontId="1" fillId="15" borderId="0" xfId="127" applyNumberFormat="1" applyFill="1"/>
    <xf numFmtId="0" fontId="1" fillId="3" borderId="0" xfId="127" applyFill="1"/>
    <xf numFmtId="10" fontId="1" fillId="3" borderId="0" xfId="127" applyNumberFormat="1" applyFill="1"/>
    <xf numFmtId="10" fontId="1" fillId="0" borderId="0" xfId="8" applyNumberFormat="1" applyFill="1"/>
    <xf numFmtId="0" fontId="4" fillId="0" borderId="0" xfId="15" applyFont="1"/>
    <xf numFmtId="165" fontId="1" fillId="0" borderId="0" xfId="101" applyNumberFormat="1" applyFont="1"/>
    <xf numFmtId="0" fontId="7" fillId="0" borderId="0" xfId="1" applyFont="1"/>
    <xf numFmtId="0" fontId="1" fillId="0" borderId="0" xfId="0" applyFont="1"/>
    <xf numFmtId="0" fontId="4" fillId="0" borderId="0" xfId="15" applyFont="1" applyFill="1"/>
    <xf numFmtId="165" fontId="1" fillId="0" borderId="0" xfId="127" applyNumberFormat="1" applyFont="1" applyFill="1"/>
    <xf numFmtId="0" fontId="1" fillId="0" borderId="0" xfId="15" applyFont="1"/>
    <xf numFmtId="0" fontId="0" fillId="0" borderId="0" xfId="0" applyFill="1"/>
    <xf numFmtId="0" fontId="55" fillId="0" borderId="0" xfId="127" applyFont="1" applyFill="1"/>
    <xf numFmtId="165" fontId="1" fillId="0" borderId="0" xfId="101" applyNumberFormat="1" applyFont="1" applyFill="1"/>
    <xf numFmtId="0" fontId="8" fillId="0" borderId="0" xfId="15" applyFont="1" applyFill="1"/>
    <xf numFmtId="0" fontId="7" fillId="0" borderId="0" xfId="1" applyFont="1" applyFill="1"/>
    <xf numFmtId="0" fontId="1" fillId="14" borderId="1" xfId="9" applyFont="1" applyFill="1" applyBorder="1"/>
    <xf numFmtId="0" fontId="2" fillId="14" borderId="1" xfId="9" applyFont="1" applyFill="1" applyBorder="1"/>
    <xf numFmtId="0" fontId="4" fillId="14" borderId="1" xfId="9" applyFont="1" applyFill="1" applyBorder="1"/>
    <xf numFmtId="0" fontId="4" fillId="3" borderId="1" xfId="0" applyFont="1" applyFill="1" applyBorder="1"/>
    <xf numFmtId="171" fontId="1" fillId="6" borderId="0" xfId="19" applyNumberFormat="1" applyFont="1" applyFill="1"/>
    <xf numFmtId="43" fontId="1" fillId="6" borderId="0" xfId="19" applyFont="1" applyFill="1"/>
    <xf numFmtId="0" fontId="4" fillId="2" borderId="0" xfId="0" applyFont="1" applyFill="1" applyAlignment="1">
      <alignment vertical="top"/>
    </xf>
    <xf numFmtId="0" fontId="1" fillId="2" borderId="0" xfId="0" applyFont="1" applyFill="1" applyAlignment="1">
      <alignment horizontal="left" vertical="top" indent="1"/>
    </xf>
    <xf numFmtId="171" fontId="7" fillId="6" borderId="0" xfId="19" applyNumberFormat="1" applyFont="1" applyFill="1" applyAlignment="1">
      <alignment vertical="top"/>
    </xf>
    <xf numFmtId="0" fontId="8" fillId="0" borderId="0" xfId="127" applyFont="1" applyFill="1"/>
    <xf numFmtId="0" fontId="7" fillId="0" borderId="0" xfId="0" applyFont="1" applyFill="1" applyAlignment="1">
      <alignment horizontal="left" vertical="top" wrapText="1"/>
    </xf>
    <xf numFmtId="43" fontId="7" fillId="15" borderId="0" xfId="19" applyFont="1" applyFill="1"/>
    <xf numFmtId="171" fontId="7" fillId="15" borderId="0" xfId="19" applyNumberFormat="1" applyFont="1" applyFill="1"/>
    <xf numFmtId="0" fontId="8" fillId="0" borderId="0" xfId="10" applyFont="1" applyFill="1" applyAlignment="1">
      <alignment vertical="top"/>
    </xf>
    <xf numFmtId="0" fontId="11" fillId="0" borderId="0" xfId="10" applyFont="1" applyFill="1" applyAlignment="1">
      <alignment vertical="top" wrapText="1"/>
    </xf>
    <xf numFmtId="0" fontId="8" fillId="0" borderId="0" xfId="11" applyFont="1" applyFill="1" applyAlignment="1"/>
    <xf numFmtId="0" fontId="9" fillId="0" borderId="0" xfId="11" applyFont="1" applyFill="1" applyAlignment="1"/>
    <xf numFmtId="0" fontId="4" fillId="0" borderId="0" xfId="0" quotePrefix="1" applyFont="1" applyFill="1" applyAlignment="1">
      <alignment horizontal="left"/>
    </xf>
    <xf numFmtId="0" fontId="4" fillId="0" borderId="0" xfId="0" applyFont="1" applyFill="1"/>
    <xf numFmtId="0" fontId="8" fillId="0" borderId="0" xfId="0" applyFont="1" applyFill="1" applyAlignment="1">
      <alignment horizontal="center" vertical="center"/>
    </xf>
    <xf numFmtId="0" fontId="2" fillId="14" borderId="1" xfId="11" applyFont="1" applyFill="1" applyBorder="1"/>
    <xf numFmtId="0" fontId="8" fillId="0" borderId="0" xfId="0" applyFont="1"/>
    <xf numFmtId="43" fontId="1" fillId="0" borderId="0" xfId="19" applyFont="1" applyFill="1"/>
    <xf numFmtId="0" fontId="8" fillId="0" borderId="0" xfId="0" applyFont="1" applyAlignment="1">
      <alignment horizontal="center" vertical="center"/>
    </xf>
    <xf numFmtId="43" fontId="1" fillId="15" borderId="0" xfId="19" applyFont="1" applyFill="1"/>
    <xf numFmtId="43" fontId="7" fillId="0" borderId="0" xfId="19" applyFont="1" applyFill="1"/>
    <xf numFmtId="43" fontId="7" fillId="6" borderId="0" xfId="19" applyFont="1" applyFill="1"/>
    <xf numFmtId="171" fontId="7" fillId="8" borderId="0" xfId="0" applyNumberFormat="1" applyFont="1" applyFill="1"/>
    <xf numFmtId="171" fontId="1" fillId="6" borderId="0" xfId="19" applyNumberFormat="1" applyFont="1" applyFill="1" applyAlignment="1">
      <alignment wrapText="1"/>
    </xf>
    <xf numFmtId="164" fontId="1" fillId="0" borderId="0" xfId="101" applyNumberFormat="1" applyFont="1" applyFill="1"/>
    <xf numFmtId="10" fontId="1" fillId="0" borderId="0" xfId="127" applyNumberFormat="1" applyFont="1"/>
    <xf numFmtId="10" fontId="1" fillId="0" borderId="0" xfId="127" applyNumberFormat="1"/>
    <xf numFmtId="0" fontId="7" fillId="0" borderId="0" xfId="0" applyFont="1" applyFill="1" applyAlignment="1">
      <alignment wrapText="1"/>
    </xf>
    <xf numFmtId="0" fontId="56" fillId="0" borderId="0" xfId="0" applyFont="1" applyAlignment="1">
      <alignment vertical="center" wrapText="1"/>
    </xf>
    <xf numFmtId="0" fontId="7" fillId="0" borderId="0" xfId="0" applyFont="1" applyAlignment="1">
      <alignment horizontal="left" vertical="top" wrapText="1"/>
    </xf>
    <xf numFmtId="0" fontId="7" fillId="0" borderId="0" xfId="0" applyFont="1" applyFill="1" applyAlignment="1">
      <alignment horizontal="left" vertical="top"/>
    </xf>
    <xf numFmtId="0" fontId="1" fillId="2" borderId="0" xfId="134" applyFont="1" applyFill="1" applyBorder="1"/>
    <xf numFmtId="0" fontId="57" fillId="3" borderId="1" xfId="127" applyFont="1" applyFill="1" applyBorder="1" applyAlignment="1">
      <alignment horizontal="center" vertical="center"/>
    </xf>
    <xf numFmtId="0" fontId="1" fillId="0" borderId="0" xfId="127" applyFill="1" applyBorder="1" applyAlignment="1">
      <alignment vertical="center"/>
    </xf>
    <xf numFmtId="0" fontId="4" fillId="0" borderId="0" xfId="127" applyFont="1" applyFill="1" applyBorder="1" applyAlignment="1">
      <alignment vertical="center" wrapText="1"/>
    </xf>
    <xf numFmtId="0" fontId="3" fillId="0" borderId="0" xfId="127" applyFont="1" applyFill="1" applyBorder="1" applyAlignment="1">
      <alignment vertical="center" wrapText="1"/>
    </xf>
    <xf numFmtId="0" fontId="4" fillId="0" borderId="0" xfId="148" applyFont="1" applyFill="1" applyBorder="1" applyAlignment="1">
      <alignment horizontal="center" vertical="center" textRotation="90"/>
    </xf>
    <xf numFmtId="0" fontId="4" fillId="3" borderId="1" xfId="148" applyFont="1" applyFill="1" applyBorder="1" applyAlignment="1">
      <alignment horizontal="center" vertical="center"/>
    </xf>
    <xf numFmtId="0" fontId="1" fillId="3" borderId="12" xfId="127" applyFill="1" applyBorder="1" applyAlignment="1">
      <alignment vertical="center"/>
    </xf>
    <xf numFmtId="0" fontId="1" fillId="0" borderId="0" xfId="127" applyFont="1" applyFill="1" applyBorder="1"/>
    <xf numFmtId="0" fontId="4" fillId="0" borderId="0" xfId="127" applyFont="1" applyFill="1" applyBorder="1" applyAlignment="1">
      <alignment wrapText="1"/>
    </xf>
    <xf numFmtId="0" fontId="4" fillId="0" borderId="0" xfId="148" applyFont="1" applyFill="1" applyBorder="1" applyAlignment="1">
      <alignment horizontal="center" textRotation="90"/>
    </xf>
    <xf numFmtId="165" fontId="1" fillId="6" borderId="0" xfId="149" applyNumberFormat="1" applyFont="1" applyFill="1"/>
    <xf numFmtId="165" fontId="10" fillId="0" borderId="0" xfId="149" applyNumberFormat="1" applyFont="1" applyFill="1" applyBorder="1"/>
    <xf numFmtId="165" fontId="0" fillId="0" borderId="0" xfId="101" applyNumberFormat="1" applyFont="1" applyFill="1"/>
    <xf numFmtId="165" fontId="10" fillId="0" borderId="0" xfId="101" applyNumberFormat="1" applyFont="1" applyFill="1"/>
    <xf numFmtId="165" fontId="1" fillId="6" borderId="0" xfId="101" applyNumberFormat="1" applyFont="1" applyFill="1"/>
    <xf numFmtId="166" fontId="10" fillId="0" borderId="0" xfId="101" applyNumberFormat="1" applyFont="1" applyFill="1"/>
    <xf numFmtId="166" fontId="1" fillId="6" borderId="0" xfId="101" applyNumberFormat="1" applyFont="1" applyFill="1"/>
    <xf numFmtId="0" fontId="1" fillId="0" borderId="0" xfId="1" applyFont="1"/>
    <xf numFmtId="165" fontId="10" fillId="0" borderId="0" xfId="127" applyNumberFormat="1" applyFont="1" applyFill="1"/>
    <xf numFmtId="165" fontId="1" fillId="10" borderId="0" xfId="101" applyNumberFormat="1" applyFont="1" applyFill="1"/>
    <xf numFmtId="165" fontId="1" fillId="11" borderId="0" xfId="127" applyNumberFormat="1" applyFill="1"/>
    <xf numFmtId="165" fontId="1" fillId="0" borderId="0" xfId="127" applyNumberFormat="1" applyFill="1" applyBorder="1"/>
    <xf numFmtId="0" fontId="1" fillId="0" borderId="0" xfId="127" applyFill="1" applyBorder="1"/>
    <xf numFmtId="165" fontId="4" fillId="0" borderId="0" xfId="149" applyNumberFormat="1" applyFont="1" applyFill="1" applyBorder="1" applyAlignment="1">
      <alignment horizontal="center" textRotation="90"/>
    </xf>
    <xf numFmtId="164" fontId="1" fillId="6" borderId="0" xfId="149" applyNumberFormat="1" applyFont="1" applyFill="1"/>
    <xf numFmtId="0" fontId="9" fillId="0" borderId="0" xfId="127" applyFont="1"/>
    <xf numFmtId="10" fontId="0" fillId="38" borderId="0" xfId="8" applyNumberFormat="1" applyFont="1" applyFill="1"/>
    <xf numFmtId="10" fontId="1" fillId="0" borderId="0" xfId="127" applyNumberFormat="1" applyFill="1"/>
    <xf numFmtId="165" fontId="1" fillId="0" borderId="0" xfId="127" applyNumberFormat="1" applyFill="1"/>
    <xf numFmtId="0" fontId="4" fillId="4" borderId="1" xfId="151" applyFont="1" applyFill="1" applyBorder="1"/>
    <xf numFmtId="0" fontId="1" fillId="0" borderId="0" xfId="151" applyFont="1"/>
    <xf numFmtId="171" fontId="7" fillId="38" borderId="0" xfId="19" applyNumberFormat="1" applyFont="1" applyFill="1"/>
    <xf numFmtId="165" fontId="1" fillId="38" borderId="0" xfId="101" applyNumberFormat="1" applyFill="1"/>
    <xf numFmtId="10" fontId="7" fillId="38" borderId="0" xfId="0" applyNumberFormat="1" applyFont="1" applyFill="1"/>
    <xf numFmtId="43" fontId="1" fillId="38" borderId="0" xfId="19" applyFont="1" applyFill="1"/>
    <xf numFmtId="10" fontId="7" fillId="2" borderId="0" xfId="0" applyNumberFormat="1" applyFont="1" applyFill="1"/>
    <xf numFmtId="164" fontId="7" fillId="2" borderId="0" xfId="0" applyNumberFormat="1" applyFont="1" applyFill="1"/>
    <xf numFmtId="0" fontId="7" fillId="0" borderId="0" xfId="0" applyFont="1" applyFill="1"/>
    <xf numFmtId="0" fontId="1" fillId="0" borderId="0" xfId="127" applyFill="1" applyBorder="1" applyAlignment="1">
      <alignment vertical="center"/>
    </xf>
    <xf numFmtId="0" fontId="7" fillId="0" borderId="0" xfId="0" applyFont="1" applyFill="1"/>
    <xf numFmtId="165" fontId="1" fillId="0" borderId="0" xfId="7" applyNumberFormat="1" applyFont="1" applyFill="1"/>
    <xf numFmtId="171" fontId="1" fillId="6" borderId="0" xfId="19" applyNumberFormat="1" applyFont="1" applyFill="1"/>
    <xf numFmtId="171" fontId="7" fillId="6" borderId="0" xfId="19" applyNumberFormat="1" applyFont="1" applyFill="1"/>
    <xf numFmtId="0" fontId="4" fillId="14" borderId="1" xfId="0" applyFont="1" applyFill="1" applyBorder="1" applyAlignment="1">
      <alignment horizontal="center"/>
    </xf>
    <xf numFmtId="0" fontId="2" fillId="3" borderId="1" xfId="133" applyFont="1" applyFill="1" applyBorder="1"/>
    <xf numFmtId="0" fontId="1" fillId="0" borderId="0" xfId="127" applyFont="1" applyFill="1"/>
    <xf numFmtId="0" fontId="1" fillId="0" borderId="0" xfId="127" applyFont="1"/>
    <xf numFmtId="0" fontId="4" fillId="4" borderId="1" xfId="127" applyFont="1" applyFill="1" applyBorder="1"/>
    <xf numFmtId="0" fontId="4" fillId="0" borderId="0" xfId="127" applyFont="1"/>
    <xf numFmtId="0" fontId="1" fillId="4" borderId="1" xfId="127" applyFill="1" applyBorder="1"/>
    <xf numFmtId="0" fontId="1" fillId="0" borderId="0" xfId="127" applyFill="1"/>
    <xf numFmtId="0" fontId="8" fillId="0" borderId="0" xfId="15" applyFont="1"/>
    <xf numFmtId="165" fontId="1" fillId="0" borderId="0" xfId="101" applyNumberFormat="1" applyFont="1" applyFill="1"/>
    <xf numFmtId="43" fontId="1" fillId="6" borderId="0" xfId="19" applyFont="1" applyFill="1"/>
    <xf numFmtId="164" fontId="1" fillId="6" borderId="0" xfId="101" applyNumberFormat="1" applyFont="1" applyFill="1"/>
    <xf numFmtId="43" fontId="7" fillId="6" borderId="0" xfId="19" applyFont="1" applyFill="1"/>
    <xf numFmtId="0" fontId="1" fillId="0" borderId="0" xfId="151" applyFont="1" applyFill="1"/>
    <xf numFmtId="0" fontId="1" fillId="0" borderId="0" xfId="127"/>
    <xf numFmtId="0" fontId="4" fillId="3" borderId="2" xfId="16" applyFont="1" applyFill="1" applyBorder="1" applyAlignment="1"/>
    <xf numFmtId="165" fontId="1" fillId="0" borderId="0" xfId="127" applyNumberFormat="1"/>
    <xf numFmtId="0" fontId="4" fillId="0" borderId="0" xfId="10" applyFont="1" applyFill="1" applyBorder="1" applyAlignment="1"/>
    <xf numFmtId="165" fontId="1" fillId="0" borderId="0" xfId="10" applyNumberFormat="1" applyFont="1" applyFill="1" applyBorder="1"/>
    <xf numFmtId="0" fontId="4" fillId="0" borderId="0" xfId="10" applyFont="1" applyFill="1" applyBorder="1" applyAlignment="1">
      <alignment wrapText="1"/>
    </xf>
    <xf numFmtId="0" fontId="1" fillId="0" borderId="0" xfId="10" applyFont="1" applyFill="1" applyBorder="1"/>
    <xf numFmtId="0" fontId="1" fillId="0" borderId="0" xfId="10" applyFont="1" applyBorder="1"/>
    <xf numFmtId="165" fontId="1" fillId="6" borderId="0" xfId="149" applyNumberFormat="1" applyFont="1" applyFill="1" applyBorder="1"/>
    <xf numFmtId="165" fontId="1" fillId="0" borderId="0" xfId="149" applyNumberFormat="1" applyFont="1" applyFill="1" applyBorder="1"/>
    <xf numFmtId="165" fontId="1" fillId="15" borderId="0" xfId="149" applyNumberFormat="1" applyFont="1" applyFill="1" applyBorder="1"/>
    <xf numFmtId="165" fontId="1" fillId="5" borderId="0" xfId="149" applyNumberFormat="1" applyFont="1" applyFill="1" applyBorder="1"/>
    <xf numFmtId="0" fontId="4" fillId="0" borderId="0" xfId="10" applyFont="1" applyBorder="1" applyAlignment="1">
      <alignment horizontal="right" indent="1"/>
    </xf>
    <xf numFmtId="165" fontId="1" fillId="0" borderId="0" xfId="101" applyNumberFormat="1" applyFont="1" applyFill="1" applyBorder="1"/>
    <xf numFmtId="0" fontId="1" fillId="2" borderId="0" xfId="0" applyFont="1" applyFill="1" applyBorder="1"/>
    <xf numFmtId="0" fontId="1" fillId="0" borderId="0" xfId="0" applyFont="1" applyAlignment="1">
      <alignment horizontal="center"/>
    </xf>
    <xf numFmtId="0" fontId="1" fillId="0" borderId="0" xfId="146" quotePrefix="1" applyFont="1" applyFill="1"/>
    <xf numFmtId="171" fontId="7" fillId="0" borderId="0" xfId="19" applyNumberFormat="1" applyFont="1" applyFill="1"/>
    <xf numFmtId="165" fontId="1" fillId="11" borderId="0" xfId="10" applyNumberFormat="1" applyFont="1" applyFill="1" applyBorder="1"/>
    <xf numFmtId="0" fontId="4" fillId="3" borderId="1" xfId="133" applyFont="1" applyFill="1" applyBorder="1"/>
    <xf numFmtId="0" fontId="1" fillId="0" borderId="0" xfId="10" applyFont="1" applyBorder="1" applyAlignment="1">
      <alignment horizontal="right" indent="1"/>
    </xf>
    <xf numFmtId="0" fontId="1" fillId="0" borderId="0" xfId="127" applyNumberFormat="1" applyFont="1" applyFill="1" applyBorder="1" applyAlignment="1">
      <alignment vertical="top"/>
    </xf>
    <xf numFmtId="0" fontId="4" fillId="0" borderId="0" xfId="10" applyFont="1" applyFill="1" applyBorder="1" applyAlignment="1">
      <alignment horizontal="right"/>
    </xf>
    <xf numFmtId="0" fontId="4" fillId="0" borderId="0" xfId="10" applyFont="1" applyBorder="1" applyAlignment="1">
      <alignment horizontal="right"/>
    </xf>
    <xf numFmtId="0" fontId="4" fillId="0" borderId="0" xfId="10" applyFont="1" applyFill="1" applyBorder="1" applyAlignment="1">
      <alignment horizontal="right" indent="1"/>
    </xf>
    <xf numFmtId="0" fontId="4" fillId="4" borderId="1" xfId="10" applyFont="1" applyFill="1" applyBorder="1"/>
    <xf numFmtId="0" fontId="7" fillId="0" borderId="0" xfId="0" applyFont="1"/>
    <xf numFmtId="0" fontId="1" fillId="0" borderId="0" xfId="0" applyFont="1" applyFill="1"/>
    <xf numFmtId="0" fontId="7" fillId="0" borderId="0" xfId="0" applyFont="1" applyFill="1"/>
    <xf numFmtId="0" fontId="1" fillId="0" borderId="0" xfId="10" applyFont="1" applyFill="1"/>
    <xf numFmtId="0" fontId="1" fillId="0" borderId="0" xfId="10" applyFont="1"/>
    <xf numFmtId="0" fontId="1" fillId="4" borderId="1" xfId="10" applyFont="1" applyFill="1" applyBorder="1"/>
    <xf numFmtId="171" fontId="7" fillId="5" borderId="0" xfId="19" applyNumberFormat="1" applyFont="1" applyFill="1"/>
    <xf numFmtId="0" fontId="2" fillId="3" borderId="1" xfId="133" applyFont="1" applyFill="1" applyBorder="1"/>
    <xf numFmtId="0" fontId="1" fillId="0" borderId="0" xfId="127" applyFont="1" applyFill="1"/>
    <xf numFmtId="0" fontId="1" fillId="0" borderId="0" xfId="0" applyFont="1"/>
    <xf numFmtId="165" fontId="1" fillId="0" borderId="0" xfId="101" applyNumberFormat="1" applyFont="1" applyFill="1"/>
    <xf numFmtId="171" fontId="7" fillId="15" borderId="0" xfId="19" applyNumberFormat="1" applyFont="1" applyFill="1"/>
    <xf numFmtId="0" fontId="8" fillId="0" borderId="0" xfId="0" applyFont="1"/>
    <xf numFmtId="171" fontId="1" fillId="0" borderId="0" xfId="19" applyNumberFormat="1" applyFont="1"/>
    <xf numFmtId="165" fontId="1" fillId="15" borderId="0" xfId="101" applyNumberFormat="1" applyFont="1" applyFill="1"/>
    <xf numFmtId="166" fontId="1" fillId="0" borderId="0" xfId="101" applyNumberFormat="1" applyFont="1" applyFill="1"/>
    <xf numFmtId="10" fontId="7" fillId="5" borderId="0" xfId="8" applyNumberFormat="1" applyFont="1" applyFill="1"/>
    <xf numFmtId="10" fontId="1" fillId="0" borderId="0" xfId="151" applyNumberFormat="1" applyFont="1" applyFill="1"/>
    <xf numFmtId="0" fontId="1" fillId="0" borderId="0" xfId="0" applyNumberFormat="1" applyFont="1"/>
    <xf numFmtId="0" fontId="55" fillId="0" borderId="0" xfId="0" applyFont="1"/>
    <xf numFmtId="165" fontId="1" fillId="6" borderId="0" xfId="127" applyNumberFormat="1" applyFont="1" applyFill="1"/>
    <xf numFmtId="0" fontId="4" fillId="0" borderId="0" xfId="1" applyFont="1" applyFill="1"/>
    <xf numFmtId="9" fontId="1" fillId="0" borderId="0" xfId="182" applyNumberFormat="1" applyFont="1" applyFill="1"/>
    <xf numFmtId="10" fontId="1" fillId="39" borderId="0" xfId="0" applyNumberFormat="1" applyFont="1" applyFill="1"/>
    <xf numFmtId="0" fontId="12" fillId="0" borderId="0" xfId="146" quotePrefix="1" applyFont="1" applyFill="1"/>
    <xf numFmtId="0" fontId="1" fillId="0" borderId="0" xfId="2" applyFont="1"/>
    <xf numFmtId="0" fontId="7" fillId="0" borderId="0" xfId="0" quotePrefix="1" applyFont="1" applyFill="1"/>
    <xf numFmtId="0" fontId="8" fillId="0" borderId="0" xfId="0" applyFont="1" applyBorder="1" applyAlignment="1">
      <alignment vertical="center"/>
    </xf>
    <xf numFmtId="165" fontId="1" fillId="13" borderId="0" xfId="127" applyNumberFormat="1" applyFill="1"/>
    <xf numFmtId="0" fontId="4" fillId="0" borderId="0" xfId="151" applyFont="1" applyFill="1" applyBorder="1" applyAlignment="1"/>
    <xf numFmtId="0" fontId="4" fillId="0" borderId="0" xfId="151" applyFont="1" applyFill="1"/>
    <xf numFmtId="3" fontId="1" fillId="0" borderId="0" xfId="127" applyNumberFormat="1"/>
    <xf numFmtId="165" fontId="1" fillId="5" borderId="0" xfId="127" applyNumberFormat="1" applyFont="1" applyFill="1"/>
    <xf numFmtId="173" fontId="1" fillId="10" borderId="0" xfId="182" applyNumberFormat="1" applyFont="1" applyFill="1"/>
    <xf numFmtId="171" fontId="7" fillId="13" borderId="0" xfId="19" applyNumberFormat="1" applyFont="1" applyFill="1"/>
    <xf numFmtId="171" fontId="1" fillId="38" borderId="0" xfId="19" applyNumberFormat="1" applyFont="1" applyFill="1"/>
    <xf numFmtId="171" fontId="1" fillId="13" borderId="0" xfId="19" applyNumberFormat="1" applyFont="1" applyFill="1"/>
    <xf numFmtId="171" fontId="1" fillId="0" borderId="0" xfId="19" applyNumberFormat="1" applyFont="1" applyFill="1"/>
    <xf numFmtId="0" fontId="4" fillId="0" borderId="0" xfId="10" applyFont="1" applyBorder="1"/>
    <xf numFmtId="165" fontId="1" fillId="7" borderId="0" xfId="127" applyNumberFormat="1" applyFill="1"/>
    <xf numFmtId="0" fontId="4" fillId="0" borderId="0" xfId="0" applyFont="1" applyFill="1" applyBorder="1"/>
    <xf numFmtId="171" fontId="7" fillId="0" borderId="0" xfId="19" applyNumberFormat="1" applyFont="1" applyFill="1" applyBorder="1" applyAlignment="1">
      <alignment vertical="top"/>
    </xf>
    <xf numFmtId="9" fontId="7" fillId="15" borderId="0" xfId="182" applyFont="1" applyFill="1"/>
    <xf numFmtId="171" fontId="7" fillId="8" borderId="0" xfId="19" applyNumberFormat="1" applyFont="1" applyFill="1"/>
    <xf numFmtId="0" fontId="4" fillId="0" borderId="0" xfId="127" applyFont="1" applyAlignment="1">
      <alignment wrapText="1"/>
    </xf>
    <xf numFmtId="0" fontId="4" fillId="0" borderId="0" xfId="0" applyFont="1"/>
    <xf numFmtId="0" fontId="4" fillId="0" borderId="0" xfId="186" applyFont="1" applyFill="1" applyBorder="1" applyAlignment="1" applyProtection="1">
      <alignment horizontal="left"/>
    </xf>
    <xf numFmtId="0" fontId="1" fillId="0" borderId="0" xfId="0" applyFont="1" applyFill="1" applyBorder="1"/>
    <xf numFmtId="0" fontId="4" fillId="0" borderId="0" xfId="0" applyFont="1" applyBorder="1"/>
    <xf numFmtId="0" fontId="7" fillId="0" borderId="0" xfId="0" applyFont="1" applyBorder="1"/>
    <xf numFmtId="0" fontId="7" fillId="0" borderId="0" xfId="0" applyFont="1" applyFill="1" applyBorder="1"/>
    <xf numFmtId="171" fontId="1" fillId="40" borderId="0" xfId="19" applyNumberFormat="1" applyFont="1" applyFill="1"/>
    <xf numFmtId="9" fontId="7" fillId="0" borderId="0" xfId="182" applyFont="1" applyFill="1"/>
    <xf numFmtId="171" fontId="1" fillId="15" borderId="0" xfId="127" applyNumberFormat="1" applyFill="1"/>
    <xf numFmtId="171" fontId="7" fillId="0" borderId="0" xfId="0" applyNumberFormat="1" applyFont="1" applyFill="1"/>
    <xf numFmtId="173" fontId="7" fillId="6" borderId="0" xfId="182" applyNumberFormat="1" applyFont="1" applyFill="1"/>
    <xf numFmtId="10" fontId="7" fillId="6" borderId="0" xfId="182" applyNumberFormat="1" applyFont="1" applyFill="1"/>
    <xf numFmtId="9" fontId="1" fillId="0" borderId="0" xfId="182" applyFont="1" applyFill="1"/>
    <xf numFmtId="43" fontId="1" fillId="0" borderId="0" xfId="19" applyFont="1"/>
    <xf numFmtId="43" fontId="1" fillId="40" borderId="0" xfId="19" applyFont="1" applyFill="1"/>
    <xf numFmtId="0" fontId="7" fillId="0" borderId="0" xfId="0" applyFont="1" applyAlignment="1">
      <alignment horizontal="left" vertical="top" wrapText="1"/>
    </xf>
    <xf numFmtId="0" fontId="56" fillId="0" borderId="0" xfId="0" applyFont="1" applyAlignment="1">
      <alignment horizontal="left" vertical="top" wrapText="1"/>
    </xf>
  </cellXfs>
  <cellStyles count="187">
    <cellStyle name="_x000d__x000a_JournalTemplate=C:\COMFO\CTALK\JOURSTD.TPL_x000d__x000a_LbStateAddress=3 3 0 251 1 89 2 311_x000d__x000a_LbStateJou" xfId="4"/>
    <cellStyle name="_x000d__x000a_JournalTemplate=C:\COMFO\CTALK\JOURSTD.TPL_x000d__x000a_LbStateAddress=3 3 0 251 1 89 2 311_x000d__x000a_LbStateJou 2" xfId="15"/>
    <cellStyle name="_x000d__x000a_JournalTemplate=C:\COMFO\CTALK\JOURSTD.TPL_x000d__x000a_LbStateAddress=3 3 0 251 1 89 2 311_x000d__x000a_LbStateJou 2 2" xfId="16"/>
    <cellStyle name="_x000d__x000a_JournalTemplate=C:\COMFO\CTALK\JOURSTD.TPL_x000d__x000a_LbStateAddress=3 3 0 251 1 89 2 311_x000d__x000a_LbStateJou 3" xfId="20"/>
    <cellStyle name="_x000d__x000a_JournalTemplate=C:\COMFO\CTALK\JOURSTD.TPL_x000d__x000a_LbStateAddress=3 3 0 251 1 89 2 311_x000d__x000a_LbStateJou 3 2" xfId="158"/>
    <cellStyle name="_x000d__x000a_JournalTemplate=C:\COMFO\CTALK\JOURSTD.TPL_x000d__x000a_LbStateAddress=3 3 0 251 1 89 2 311_x000d__x000a_LbStateJou 4" xfId="21"/>
    <cellStyle name="_x000d__x000a_JournalTemplate=C:\COMFO\CTALK\JOURSTD.TPL_x000d__x000a_LbStateAddress=3 3 0 251 1 89 2 311_x000d__x000a_LbStateJou 4 2" xfId="148"/>
    <cellStyle name="_x000d__x000a_JournalTemplate=C:\COMFO\CTALK\JOURSTD.TPL_x000d__x000a_LbStateAddress=3 3 0 251 1 89 2 311_x000d__x000a_LbStateJou_100720 berekening x-factoren NG4R v4.2" xfId="22"/>
    <cellStyle name="_x000d__x000a_JournalTemplate=C:\COMFO\CTALK\JOURSTD.TPL_x000d__x000a_LbStateAddress=3 3 0 251 1 89 2 311_x000d__x000a_LbStateJou_20110825 TI berekening 2012 E - PwA" xfId="3"/>
    <cellStyle name="_x000d__x000a_JournalTemplate=C:\COMFO\CTALK\JOURSTD.TPL_x000d__x000a_LbStateAddress=3 3 0 251 1 89 2 311_x000d__x000a_LbStateJou_20120516 - TI-berekening 2013 Elektriciteit (concept)" xfId="5"/>
    <cellStyle name="20% - Accent1 2" xfId="23"/>
    <cellStyle name="20% - Accent1 2 2" xfId="159"/>
    <cellStyle name="20% - Accent1 3" xfId="24"/>
    <cellStyle name="20% - Accent2 2" xfId="25"/>
    <cellStyle name="20% - Accent2 2 2" xfId="160"/>
    <cellStyle name="20% - Accent2 3" xfId="26"/>
    <cellStyle name="20% - Accent3 2" xfId="27"/>
    <cellStyle name="20% - Accent3 2 2" xfId="161"/>
    <cellStyle name="20% - Accent3 3" xfId="28"/>
    <cellStyle name="20% - Accent4 2" xfId="29"/>
    <cellStyle name="20% - Accent4 2 2" xfId="162"/>
    <cellStyle name="20% - Accent4 3" xfId="30"/>
    <cellStyle name="20% - Accent5 2" xfId="31"/>
    <cellStyle name="20% - Accent5 2 2" xfId="163"/>
    <cellStyle name="20% - Accent5 3" xfId="32"/>
    <cellStyle name="20% - Accent6 2" xfId="33"/>
    <cellStyle name="20% - Accent6 2 2" xfId="164"/>
    <cellStyle name="20% - Accent6 3" xfId="34"/>
    <cellStyle name="40% - Accent1 2" xfId="35"/>
    <cellStyle name="40% - Accent1 2 2" xfId="156"/>
    <cellStyle name="40% - Accent1 3" xfId="36"/>
    <cellStyle name="40% - Accent2 2" xfId="37"/>
    <cellStyle name="40% - Accent2 2 2" xfId="165"/>
    <cellStyle name="40% - Accent2 3" xfId="38"/>
    <cellStyle name="40% - Accent3 2" xfId="39"/>
    <cellStyle name="40% - Accent3 2 2" xfId="153"/>
    <cellStyle name="40% - Accent3 3" xfId="40"/>
    <cellStyle name="40% - Accent4 2" xfId="41"/>
    <cellStyle name="40% - Accent4 2 2" xfId="154"/>
    <cellStyle name="40% - Accent4 3" xfId="42"/>
    <cellStyle name="40% - Accent5 2" xfId="43"/>
    <cellStyle name="40% - Accent5 2 2" xfId="166"/>
    <cellStyle name="40% - Accent5 3" xfId="44"/>
    <cellStyle name="40% - Accent6 2" xfId="45"/>
    <cellStyle name="40% - Accent6 2 2" xfId="167"/>
    <cellStyle name="40% - Accent6 3" xfId="46"/>
    <cellStyle name="60% - Accent1 2" xfId="47"/>
    <cellStyle name="60% - Accent1 2 2" xfId="168"/>
    <cellStyle name="60% - Accent1 3" xfId="48"/>
    <cellStyle name="60% - Accent2 2" xfId="49"/>
    <cellStyle name="60% - Accent2 2 2" xfId="169"/>
    <cellStyle name="60% - Accent2 3" xfId="50"/>
    <cellStyle name="60% - Accent3 2" xfId="51"/>
    <cellStyle name="60% - Accent3 2 2" xfId="170"/>
    <cellStyle name="60% - Accent3 3" xfId="52"/>
    <cellStyle name="60% - Accent4 2" xfId="53"/>
    <cellStyle name="60% - Accent4 2 2" xfId="171"/>
    <cellStyle name="60% - Accent4 3" xfId="54"/>
    <cellStyle name="60% - Accent5 2" xfId="55"/>
    <cellStyle name="60% - Accent5 2 2" xfId="172"/>
    <cellStyle name="60% - Accent5 3" xfId="56"/>
    <cellStyle name="60% - Accent6 2" xfId="57"/>
    <cellStyle name="60% - Accent6 2 2" xfId="173"/>
    <cellStyle name="60% - Accent6 3" xfId="58"/>
    <cellStyle name="Accent1 2" xfId="59"/>
    <cellStyle name="Accent1 2 2" xfId="174"/>
    <cellStyle name="Accent1 3" xfId="60"/>
    <cellStyle name="Accent2 2" xfId="61"/>
    <cellStyle name="Accent2 2 2" xfId="175"/>
    <cellStyle name="Accent2 3" xfId="62"/>
    <cellStyle name="Accent3 2" xfId="63"/>
    <cellStyle name="Accent3 2 2" xfId="176"/>
    <cellStyle name="Accent3 3" xfId="64"/>
    <cellStyle name="Accent4 2" xfId="65"/>
    <cellStyle name="Accent4 2 2" xfId="177"/>
    <cellStyle name="Accent4 3" xfId="66"/>
    <cellStyle name="Accent5 2" xfId="67"/>
    <cellStyle name="Accent5 2 2" xfId="178"/>
    <cellStyle name="Accent5 3" xfId="68"/>
    <cellStyle name="Accent6 2" xfId="69"/>
    <cellStyle name="Accent6 2 2" xfId="179"/>
    <cellStyle name="Accent6 3" xfId="70"/>
    <cellStyle name="Bad" xfId="71"/>
    <cellStyle name="Bad 2" xfId="72"/>
    <cellStyle name="Berekening 2" xfId="73"/>
    <cellStyle name="Calculation" xfId="74"/>
    <cellStyle name="Calculation 2" xfId="75"/>
    <cellStyle name="Check Cell" xfId="76"/>
    <cellStyle name="Check Cell 2" xfId="77"/>
    <cellStyle name="Comma 2" xfId="78"/>
    <cellStyle name="Comma 2 2" xfId="183"/>
    <cellStyle name="Comma 3" xfId="79"/>
    <cellStyle name="Controlecel 2" xfId="80"/>
    <cellStyle name="Euro" xfId="81"/>
    <cellStyle name="Euro 2" xfId="82"/>
    <cellStyle name="Euro 3" xfId="155"/>
    <cellStyle name="Explanatory Text" xfId="83"/>
    <cellStyle name="Explanatory Text 2" xfId="84"/>
    <cellStyle name="Gekoppelde cel 2" xfId="85"/>
    <cellStyle name="Goed 2" xfId="86"/>
    <cellStyle name="Good" xfId="87"/>
    <cellStyle name="Good 2" xfId="88"/>
    <cellStyle name="Header"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Invoer 2" xfId="100"/>
    <cellStyle name="Komma" xfId="19" builtinId="3"/>
    <cellStyle name="Komma 10 2" xfId="152"/>
    <cellStyle name="Komma 14 2" xfId="101"/>
    <cellStyle name="Komma 2" xfId="7"/>
    <cellStyle name="Komma 2 2" xfId="13"/>
    <cellStyle name="Komma 2 3" xfId="102"/>
    <cellStyle name="Komma 3" xfId="103"/>
    <cellStyle name="Komma 3 2" xfId="104"/>
    <cellStyle name="Komma 4" xfId="105"/>
    <cellStyle name="Komma 4 2" xfId="149"/>
    <cellStyle name="Komma 5" xfId="106"/>
    <cellStyle name="Kop 1 2" xfId="107"/>
    <cellStyle name="Kop 2 2" xfId="108"/>
    <cellStyle name="Kop 3 2" xfId="109"/>
    <cellStyle name="Kop 4 2" xfId="110"/>
    <cellStyle name="Linked Cell" xfId="111"/>
    <cellStyle name="Linked Cell 2" xfId="112"/>
    <cellStyle name="Neutraal 2" xfId="113"/>
    <cellStyle name="Neutral" xfId="114"/>
    <cellStyle name="Neutral 2" xfId="115"/>
    <cellStyle name="Normal 2" xfId="116"/>
    <cellStyle name="Normal 3" xfId="117"/>
    <cellStyle name="Normal_# klanten" xfId="118"/>
    <cellStyle name="Note" xfId="119"/>
    <cellStyle name="Note 2" xfId="120"/>
    <cellStyle name="Notitie 2" xfId="121"/>
    <cellStyle name="Notitie 2 2" xfId="180"/>
    <cellStyle name="Ongeldig 2" xfId="122"/>
    <cellStyle name="Output" xfId="123"/>
    <cellStyle name="Output 2" xfId="124"/>
    <cellStyle name="Procent" xfId="182" builtinId="5"/>
    <cellStyle name="Procent 2" xfId="8"/>
    <cellStyle name="Procent 2 2" xfId="14"/>
    <cellStyle name="Procent 3" xfId="125"/>
    <cellStyle name="Procent 3 2" xfId="150"/>
    <cellStyle name="Procent 4" xfId="126"/>
    <cellStyle name="Standaard" xfId="0" builtinId="0"/>
    <cellStyle name="Standaard 2" xfId="127"/>
    <cellStyle name="Standaard 2 2" xfId="10"/>
    <cellStyle name="Standaard 2 3" xfId="128"/>
    <cellStyle name="Standaard 3" xfId="129"/>
    <cellStyle name="Standaard 3 2" xfId="181"/>
    <cellStyle name="Standaard 3 3" xfId="157"/>
    <cellStyle name="Standaard 4" xfId="130"/>
    <cellStyle name="Standaard 4 2" xfId="184"/>
    <cellStyle name="Standaard 5" xfId="131"/>
    <cellStyle name="Standaard 6" xfId="132"/>
    <cellStyle name="Standaard 7" xfId="151"/>
    <cellStyle name="Standaard 8" xfId="185"/>
    <cellStyle name="Standaard_20100727 Rekenmodel NE5R v1.9" xfId="6"/>
    <cellStyle name="Standaard_20110803 Nacalculatieregister gas (WhK)" xfId="9"/>
    <cellStyle name="Standaard_20110825 TI berekening 2012 E - PwA" xfId="2"/>
    <cellStyle name="Standaard_20110830 TI berekening 2012 E - v3 PwA" xfId="18"/>
    <cellStyle name="Standaard_20120514 - Analyse Inkoopkosten Transport v9" xfId="133"/>
    <cellStyle name="Standaard_20120514 - Analyse Inkoopkosten Transport v9 2 2" xfId="11"/>
    <cellStyle name="Standaard_20120516 - TI-berekening 2013 Elektriciteit (concept) opm HK" xfId="1"/>
    <cellStyle name="Standaard_20120727 - TI-berekening 2013 Elektriciteit (concept)" xfId="17"/>
    <cellStyle name="Standaard_Rekenmodel inkoopkosten transport NE4R v2 2 2" xfId="134"/>
    <cellStyle name="Standaard_Tarievenmand 2002" xfId="186"/>
    <cellStyle name="Titel 2" xfId="135"/>
    <cellStyle name="Title" xfId="136"/>
    <cellStyle name="Title 2" xfId="137"/>
    <cellStyle name="Totaal 2" xfId="138"/>
    <cellStyle name="Total" xfId="139"/>
    <cellStyle name="Total 2" xfId="140"/>
    <cellStyle name="Uitvoer 2" xfId="141"/>
    <cellStyle name="Valuta 2" xfId="142"/>
    <cellStyle name="Valuta 2 2" xfId="12"/>
    <cellStyle name="Verklarende tekst 2" xfId="143"/>
    <cellStyle name="Waarschuwingstekst 2" xfId="144"/>
    <cellStyle name="Warning Text" xfId="145"/>
    <cellStyle name="Warning Text 2" xfId="146"/>
    <cellStyle name="WIt" xfId="147"/>
  </cellStyles>
  <dxfs count="0"/>
  <tableStyles count="0" defaultTableStyle="TableStyleMedium2" defaultPivotStyle="PivotStyleLight16"/>
  <colors>
    <mruColors>
      <color rgb="FFFFFF99"/>
      <color rgb="FFFFFFCC"/>
      <color rgb="FFCCFFCC"/>
      <color rgb="FFFFCCFF"/>
      <color rgb="FF99FF99"/>
      <color rgb="FFFFCC99"/>
      <color rgb="FFFF66FF"/>
      <color rgb="FFFFCC66"/>
      <color rgb="FFFF99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857250</xdr:colOff>
      <xdr:row>43</xdr:row>
      <xdr:rowOff>28575</xdr:rowOff>
    </xdr:from>
    <xdr:to>
      <xdr:col>1</xdr:col>
      <xdr:colOff>933450</xdr:colOff>
      <xdr:row>46</xdr:row>
      <xdr:rowOff>142875</xdr:rowOff>
    </xdr:to>
    <xdr:sp macro="" textlink="">
      <xdr:nvSpPr>
        <xdr:cNvPr id="4" name="AutoShape 4"/>
        <xdr:cNvSpPr>
          <a:spLocks/>
        </xdr:cNvSpPr>
      </xdr:nvSpPr>
      <xdr:spPr bwMode="auto">
        <a:xfrm>
          <a:off x="1133475" y="68961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47</xdr:row>
      <xdr:rowOff>28575</xdr:rowOff>
    </xdr:from>
    <xdr:to>
      <xdr:col>1</xdr:col>
      <xdr:colOff>933450</xdr:colOff>
      <xdr:row>50</xdr:row>
      <xdr:rowOff>142875</xdr:rowOff>
    </xdr:to>
    <xdr:sp macro="" textlink="">
      <xdr:nvSpPr>
        <xdr:cNvPr id="5" name="AutoShape 5"/>
        <xdr:cNvSpPr>
          <a:spLocks/>
        </xdr:cNvSpPr>
      </xdr:nvSpPr>
      <xdr:spPr bwMode="auto">
        <a:xfrm>
          <a:off x="1133475" y="75438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51</xdr:row>
      <xdr:rowOff>28575</xdr:rowOff>
    </xdr:from>
    <xdr:to>
      <xdr:col>1</xdr:col>
      <xdr:colOff>933450</xdr:colOff>
      <xdr:row>54</xdr:row>
      <xdr:rowOff>142875</xdr:rowOff>
    </xdr:to>
    <xdr:sp macro="" textlink="">
      <xdr:nvSpPr>
        <xdr:cNvPr id="6" name="AutoShape 6"/>
        <xdr:cNvSpPr>
          <a:spLocks/>
        </xdr:cNvSpPr>
      </xdr:nvSpPr>
      <xdr:spPr bwMode="auto">
        <a:xfrm>
          <a:off x="1133475" y="81915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55</xdr:row>
      <xdr:rowOff>28575</xdr:rowOff>
    </xdr:from>
    <xdr:to>
      <xdr:col>1</xdr:col>
      <xdr:colOff>933450</xdr:colOff>
      <xdr:row>58</xdr:row>
      <xdr:rowOff>142875</xdr:rowOff>
    </xdr:to>
    <xdr:sp macro="" textlink="">
      <xdr:nvSpPr>
        <xdr:cNvPr id="7" name="AutoShape 7"/>
        <xdr:cNvSpPr>
          <a:spLocks/>
        </xdr:cNvSpPr>
      </xdr:nvSpPr>
      <xdr:spPr bwMode="auto">
        <a:xfrm>
          <a:off x="1133475" y="88392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59</xdr:row>
      <xdr:rowOff>28575</xdr:rowOff>
    </xdr:from>
    <xdr:to>
      <xdr:col>1</xdr:col>
      <xdr:colOff>933450</xdr:colOff>
      <xdr:row>62</xdr:row>
      <xdr:rowOff>142875</xdr:rowOff>
    </xdr:to>
    <xdr:sp macro="" textlink="">
      <xdr:nvSpPr>
        <xdr:cNvPr id="8" name="AutoShape 8"/>
        <xdr:cNvSpPr>
          <a:spLocks/>
        </xdr:cNvSpPr>
      </xdr:nvSpPr>
      <xdr:spPr bwMode="auto">
        <a:xfrm>
          <a:off x="1133475" y="94869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17369</xdr:rowOff>
    </xdr:from>
    <xdr:to>
      <xdr:col>1</xdr:col>
      <xdr:colOff>933450</xdr:colOff>
      <xdr:row>70</xdr:row>
      <xdr:rowOff>131669</xdr:rowOff>
    </xdr:to>
    <xdr:sp macro="" textlink="">
      <xdr:nvSpPr>
        <xdr:cNvPr id="12" name="AutoShape 9"/>
        <xdr:cNvSpPr>
          <a:spLocks/>
        </xdr:cNvSpPr>
      </xdr:nvSpPr>
      <xdr:spPr bwMode="auto">
        <a:xfrm>
          <a:off x="1137397" y="10595722"/>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71</xdr:row>
      <xdr:rowOff>28575</xdr:rowOff>
    </xdr:from>
    <xdr:to>
      <xdr:col>1</xdr:col>
      <xdr:colOff>933450</xdr:colOff>
      <xdr:row>74</xdr:row>
      <xdr:rowOff>142875</xdr:rowOff>
    </xdr:to>
    <xdr:sp macro="" textlink="">
      <xdr:nvSpPr>
        <xdr:cNvPr id="13" name="AutoShape 9"/>
        <xdr:cNvSpPr>
          <a:spLocks/>
        </xdr:cNvSpPr>
      </xdr:nvSpPr>
      <xdr:spPr bwMode="auto">
        <a:xfrm>
          <a:off x="1133475" y="114300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75</xdr:row>
      <xdr:rowOff>28575</xdr:rowOff>
    </xdr:from>
    <xdr:to>
      <xdr:col>1</xdr:col>
      <xdr:colOff>933450</xdr:colOff>
      <xdr:row>78</xdr:row>
      <xdr:rowOff>142875</xdr:rowOff>
    </xdr:to>
    <xdr:sp macro="" textlink="">
      <xdr:nvSpPr>
        <xdr:cNvPr id="14" name="AutoShape 9"/>
        <xdr:cNvSpPr>
          <a:spLocks/>
        </xdr:cNvSpPr>
      </xdr:nvSpPr>
      <xdr:spPr bwMode="auto">
        <a:xfrm>
          <a:off x="1133475" y="120777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840441</xdr:colOff>
      <xdr:row>79</xdr:row>
      <xdr:rowOff>22412</xdr:rowOff>
    </xdr:from>
    <xdr:to>
      <xdr:col>1</xdr:col>
      <xdr:colOff>916641</xdr:colOff>
      <xdr:row>82</xdr:row>
      <xdr:rowOff>136712</xdr:rowOff>
    </xdr:to>
    <xdr:sp macro="" textlink="">
      <xdr:nvSpPr>
        <xdr:cNvPr id="15" name="AutoShape 9"/>
        <xdr:cNvSpPr>
          <a:spLocks/>
        </xdr:cNvSpPr>
      </xdr:nvSpPr>
      <xdr:spPr bwMode="auto">
        <a:xfrm>
          <a:off x="1120588" y="1248335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863974</xdr:colOff>
      <xdr:row>63</xdr:row>
      <xdr:rowOff>24092</xdr:rowOff>
    </xdr:from>
    <xdr:to>
      <xdr:col>1</xdr:col>
      <xdr:colOff>940174</xdr:colOff>
      <xdr:row>66</xdr:row>
      <xdr:rowOff>138392</xdr:rowOff>
    </xdr:to>
    <xdr:sp macro="" textlink="">
      <xdr:nvSpPr>
        <xdr:cNvPr id="16" name="AutoShape 9"/>
        <xdr:cNvSpPr>
          <a:spLocks/>
        </xdr:cNvSpPr>
      </xdr:nvSpPr>
      <xdr:spPr bwMode="auto">
        <a:xfrm>
          <a:off x="1144121" y="9974916"/>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763103/Local%20Settings/Temporary%20Internet%20Files/OLK21C/NE-PRD(i)-10-01%20CONCEPT%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20DN/103407%20103408%20PRD%20NG%20NE%202009/3.%20Opzet%20informatieverzoek/Gas/NG-PRD(i)-10-01%20-%20CONCEPT%2015JANUARI%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TE/ALGEMEEN/Tarieven/Tarieven%202002%20netbeheerders/AuditMod%20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8%20Netten/02%20Persoon/Groot/_Backup/Database/Basismodel%20CB%20NE/CB%20met%20activawaarde%20dte/Kopie%20van%20030205%20X_CB%20NE%20DEA%20Model%20CB%20met%20activawaarde%20d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ow r="3">
          <cell r="E3">
            <v>0.05</v>
          </cell>
        </row>
        <row r="4">
          <cell r="E4">
            <v>6.6000000000000003E-2</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7"/>
  <sheetViews>
    <sheetView showGridLines="0" tabSelected="1" zoomScale="85" zoomScaleNormal="85" workbookViewId="0"/>
  </sheetViews>
  <sheetFormatPr defaultRowHeight="12.75"/>
  <cols>
    <col min="1" max="1" width="3" style="25" customWidth="1"/>
    <col min="2" max="2" width="110.7109375" style="25" customWidth="1"/>
    <col min="3" max="16384" width="9.140625" style="25"/>
  </cols>
  <sheetData>
    <row r="2" spans="2:18" s="33" customFormat="1" ht="18">
      <c r="B2" s="34" t="s">
        <v>16</v>
      </c>
      <c r="C2" s="35"/>
      <c r="F2" s="36"/>
      <c r="G2" s="36"/>
      <c r="H2" s="36"/>
      <c r="I2" s="36"/>
      <c r="J2" s="36"/>
      <c r="K2" s="36"/>
      <c r="L2" s="36"/>
      <c r="M2" s="36"/>
      <c r="N2" s="36"/>
      <c r="O2" s="36"/>
      <c r="P2" s="36"/>
      <c r="Q2" s="36"/>
      <c r="R2" s="36"/>
    </row>
    <row r="3" spans="2:18" s="27" customFormat="1"/>
    <row r="4" spans="2:18" s="27" customFormat="1"/>
    <row r="5" spans="2:18" s="16" customFormat="1">
      <c r="B5" s="30" t="s">
        <v>17</v>
      </c>
    </row>
    <row r="6" spans="2:18" s="27" customFormat="1">
      <c r="G6" s="28"/>
      <c r="H6" s="28"/>
      <c r="I6" s="28"/>
      <c r="J6" s="28"/>
      <c r="K6" s="28"/>
      <c r="L6" s="28"/>
      <c r="M6" s="28"/>
      <c r="N6" s="28"/>
      <c r="O6" s="28"/>
      <c r="P6" s="28"/>
      <c r="Q6" s="28"/>
      <c r="R6" s="28"/>
    </row>
    <row r="7" spans="2:18" s="31" customFormat="1">
      <c r="B7" s="21" t="s">
        <v>122</v>
      </c>
      <c r="G7" s="32"/>
      <c r="H7" s="32"/>
      <c r="I7" s="32"/>
      <c r="J7" s="32"/>
      <c r="K7" s="32"/>
      <c r="L7" s="32"/>
      <c r="M7" s="32"/>
      <c r="N7" s="32"/>
      <c r="O7" s="32"/>
      <c r="P7" s="32"/>
      <c r="Q7" s="32"/>
      <c r="R7" s="32"/>
    </row>
    <row r="8" spans="2:18" s="31" customFormat="1">
      <c r="B8" s="223" t="s">
        <v>259</v>
      </c>
      <c r="G8" s="32"/>
      <c r="H8" s="32"/>
      <c r="I8" s="32"/>
      <c r="J8" s="32"/>
      <c r="K8" s="32"/>
      <c r="L8" s="32"/>
      <c r="M8" s="32"/>
      <c r="N8" s="32"/>
      <c r="O8" s="32"/>
      <c r="P8" s="32"/>
      <c r="Q8" s="32"/>
      <c r="R8" s="32"/>
    </row>
    <row r="9" spans="2:18" s="31" customFormat="1">
      <c r="B9" s="241" t="s">
        <v>260</v>
      </c>
      <c r="G9" s="32"/>
      <c r="H9" s="32"/>
      <c r="I9" s="32"/>
      <c r="J9" s="32"/>
      <c r="K9" s="32"/>
      <c r="L9" s="32"/>
      <c r="M9" s="32"/>
      <c r="N9" s="32"/>
      <c r="O9" s="32"/>
      <c r="P9" s="32"/>
      <c r="Q9" s="32"/>
      <c r="R9" s="32"/>
    </row>
    <row r="10" spans="2:18" s="27" customFormat="1">
      <c r="C10" s="31"/>
      <c r="G10" s="28"/>
      <c r="H10" s="28"/>
      <c r="I10" s="28"/>
      <c r="J10" s="28"/>
      <c r="K10" s="28"/>
      <c r="L10" s="28"/>
      <c r="M10" s="28"/>
      <c r="N10" s="28"/>
      <c r="O10" s="28"/>
      <c r="P10" s="28"/>
      <c r="Q10" s="28"/>
      <c r="R10" s="28"/>
    </row>
    <row r="11" spans="2:18" s="27" customFormat="1">
      <c r="B11" s="242"/>
      <c r="C11" s="31"/>
      <c r="G11" s="28"/>
      <c r="H11" s="28"/>
      <c r="I11" s="28"/>
      <c r="J11" s="28"/>
      <c r="K11" s="28"/>
      <c r="L11" s="28"/>
      <c r="M11" s="28"/>
      <c r="N11" s="28"/>
      <c r="O11" s="28"/>
      <c r="P11" s="28"/>
      <c r="Q11" s="28"/>
      <c r="R11" s="28"/>
    </row>
    <row r="12" spans="2:18" s="27" customFormat="1">
      <c r="B12" s="242"/>
      <c r="C12" s="31"/>
      <c r="G12" s="28"/>
      <c r="H12" s="28"/>
      <c r="I12" s="28"/>
      <c r="J12" s="28"/>
      <c r="K12" s="28"/>
      <c r="L12" s="28"/>
      <c r="M12" s="28"/>
      <c r="N12" s="28"/>
      <c r="O12" s="28"/>
      <c r="P12" s="28"/>
      <c r="Q12" s="28"/>
      <c r="R12" s="28"/>
    </row>
    <row r="13" spans="2:18" s="27" customFormat="1">
      <c r="B13" s="242"/>
      <c r="C13" s="225"/>
      <c r="G13" s="28"/>
      <c r="H13" s="28"/>
      <c r="I13" s="28"/>
      <c r="J13" s="28"/>
      <c r="K13" s="28"/>
      <c r="L13" s="28"/>
      <c r="M13" s="28"/>
      <c r="N13" s="28"/>
      <c r="O13" s="28"/>
      <c r="P13" s="28"/>
      <c r="Q13" s="28"/>
      <c r="R13" s="28"/>
    </row>
    <row r="14" spans="2:18" s="27" customFormat="1">
      <c r="C14" s="31"/>
      <c r="G14" s="28"/>
      <c r="H14" s="28"/>
      <c r="I14" s="28"/>
      <c r="J14" s="28"/>
      <c r="K14" s="28"/>
      <c r="L14" s="28"/>
      <c r="M14" s="28"/>
      <c r="N14" s="28"/>
      <c r="O14" s="28"/>
      <c r="P14" s="28"/>
      <c r="Q14" s="28"/>
      <c r="R14" s="28"/>
    </row>
    <row r="15" spans="2:18" s="16" customFormat="1">
      <c r="B15" s="30" t="s">
        <v>18</v>
      </c>
    </row>
    <row r="16" spans="2:18" s="29" customFormat="1"/>
    <row r="17" spans="2:2" s="29" customFormat="1">
      <c r="B17" s="1" t="s">
        <v>19</v>
      </c>
    </row>
    <row r="18" spans="2:2" s="29" customFormat="1">
      <c r="B18" s="22"/>
    </row>
    <row r="19" spans="2:2" s="29" customFormat="1">
      <c r="B19" s="26" t="s">
        <v>20</v>
      </c>
    </row>
    <row r="20" spans="2:2" s="29" customFormat="1">
      <c r="B20" s="22"/>
    </row>
    <row r="21" spans="2:2" s="29" customFormat="1">
      <c r="B21" s="2" t="s">
        <v>21</v>
      </c>
    </row>
    <row r="22" spans="2:2" s="29" customFormat="1">
      <c r="B22" s="23"/>
    </row>
    <row r="23" spans="2:2" s="29" customFormat="1">
      <c r="B23" s="3" t="s">
        <v>22</v>
      </c>
    </row>
    <row r="24" spans="2:2" s="29" customFormat="1"/>
    <row r="25" spans="2:2" s="29" customFormat="1">
      <c r="B25" s="4" t="s">
        <v>23</v>
      </c>
    </row>
    <row r="26" spans="2:2" s="24" customFormat="1"/>
    <row r="27" spans="2:2" s="24"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B2:Q140"/>
  <sheetViews>
    <sheetView showGridLines="0" zoomScale="80" zoomScaleNormal="80" workbookViewId="0">
      <pane xSplit="5" topLeftCell="F1" activePane="topRight" state="frozen"/>
      <selection pane="topRight" activeCell="F1" sqref="F1"/>
    </sheetView>
  </sheetViews>
  <sheetFormatPr defaultRowHeight="15"/>
  <cols>
    <col min="1" max="1" width="4.85546875" style="98" customWidth="1"/>
    <col min="2" max="2" width="67.7109375" style="98" customWidth="1"/>
    <col min="3" max="3" width="4.5703125" style="98" customWidth="1"/>
    <col min="4" max="4" width="21.140625" style="98" customWidth="1"/>
    <col min="5" max="5" width="16.140625" style="98" customWidth="1"/>
    <col min="6" max="6" width="2.7109375" style="98" customWidth="1"/>
    <col min="7" max="15" width="17.140625" style="98" customWidth="1"/>
    <col min="16" max="16" width="6.42578125" style="98" customWidth="1"/>
    <col min="17" max="16384" width="9.140625" style="98"/>
  </cols>
  <sheetData>
    <row r="2" spans="2:15" s="48" customFormat="1" ht="15.75">
      <c r="B2" s="7" t="s">
        <v>196</v>
      </c>
      <c r="C2" s="123"/>
      <c r="D2" s="123"/>
      <c r="E2" s="123"/>
      <c r="G2" s="11" t="s">
        <v>0</v>
      </c>
      <c r="H2" s="183" t="s">
        <v>1</v>
      </c>
      <c r="I2" s="11" t="s">
        <v>2</v>
      </c>
      <c r="J2" s="11" t="s">
        <v>3</v>
      </c>
      <c r="K2" s="11" t="s">
        <v>4</v>
      </c>
      <c r="L2" s="11" t="s">
        <v>5</v>
      </c>
      <c r="M2" s="11" t="s">
        <v>6</v>
      </c>
      <c r="N2" s="11" t="s">
        <v>7</v>
      </c>
      <c r="O2" s="11" t="s">
        <v>8</v>
      </c>
    </row>
    <row r="4" spans="2:15" s="16" customFormat="1" ht="12.75">
      <c r="B4" s="30" t="s">
        <v>16</v>
      </c>
    </row>
    <row r="5" spans="2:15" s="31" customFormat="1" ht="12.75"/>
    <row r="6" spans="2:15" s="31" customFormat="1" ht="56.25" customHeight="1">
      <c r="B6" s="284" t="s">
        <v>118</v>
      </c>
      <c r="C6" s="284"/>
      <c r="D6" s="284"/>
      <c r="E6" s="284"/>
      <c r="F6" s="284"/>
      <c r="G6" s="284"/>
    </row>
    <row r="7" spans="2:15" s="31" customFormat="1" ht="12.75">
      <c r="B7" s="136"/>
      <c r="C7" s="135"/>
      <c r="D7" s="135"/>
      <c r="E7" s="135"/>
      <c r="F7" s="135"/>
      <c r="G7" s="135"/>
    </row>
    <row r="8" spans="2:15" s="31" customFormat="1" ht="12.75">
      <c r="B8" s="283" t="s">
        <v>117</v>
      </c>
      <c r="C8" s="283"/>
      <c r="D8" s="283"/>
      <c r="E8" s="283"/>
      <c r="F8" s="283"/>
      <c r="G8" s="283"/>
    </row>
    <row r="9" spans="2:15" s="31" customFormat="1" ht="12.75">
      <c r="B9" s="136"/>
      <c r="C9" s="135"/>
      <c r="D9" s="135"/>
      <c r="E9" s="135"/>
      <c r="F9" s="135"/>
      <c r="G9" s="135"/>
    </row>
    <row r="10" spans="2:15" s="31" customFormat="1" ht="69" customHeight="1">
      <c r="B10" s="284" t="s">
        <v>119</v>
      </c>
      <c r="C10" s="284"/>
      <c r="D10" s="284"/>
      <c r="E10" s="284"/>
      <c r="F10" s="284"/>
      <c r="G10" s="284"/>
    </row>
    <row r="11" spans="2:15" s="31" customFormat="1" ht="12.75">
      <c r="B11" s="116"/>
      <c r="C11" s="117"/>
    </row>
    <row r="12" spans="2:15" s="16" customFormat="1" ht="12.75">
      <c r="B12" s="30" t="s">
        <v>101</v>
      </c>
    </row>
    <row r="13" spans="2:15" s="31" customFormat="1" ht="12.75">
      <c r="B13" s="118"/>
      <c r="C13" s="119"/>
    </row>
    <row r="14" spans="2:15" s="31" customFormat="1" ht="12.75">
      <c r="B14" s="120" t="s">
        <v>102</v>
      </c>
    </row>
    <row r="15" spans="2:15" s="31" customFormat="1" ht="12.75">
      <c r="B15" s="120"/>
    </row>
    <row r="16" spans="2:15" s="31" customFormat="1" ht="12.75">
      <c r="B16" s="120" t="s">
        <v>103</v>
      </c>
    </row>
    <row r="17" spans="2:17" s="31" customFormat="1" ht="12.75">
      <c r="B17" s="120"/>
    </row>
    <row r="18" spans="2:17" s="31" customFormat="1" ht="12.75">
      <c r="B18" s="124" t="s">
        <v>33</v>
      </c>
      <c r="D18" s="121"/>
      <c r="E18" s="121"/>
    </row>
    <row r="19" spans="2:17" s="31" customFormat="1" ht="12.75">
      <c r="B19" s="15" t="s">
        <v>34</v>
      </c>
      <c r="D19" s="31" t="s">
        <v>74</v>
      </c>
      <c r="G19" s="107">
        <v>97</v>
      </c>
      <c r="H19" s="107">
        <v>237</v>
      </c>
      <c r="I19" s="107">
        <v>639</v>
      </c>
      <c r="J19" s="131">
        <v>2943</v>
      </c>
      <c r="K19" s="107">
        <v>3129</v>
      </c>
      <c r="L19" s="107">
        <v>113</v>
      </c>
      <c r="M19" s="107">
        <v>4044.2759629947118</v>
      </c>
      <c r="N19" s="107">
        <v>84</v>
      </c>
      <c r="O19" s="107">
        <v>0</v>
      </c>
      <c r="Q19" s="31" t="s">
        <v>107</v>
      </c>
    </row>
    <row r="20" spans="2:17" s="31" customFormat="1" ht="12.75">
      <c r="B20" s="15" t="s">
        <v>35</v>
      </c>
      <c r="D20" s="31" t="s">
        <v>74</v>
      </c>
      <c r="G20" s="107">
        <v>226</v>
      </c>
      <c r="H20" s="107">
        <v>45</v>
      </c>
      <c r="I20" s="107">
        <v>472</v>
      </c>
      <c r="J20" s="107">
        <v>2032</v>
      </c>
      <c r="K20" s="107">
        <v>16</v>
      </c>
      <c r="L20" s="107">
        <v>197</v>
      </c>
      <c r="M20" s="107">
        <v>-1758.3377347694027</v>
      </c>
      <c r="N20" s="107">
        <v>-8</v>
      </c>
      <c r="O20" s="107">
        <v>0</v>
      </c>
    </row>
    <row r="21" spans="2:17" s="31" customFormat="1" ht="12.75">
      <c r="B21" s="15" t="s">
        <v>36</v>
      </c>
      <c r="D21" s="31" t="s">
        <v>74</v>
      </c>
      <c r="G21" s="107">
        <v>-323</v>
      </c>
      <c r="H21" s="107">
        <v>-282</v>
      </c>
      <c r="I21" s="107">
        <v>-1111</v>
      </c>
      <c r="J21" s="107">
        <v>-4975</v>
      </c>
      <c r="K21" s="107">
        <v>-3145</v>
      </c>
      <c r="L21" s="107">
        <v>-310</v>
      </c>
      <c r="M21" s="107">
        <v>-2285.9382282253091</v>
      </c>
      <c r="N21" s="107">
        <v>-76</v>
      </c>
      <c r="O21" s="107">
        <v>0</v>
      </c>
    </row>
    <row r="22" spans="2:17" s="31" customFormat="1" ht="12.75">
      <c r="B22" s="15" t="s">
        <v>37</v>
      </c>
      <c r="D22" s="31" t="s">
        <v>74</v>
      </c>
      <c r="G22" s="107">
        <v>0</v>
      </c>
      <c r="H22" s="107">
        <v>0</v>
      </c>
      <c r="I22" s="107">
        <v>0</v>
      </c>
      <c r="J22" s="107">
        <v>0</v>
      </c>
      <c r="K22" s="107">
        <v>0</v>
      </c>
      <c r="L22" s="107">
        <v>0</v>
      </c>
      <c r="M22" s="107">
        <v>0</v>
      </c>
      <c r="N22" s="107">
        <v>0</v>
      </c>
      <c r="O22" s="107">
        <v>0</v>
      </c>
    </row>
    <row r="23" spans="2:17" s="31" customFormat="1" ht="12.75">
      <c r="B23" s="15" t="s">
        <v>38</v>
      </c>
      <c r="D23" s="31" t="s">
        <v>74</v>
      </c>
      <c r="G23" s="107">
        <v>0</v>
      </c>
      <c r="H23" s="107">
        <v>0</v>
      </c>
      <c r="I23" s="107">
        <v>0</v>
      </c>
      <c r="J23" s="107">
        <v>0</v>
      </c>
      <c r="K23" s="107">
        <v>0</v>
      </c>
      <c r="L23" s="107">
        <v>0</v>
      </c>
      <c r="M23" s="107">
        <v>0</v>
      </c>
      <c r="N23" s="107">
        <v>0</v>
      </c>
      <c r="O23" s="107">
        <v>0</v>
      </c>
    </row>
    <row r="24" spans="2:17" s="31" customFormat="1" ht="12.75">
      <c r="B24" s="15" t="s">
        <v>39</v>
      </c>
      <c r="D24" s="31" t="s">
        <v>74</v>
      </c>
      <c r="G24" s="107">
        <v>0</v>
      </c>
      <c r="H24" s="107">
        <v>0</v>
      </c>
      <c r="I24" s="107">
        <v>0</v>
      </c>
      <c r="J24" s="107">
        <v>0</v>
      </c>
      <c r="K24" s="107">
        <v>0</v>
      </c>
      <c r="L24" s="107">
        <v>0</v>
      </c>
      <c r="M24" s="107">
        <v>0</v>
      </c>
      <c r="N24" s="107">
        <v>0</v>
      </c>
      <c r="O24" s="107">
        <v>0</v>
      </c>
    </row>
    <row r="25" spans="2:17" s="31" customFormat="1" ht="12.75">
      <c r="B25" s="15"/>
      <c r="G25" s="47"/>
      <c r="H25" s="47"/>
      <c r="I25" s="47"/>
      <c r="J25" s="47"/>
      <c r="K25" s="47"/>
      <c r="L25" s="47"/>
      <c r="M25" s="47"/>
      <c r="N25" s="47"/>
      <c r="O25" s="47"/>
    </row>
    <row r="26" spans="2:17" s="31" customFormat="1" ht="12.75">
      <c r="B26" s="120" t="s">
        <v>105</v>
      </c>
    </row>
    <row r="27" spans="2:17" s="31" customFormat="1" ht="12.75">
      <c r="B27" s="120"/>
    </row>
    <row r="28" spans="2:17" s="31" customFormat="1" ht="12.75">
      <c r="B28" s="124" t="s">
        <v>33</v>
      </c>
      <c r="D28" s="121"/>
      <c r="E28" s="121"/>
    </row>
    <row r="29" spans="2:17" s="31" customFormat="1" ht="12.75">
      <c r="B29" s="15" t="s">
        <v>34</v>
      </c>
      <c r="D29" s="31" t="s">
        <v>74</v>
      </c>
      <c r="G29" s="107">
        <v>80</v>
      </c>
      <c r="H29" s="107">
        <v>243</v>
      </c>
      <c r="I29" s="107">
        <v>855</v>
      </c>
      <c r="J29" s="107">
        <v>2998</v>
      </c>
      <c r="K29" s="107">
        <v>3403</v>
      </c>
      <c r="L29" s="107">
        <v>122</v>
      </c>
      <c r="M29" s="107">
        <v>4061.1029754356678</v>
      </c>
      <c r="N29" s="107">
        <v>97</v>
      </c>
      <c r="O29" s="107">
        <v>0</v>
      </c>
    </row>
    <row r="30" spans="2:17" s="31" customFormat="1" ht="12.75">
      <c r="B30" s="15" t="s">
        <v>35</v>
      </c>
      <c r="D30" s="31" t="s">
        <v>74</v>
      </c>
      <c r="G30" s="107">
        <v>306</v>
      </c>
      <c r="H30" s="107">
        <v>-14</v>
      </c>
      <c r="I30" s="107">
        <v>246</v>
      </c>
      <c r="J30" s="107">
        <v>1689</v>
      </c>
      <c r="K30" s="107">
        <v>370</v>
      </c>
      <c r="L30" s="107">
        <v>195</v>
      </c>
      <c r="M30" s="107">
        <v>-1765.6536477311033</v>
      </c>
      <c r="N30" s="107">
        <v>-16</v>
      </c>
      <c r="O30" s="107">
        <v>0</v>
      </c>
    </row>
    <row r="31" spans="2:17" s="31" customFormat="1" ht="12.75">
      <c r="B31" s="15" t="s">
        <v>36</v>
      </c>
      <c r="D31" s="31" t="s">
        <v>74</v>
      </c>
      <c r="G31" s="107">
        <v>-386</v>
      </c>
      <c r="H31" s="107">
        <v>-229</v>
      </c>
      <c r="I31" s="107">
        <v>-1101</v>
      </c>
      <c r="J31" s="107">
        <v>-4687</v>
      </c>
      <c r="K31" s="107">
        <v>-3773</v>
      </c>
      <c r="L31" s="107">
        <v>-317</v>
      </c>
      <c r="M31" s="107">
        <v>-2295.4493277045644</v>
      </c>
      <c r="N31" s="107">
        <v>-81</v>
      </c>
      <c r="O31" s="107">
        <v>0</v>
      </c>
    </row>
    <row r="32" spans="2:17" s="31" customFormat="1" ht="12.75">
      <c r="B32" s="15" t="s">
        <v>37</v>
      </c>
      <c r="D32" s="31" t="s">
        <v>74</v>
      </c>
      <c r="G32" s="107">
        <v>0</v>
      </c>
      <c r="H32" s="107">
        <v>0</v>
      </c>
      <c r="I32" s="107">
        <v>0</v>
      </c>
      <c r="J32" s="107">
        <v>0</v>
      </c>
      <c r="K32" s="107">
        <v>0</v>
      </c>
      <c r="L32" s="107">
        <v>0</v>
      </c>
      <c r="M32" s="107">
        <v>0</v>
      </c>
      <c r="N32" s="107">
        <v>0</v>
      </c>
      <c r="O32" s="107">
        <v>0</v>
      </c>
    </row>
    <row r="33" spans="2:15" s="31" customFormat="1" ht="12.75">
      <c r="B33" s="15" t="s">
        <v>38</v>
      </c>
      <c r="D33" s="31" t="s">
        <v>74</v>
      </c>
      <c r="G33" s="107">
        <v>0</v>
      </c>
      <c r="H33" s="107">
        <v>0</v>
      </c>
      <c r="I33" s="107">
        <v>0</v>
      </c>
      <c r="J33" s="107">
        <v>0</v>
      </c>
      <c r="K33" s="107">
        <v>0</v>
      </c>
      <c r="L33" s="107">
        <v>0</v>
      </c>
      <c r="M33" s="107">
        <v>0</v>
      </c>
      <c r="N33" s="107">
        <v>0</v>
      </c>
      <c r="O33" s="107">
        <v>0</v>
      </c>
    </row>
    <row r="34" spans="2:15" s="31" customFormat="1" ht="12.75">
      <c r="B34" s="15" t="s">
        <v>39</v>
      </c>
      <c r="D34" s="31" t="s">
        <v>74</v>
      </c>
      <c r="G34" s="107">
        <v>0</v>
      </c>
      <c r="H34" s="107">
        <v>0</v>
      </c>
      <c r="I34" s="107">
        <v>0</v>
      </c>
      <c r="J34" s="107">
        <v>0</v>
      </c>
      <c r="K34" s="107">
        <v>0</v>
      </c>
      <c r="L34" s="107">
        <v>0</v>
      </c>
      <c r="M34" s="107">
        <v>0</v>
      </c>
      <c r="N34" s="107">
        <v>0</v>
      </c>
      <c r="O34" s="107">
        <v>0</v>
      </c>
    </row>
    <row r="35" spans="2:15" s="31" customFormat="1" ht="12.75">
      <c r="B35" s="15"/>
      <c r="G35" s="47"/>
      <c r="H35" s="47"/>
      <c r="I35" s="47"/>
      <c r="J35" s="47"/>
      <c r="K35" s="47"/>
      <c r="L35" s="47"/>
      <c r="M35" s="47"/>
      <c r="N35" s="47"/>
      <c r="O35" s="47"/>
    </row>
    <row r="36" spans="2:15" s="31" customFormat="1" ht="12.75">
      <c r="B36" s="120" t="s">
        <v>104</v>
      </c>
    </row>
    <row r="37" spans="2:15" s="31" customFormat="1" ht="12.75">
      <c r="B37" s="120"/>
    </row>
    <row r="38" spans="2:15" s="31" customFormat="1" ht="12.75">
      <c r="B38" s="124" t="s">
        <v>33</v>
      </c>
      <c r="D38" s="121"/>
      <c r="E38" s="121"/>
    </row>
    <row r="39" spans="2:15" s="31" customFormat="1" ht="12.75">
      <c r="B39" s="15" t="s">
        <v>34</v>
      </c>
      <c r="D39" s="31" t="s">
        <v>74</v>
      </c>
      <c r="G39" s="107">
        <v>112</v>
      </c>
      <c r="H39" s="107">
        <v>313</v>
      </c>
      <c r="I39" s="107">
        <v>809</v>
      </c>
      <c r="J39" s="107">
        <v>3215</v>
      </c>
      <c r="K39" s="107">
        <v>3788</v>
      </c>
      <c r="L39" s="107">
        <v>118</v>
      </c>
      <c r="M39" s="107">
        <v>4078</v>
      </c>
      <c r="N39" s="107">
        <v>101</v>
      </c>
      <c r="O39" s="107">
        <v>0</v>
      </c>
    </row>
    <row r="40" spans="2:15" s="31" customFormat="1" ht="12.75">
      <c r="B40" s="15" t="s">
        <v>35</v>
      </c>
      <c r="D40" s="31" t="s">
        <v>74</v>
      </c>
      <c r="G40" s="107">
        <v>306</v>
      </c>
      <c r="H40" s="107">
        <v>-85</v>
      </c>
      <c r="I40" s="107">
        <v>227</v>
      </c>
      <c r="J40" s="107">
        <v>1078</v>
      </c>
      <c r="K40" s="107">
        <v>78</v>
      </c>
      <c r="L40" s="107">
        <v>179</v>
      </c>
      <c r="M40" s="107">
        <v>-1773</v>
      </c>
      <c r="N40" s="107">
        <v>-30</v>
      </c>
      <c r="O40" s="107">
        <v>0</v>
      </c>
    </row>
    <row r="41" spans="2:15" s="31" customFormat="1" ht="12.75">
      <c r="B41" s="15" t="s">
        <v>36</v>
      </c>
      <c r="D41" s="31" t="s">
        <v>74</v>
      </c>
      <c r="G41" s="107">
        <v>-418</v>
      </c>
      <c r="H41" s="107">
        <v>-228</v>
      </c>
      <c r="I41" s="107">
        <v>-1036</v>
      </c>
      <c r="J41" s="107">
        <v>-4293</v>
      </c>
      <c r="K41" s="107">
        <v>-3866</v>
      </c>
      <c r="L41" s="107">
        <v>-297</v>
      </c>
      <c r="M41" s="107">
        <v>-2305</v>
      </c>
      <c r="N41" s="107">
        <v>-71</v>
      </c>
      <c r="O41" s="107">
        <v>0</v>
      </c>
    </row>
    <row r="42" spans="2:15" s="31" customFormat="1" ht="12.75">
      <c r="B42" s="15" t="s">
        <v>37</v>
      </c>
      <c r="D42" s="31" t="s">
        <v>74</v>
      </c>
      <c r="G42" s="107">
        <v>0</v>
      </c>
      <c r="H42" s="107">
        <v>0</v>
      </c>
      <c r="I42" s="107">
        <v>0</v>
      </c>
      <c r="J42" s="107">
        <v>0</v>
      </c>
      <c r="K42" s="107">
        <v>0</v>
      </c>
      <c r="L42" s="107">
        <v>0</v>
      </c>
      <c r="M42" s="107">
        <v>0</v>
      </c>
      <c r="N42" s="107">
        <v>0</v>
      </c>
      <c r="O42" s="107">
        <v>0</v>
      </c>
    </row>
    <row r="43" spans="2:15" s="31" customFormat="1" ht="12.75">
      <c r="B43" s="15" t="s">
        <v>38</v>
      </c>
      <c r="D43" s="31" t="s">
        <v>74</v>
      </c>
      <c r="G43" s="107">
        <v>0</v>
      </c>
      <c r="H43" s="107">
        <v>0</v>
      </c>
      <c r="I43" s="107">
        <v>0</v>
      </c>
      <c r="J43" s="107">
        <v>0</v>
      </c>
      <c r="K43" s="107">
        <v>0</v>
      </c>
      <c r="L43" s="107">
        <v>0</v>
      </c>
      <c r="M43" s="107">
        <v>0</v>
      </c>
      <c r="N43" s="107">
        <v>0</v>
      </c>
      <c r="O43" s="107">
        <v>0</v>
      </c>
    </row>
    <row r="44" spans="2:15" s="31" customFormat="1" ht="12.75">
      <c r="B44" s="15" t="s">
        <v>39</v>
      </c>
      <c r="D44" s="31" t="s">
        <v>74</v>
      </c>
      <c r="G44" s="107">
        <v>0</v>
      </c>
      <c r="H44" s="107">
        <v>0</v>
      </c>
      <c r="I44" s="107">
        <v>0</v>
      </c>
      <c r="J44" s="107">
        <v>0</v>
      </c>
      <c r="K44" s="107">
        <v>0</v>
      </c>
      <c r="L44" s="107">
        <v>0</v>
      </c>
      <c r="M44" s="107">
        <v>0</v>
      </c>
      <c r="N44" s="107">
        <v>0</v>
      </c>
      <c r="O44" s="107">
        <v>0</v>
      </c>
    </row>
    <row r="45" spans="2:15" s="31" customFormat="1" ht="12.75">
      <c r="B45" s="15"/>
      <c r="G45" s="47"/>
      <c r="H45" s="47"/>
      <c r="I45" s="47"/>
      <c r="J45" s="47"/>
      <c r="K45" s="47"/>
      <c r="L45" s="47"/>
      <c r="M45" s="47"/>
      <c r="N45" s="47"/>
      <c r="O45" s="47"/>
    </row>
    <row r="46" spans="2:15" s="31" customFormat="1" ht="12.75">
      <c r="B46" s="120" t="s">
        <v>112</v>
      </c>
    </row>
    <row r="47" spans="2:15" s="31" customFormat="1" ht="12.75">
      <c r="B47" s="120"/>
    </row>
    <row r="48" spans="2:15" s="31" customFormat="1" ht="12.75">
      <c r="B48" s="124" t="s">
        <v>33</v>
      </c>
      <c r="D48" s="121"/>
      <c r="E48" s="121"/>
    </row>
    <row r="49" spans="2:15" s="31" customFormat="1" ht="12.75">
      <c r="B49" s="15" t="s">
        <v>34</v>
      </c>
      <c r="D49" s="31" t="s">
        <v>74</v>
      </c>
      <c r="G49" s="51">
        <f t="shared" ref="G49:O49" si="0">AVERAGE(G19,G29,G39)</f>
        <v>96.333333333333329</v>
      </c>
      <c r="H49" s="51">
        <f t="shared" si="0"/>
        <v>264.33333333333331</v>
      </c>
      <c r="I49" s="51">
        <f t="shared" si="0"/>
        <v>767.66666666666663</v>
      </c>
      <c r="J49" s="51">
        <f t="shared" si="0"/>
        <v>3052</v>
      </c>
      <c r="K49" s="51">
        <f t="shared" si="0"/>
        <v>3440</v>
      </c>
      <c r="L49" s="51">
        <f t="shared" si="0"/>
        <v>117.66666666666667</v>
      </c>
      <c r="M49" s="51">
        <f t="shared" si="0"/>
        <v>4061.1263128101268</v>
      </c>
      <c r="N49" s="51">
        <f t="shared" si="0"/>
        <v>94</v>
      </c>
      <c r="O49" s="51">
        <f t="shared" si="0"/>
        <v>0</v>
      </c>
    </row>
    <row r="50" spans="2:15" s="31" customFormat="1" ht="12.75">
      <c r="B50" s="15" t="s">
        <v>35</v>
      </c>
      <c r="D50" s="31" t="s">
        <v>74</v>
      </c>
      <c r="G50" s="51">
        <f t="shared" ref="G50:O50" si="1">AVERAGE(G20,G30,G40)</f>
        <v>279.33333333333331</v>
      </c>
      <c r="H50" s="51">
        <f t="shared" si="1"/>
        <v>-18</v>
      </c>
      <c r="I50" s="51">
        <f t="shared" si="1"/>
        <v>315</v>
      </c>
      <c r="J50" s="51">
        <f t="shared" si="1"/>
        <v>1599.6666666666667</v>
      </c>
      <c r="K50" s="51">
        <f t="shared" si="1"/>
        <v>154.66666666666666</v>
      </c>
      <c r="L50" s="51">
        <f t="shared" si="1"/>
        <v>190.33333333333334</v>
      </c>
      <c r="M50" s="51">
        <f t="shared" si="1"/>
        <v>-1765.6637941668353</v>
      </c>
      <c r="N50" s="51">
        <f t="shared" si="1"/>
        <v>-18</v>
      </c>
      <c r="O50" s="51">
        <f t="shared" si="1"/>
        <v>0</v>
      </c>
    </row>
    <row r="51" spans="2:15" s="31" customFormat="1" ht="12.75">
      <c r="B51" s="15" t="s">
        <v>36</v>
      </c>
      <c r="D51" s="31" t="s">
        <v>74</v>
      </c>
      <c r="G51" s="51">
        <f t="shared" ref="G51:O51" si="2">AVERAGE(G21,G31,G41)</f>
        <v>-375.66666666666669</v>
      </c>
      <c r="H51" s="51">
        <f t="shared" si="2"/>
        <v>-246.33333333333334</v>
      </c>
      <c r="I51" s="51">
        <f t="shared" si="2"/>
        <v>-1082.6666666666667</v>
      </c>
      <c r="J51" s="51">
        <f t="shared" si="2"/>
        <v>-4651.666666666667</v>
      </c>
      <c r="K51" s="51">
        <f t="shared" si="2"/>
        <v>-3594.6666666666665</v>
      </c>
      <c r="L51" s="51">
        <f t="shared" si="2"/>
        <v>-308</v>
      </c>
      <c r="M51" s="51">
        <f t="shared" si="2"/>
        <v>-2295.4625186432913</v>
      </c>
      <c r="N51" s="51">
        <f t="shared" si="2"/>
        <v>-76</v>
      </c>
      <c r="O51" s="51">
        <f t="shared" si="2"/>
        <v>0</v>
      </c>
    </row>
    <row r="52" spans="2:15" s="31" customFormat="1" ht="12.75">
      <c r="B52" s="15" t="s">
        <v>37</v>
      </c>
      <c r="D52" s="31" t="s">
        <v>74</v>
      </c>
      <c r="G52" s="51">
        <f t="shared" ref="G52:O52" si="3">AVERAGE(G22,G32,G42)</f>
        <v>0</v>
      </c>
      <c r="H52" s="51">
        <f t="shared" si="3"/>
        <v>0</v>
      </c>
      <c r="I52" s="51">
        <f t="shared" si="3"/>
        <v>0</v>
      </c>
      <c r="J52" s="51">
        <f t="shared" si="3"/>
        <v>0</v>
      </c>
      <c r="K52" s="51">
        <f t="shared" si="3"/>
        <v>0</v>
      </c>
      <c r="L52" s="51">
        <f t="shared" si="3"/>
        <v>0</v>
      </c>
      <c r="M52" s="51">
        <f t="shared" si="3"/>
        <v>0</v>
      </c>
      <c r="N52" s="51">
        <f t="shared" si="3"/>
        <v>0</v>
      </c>
      <c r="O52" s="51">
        <f t="shared" si="3"/>
        <v>0</v>
      </c>
    </row>
    <row r="53" spans="2:15" s="31" customFormat="1" ht="12.75">
      <c r="B53" s="15" t="s">
        <v>38</v>
      </c>
      <c r="D53" s="31" t="s">
        <v>74</v>
      </c>
      <c r="G53" s="51">
        <f t="shared" ref="G53:O53" si="4">AVERAGE(G23,G33,G43)</f>
        <v>0</v>
      </c>
      <c r="H53" s="51">
        <f t="shared" si="4"/>
        <v>0</v>
      </c>
      <c r="I53" s="51">
        <f t="shared" si="4"/>
        <v>0</v>
      </c>
      <c r="J53" s="51">
        <f t="shared" si="4"/>
        <v>0</v>
      </c>
      <c r="K53" s="51">
        <f t="shared" si="4"/>
        <v>0</v>
      </c>
      <c r="L53" s="51">
        <f t="shared" si="4"/>
        <v>0</v>
      </c>
      <c r="M53" s="51">
        <f t="shared" si="4"/>
        <v>0</v>
      </c>
      <c r="N53" s="51">
        <f t="shared" si="4"/>
        <v>0</v>
      </c>
      <c r="O53" s="51">
        <f t="shared" si="4"/>
        <v>0</v>
      </c>
    </row>
    <row r="54" spans="2:15" s="31" customFormat="1" ht="12.75">
      <c r="B54" s="15" t="s">
        <v>39</v>
      </c>
      <c r="D54" s="31" t="s">
        <v>74</v>
      </c>
      <c r="G54" s="51">
        <f t="shared" ref="G54:O54" si="5">AVERAGE(G24,G34,G44)</f>
        <v>0</v>
      </c>
      <c r="H54" s="51">
        <f t="shared" si="5"/>
        <v>0</v>
      </c>
      <c r="I54" s="51">
        <f t="shared" si="5"/>
        <v>0</v>
      </c>
      <c r="J54" s="51">
        <f t="shared" si="5"/>
        <v>0</v>
      </c>
      <c r="K54" s="51">
        <f t="shared" si="5"/>
        <v>0</v>
      </c>
      <c r="L54" s="51">
        <f t="shared" si="5"/>
        <v>0</v>
      </c>
      <c r="M54" s="51">
        <f t="shared" si="5"/>
        <v>0</v>
      </c>
      <c r="N54" s="51">
        <f t="shared" si="5"/>
        <v>0</v>
      </c>
      <c r="O54" s="51">
        <f t="shared" si="5"/>
        <v>0</v>
      </c>
    </row>
    <row r="55" spans="2:15" s="31" customFormat="1" ht="12.75">
      <c r="B55" s="15"/>
      <c r="G55" s="47"/>
      <c r="H55" s="47"/>
      <c r="I55" s="47"/>
      <c r="J55" s="47"/>
      <c r="K55" s="47"/>
      <c r="L55" s="47"/>
      <c r="M55" s="47"/>
      <c r="N55" s="47"/>
      <c r="O55" s="47"/>
    </row>
    <row r="56" spans="2:15" s="31" customFormat="1" ht="12.75"/>
    <row r="57" spans="2:15" s="16" customFormat="1" ht="12.75">
      <c r="B57" s="30" t="s">
        <v>106</v>
      </c>
    </row>
    <row r="58" spans="2:15" s="31" customFormat="1" ht="12.75"/>
    <row r="59" spans="2:15" s="31" customFormat="1" ht="12.75">
      <c r="B59" s="121" t="s">
        <v>185</v>
      </c>
    </row>
    <row r="60" spans="2:15" s="31" customFormat="1" ht="12.75"/>
    <row r="61" spans="2:15" s="31" customFormat="1" ht="12.75">
      <c r="B61" s="124" t="s">
        <v>33</v>
      </c>
      <c r="D61" s="121"/>
      <c r="E61" s="122"/>
    </row>
    <row r="62" spans="2:15" s="31" customFormat="1" ht="12.75">
      <c r="B62" s="15" t="s">
        <v>34</v>
      </c>
      <c r="D62" s="31" t="s">
        <v>75</v>
      </c>
      <c r="E62" s="132"/>
      <c r="G62" s="174">
        <f>'VolVerschuiving Adm. 2016'!G39</f>
        <v>33.839849999999998</v>
      </c>
      <c r="H62" s="174">
        <f>'VolVerschuiving Adm. 2016'!H39</f>
        <v>34.29</v>
      </c>
      <c r="I62" s="174">
        <f>'VolVerschuiving Adm. 2016'!I39</f>
        <v>32.171400000000006</v>
      </c>
      <c r="J62" s="174">
        <f>'VolVerschuiving Adm. 2016'!J39</f>
        <v>34.089750000000002</v>
      </c>
      <c r="K62" s="174">
        <f>'VolVerschuiving Adm. 2016'!K39</f>
        <v>33.9831</v>
      </c>
      <c r="L62" s="174">
        <f>'VolVerschuiving Adm. 2016'!L39</f>
        <v>43.32</v>
      </c>
      <c r="M62" s="174">
        <f>'VolVerschuiving Adm. 2016'!M39</f>
        <v>32.712150000000001</v>
      </c>
      <c r="N62" s="174">
        <f>'VolVerschuiving Adm. 2016'!N39</f>
        <v>27.922499999999999</v>
      </c>
      <c r="O62" s="174">
        <f>'VolVerschuiving Adm. 2016'!O39</f>
        <v>0</v>
      </c>
    </row>
    <row r="63" spans="2:15" s="31" customFormat="1" ht="12.75">
      <c r="B63" s="15" t="s">
        <v>35</v>
      </c>
      <c r="D63" s="177" t="s">
        <v>75</v>
      </c>
      <c r="E63" s="132"/>
      <c r="G63" s="174">
        <f>'VolVerschuiving Adm. 2016'!G40</f>
        <v>67.679699999999997</v>
      </c>
      <c r="H63" s="174">
        <f>'VolVerschuiving Adm. 2016'!H40</f>
        <v>68.58</v>
      </c>
      <c r="I63" s="174">
        <f>'VolVerschuiving Adm. 2016'!I40</f>
        <v>64.342800000000011</v>
      </c>
      <c r="J63" s="174">
        <f>'VolVerschuiving Adm. 2016'!J40</f>
        <v>68.179500000000004</v>
      </c>
      <c r="K63" s="174">
        <f>'VolVerschuiving Adm. 2016'!K40</f>
        <v>67.966200000000001</v>
      </c>
      <c r="L63" s="174">
        <f>'VolVerschuiving Adm. 2016'!L40</f>
        <v>86.64</v>
      </c>
      <c r="M63" s="174">
        <f>'VolVerschuiving Adm. 2016'!M40</f>
        <v>65.424300000000002</v>
      </c>
      <c r="N63" s="174">
        <f>'VolVerschuiving Adm. 2016'!N40</f>
        <v>55.844999999999999</v>
      </c>
      <c r="O63" s="174">
        <f>'VolVerschuiving Adm. 2016'!O40</f>
        <v>0</v>
      </c>
    </row>
    <row r="64" spans="2:15" s="31" customFormat="1" ht="12.75">
      <c r="B64" s="15" t="s">
        <v>36</v>
      </c>
      <c r="D64" s="177" t="s">
        <v>75</v>
      </c>
      <c r="E64" s="132"/>
      <c r="G64" s="174">
        <f>'VolVerschuiving Adm. 2016'!G41</f>
        <v>135.35939999999999</v>
      </c>
      <c r="H64" s="174">
        <f>'VolVerschuiving Adm. 2016'!H41</f>
        <v>137.16</v>
      </c>
      <c r="I64" s="174">
        <f>'VolVerschuiving Adm. 2016'!I41</f>
        <v>128.68560000000002</v>
      </c>
      <c r="J64" s="174">
        <f>'VolVerschuiving Adm. 2016'!J41</f>
        <v>136.35900000000001</v>
      </c>
      <c r="K64" s="174">
        <f>'VolVerschuiving Adm. 2016'!K41</f>
        <v>135.9324</v>
      </c>
      <c r="L64" s="174">
        <f>'VolVerschuiving Adm. 2016'!L41</f>
        <v>173.28</v>
      </c>
      <c r="M64" s="174">
        <f>'VolVerschuiving Adm. 2016'!M41</f>
        <v>130.8486</v>
      </c>
      <c r="N64" s="174">
        <f>'VolVerschuiving Adm. 2016'!N41</f>
        <v>111.69</v>
      </c>
      <c r="O64" s="174">
        <f>'VolVerschuiving Adm. 2016'!O41</f>
        <v>0</v>
      </c>
    </row>
    <row r="65" spans="2:15" s="31" customFormat="1" ht="12.75">
      <c r="B65" s="15" t="s">
        <v>37</v>
      </c>
      <c r="D65" s="177" t="s">
        <v>75</v>
      </c>
      <c r="E65" s="132"/>
      <c r="G65" s="174">
        <f>'VolVerschuiving Adm. 2016'!G42</f>
        <v>225.59899999999999</v>
      </c>
      <c r="H65" s="174">
        <f>'VolVerschuiving Adm. 2016'!H42</f>
        <v>228.6</v>
      </c>
      <c r="I65" s="174">
        <f>'VolVerschuiving Adm. 2016'!I42</f>
        <v>214.476</v>
      </c>
      <c r="J65" s="174">
        <f>'VolVerschuiving Adm. 2016'!J42</f>
        <v>227.26500000000001</v>
      </c>
      <c r="K65" s="174">
        <f>'VolVerschuiving Adm. 2016'!K42</f>
        <v>226.554</v>
      </c>
      <c r="L65" s="174">
        <f>'VolVerschuiving Adm. 2016'!L42</f>
        <v>288.8</v>
      </c>
      <c r="M65" s="174">
        <f>'VolVerschuiving Adm. 2016'!M42</f>
        <v>218.08099999999999</v>
      </c>
      <c r="N65" s="174">
        <f>'VolVerschuiving Adm. 2016'!N42</f>
        <v>186.14999999999998</v>
      </c>
      <c r="O65" s="174">
        <f>'VolVerschuiving Adm. 2016'!O42</f>
        <v>0</v>
      </c>
    </row>
    <row r="66" spans="2:15" s="31" customFormat="1" ht="12.75">
      <c r="B66" s="15" t="s">
        <v>38</v>
      </c>
      <c r="D66" s="177" t="s">
        <v>75</v>
      </c>
      <c r="E66" s="132"/>
      <c r="G66" s="174">
        <f>'VolVerschuiving Adm. 2016'!G43</f>
        <v>360.95839999999998</v>
      </c>
      <c r="H66" s="174">
        <f>'VolVerschuiving Adm. 2016'!H43</f>
        <v>365.76</v>
      </c>
      <c r="I66" s="174">
        <f>'VolVerschuiving Adm. 2016'!I43</f>
        <v>343.16160000000002</v>
      </c>
      <c r="J66" s="174">
        <f>'VolVerschuiving Adm. 2016'!J43</f>
        <v>363.62400000000002</v>
      </c>
      <c r="K66" s="174">
        <f>'VolVerschuiving Adm. 2016'!K43</f>
        <v>362.4864</v>
      </c>
      <c r="L66" s="174">
        <f>'VolVerschuiving Adm. 2016'!L43</f>
        <v>462.08</v>
      </c>
      <c r="M66" s="174">
        <f>'VolVerschuiving Adm. 2016'!M43</f>
        <v>348.92959999999999</v>
      </c>
      <c r="N66" s="174">
        <f>'VolVerschuiving Adm. 2016'!N43</f>
        <v>297.83999999999997</v>
      </c>
      <c r="O66" s="174">
        <f>'VolVerschuiving Adm. 2016'!O43</f>
        <v>0</v>
      </c>
    </row>
    <row r="67" spans="2:15" s="31" customFormat="1" ht="12.75">
      <c r="B67" s="15" t="s">
        <v>39</v>
      </c>
      <c r="D67" s="177" t="s">
        <v>75</v>
      </c>
      <c r="E67" s="132"/>
      <c r="G67" s="174">
        <f>'VolVerschuiving Adm. 2016'!G44</f>
        <v>563.99749999999995</v>
      </c>
      <c r="H67" s="174">
        <f>'VolVerschuiving Adm. 2016'!H44</f>
        <v>571.5</v>
      </c>
      <c r="I67" s="174">
        <f>'VolVerschuiving Adm. 2016'!I44</f>
        <v>536.19000000000005</v>
      </c>
      <c r="J67" s="174">
        <f>'VolVerschuiving Adm. 2016'!J44</f>
        <v>568.16250000000002</v>
      </c>
      <c r="K67" s="174">
        <f>'VolVerschuiving Adm. 2016'!K44</f>
        <v>566.38499999999999</v>
      </c>
      <c r="L67" s="174">
        <f>'VolVerschuiving Adm. 2016'!L44</f>
        <v>722</v>
      </c>
      <c r="M67" s="174">
        <f>'VolVerschuiving Adm. 2016'!M44</f>
        <v>545.20249999999999</v>
      </c>
      <c r="N67" s="174">
        <f>'VolVerschuiving Adm. 2016'!N44</f>
        <v>465.37499999999994</v>
      </c>
      <c r="O67" s="174">
        <f>'VolVerschuiving Adm. 2016'!O44</f>
        <v>0</v>
      </c>
    </row>
    <row r="68" spans="2:15" s="31" customFormat="1" ht="12.75">
      <c r="B68" s="15"/>
      <c r="G68" s="125"/>
      <c r="H68" s="125"/>
      <c r="I68" s="125"/>
      <c r="J68" s="125"/>
      <c r="K68" s="125"/>
      <c r="L68" s="125"/>
      <c r="M68" s="125"/>
      <c r="N68" s="125"/>
      <c r="O68" s="125"/>
    </row>
    <row r="69" spans="2:15" s="31" customFormat="1" ht="12.75">
      <c r="B69" s="121" t="s">
        <v>98</v>
      </c>
      <c r="D69" s="177" t="s">
        <v>75</v>
      </c>
      <c r="G69" s="115">
        <f>SUMPRODUCT(G49:G54,G62:G67)</f>
        <v>-28684.912850000004</v>
      </c>
      <c r="H69" s="115">
        <f t="shared" ref="H69:O69" si="6">SUMPRODUCT(H49:H54,H62:H67)</f>
        <v>-25957.530000000002</v>
      </c>
      <c r="I69" s="115">
        <f>SUMPRODUCT(I49:I54,I62:I67)</f>
        <v>-94358.716200000024</v>
      </c>
      <c r="J69" s="115">
        <f t="shared" si="6"/>
        <v>-421190.22450000013</v>
      </c>
      <c r="K69" s="115">
        <f t="shared" si="6"/>
        <v>-361217.69759999996</v>
      </c>
      <c r="L69" s="115">
        <f t="shared" si="6"/>
        <v>-31782.44</v>
      </c>
      <c r="M69" s="115">
        <f t="shared" si="6"/>
        <v>-283027.20157206606</v>
      </c>
      <c r="N69" s="115">
        <f t="shared" si="6"/>
        <v>-6868.9350000000004</v>
      </c>
      <c r="O69" s="115">
        <f t="shared" si="6"/>
        <v>0</v>
      </c>
    </row>
    <row r="70" spans="2:15" s="31" customFormat="1" ht="12.75"/>
    <row r="71" spans="2:15" s="31" customFormat="1" ht="12.75">
      <c r="B71" s="37" t="s">
        <v>100</v>
      </c>
      <c r="D71" s="177" t="s">
        <v>75</v>
      </c>
      <c r="G71" s="130">
        <f>-1*G69</f>
        <v>28684.912850000004</v>
      </c>
      <c r="H71" s="130">
        <f t="shared" ref="H71:O71" si="7">-1*H69</f>
        <v>25957.530000000002</v>
      </c>
      <c r="I71" s="130">
        <f t="shared" si="7"/>
        <v>94358.716200000024</v>
      </c>
      <c r="J71" s="130">
        <f t="shared" si="7"/>
        <v>421190.22450000013</v>
      </c>
      <c r="K71" s="130">
        <f t="shared" si="7"/>
        <v>361217.69759999996</v>
      </c>
      <c r="L71" s="130">
        <f t="shared" si="7"/>
        <v>31782.44</v>
      </c>
      <c r="M71" s="130">
        <f t="shared" si="7"/>
        <v>283027.20157206606</v>
      </c>
      <c r="N71" s="130">
        <f t="shared" si="7"/>
        <v>6868.9350000000004</v>
      </c>
      <c r="O71" s="130">
        <f t="shared" si="7"/>
        <v>0</v>
      </c>
    </row>
    <row r="72" spans="2:15" s="31" customFormat="1" ht="12.75"/>
    <row r="73" spans="2:15" s="31" customFormat="1" ht="12.75"/>
    <row r="74" spans="2:15" s="31" customFormat="1" ht="12.75"/>
    <row r="75" spans="2:15" s="31" customFormat="1" ht="12.75"/>
    <row r="76" spans="2:15" s="31" customFormat="1" ht="12.75"/>
    <row r="77" spans="2:15" s="31" customFormat="1" ht="12.75"/>
    <row r="78" spans="2:15" s="31" customFormat="1" ht="12.75"/>
    <row r="79" spans="2:15" s="31" customFormat="1" ht="12.75"/>
    <row r="80" spans="2:15" s="31" customFormat="1" ht="12.75"/>
    <row r="81" s="31" customFormat="1" ht="12.75"/>
    <row r="82" s="31" customFormat="1" ht="12.75"/>
    <row r="83" s="31" customFormat="1" ht="12.75"/>
    <row r="84" s="31" customFormat="1" ht="12.75"/>
    <row r="85" s="31" customFormat="1" ht="12.75"/>
    <row r="86" s="31" customFormat="1" ht="12.75"/>
    <row r="87" s="31" customFormat="1" ht="12.75"/>
    <row r="88" s="31" customFormat="1" ht="12.75"/>
    <row r="89" s="31" customFormat="1" ht="12.75"/>
    <row r="90" s="31" customFormat="1" ht="12.75"/>
    <row r="91" s="31" customFormat="1" ht="12.75"/>
    <row r="92" s="31" customFormat="1" ht="12.75"/>
    <row r="93" s="31" customFormat="1" ht="12.75"/>
    <row r="94" s="31" customFormat="1" ht="12.75"/>
    <row r="95" s="31" customFormat="1" ht="12.75"/>
    <row r="96" s="31" customFormat="1" ht="12.75"/>
    <row r="97" s="31" customFormat="1" ht="12.75"/>
    <row r="98" s="31" customFormat="1" ht="12.75"/>
    <row r="99" s="31" customFormat="1" ht="12.75"/>
    <row r="100" s="31" customFormat="1" ht="12.75"/>
    <row r="101" s="31" customFormat="1" ht="12.75"/>
    <row r="102" s="31" customFormat="1" ht="12.75"/>
    <row r="103" s="31" customFormat="1" ht="12.75"/>
    <row r="104" s="31" customFormat="1" ht="12.75"/>
    <row r="105" s="31" customFormat="1" ht="12.75"/>
    <row r="106" s="31" customFormat="1" ht="12.75"/>
    <row r="107" s="31" customFormat="1" ht="12.75"/>
    <row r="108" s="31" customFormat="1" ht="12.75"/>
    <row r="109" s="31" customFormat="1" ht="12.75"/>
    <row r="110" s="31" customFormat="1" ht="12.75"/>
    <row r="111" s="31" customFormat="1" ht="12.75"/>
    <row r="112" s="31" customFormat="1" ht="12.75"/>
    <row r="113" s="31" customFormat="1" ht="12.75"/>
    <row r="114" s="31" customFormat="1" ht="12.75"/>
    <row r="115" s="31" customFormat="1" ht="12.75"/>
    <row r="116" s="31" customFormat="1" ht="12.75"/>
    <row r="117" s="31" customFormat="1" ht="12.75"/>
    <row r="118" s="31" customFormat="1" ht="12.75"/>
    <row r="119" s="31" customFormat="1" ht="12.75"/>
    <row r="120" s="31" customFormat="1" ht="12.75"/>
    <row r="121" s="31" customFormat="1" ht="12.75"/>
    <row r="122" s="31" customFormat="1" ht="12.75"/>
    <row r="123" s="31" customFormat="1" ht="12.75"/>
    <row r="124" s="31" customFormat="1" ht="12.75"/>
    <row r="125" s="31" customFormat="1" ht="12.75"/>
    <row r="126" s="31" customFormat="1" ht="12.75"/>
    <row r="127" s="31" customFormat="1" ht="12.75"/>
    <row r="128" s="31" customFormat="1" ht="12.75"/>
    <row r="129" s="31" customFormat="1" ht="12.75"/>
    <row r="130" s="31" customFormat="1" ht="12.75"/>
    <row r="131" s="31" customFormat="1" ht="12.75"/>
    <row r="132" s="31" customFormat="1" ht="12.75"/>
    <row r="133" s="31" customFormat="1" ht="12.75"/>
    <row r="134" s="31" customFormat="1" ht="12.75"/>
    <row r="135" s="31" customFormat="1" ht="12.75"/>
    <row r="136" s="31" customFormat="1" ht="12.75"/>
    <row r="137" s="31" customFormat="1" ht="12.75"/>
    <row r="138" s="31" customFormat="1" ht="12.75"/>
    <row r="139" s="31" customFormat="1" ht="12.75"/>
    <row r="140" s="31" customFormat="1" ht="12.75"/>
  </sheetData>
  <mergeCells count="3">
    <mergeCell ref="B10:G10"/>
    <mergeCell ref="B8:G8"/>
    <mergeCell ref="B6:G6"/>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O57"/>
  <sheetViews>
    <sheetView showGridLines="0" zoomScale="85" workbookViewId="0"/>
  </sheetViews>
  <sheetFormatPr defaultRowHeight="12.75"/>
  <cols>
    <col min="1" max="1" width="4.85546875" style="227" customWidth="1"/>
    <col min="2" max="2" width="67.140625" style="227" customWidth="1"/>
    <col min="3" max="3" width="51.85546875" style="227" customWidth="1"/>
    <col min="4" max="4" width="12.140625" style="227" customWidth="1"/>
    <col min="5" max="5" width="14.28515625" style="227" customWidth="1"/>
    <col min="6" max="6" width="12.140625" style="227" customWidth="1"/>
    <col min="7" max="10" width="9.140625" style="227"/>
    <col min="11" max="11" width="10.5703125" style="227" bestFit="1" customWidth="1"/>
    <col min="12" max="247" width="9.140625" style="227"/>
    <col min="248" max="248" width="4.85546875" style="227" customWidth="1"/>
    <col min="249" max="249" width="57.5703125" style="227" customWidth="1"/>
    <col min="250" max="250" width="4.42578125" style="227" customWidth="1"/>
    <col min="251" max="251" width="18.28515625" style="227" customWidth="1"/>
    <col min="252" max="252" width="5.85546875" style="227" customWidth="1"/>
    <col min="253" max="253" width="4.140625" style="227" customWidth="1"/>
    <col min="254" max="261" width="15.42578125" style="227" customWidth="1"/>
    <col min="262" max="262" width="5.28515625" style="227" customWidth="1"/>
    <col min="263" max="503" width="9.140625" style="227"/>
    <col min="504" max="504" width="4.85546875" style="227" customWidth="1"/>
    <col min="505" max="505" width="57.5703125" style="227" customWidth="1"/>
    <col min="506" max="506" width="4.42578125" style="227" customWidth="1"/>
    <col min="507" max="507" width="18.28515625" style="227" customWidth="1"/>
    <col min="508" max="508" width="5.85546875" style="227" customWidth="1"/>
    <col min="509" max="509" width="4.140625" style="227" customWidth="1"/>
    <col min="510" max="517" width="15.42578125" style="227" customWidth="1"/>
    <col min="518" max="518" width="5.28515625" style="227" customWidth="1"/>
    <col min="519" max="759" width="9.140625" style="227"/>
    <col min="760" max="760" width="4.85546875" style="227" customWidth="1"/>
    <col min="761" max="761" width="57.5703125" style="227" customWidth="1"/>
    <col min="762" max="762" width="4.42578125" style="227" customWidth="1"/>
    <col min="763" max="763" width="18.28515625" style="227" customWidth="1"/>
    <col min="764" max="764" width="5.85546875" style="227" customWidth="1"/>
    <col min="765" max="765" width="4.140625" style="227" customWidth="1"/>
    <col min="766" max="773" width="15.42578125" style="227" customWidth="1"/>
    <col min="774" max="774" width="5.28515625" style="227" customWidth="1"/>
    <col min="775" max="1015" width="9.140625" style="227"/>
    <col min="1016" max="1016" width="4.85546875" style="227" customWidth="1"/>
    <col min="1017" max="1017" width="57.5703125" style="227" customWidth="1"/>
    <col min="1018" max="1018" width="4.42578125" style="227" customWidth="1"/>
    <col min="1019" max="1019" width="18.28515625" style="227" customWidth="1"/>
    <col min="1020" max="1020" width="5.85546875" style="227" customWidth="1"/>
    <col min="1021" max="1021" width="4.140625" style="227" customWidth="1"/>
    <col min="1022" max="1029" width="15.42578125" style="227" customWidth="1"/>
    <col min="1030" max="1030" width="5.28515625" style="227" customWidth="1"/>
    <col min="1031" max="1271" width="9.140625" style="227"/>
    <col min="1272" max="1272" width="4.85546875" style="227" customWidth="1"/>
    <col min="1273" max="1273" width="57.5703125" style="227" customWidth="1"/>
    <col min="1274" max="1274" width="4.42578125" style="227" customWidth="1"/>
    <col min="1275" max="1275" width="18.28515625" style="227" customWidth="1"/>
    <col min="1276" max="1276" width="5.85546875" style="227" customWidth="1"/>
    <col min="1277" max="1277" width="4.140625" style="227" customWidth="1"/>
    <col min="1278" max="1285" width="15.42578125" style="227" customWidth="1"/>
    <col min="1286" max="1286" width="5.28515625" style="227" customWidth="1"/>
    <col min="1287" max="1527" width="9.140625" style="227"/>
    <col min="1528" max="1528" width="4.85546875" style="227" customWidth="1"/>
    <col min="1529" max="1529" width="57.5703125" style="227" customWidth="1"/>
    <col min="1530" max="1530" width="4.42578125" style="227" customWidth="1"/>
    <col min="1531" max="1531" width="18.28515625" style="227" customWidth="1"/>
    <col min="1532" max="1532" width="5.85546875" style="227" customWidth="1"/>
    <col min="1533" max="1533" width="4.140625" style="227" customWidth="1"/>
    <col min="1534" max="1541" width="15.42578125" style="227" customWidth="1"/>
    <col min="1542" max="1542" width="5.28515625" style="227" customWidth="1"/>
    <col min="1543" max="1783" width="9.140625" style="227"/>
    <col min="1784" max="1784" width="4.85546875" style="227" customWidth="1"/>
    <col min="1785" max="1785" width="57.5703125" style="227" customWidth="1"/>
    <col min="1786" max="1786" width="4.42578125" style="227" customWidth="1"/>
    <col min="1787" max="1787" width="18.28515625" style="227" customWidth="1"/>
    <col min="1788" max="1788" width="5.85546875" style="227" customWidth="1"/>
    <col min="1789" max="1789" width="4.140625" style="227" customWidth="1"/>
    <col min="1790" max="1797" width="15.42578125" style="227" customWidth="1"/>
    <col min="1798" max="1798" width="5.28515625" style="227" customWidth="1"/>
    <col min="1799" max="2039" width="9.140625" style="227"/>
    <col min="2040" max="2040" width="4.85546875" style="227" customWidth="1"/>
    <col min="2041" max="2041" width="57.5703125" style="227" customWidth="1"/>
    <col min="2042" max="2042" width="4.42578125" style="227" customWidth="1"/>
    <col min="2043" max="2043" width="18.28515625" style="227" customWidth="1"/>
    <col min="2044" max="2044" width="5.85546875" style="227" customWidth="1"/>
    <col min="2045" max="2045" width="4.140625" style="227" customWidth="1"/>
    <col min="2046" max="2053" width="15.42578125" style="227" customWidth="1"/>
    <col min="2054" max="2054" width="5.28515625" style="227" customWidth="1"/>
    <col min="2055" max="2295" width="9.140625" style="227"/>
    <col min="2296" max="2296" width="4.85546875" style="227" customWidth="1"/>
    <col min="2297" max="2297" width="57.5703125" style="227" customWidth="1"/>
    <col min="2298" max="2298" width="4.42578125" style="227" customWidth="1"/>
    <col min="2299" max="2299" width="18.28515625" style="227" customWidth="1"/>
    <col min="2300" max="2300" width="5.85546875" style="227" customWidth="1"/>
    <col min="2301" max="2301" width="4.140625" style="227" customWidth="1"/>
    <col min="2302" max="2309" width="15.42578125" style="227" customWidth="1"/>
    <col min="2310" max="2310" width="5.28515625" style="227" customWidth="1"/>
    <col min="2311" max="2551" width="9.140625" style="227"/>
    <col min="2552" max="2552" width="4.85546875" style="227" customWidth="1"/>
    <col min="2553" max="2553" width="57.5703125" style="227" customWidth="1"/>
    <col min="2554" max="2554" width="4.42578125" style="227" customWidth="1"/>
    <col min="2555" max="2555" width="18.28515625" style="227" customWidth="1"/>
    <col min="2556" max="2556" width="5.85546875" style="227" customWidth="1"/>
    <col min="2557" max="2557" width="4.140625" style="227" customWidth="1"/>
    <col min="2558" max="2565" width="15.42578125" style="227" customWidth="1"/>
    <col min="2566" max="2566" width="5.28515625" style="227" customWidth="1"/>
    <col min="2567" max="2807" width="9.140625" style="227"/>
    <col min="2808" max="2808" width="4.85546875" style="227" customWidth="1"/>
    <col min="2809" max="2809" width="57.5703125" style="227" customWidth="1"/>
    <col min="2810" max="2810" width="4.42578125" style="227" customWidth="1"/>
    <col min="2811" max="2811" width="18.28515625" style="227" customWidth="1"/>
    <col min="2812" max="2812" width="5.85546875" style="227" customWidth="1"/>
    <col min="2813" max="2813" width="4.140625" style="227" customWidth="1"/>
    <col min="2814" max="2821" width="15.42578125" style="227" customWidth="1"/>
    <col min="2822" max="2822" width="5.28515625" style="227" customWidth="1"/>
    <col min="2823" max="3063" width="9.140625" style="227"/>
    <col min="3064" max="3064" width="4.85546875" style="227" customWidth="1"/>
    <col min="3065" max="3065" width="57.5703125" style="227" customWidth="1"/>
    <col min="3066" max="3066" width="4.42578125" style="227" customWidth="1"/>
    <col min="3067" max="3067" width="18.28515625" style="227" customWidth="1"/>
    <col min="3068" max="3068" width="5.85546875" style="227" customWidth="1"/>
    <col min="3069" max="3069" width="4.140625" style="227" customWidth="1"/>
    <col min="3070" max="3077" width="15.42578125" style="227" customWidth="1"/>
    <col min="3078" max="3078" width="5.28515625" style="227" customWidth="1"/>
    <col min="3079" max="3319" width="9.140625" style="227"/>
    <col min="3320" max="3320" width="4.85546875" style="227" customWidth="1"/>
    <col min="3321" max="3321" width="57.5703125" style="227" customWidth="1"/>
    <col min="3322" max="3322" width="4.42578125" style="227" customWidth="1"/>
    <col min="3323" max="3323" width="18.28515625" style="227" customWidth="1"/>
    <col min="3324" max="3324" width="5.85546875" style="227" customWidth="1"/>
    <col min="3325" max="3325" width="4.140625" style="227" customWidth="1"/>
    <col min="3326" max="3333" width="15.42578125" style="227" customWidth="1"/>
    <col min="3334" max="3334" width="5.28515625" style="227" customWidth="1"/>
    <col min="3335" max="3575" width="9.140625" style="227"/>
    <col min="3576" max="3576" width="4.85546875" style="227" customWidth="1"/>
    <col min="3577" max="3577" width="57.5703125" style="227" customWidth="1"/>
    <col min="3578" max="3578" width="4.42578125" style="227" customWidth="1"/>
    <col min="3579" max="3579" width="18.28515625" style="227" customWidth="1"/>
    <col min="3580" max="3580" width="5.85546875" style="227" customWidth="1"/>
    <col min="3581" max="3581" width="4.140625" style="227" customWidth="1"/>
    <col min="3582" max="3589" width="15.42578125" style="227" customWidth="1"/>
    <col min="3590" max="3590" width="5.28515625" style="227" customWidth="1"/>
    <col min="3591" max="3831" width="9.140625" style="227"/>
    <col min="3832" max="3832" width="4.85546875" style="227" customWidth="1"/>
    <col min="3833" max="3833" width="57.5703125" style="227" customWidth="1"/>
    <col min="3834" max="3834" width="4.42578125" style="227" customWidth="1"/>
    <col min="3835" max="3835" width="18.28515625" style="227" customWidth="1"/>
    <col min="3836" max="3836" width="5.85546875" style="227" customWidth="1"/>
    <col min="3837" max="3837" width="4.140625" style="227" customWidth="1"/>
    <col min="3838" max="3845" width="15.42578125" style="227" customWidth="1"/>
    <col min="3846" max="3846" width="5.28515625" style="227" customWidth="1"/>
    <col min="3847" max="4087" width="9.140625" style="227"/>
    <col min="4088" max="4088" width="4.85546875" style="227" customWidth="1"/>
    <col min="4089" max="4089" width="57.5703125" style="227" customWidth="1"/>
    <col min="4090" max="4090" width="4.42578125" style="227" customWidth="1"/>
    <col min="4091" max="4091" width="18.28515625" style="227" customWidth="1"/>
    <col min="4092" max="4092" width="5.85546875" style="227" customWidth="1"/>
    <col min="4093" max="4093" width="4.140625" style="227" customWidth="1"/>
    <col min="4094" max="4101" width="15.42578125" style="227" customWidth="1"/>
    <col min="4102" max="4102" width="5.28515625" style="227" customWidth="1"/>
    <col min="4103" max="4343" width="9.140625" style="227"/>
    <col min="4344" max="4344" width="4.85546875" style="227" customWidth="1"/>
    <col min="4345" max="4345" width="57.5703125" style="227" customWidth="1"/>
    <col min="4346" max="4346" width="4.42578125" style="227" customWidth="1"/>
    <col min="4347" max="4347" width="18.28515625" style="227" customWidth="1"/>
    <col min="4348" max="4348" width="5.85546875" style="227" customWidth="1"/>
    <col min="4349" max="4349" width="4.140625" style="227" customWidth="1"/>
    <col min="4350" max="4357" width="15.42578125" style="227" customWidth="1"/>
    <col min="4358" max="4358" width="5.28515625" style="227" customWidth="1"/>
    <col min="4359" max="4599" width="9.140625" style="227"/>
    <col min="4600" max="4600" width="4.85546875" style="227" customWidth="1"/>
    <col min="4601" max="4601" width="57.5703125" style="227" customWidth="1"/>
    <col min="4602" max="4602" width="4.42578125" style="227" customWidth="1"/>
    <col min="4603" max="4603" width="18.28515625" style="227" customWidth="1"/>
    <col min="4604" max="4604" width="5.85546875" style="227" customWidth="1"/>
    <col min="4605" max="4605" width="4.140625" style="227" customWidth="1"/>
    <col min="4606" max="4613" width="15.42578125" style="227" customWidth="1"/>
    <col min="4614" max="4614" width="5.28515625" style="227" customWidth="1"/>
    <col min="4615" max="4855" width="9.140625" style="227"/>
    <col min="4856" max="4856" width="4.85546875" style="227" customWidth="1"/>
    <col min="4857" max="4857" width="57.5703125" style="227" customWidth="1"/>
    <col min="4858" max="4858" width="4.42578125" style="227" customWidth="1"/>
    <col min="4859" max="4859" width="18.28515625" style="227" customWidth="1"/>
    <col min="4860" max="4860" width="5.85546875" style="227" customWidth="1"/>
    <col min="4861" max="4861" width="4.140625" style="227" customWidth="1"/>
    <col min="4862" max="4869" width="15.42578125" style="227" customWidth="1"/>
    <col min="4870" max="4870" width="5.28515625" style="227" customWidth="1"/>
    <col min="4871" max="5111" width="9.140625" style="227"/>
    <col min="5112" max="5112" width="4.85546875" style="227" customWidth="1"/>
    <col min="5113" max="5113" width="57.5703125" style="227" customWidth="1"/>
    <col min="5114" max="5114" width="4.42578125" style="227" customWidth="1"/>
    <col min="5115" max="5115" width="18.28515625" style="227" customWidth="1"/>
    <col min="5116" max="5116" width="5.85546875" style="227" customWidth="1"/>
    <col min="5117" max="5117" width="4.140625" style="227" customWidth="1"/>
    <col min="5118" max="5125" width="15.42578125" style="227" customWidth="1"/>
    <col min="5126" max="5126" width="5.28515625" style="227" customWidth="1"/>
    <col min="5127" max="5367" width="9.140625" style="227"/>
    <col min="5368" max="5368" width="4.85546875" style="227" customWidth="1"/>
    <col min="5369" max="5369" width="57.5703125" style="227" customWidth="1"/>
    <col min="5370" max="5370" width="4.42578125" style="227" customWidth="1"/>
    <col min="5371" max="5371" width="18.28515625" style="227" customWidth="1"/>
    <col min="5372" max="5372" width="5.85546875" style="227" customWidth="1"/>
    <col min="5373" max="5373" width="4.140625" style="227" customWidth="1"/>
    <col min="5374" max="5381" width="15.42578125" style="227" customWidth="1"/>
    <col min="5382" max="5382" width="5.28515625" style="227" customWidth="1"/>
    <col min="5383" max="5623" width="9.140625" style="227"/>
    <col min="5624" max="5624" width="4.85546875" style="227" customWidth="1"/>
    <col min="5625" max="5625" width="57.5703125" style="227" customWidth="1"/>
    <col min="5626" max="5626" width="4.42578125" style="227" customWidth="1"/>
    <col min="5627" max="5627" width="18.28515625" style="227" customWidth="1"/>
    <col min="5628" max="5628" width="5.85546875" style="227" customWidth="1"/>
    <col min="5629" max="5629" width="4.140625" style="227" customWidth="1"/>
    <col min="5630" max="5637" width="15.42578125" style="227" customWidth="1"/>
    <col min="5638" max="5638" width="5.28515625" style="227" customWidth="1"/>
    <col min="5639" max="5879" width="9.140625" style="227"/>
    <col min="5880" max="5880" width="4.85546875" style="227" customWidth="1"/>
    <col min="5881" max="5881" width="57.5703125" style="227" customWidth="1"/>
    <col min="5882" max="5882" width="4.42578125" style="227" customWidth="1"/>
    <col min="5883" max="5883" width="18.28515625" style="227" customWidth="1"/>
    <col min="5884" max="5884" width="5.85546875" style="227" customWidth="1"/>
    <col min="5885" max="5885" width="4.140625" style="227" customWidth="1"/>
    <col min="5886" max="5893" width="15.42578125" style="227" customWidth="1"/>
    <col min="5894" max="5894" width="5.28515625" style="227" customWidth="1"/>
    <col min="5895" max="6135" width="9.140625" style="227"/>
    <col min="6136" max="6136" width="4.85546875" style="227" customWidth="1"/>
    <col min="6137" max="6137" width="57.5703125" style="227" customWidth="1"/>
    <col min="6138" max="6138" width="4.42578125" style="227" customWidth="1"/>
    <col min="6139" max="6139" width="18.28515625" style="227" customWidth="1"/>
    <col min="6140" max="6140" width="5.85546875" style="227" customWidth="1"/>
    <col min="6141" max="6141" width="4.140625" style="227" customWidth="1"/>
    <col min="6142" max="6149" width="15.42578125" style="227" customWidth="1"/>
    <col min="6150" max="6150" width="5.28515625" style="227" customWidth="1"/>
    <col min="6151" max="6391" width="9.140625" style="227"/>
    <col min="6392" max="6392" width="4.85546875" style="227" customWidth="1"/>
    <col min="6393" max="6393" width="57.5703125" style="227" customWidth="1"/>
    <col min="6394" max="6394" width="4.42578125" style="227" customWidth="1"/>
    <col min="6395" max="6395" width="18.28515625" style="227" customWidth="1"/>
    <col min="6396" max="6396" width="5.85546875" style="227" customWidth="1"/>
    <col min="6397" max="6397" width="4.140625" style="227" customWidth="1"/>
    <col min="6398" max="6405" width="15.42578125" style="227" customWidth="1"/>
    <col min="6406" max="6406" width="5.28515625" style="227" customWidth="1"/>
    <col min="6407" max="6647" width="9.140625" style="227"/>
    <col min="6648" max="6648" width="4.85546875" style="227" customWidth="1"/>
    <col min="6649" max="6649" width="57.5703125" style="227" customWidth="1"/>
    <col min="6650" max="6650" width="4.42578125" style="227" customWidth="1"/>
    <col min="6651" max="6651" width="18.28515625" style="227" customWidth="1"/>
    <col min="6652" max="6652" width="5.85546875" style="227" customWidth="1"/>
    <col min="6653" max="6653" width="4.140625" style="227" customWidth="1"/>
    <col min="6654" max="6661" width="15.42578125" style="227" customWidth="1"/>
    <col min="6662" max="6662" width="5.28515625" style="227" customWidth="1"/>
    <col min="6663" max="6903" width="9.140625" style="227"/>
    <col min="6904" max="6904" width="4.85546875" style="227" customWidth="1"/>
    <col min="6905" max="6905" width="57.5703125" style="227" customWidth="1"/>
    <col min="6906" max="6906" width="4.42578125" style="227" customWidth="1"/>
    <col min="6907" max="6907" width="18.28515625" style="227" customWidth="1"/>
    <col min="6908" max="6908" width="5.85546875" style="227" customWidth="1"/>
    <col min="6909" max="6909" width="4.140625" style="227" customWidth="1"/>
    <col min="6910" max="6917" width="15.42578125" style="227" customWidth="1"/>
    <col min="6918" max="6918" width="5.28515625" style="227" customWidth="1"/>
    <col min="6919" max="7159" width="9.140625" style="227"/>
    <col min="7160" max="7160" width="4.85546875" style="227" customWidth="1"/>
    <col min="7161" max="7161" width="57.5703125" style="227" customWidth="1"/>
    <col min="7162" max="7162" width="4.42578125" style="227" customWidth="1"/>
    <col min="7163" max="7163" width="18.28515625" style="227" customWidth="1"/>
    <col min="7164" max="7164" width="5.85546875" style="227" customWidth="1"/>
    <col min="7165" max="7165" width="4.140625" style="227" customWidth="1"/>
    <col min="7166" max="7173" width="15.42578125" style="227" customWidth="1"/>
    <col min="7174" max="7174" width="5.28515625" style="227" customWidth="1"/>
    <col min="7175" max="7415" width="9.140625" style="227"/>
    <col min="7416" max="7416" width="4.85546875" style="227" customWidth="1"/>
    <col min="7417" max="7417" width="57.5703125" style="227" customWidth="1"/>
    <col min="7418" max="7418" width="4.42578125" style="227" customWidth="1"/>
    <col min="7419" max="7419" width="18.28515625" style="227" customWidth="1"/>
    <col min="7420" max="7420" width="5.85546875" style="227" customWidth="1"/>
    <col min="7421" max="7421" width="4.140625" style="227" customWidth="1"/>
    <col min="7422" max="7429" width="15.42578125" style="227" customWidth="1"/>
    <col min="7430" max="7430" width="5.28515625" style="227" customWidth="1"/>
    <col min="7431" max="7671" width="9.140625" style="227"/>
    <col min="7672" max="7672" width="4.85546875" style="227" customWidth="1"/>
    <col min="7673" max="7673" width="57.5703125" style="227" customWidth="1"/>
    <col min="7674" max="7674" width="4.42578125" style="227" customWidth="1"/>
    <col min="7675" max="7675" width="18.28515625" style="227" customWidth="1"/>
    <col min="7676" max="7676" width="5.85546875" style="227" customWidth="1"/>
    <col min="7677" max="7677" width="4.140625" style="227" customWidth="1"/>
    <col min="7678" max="7685" width="15.42578125" style="227" customWidth="1"/>
    <col min="7686" max="7686" width="5.28515625" style="227" customWidth="1"/>
    <col min="7687" max="7927" width="9.140625" style="227"/>
    <col min="7928" max="7928" width="4.85546875" style="227" customWidth="1"/>
    <col min="7929" max="7929" width="57.5703125" style="227" customWidth="1"/>
    <col min="7930" max="7930" width="4.42578125" style="227" customWidth="1"/>
    <col min="7931" max="7931" width="18.28515625" style="227" customWidth="1"/>
    <col min="7932" max="7932" width="5.85546875" style="227" customWidth="1"/>
    <col min="7933" max="7933" width="4.140625" style="227" customWidth="1"/>
    <col min="7934" max="7941" width="15.42578125" style="227" customWidth="1"/>
    <col min="7942" max="7942" width="5.28515625" style="227" customWidth="1"/>
    <col min="7943" max="8183" width="9.140625" style="227"/>
    <col min="8184" max="8184" width="4.85546875" style="227" customWidth="1"/>
    <col min="8185" max="8185" width="57.5703125" style="227" customWidth="1"/>
    <col min="8186" max="8186" width="4.42578125" style="227" customWidth="1"/>
    <col min="8187" max="8187" width="18.28515625" style="227" customWidth="1"/>
    <col min="8188" max="8188" width="5.85546875" style="227" customWidth="1"/>
    <col min="8189" max="8189" width="4.140625" style="227" customWidth="1"/>
    <col min="8190" max="8197" width="15.42578125" style="227" customWidth="1"/>
    <col min="8198" max="8198" width="5.28515625" style="227" customWidth="1"/>
    <col min="8199" max="8439" width="9.140625" style="227"/>
    <col min="8440" max="8440" width="4.85546875" style="227" customWidth="1"/>
    <col min="8441" max="8441" width="57.5703125" style="227" customWidth="1"/>
    <col min="8442" max="8442" width="4.42578125" style="227" customWidth="1"/>
    <col min="8443" max="8443" width="18.28515625" style="227" customWidth="1"/>
    <col min="8444" max="8444" width="5.85546875" style="227" customWidth="1"/>
    <col min="8445" max="8445" width="4.140625" style="227" customWidth="1"/>
    <col min="8446" max="8453" width="15.42578125" style="227" customWidth="1"/>
    <col min="8454" max="8454" width="5.28515625" style="227" customWidth="1"/>
    <col min="8455" max="8695" width="9.140625" style="227"/>
    <col min="8696" max="8696" width="4.85546875" style="227" customWidth="1"/>
    <col min="8697" max="8697" width="57.5703125" style="227" customWidth="1"/>
    <col min="8698" max="8698" width="4.42578125" style="227" customWidth="1"/>
    <col min="8699" max="8699" width="18.28515625" style="227" customWidth="1"/>
    <col min="8700" max="8700" width="5.85546875" style="227" customWidth="1"/>
    <col min="8701" max="8701" width="4.140625" style="227" customWidth="1"/>
    <col min="8702" max="8709" width="15.42578125" style="227" customWidth="1"/>
    <col min="8710" max="8710" width="5.28515625" style="227" customWidth="1"/>
    <col min="8711" max="8951" width="9.140625" style="227"/>
    <col min="8952" max="8952" width="4.85546875" style="227" customWidth="1"/>
    <col min="8953" max="8953" width="57.5703125" style="227" customWidth="1"/>
    <col min="8954" max="8954" width="4.42578125" style="227" customWidth="1"/>
    <col min="8955" max="8955" width="18.28515625" style="227" customWidth="1"/>
    <col min="8956" max="8956" width="5.85546875" style="227" customWidth="1"/>
    <col min="8957" max="8957" width="4.140625" style="227" customWidth="1"/>
    <col min="8958" max="8965" width="15.42578125" style="227" customWidth="1"/>
    <col min="8966" max="8966" width="5.28515625" style="227" customWidth="1"/>
    <col min="8967" max="9207" width="9.140625" style="227"/>
    <col min="9208" max="9208" width="4.85546875" style="227" customWidth="1"/>
    <col min="9209" max="9209" width="57.5703125" style="227" customWidth="1"/>
    <col min="9210" max="9210" width="4.42578125" style="227" customWidth="1"/>
    <col min="9211" max="9211" width="18.28515625" style="227" customWidth="1"/>
    <col min="9212" max="9212" width="5.85546875" style="227" customWidth="1"/>
    <col min="9213" max="9213" width="4.140625" style="227" customWidth="1"/>
    <col min="9214" max="9221" width="15.42578125" style="227" customWidth="1"/>
    <col min="9222" max="9222" width="5.28515625" style="227" customWidth="1"/>
    <col min="9223" max="9463" width="9.140625" style="227"/>
    <col min="9464" max="9464" width="4.85546875" style="227" customWidth="1"/>
    <col min="9465" max="9465" width="57.5703125" style="227" customWidth="1"/>
    <col min="9466" max="9466" width="4.42578125" style="227" customWidth="1"/>
    <col min="9467" max="9467" width="18.28515625" style="227" customWidth="1"/>
    <col min="9468" max="9468" width="5.85546875" style="227" customWidth="1"/>
    <col min="9469" max="9469" width="4.140625" style="227" customWidth="1"/>
    <col min="9470" max="9477" width="15.42578125" style="227" customWidth="1"/>
    <col min="9478" max="9478" width="5.28515625" style="227" customWidth="1"/>
    <col min="9479" max="9719" width="9.140625" style="227"/>
    <col min="9720" max="9720" width="4.85546875" style="227" customWidth="1"/>
    <col min="9721" max="9721" width="57.5703125" style="227" customWidth="1"/>
    <col min="9722" max="9722" width="4.42578125" style="227" customWidth="1"/>
    <col min="9723" max="9723" width="18.28515625" style="227" customWidth="1"/>
    <col min="9724" max="9724" width="5.85546875" style="227" customWidth="1"/>
    <col min="9725" max="9725" width="4.140625" style="227" customWidth="1"/>
    <col min="9726" max="9733" width="15.42578125" style="227" customWidth="1"/>
    <col min="9734" max="9734" width="5.28515625" style="227" customWidth="1"/>
    <col min="9735" max="9975" width="9.140625" style="227"/>
    <col min="9976" max="9976" width="4.85546875" style="227" customWidth="1"/>
    <col min="9977" max="9977" width="57.5703125" style="227" customWidth="1"/>
    <col min="9978" max="9978" width="4.42578125" style="227" customWidth="1"/>
    <col min="9979" max="9979" width="18.28515625" style="227" customWidth="1"/>
    <col min="9980" max="9980" width="5.85546875" style="227" customWidth="1"/>
    <col min="9981" max="9981" width="4.140625" style="227" customWidth="1"/>
    <col min="9982" max="9989" width="15.42578125" style="227" customWidth="1"/>
    <col min="9990" max="9990" width="5.28515625" style="227" customWidth="1"/>
    <col min="9991" max="10231" width="9.140625" style="227"/>
    <col min="10232" max="10232" width="4.85546875" style="227" customWidth="1"/>
    <col min="10233" max="10233" width="57.5703125" style="227" customWidth="1"/>
    <col min="10234" max="10234" width="4.42578125" style="227" customWidth="1"/>
    <col min="10235" max="10235" width="18.28515625" style="227" customWidth="1"/>
    <col min="10236" max="10236" width="5.85546875" style="227" customWidth="1"/>
    <col min="10237" max="10237" width="4.140625" style="227" customWidth="1"/>
    <col min="10238" max="10245" width="15.42578125" style="227" customWidth="1"/>
    <col min="10246" max="10246" width="5.28515625" style="227" customWidth="1"/>
    <col min="10247" max="10487" width="9.140625" style="227"/>
    <col min="10488" max="10488" width="4.85546875" style="227" customWidth="1"/>
    <col min="10489" max="10489" width="57.5703125" style="227" customWidth="1"/>
    <col min="10490" max="10490" width="4.42578125" style="227" customWidth="1"/>
    <col min="10491" max="10491" width="18.28515625" style="227" customWidth="1"/>
    <col min="10492" max="10492" width="5.85546875" style="227" customWidth="1"/>
    <col min="10493" max="10493" width="4.140625" style="227" customWidth="1"/>
    <col min="10494" max="10501" width="15.42578125" style="227" customWidth="1"/>
    <col min="10502" max="10502" width="5.28515625" style="227" customWidth="1"/>
    <col min="10503" max="10743" width="9.140625" style="227"/>
    <col min="10744" max="10744" width="4.85546875" style="227" customWidth="1"/>
    <col min="10745" max="10745" width="57.5703125" style="227" customWidth="1"/>
    <col min="10746" max="10746" width="4.42578125" style="227" customWidth="1"/>
    <col min="10747" max="10747" width="18.28515625" style="227" customWidth="1"/>
    <col min="10748" max="10748" width="5.85546875" style="227" customWidth="1"/>
    <col min="10749" max="10749" width="4.140625" style="227" customWidth="1"/>
    <col min="10750" max="10757" width="15.42578125" style="227" customWidth="1"/>
    <col min="10758" max="10758" width="5.28515625" style="227" customWidth="1"/>
    <col min="10759" max="10999" width="9.140625" style="227"/>
    <col min="11000" max="11000" width="4.85546875" style="227" customWidth="1"/>
    <col min="11001" max="11001" width="57.5703125" style="227" customWidth="1"/>
    <col min="11002" max="11002" width="4.42578125" style="227" customWidth="1"/>
    <col min="11003" max="11003" width="18.28515625" style="227" customWidth="1"/>
    <col min="11004" max="11004" width="5.85546875" style="227" customWidth="1"/>
    <col min="11005" max="11005" width="4.140625" style="227" customWidth="1"/>
    <col min="11006" max="11013" width="15.42578125" style="227" customWidth="1"/>
    <col min="11014" max="11014" width="5.28515625" style="227" customWidth="1"/>
    <col min="11015" max="11255" width="9.140625" style="227"/>
    <col min="11256" max="11256" width="4.85546875" style="227" customWidth="1"/>
    <col min="11257" max="11257" width="57.5703125" style="227" customWidth="1"/>
    <col min="11258" max="11258" width="4.42578125" style="227" customWidth="1"/>
    <col min="11259" max="11259" width="18.28515625" style="227" customWidth="1"/>
    <col min="11260" max="11260" width="5.85546875" style="227" customWidth="1"/>
    <col min="11261" max="11261" width="4.140625" style="227" customWidth="1"/>
    <col min="11262" max="11269" width="15.42578125" style="227" customWidth="1"/>
    <col min="11270" max="11270" width="5.28515625" style="227" customWidth="1"/>
    <col min="11271" max="11511" width="9.140625" style="227"/>
    <col min="11512" max="11512" width="4.85546875" style="227" customWidth="1"/>
    <col min="11513" max="11513" width="57.5703125" style="227" customWidth="1"/>
    <col min="11514" max="11514" width="4.42578125" style="227" customWidth="1"/>
    <col min="11515" max="11515" width="18.28515625" style="227" customWidth="1"/>
    <col min="11516" max="11516" width="5.85546875" style="227" customWidth="1"/>
    <col min="11517" max="11517" width="4.140625" style="227" customWidth="1"/>
    <col min="11518" max="11525" width="15.42578125" style="227" customWidth="1"/>
    <col min="11526" max="11526" width="5.28515625" style="227" customWidth="1"/>
    <col min="11527" max="11767" width="9.140625" style="227"/>
    <col min="11768" max="11768" width="4.85546875" style="227" customWidth="1"/>
    <col min="11769" max="11769" width="57.5703125" style="227" customWidth="1"/>
    <col min="11770" max="11770" width="4.42578125" style="227" customWidth="1"/>
    <col min="11771" max="11771" width="18.28515625" style="227" customWidth="1"/>
    <col min="11772" max="11772" width="5.85546875" style="227" customWidth="1"/>
    <col min="11773" max="11773" width="4.140625" style="227" customWidth="1"/>
    <col min="11774" max="11781" width="15.42578125" style="227" customWidth="1"/>
    <col min="11782" max="11782" width="5.28515625" style="227" customWidth="1"/>
    <col min="11783" max="12023" width="9.140625" style="227"/>
    <col min="12024" max="12024" width="4.85546875" style="227" customWidth="1"/>
    <col min="12025" max="12025" width="57.5703125" style="227" customWidth="1"/>
    <col min="12026" max="12026" width="4.42578125" style="227" customWidth="1"/>
    <col min="12027" max="12027" width="18.28515625" style="227" customWidth="1"/>
    <col min="12028" max="12028" width="5.85546875" style="227" customWidth="1"/>
    <col min="12029" max="12029" width="4.140625" style="227" customWidth="1"/>
    <col min="12030" max="12037" width="15.42578125" style="227" customWidth="1"/>
    <col min="12038" max="12038" width="5.28515625" style="227" customWidth="1"/>
    <col min="12039" max="12279" width="9.140625" style="227"/>
    <col min="12280" max="12280" width="4.85546875" style="227" customWidth="1"/>
    <col min="12281" max="12281" width="57.5703125" style="227" customWidth="1"/>
    <col min="12282" max="12282" width="4.42578125" style="227" customWidth="1"/>
    <col min="12283" max="12283" width="18.28515625" style="227" customWidth="1"/>
    <col min="12284" max="12284" width="5.85546875" style="227" customWidth="1"/>
    <col min="12285" max="12285" width="4.140625" style="227" customWidth="1"/>
    <col min="12286" max="12293" width="15.42578125" style="227" customWidth="1"/>
    <col min="12294" max="12294" width="5.28515625" style="227" customWidth="1"/>
    <col min="12295" max="12535" width="9.140625" style="227"/>
    <col min="12536" max="12536" width="4.85546875" style="227" customWidth="1"/>
    <col min="12537" max="12537" width="57.5703125" style="227" customWidth="1"/>
    <col min="12538" max="12538" width="4.42578125" style="227" customWidth="1"/>
    <col min="12539" max="12539" width="18.28515625" style="227" customWidth="1"/>
    <col min="12540" max="12540" width="5.85546875" style="227" customWidth="1"/>
    <col min="12541" max="12541" width="4.140625" style="227" customWidth="1"/>
    <col min="12542" max="12549" width="15.42578125" style="227" customWidth="1"/>
    <col min="12550" max="12550" width="5.28515625" style="227" customWidth="1"/>
    <col min="12551" max="12791" width="9.140625" style="227"/>
    <col min="12792" max="12792" width="4.85546875" style="227" customWidth="1"/>
    <col min="12793" max="12793" width="57.5703125" style="227" customWidth="1"/>
    <col min="12794" max="12794" width="4.42578125" style="227" customWidth="1"/>
    <col min="12795" max="12795" width="18.28515625" style="227" customWidth="1"/>
    <col min="12796" max="12796" width="5.85546875" style="227" customWidth="1"/>
    <col min="12797" max="12797" width="4.140625" style="227" customWidth="1"/>
    <col min="12798" max="12805" width="15.42578125" style="227" customWidth="1"/>
    <col min="12806" max="12806" width="5.28515625" style="227" customWidth="1"/>
    <col min="12807" max="13047" width="9.140625" style="227"/>
    <col min="13048" max="13048" width="4.85546875" style="227" customWidth="1"/>
    <col min="13049" max="13049" width="57.5703125" style="227" customWidth="1"/>
    <col min="13050" max="13050" width="4.42578125" style="227" customWidth="1"/>
    <col min="13051" max="13051" width="18.28515625" style="227" customWidth="1"/>
    <col min="13052" max="13052" width="5.85546875" style="227" customWidth="1"/>
    <col min="13053" max="13053" width="4.140625" style="227" customWidth="1"/>
    <col min="13054" max="13061" width="15.42578125" style="227" customWidth="1"/>
    <col min="13062" max="13062" width="5.28515625" style="227" customWidth="1"/>
    <col min="13063" max="13303" width="9.140625" style="227"/>
    <col min="13304" max="13304" width="4.85546875" style="227" customWidth="1"/>
    <col min="13305" max="13305" width="57.5703125" style="227" customWidth="1"/>
    <col min="13306" max="13306" width="4.42578125" style="227" customWidth="1"/>
    <col min="13307" max="13307" width="18.28515625" style="227" customWidth="1"/>
    <col min="13308" max="13308" width="5.85546875" style="227" customWidth="1"/>
    <col min="13309" max="13309" width="4.140625" style="227" customWidth="1"/>
    <col min="13310" max="13317" width="15.42578125" style="227" customWidth="1"/>
    <col min="13318" max="13318" width="5.28515625" style="227" customWidth="1"/>
    <col min="13319" max="13559" width="9.140625" style="227"/>
    <col min="13560" max="13560" width="4.85546875" style="227" customWidth="1"/>
    <col min="13561" max="13561" width="57.5703125" style="227" customWidth="1"/>
    <col min="13562" max="13562" width="4.42578125" style="227" customWidth="1"/>
    <col min="13563" max="13563" width="18.28515625" style="227" customWidth="1"/>
    <col min="13564" max="13564" width="5.85546875" style="227" customWidth="1"/>
    <col min="13565" max="13565" width="4.140625" style="227" customWidth="1"/>
    <col min="13566" max="13573" width="15.42578125" style="227" customWidth="1"/>
    <col min="13574" max="13574" width="5.28515625" style="227" customWidth="1"/>
    <col min="13575" max="13815" width="9.140625" style="227"/>
    <col min="13816" max="13816" width="4.85546875" style="227" customWidth="1"/>
    <col min="13817" max="13817" width="57.5703125" style="227" customWidth="1"/>
    <col min="13818" max="13818" width="4.42578125" style="227" customWidth="1"/>
    <col min="13819" max="13819" width="18.28515625" style="227" customWidth="1"/>
    <col min="13820" max="13820" width="5.85546875" style="227" customWidth="1"/>
    <col min="13821" max="13821" width="4.140625" style="227" customWidth="1"/>
    <col min="13822" max="13829" width="15.42578125" style="227" customWidth="1"/>
    <col min="13830" max="13830" width="5.28515625" style="227" customWidth="1"/>
    <col min="13831" max="14071" width="9.140625" style="227"/>
    <col min="14072" max="14072" width="4.85546875" style="227" customWidth="1"/>
    <col min="14073" max="14073" width="57.5703125" style="227" customWidth="1"/>
    <col min="14074" max="14074" width="4.42578125" style="227" customWidth="1"/>
    <col min="14075" max="14075" width="18.28515625" style="227" customWidth="1"/>
    <col min="14076" max="14076" width="5.85546875" style="227" customWidth="1"/>
    <col min="14077" max="14077" width="4.140625" style="227" customWidth="1"/>
    <col min="14078" max="14085" width="15.42578125" style="227" customWidth="1"/>
    <col min="14086" max="14086" width="5.28515625" style="227" customWidth="1"/>
    <col min="14087" max="14327" width="9.140625" style="227"/>
    <col min="14328" max="14328" width="4.85546875" style="227" customWidth="1"/>
    <col min="14329" max="14329" width="57.5703125" style="227" customWidth="1"/>
    <col min="14330" max="14330" width="4.42578125" style="227" customWidth="1"/>
    <col min="14331" max="14331" width="18.28515625" style="227" customWidth="1"/>
    <col min="14332" max="14332" width="5.85546875" style="227" customWidth="1"/>
    <col min="14333" max="14333" width="4.140625" style="227" customWidth="1"/>
    <col min="14334" max="14341" width="15.42578125" style="227" customWidth="1"/>
    <col min="14342" max="14342" width="5.28515625" style="227" customWidth="1"/>
    <col min="14343" max="14583" width="9.140625" style="227"/>
    <col min="14584" max="14584" width="4.85546875" style="227" customWidth="1"/>
    <col min="14585" max="14585" width="57.5703125" style="227" customWidth="1"/>
    <col min="14586" max="14586" width="4.42578125" style="227" customWidth="1"/>
    <col min="14587" max="14587" width="18.28515625" style="227" customWidth="1"/>
    <col min="14588" max="14588" width="5.85546875" style="227" customWidth="1"/>
    <col min="14589" max="14589" width="4.140625" style="227" customWidth="1"/>
    <col min="14590" max="14597" width="15.42578125" style="227" customWidth="1"/>
    <col min="14598" max="14598" width="5.28515625" style="227" customWidth="1"/>
    <col min="14599" max="14839" width="9.140625" style="227"/>
    <col min="14840" max="14840" width="4.85546875" style="227" customWidth="1"/>
    <col min="14841" max="14841" width="57.5703125" style="227" customWidth="1"/>
    <col min="14842" max="14842" width="4.42578125" style="227" customWidth="1"/>
    <col min="14843" max="14843" width="18.28515625" style="227" customWidth="1"/>
    <col min="14844" max="14844" width="5.85546875" style="227" customWidth="1"/>
    <col min="14845" max="14845" width="4.140625" style="227" customWidth="1"/>
    <col min="14846" max="14853" width="15.42578125" style="227" customWidth="1"/>
    <col min="14854" max="14854" width="5.28515625" style="227" customWidth="1"/>
    <col min="14855" max="15095" width="9.140625" style="227"/>
    <col min="15096" max="15096" width="4.85546875" style="227" customWidth="1"/>
    <col min="15097" max="15097" width="57.5703125" style="227" customWidth="1"/>
    <col min="15098" max="15098" width="4.42578125" style="227" customWidth="1"/>
    <col min="15099" max="15099" width="18.28515625" style="227" customWidth="1"/>
    <col min="15100" max="15100" width="5.85546875" style="227" customWidth="1"/>
    <col min="15101" max="15101" width="4.140625" style="227" customWidth="1"/>
    <col min="15102" max="15109" width="15.42578125" style="227" customWidth="1"/>
    <col min="15110" max="15110" width="5.28515625" style="227" customWidth="1"/>
    <col min="15111" max="15351" width="9.140625" style="227"/>
    <col min="15352" max="15352" width="4.85546875" style="227" customWidth="1"/>
    <col min="15353" max="15353" width="57.5703125" style="227" customWidth="1"/>
    <col min="15354" max="15354" width="4.42578125" style="227" customWidth="1"/>
    <col min="15355" max="15355" width="18.28515625" style="227" customWidth="1"/>
    <col min="15356" max="15356" width="5.85546875" style="227" customWidth="1"/>
    <col min="15357" max="15357" width="4.140625" style="227" customWidth="1"/>
    <col min="15358" max="15365" width="15.42578125" style="227" customWidth="1"/>
    <col min="15366" max="15366" width="5.28515625" style="227" customWidth="1"/>
    <col min="15367" max="15607" width="9.140625" style="227"/>
    <col min="15608" max="15608" width="4.85546875" style="227" customWidth="1"/>
    <col min="15609" max="15609" width="57.5703125" style="227" customWidth="1"/>
    <col min="15610" max="15610" width="4.42578125" style="227" customWidth="1"/>
    <col min="15611" max="15611" width="18.28515625" style="227" customWidth="1"/>
    <col min="15612" max="15612" width="5.85546875" style="227" customWidth="1"/>
    <col min="15613" max="15613" width="4.140625" style="227" customWidth="1"/>
    <col min="15614" max="15621" width="15.42578125" style="227" customWidth="1"/>
    <col min="15622" max="15622" width="5.28515625" style="227" customWidth="1"/>
    <col min="15623" max="15863" width="9.140625" style="227"/>
    <col min="15864" max="15864" width="4.85546875" style="227" customWidth="1"/>
    <col min="15865" max="15865" width="57.5703125" style="227" customWidth="1"/>
    <col min="15866" max="15866" width="4.42578125" style="227" customWidth="1"/>
    <col min="15867" max="15867" width="18.28515625" style="227" customWidth="1"/>
    <col min="15868" max="15868" width="5.85546875" style="227" customWidth="1"/>
    <col min="15869" max="15869" width="4.140625" style="227" customWidth="1"/>
    <col min="15870" max="15877" width="15.42578125" style="227" customWidth="1"/>
    <col min="15878" max="15878" width="5.28515625" style="227" customWidth="1"/>
    <col min="15879" max="16119" width="9.140625" style="227"/>
    <col min="16120" max="16120" width="4.85546875" style="227" customWidth="1"/>
    <col min="16121" max="16121" width="57.5703125" style="227" customWidth="1"/>
    <col min="16122" max="16122" width="4.42578125" style="227" customWidth="1"/>
    <col min="16123" max="16123" width="18.28515625" style="227" customWidth="1"/>
    <col min="16124" max="16124" width="5.85546875" style="227" customWidth="1"/>
    <col min="16125" max="16125" width="4.140625" style="227" customWidth="1"/>
    <col min="16126" max="16133" width="15.42578125" style="227" customWidth="1"/>
    <col min="16134" max="16134" width="5.28515625" style="227" customWidth="1"/>
    <col min="16135" max="16384" width="9.140625" style="227"/>
  </cols>
  <sheetData>
    <row r="2" spans="2:9" s="216" customFormat="1" ht="15.75">
      <c r="B2" s="230" t="s">
        <v>216</v>
      </c>
      <c r="C2" s="230"/>
    </row>
    <row r="4" spans="2:9" s="228" customFormat="1">
      <c r="B4" s="222" t="s">
        <v>16</v>
      </c>
      <c r="C4" s="222"/>
    </row>
    <row r="5" spans="2:9">
      <c r="B5" s="226"/>
      <c r="C5" s="226"/>
    </row>
    <row r="6" spans="2:9">
      <c r="B6" s="226" t="s">
        <v>217</v>
      </c>
      <c r="C6" s="226"/>
    </row>
    <row r="7" spans="2:9">
      <c r="B7" s="226" t="s">
        <v>218</v>
      </c>
      <c r="C7" s="226"/>
    </row>
    <row r="8" spans="2:9">
      <c r="B8" s="226" t="s">
        <v>219</v>
      </c>
      <c r="C8" s="226"/>
    </row>
    <row r="9" spans="2:9">
      <c r="B9" s="226" t="s">
        <v>220</v>
      </c>
      <c r="C9" s="226"/>
    </row>
    <row r="10" spans="2:9">
      <c r="B10" s="226" t="s">
        <v>221</v>
      </c>
      <c r="C10" s="226"/>
    </row>
    <row r="12" spans="2:9" s="228" customFormat="1">
      <c r="B12" s="222" t="s">
        <v>222</v>
      </c>
      <c r="C12" s="222"/>
    </row>
    <row r="14" spans="2:9" s="202" customFormat="1" ht="12.75" customHeight="1">
      <c r="E14" s="198" t="s">
        <v>3</v>
      </c>
    </row>
    <row r="15" spans="2:9" s="203" customFormat="1">
      <c r="B15" s="200" t="s">
        <v>149</v>
      </c>
      <c r="C15" s="200"/>
      <c r="D15" s="149"/>
      <c r="E15" s="149"/>
      <c r="F15" s="149"/>
      <c r="G15" s="149"/>
      <c r="H15" s="149"/>
      <c r="I15" s="149"/>
    </row>
    <row r="16" spans="2:9" s="203" customFormat="1">
      <c r="B16" s="203" t="s">
        <v>223</v>
      </c>
      <c r="D16" s="204" t="s">
        <v>129</v>
      </c>
      <c r="E16" s="205">
        <v>308710055</v>
      </c>
      <c r="F16" s="206"/>
      <c r="G16" s="203" t="s">
        <v>224</v>
      </c>
      <c r="H16" s="206"/>
      <c r="I16" s="206"/>
    </row>
    <row r="17" spans="2:11" s="203" customFormat="1">
      <c r="B17" s="204" t="s">
        <v>225</v>
      </c>
      <c r="C17" s="204"/>
      <c r="D17" s="204" t="s">
        <v>129</v>
      </c>
      <c r="E17" s="205">
        <v>277883906</v>
      </c>
      <c r="F17" s="206"/>
      <c r="G17" s="203" t="s">
        <v>226</v>
      </c>
      <c r="H17" s="206"/>
      <c r="I17" s="206"/>
    </row>
    <row r="18" spans="2:11" s="203" customFormat="1">
      <c r="B18" s="204"/>
      <c r="C18" s="204"/>
      <c r="E18" s="149"/>
      <c r="F18" s="149"/>
      <c r="G18" s="149"/>
      <c r="H18" s="149"/>
      <c r="I18" s="149"/>
    </row>
    <row r="19" spans="2:11" s="203" customFormat="1">
      <c r="B19" s="204" t="s">
        <v>227</v>
      </c>
      <c r="C19" s="204"/>
      <c r="D19" s="204" t="s">
        <v>129</v>
      </c>
      <c r="E19" s="207">
        <f>E16-E17</f>
        <v>30826149</v>
      </c>
      <c r="F19" s="206"/>
      <c r="H19" s="206"/>
      <c r="I19" s="206"/>
    </row>
    <row r="20" spans="2:11" s="203" customFormat="1">
      <c r="B20" s="204"/>
      <c r="C20" s="204"/>
      <c r="D20" s="204"/>
      <c r="E20" s="206"/>
      <c r="F20" s="206"/>
      <c r="H20" s="206"/>
      <c r="I20" s="206"/>
    </row>
    <row r="21" spans="2:11" s="203" customFormat="1">
      <c r="B21" s="200" t="s">
        <v>228</v>
      </c>
      <c r="C21" s="188" t="s">
        <v>280</v>
      </c>
      <c r="D21" s="206"/>
      <c r="E21" s="206"/>
      <c r="F21" s="206"/>
      <c r="H21" s="206"/>
      <c r="I21" s="206"/>
    </row>
    <row r="22" spans="2:11" s="203" customFormat="1">
      <c r="B22" s="204" t="s">
        <v>229</v>
      </c>
      <c r="C22" s="186" t="s">
        <v>281</v>
      </c>
      <c r="D22" s="204" t="s">
        <v>129</v>
      </c>
      <c r="E22" s="205">
        <v>69901.41</v>
      </c>
      <c r="F22" s="206"/>
      <c r="G22" s="203" t="s">
        <v>230</v>
      </c>
      <c r="H22" s="206"/>
      <c r="I22" s="206"/>
    </row>
    <row r="23" spans="2:11" s="203" customFormat="1">
      <c r="B23" s="204" t="s">
        <v>231</v>
      </c>
      <c r="C23" s="186" t="s">
        <v>281</v>
      </c>
      <c r="D23" s="204" t="s">
        <v>129</v>
      </c>
      <c r="E23" s="205">
        <v>-99472.584712091833</v>
      </c>
      <c r="F23" s="206"/>
      <c r="G23" s="203" t="s">
        <v>230</v>
      </c>
      <c r="H23" s="206"/>
      <c r="I23" s="206"/>
    </row>
    <row r="24" spans="2:11" s="203" customFormat="1">
      <c r="B24" s="204" t="s">
        <v>232</v>
      </c>
      <c r="C24" s="186" t="s">
        <v>283</v>
      </c>
      <c r="D24" s="204" t="s">
        <v>129</v>
      </c>
      <c r="E24" s="205">
        <v>-3470977.5087011047</v>
      </c>
      <c r="F24" s="206"/>
      <c r="G24" s="203" t="s">
        <v>241</v>
      </c>
      <c r="H24" s="206"/>
      <c r="I24" s="206"/>
      <c r="K24" s="201"/>
    </row>
    <row r="25" spans="2:11" s="203" customFormat="1">
      <c r="B25" s="204" t="s">
        <v>232</v>
      </c>
      <c r="C25" s="186" t="s">
        <v>282</v>
      </c>
      <c r="D25" s="204" t="s">
        <v>129</v>
      </c>
      <c r="E25" s="208">
        <f>'TI2011-2013'!J32</f>
        <v>-1169115.8680842631</v>
      </c>
      <c r="F25" s="206"/>
      <c r="H25" s="206"/>
      <c r="I25" s="206"/>
      <c r="K25" s="201"/>
    </row>
    <row r="26" spans="2:11" s="203" customFormat="1">
      <c r="D26" s="206"/>
      <c r="E26" s="206"/>
      <c r="F26" s="206"/>
      <c r="H26" s="206"/>
      <c r="I26" s="206"/>
    </row>
    <row r="27" spans="2:11" s="203" customFormat="1">
      <c r="B27" s="261" t="s">
        <v>47</v>
      </c>
      <c r="C27" s="221"/>
      <c r="D27" s="206"/>
      <c r="E27" s="207">
        <f>SUM(E22:E25)</f>
        <v>-4669664.5514974594</v>
      </c>
      <c r="F27" s="206"/>
      <c r="H27" s="206"/>
      <c r="I27" s="206"/>
    </row>
    <row r="28" spans="2:11" s="203" customFormat="1">
      <c r="B28" s="204"/>
      <c r="C28" s="221"/>
      <c r="D28" s="206"/>
      <c r="E28" s="206"/>
      <c r="F28" s="206"/>
      <c r="H28" s="206"/>
      <c r="I28" s="206"/>
    </row>
    <row r="29" spans="2:11" s="203" customFormat="1">
      <c r="B29" s="204" t="s">
        <v>233</v>
      </c>
      <c r="C29" s="221"/>
      <c r="D29" s="204" t="s">
        <v>129</v>
      </c>
      <c r="E29" s="205">
        <v>29571.17471209183</v>
      </c>
      <c r="F29" s="206"/>
      <c r="G29" s="203" t="s">
        <v>230</v>
      </c>
      <c r="H29" s="206"/>
      <c r="I29" s="206"/>
    </row>
    <row r="30" spans="2:11" s="203" customFormat="1">
      <c r="B30" s="204" t="s">
        <v>244</v>
      </c>
      <c r="C30" s="221"/>
      <c r="D30" s="204" t="s">
        <v>129</v>
      </c>
      <c r="E30" s="205">
        <v>3470977.5087011047</v>
      </c>
      <c r="F30" s="206"/>
      <c r="G30" s="203" t="s">
        <v>241</v>
      </c>
      <c r="H30" s="206"/>
      <c r="I30" s="206"/>
    </row>
    <row r="31" spans="2:11" s="203" customFormat="1">
      <c r="B31" s="204"/>
      <c r="C31" s="217"/>
      <c r="D31" s="206"/>
      <c r="E31" s="206"/>
      <c r="F31" s="206"/>
      <c r="H31" s="206"/>
      <c r="I31" s="206"/>
    </row>
    <row r="32" spans="2:11" s="226" customFormat="1">
      <c r="B32" s="261" t="s">
        <v>234</v>
      </c>
      <c r="C32" s="209"/>
      <c r="D32" s="204" t="s">
        <v>129</v>
      </c>
      <c r="E32" s="215">
        <f>IF(E27&gt;0,0,IF(ABS(E27)&gt;E19,E19-E29-E30,ABS(E27)-E29-E30))</f>
        <v>1169115.8680842631</v>
      </c>
      <c r="F32" s="233"/>
      <c r="G32" s="233"/>
      <c r="H32" s="233"/>
      <c r="I32" s="233"/>
    </row>
    <row r="33" spans="2:11" s="226" customFormat="1">
      <c r="B33" s="220"/>
      <c r="C33" s="220"/>
      <c r="D33" s="204"/>
      <c r="E33" s="233"/>
      <c r="F33" s="233"/>
      <c r="G33" s="233"/>
      <c r="H33" s="233"/>
      <c r="I33" s="233"/>
    </row>
    <row r="34" spans="2:11" s="228" customFormat="1">
      <c r="B34" s="222" t="s">
        <v>235</v>
      </c>
      <c r="C34" s="222"/>
    </row>
    <row r="36" spans="2:11" s="202" customFormat="1" ht="12.75" customHeight="1">
      <c r="E36" s="198" t="s">
        <v>3</v>
      </c>
    </row>
    <row r="37" spans="2:11" s="203" customFormat="1">
      <c r="B37" s="200" t="s">
        <v>150</v>
      </c>
      <c r="C37" s="200"/>
      <c r="D37" s="149"/>
      <c r="E37" s="149"/>
      <c r="F37" s="149"/>
      <c r="G37" s="149"/>
      <c r="H37" s="149"/>
      <c r="I37" s="149"/>
    </row>
    <row r="38" spans="2:11" s="203" customFormat="1">
      <c r="B38" s="203" t="s">
        <v>236</v>
      </c>
      <c r="D38" s="204" t="s">
        <v>11</v>
      </c>
      <c r="E38" s="205">
        <v>324120758</v>
      </c>
      <c r="F38" s="206"/>
      <c r="G38" s="203" t="s">
        <v>224</v>
      </c>
      <c r="H38" s="206"/>
      <c r="I38" s="206"/>
    </row>
    <row r="39" spans="2:11" s="203" customFormat="1">
      <c r="B39" s="204" t="s">
        <v>237</v>
      </c>
      <c r="C39" s="204"/>
      <c r="D39" s="204" t="s">
        <v>11</v>
      </c>
      <c r="E39" s="205">
        <v>314260384</v>
      </c>
      <c r="F39" s="206"/>
      <c r="G39" s="203" t="s">
        <v>226</v>
      </c>
      <c r="H39" s="206"/>
      <c r="I39" s="206"/>
    </row>
    <row r="40" spans="2:11" s="203" customFormat="1">
      <c r="B40" s="204"/>
      <c r="C40" s="204"/>
      <c r="D40" s="204"/>
      <c r="E40" s="204"/>
      <c r="F40" s="206"/>
      <c r="H40" s="206"/>
      <c r="I40" s="206"/>
    </row>
    <row r="41" spans="2:11" s="203" customFormat="1">
      <c r="B41" s="204" t="s">
        <v>238</v>
      </c>
      <c r="C41" s="204"/>
      <c r="D41" s="204" t="s">
        <v>11</v>
      </c>
      <c r="E41" s="207">
        <f>E38-E39</f>
        <v>9860374</v>
      </c>
      <c r="F41" s="206"/>
      <c r="H41" s="206"/>
      <c r="I41" s="206"/>
    </row>
    <row r="42" spans="2:11" s="203" customFormat="1">
      <c r="B42" s="204"/>
      <c r="C42" s="204"/>
      <c r="D42" s="206"/>
      <c r="E42" s="206"/>
      <c r="F42" s="206"/>
      <c r="H42" s="206"/>
      <c r="I42" s="206"/>
    </row>
    <row r="43" spans="2:11" s="203" customFormat="1">
      <c r="B43" s="200" t="s">
        <v>239</v>
      </c>
      <c r="C43" s="188" t="s">
        <v>284</v>
      </c>
      <c r="D43" s="206"/>
      <c r="E43" s="206"/>
      <c r="F43" s="206"/>
      <c r="H43" s="206"/>
      <c r="I43" s="206"/>
    </row>
    <row r="44" spans="2:11" s="203" customFormat="1">
      <c r="B44" s="204" t="s">
        <v>240</v>
      </c>
      <c r="C44" s="186" t="s">
        <v>283</v>
      </c>
      <c r="D44" s="204" t="s">
        <v>11</v>
      </c>
      <c r="E44" s="205">
        <v>672446.29956188286</v>
      </c>
      <c r="F44" s="206"/>
      <c r="G44" s="203" t="s">
        <v>241</v>
      </c>
      <c r="H44" s="206"/>
      <c r="I44" s="206"/>
      <c r="K44" s="201"/>
    </row>
    <row r="45" spans="2:11" s="203" customFormat="1">
      <c r="B45" s="218" t="s">
        <v>242</v>
      </c>
      <c r="C45" s="186" t="s">
        <v>283</v>
      </c>
      <c r="D45" s="204" t="s">
        <v>11</v>
      </c>
      <c r="E45" s="205">
        <v>-223853.22287988663</v>
      </c>
      <c r="F45" s="206"/>
      <c r="G45" s="203" t="s">
        <v>241</v>
      </c>
      <c r="H45" s="206"/>
      <c r="I45" s="206"/>
      <c r="K45" s="201"/>
    </row>
    <row r="46" spans="2:11" s="203" customFormat="1">
      <c r="B46" s="204" t="s">
        <v>243</v>
      </c>
      <c r="C46" s="186" t="s">
        <v>283</v>
      </c>
      <c r="D46" s="204" t="s">
        <v>11</v>
      </c>
      <c r="E46" s="205">
        <v>-5467038.8447551802</v>
      </c>
      <c r="F46" s="206"/>
      <c r="G46" s="203" t="s">
        <v>241</v>
      </c>
      <c r="H46" s="206"/>
      <c r="I46" s="206"/>
      <c r="K46" s="201"/>
    </row>
    <row r="47" spans="2:11" s="203" customFormat="1">
      <c r="B47" s="204" t="s">
        <v>243</v>
      </c>
      <c r="C47" s="186" t="s">
        <v>282</v>
      </c>
      <c r="D47" s="204" t="s">
        <v>11</v>
      </c>
      <c r="E47" s="208">
        <f>'TI2011-2013'!J33</f>
        <v>-1833495.2227457985</v>
      </c>
      <c r="F47" s="206"/>
      <c r="H47" s="206"/>
      <c r="I47" s="206"/>
      <c r="K47" s="201"/>
    </row>
    <row r="48" spans="2:11" s="203" customFormat="1">
      <c r="B48" s="204"/>
      <c r="C48" s="204"/>
      <c r="D48" s="206"/>
      <c r="E48" s="206"/>
      <c r="F48" s="206"/>
      <c r="H48" s="206"/>
      <c r="I48" s="206"/>
      <c r="K48" s="201"/>
    </row>
    <row r="49" spans="1:15" s="203" customFormat="1">
      <c r="B49" s="261" t="s">
        <v>47</v>
      </c>
      <c r="C49" s="219"/>
      <c r="D49" s="206"/>
      <c r="E49" s="207">
        <f>SUM(E44:E47)</f>
        <v>-6851940.9908189829</v>
      </c>
      <c r="F49" s="206"/>
      <c r="H49" s="206"/>
      <c r="I49" s="206"/>
    </row>
    <row r="50" spans="1:15" s="203" customFormat="1">
      <c r="B50" s="204"/>
      <c r="C50" s="221"/>
      <c r="D50" s="206"/>
      <c r="E50" s="206"/>
      <c r="F50" s="206"/>
      <c r="H50" s="206"/>
      <c r="I50" s="206"/>
    </row>
    <row r="51" spans="1:15" s="203" customFormat="1">
      <c r="B51" s="204" t="s">
        <v>244</v>
      </c>
      <c r="C51" s="186"/>
      <c r="D51" s="204" t="s">
        <v>11</v>
      </c>
      <c r="E51" s="205">
        <v>5018445.7680731844</v>
      </c>
      <c r="F51" s="206"/>
      <c r="G51" s="203" t="s">
        <v>241</v>
      </c>
      <c r="H51" s="206"/>
      <c r="I51" s="206"/>
    </row>
    <row r="52" spans="1:15" s="203" customFormat="1">
      <c r="B52" s="204"/>
      <c r="C52" s="221"/>
      <c r="D52" s="206"/>
      <c r="E52" s="206"/>
      <c r="F52" s="206"/>
      <c r="H52" s="206"/>
      <c r="I52" s="206"/>
    </row>
    <row r="53" spans="1:15" s="203" customFormat="1">
      <c r="A53" s="227"/>
      <c r="B53" s="261" t="s">
        <v>234</v>
      </c>
      <c r="C53" s="220"/>
      <c r="D53" s="204" t="s">
        <v>11</v>
      </c>
      <c r="E53" s="215">
        <f>IF(E49&gt;0,0,IF(ABS(E49)&gt;E41,E41-E51,ABS(E49)-E51))</f>
        <v>1833495.2227457985</v>
      </c>
      <c r="F53" s="206"/>
      <c r="H53" s="206"/>
      <c r="I53" s="206"/>
    </row>
    <row r="54" spans="1:15" s="226" customFormat="1">
      <c r="A54" s="227"/>
      <c r="B54" s="204"/>
      <c r="C54" s="204"/>
      <c r="D54" s="210"/>
      <c r="E54" s="210"/>
      <c r="F54" s="210"/>
      <c r="G54" s="210"/>
      <c r="H54" s="210"/>
      <c r="I54" s="210"/>
      <c r="J54" s="203"/>
      <c r="K54" s="203"/>
      <c r="L54" s="203"/>
      <c r="M54" s="203"/>
      <c r="N54" s="203"/>
      <c r="O54" s="203"/>
    </row>
    <row r="55" spans="1:15">
      <c r="B55" s="204"/>
      <c r="C55" s="204"/>
      <c r="D55" s="204"/>
      <c r="E55" s="204"/>
      <c r="F55" s="204"/>
      <c r="G55" s="204"/>
      <c r="H55" s="204"/>
      <c r="I55" s="204"/>
      <c r="J55" s="204"/>
      <c r="K55" s="204"/>
      <c r="L55" s="204"/>
      <c r="M55" s="204"/>
      <c r="N55" s="204"/>
      <c r="O55" s="204"/>
    </row>
    <row r="56" spans="1:15">
      <c r="B56" s="204"/>
      <c r="C56" s="204"/>
      <c r="D56" s="204"/>
      <c r="E56" s="204"/>
      <c r="F56" s="204"/>
      <c r="G56" s="204"/>
      <c r="H56" s="204"/>
      <c r="I56" s="204"/>
      <c r="J56" s="204"/>
      <c r="K56" s="204"/>
      <c r="L56" s="204"/>
      <c r="M56" s="204"/>
      <c r="N56" s="204"/>
      <c r="O56" s="204"/>
    </row>
    <row r="57" spans="1:15">
      <c r="B57" s="204"/>
      <c r="C57" s="204"/>
      <c r="D57" s="204"/>
      <c r="E57" s="204"/>
      <c r="F57" s="204"/>
      <c r="G57" s="204"/>
      <c r="H57" s="204"/>
      <c r="I57" s="204"/>
      <c r="J57" s="204"/>
      <c r="K57" s="204"/>
      <c r="L57" s="204"/>
      <c r="M57" s="204"/>
      <c r="N57" s="204"/>
      <c r="O57" s="204"/>
    </row>
  </sheetData>
  <pageMargins left="0.75" right="0.75" top="1" bottom="1" header="0.5" footer="0.5"/>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H83"/>
  <sheetViews>
    <sheetView showGridLines="0" zoomScale="85" workbookViewId="0"/>
  </sheetViews>
  <sheetFormatPr defaultRowHeight="12.75"/>
  <cols>
    <col min="1" max="1" width="4.140625" style="54" customWidth="1"/>
    <col min="2" max="2" width="24.85546875" style="54" customWidth="1"/>
    <col min="3" max="3" width="5.5703125" style="54" customWidth="1"/>
    <col min="4" max="4" width="17" style="54" customWidth="1"/>
    <col min="5" max="16384" width="9.140625" style="54"/>
  </cols>
  <sheetData>
    <row r="2" spans="1:7" s="66" customFormat="1" ht="18">
      <c r="B2" s="64" t="s">
        <v>27</v>
      </c>
      <c r="C2" s="65"/>
    </row>
    <row r="4" spans="1:7" s="56" customFormat="1">
      <c r="B4" s="55" t="s">
        <v>48</v>
      </c>
      <c r="C4" s="55"/>
    </row>
    <row r="6" spans="1:7">
      <c r="B6" s="62" t="s">
        <v>195</v>
      </c>
    </row>
    <row r="7" spans="1:7">
      <c r="B7" s="62"/>
    </row>
    <row r="8" spans="1:7">
      <c r="B8" s="67" t="s">
        <v>49</v>
      </c>
      <c r="D8" s="54">
        <v>2017</v>
      </c>
    </row>
    <row r="9" spans="1:7">
      <c r="D9" s="53"/>
      <c r="G9" s="57"/>
    </row>
    <row r="10" spans="1:7">
      <c r="A10" s="53"/>
      <c r="B10" s="54" t="s">
        <v>76</v>
      </c>
      <c r="D10" s="68">
        <f t="shared" ref="D10:D18" si="0">(1+D11)*(1+D24)-1</f>
        <v>0.41887080207704641</v>
      </c>
      <c r="F10" s="69"/>
      <c r="G10" s="57"/>
    </row>
    <row r="11" spans="1:7">
      <c r="A11" s="53"/>
      <c r="B11" s="54" t="s">
        <v>50</v>
      </c>
      <c r="D11" s="68">
        <f t="shared" si="0"/>
        <v>0.34906095266489889</v>
      </c>
      <c r="F11" s="69"/>
      <c r="G11" s="57"/>
    </row>
    <row r="12" spans="1:7">
      <c r="A12" s="53"/>
      <c r="B12" s="54" t="s">
        <v>51</v>
      </c>
      <c r="D12" s="68">
        <f t="shared" si="0"/>
        <v>0.2879192884723627</v>
      </c>
      <c r="F12" s="69"/>
      <c r="G12" s="57"/>
    </row>
    <row r="13" spans="1:7">
      <c r="A13" s="53"/>
      <c r="B13" s="54" t="s">
        <v>52</v>
      </c>
      <c r="D13" s="68">
        <f t="shared" si="0"/>
        <v>0.25574162612344753</v>
      </c>
      <c r="F13" s="69"/>
      <c r="G13" s="57"/>
    </row>
    <row r="14" spans="1:7">
      <c r="A14" s="53"/>
      <c r="B14" s="54" t="s">
        <v>53</v>
      </c>
      <c r="D14" s="68">
        <f t="shared" si="0"/>
        <v>0.22511378158385109</v>
      </c>
      <c r="F14" s="69"/>
      <c r="G14" s="57"/>
    </row>
    <row r="15" spans="1:7">
      <c r="A15" s="53"/>
      <c r="B15" s="54" t="s">
        <v>54</v>
      </c>
      <c r="D15" s="68">
        <f t="shared" si="0"/>
        <v>0.19261887688995905</v>
      </c>
      <c r="F15" s="69"/>
    </row>
    <row r="16" spans="1:7">
      <c r="A16" s="53"/>
      <c r="B16" s="54" t="s">
        <v>55</v>
      </c>
      <c r="D16" s="68">
        <f t="shared" si="0"/>
        <v>0.16141189915388909</v>
      </c>
      <c r="F16" s="69"/>
    </row>
    <row r="17" spans="1:6">
      <c r="A17" s="53"/>
      <c r="B17" s="54" t="s">
        <v>56</v>
      </c>
      <c r="D17" s="68">
        <f t="shared" si="0"/>
        <v>0.12486399999999875</v>
      </c>
    </row>
    <row r="18" spans="1:6">
      <c r="A18" s="53"/>
      <c r="B18" s="54" t="s">
        <v>57</v>
      </c>
      <c r="D18" s="68">
        <f t="shared" si="0"/>
        <v>8.1599999999999229E-2</v>
      </c>
    </row>
    <row r="19" spans="1:6">
      <c r="A19" s="53"/>
      <c r="B19" s="54" t="s">
        <v>188</v>
      </c>
      <c r="D19" s="68">
        <f>D33</f>
        <v>3.9999999999999591E-2</v>
      </c>
    </row>
    <row r="21" spans="1:6" s="56" customFormat="1">
      <c r="B21" s="55" t="s">
        <v>58</v>
      </c>
      <c r="C21" s="55"/>
    </row>
    <row r="24" spans="1:6">
      <c r="A24" s="53"/>
      <c r="B24" s="70" t="s">
        <v>59</v>
      </c>
      <c r="C24" s="70"/>
      <c r="D24" s="12">
        <f>(1+D47)^0.25*(1+D46)^0.25*(1+D45)^0.25*(1+D44)^0.25-1</f>
        <v>5.174699428832108E-2</v>
      </c>
      <c r="F24" s="69"/>
    </row>
    <row r="25" spans="1:6">
      <c r="A25" s="53"/>
      <c r="B25" s="54" t="s">
        <v>60</v>
      </c>
      <c r="D25" s="12">
        <f>(1+D51)^0.25*(1+D50)^0.25*(1+D49)^0.25*(1+D48)^0.25-1</f>
        <v>4.7473211046523023E-2</v>
      </c>
      <c r="F25" s="69"/>
    </row>
    <row r="26" spans="1:6">
      <c r="A26" s="53"/>
      <c r="B26" s="54" t="s">
        <v>61</v>
      </c>
      <c r="D26" s="12">
        <f>(1+D52)^0.25*(1+D53)^0.25*(1+D54)^0.25*(1+D55)^0.25-1</f>
        <v>2.5624429165615581E-2</v>
      </c>
      <c r="F26" s="69"/>
    </row>
    <row r="27" spans="1:6">
      <c r="A27" s="53"/>
      <c r="B27" s="54" t="s">
        <v>62</v>
      </c>
      <c r="D27" s="12">
        <f>(1+D56)^0.25*(1+D57)^0.25*(1+D58)^0.25*(1+D59)^0.25-1</f>
        <v>2.5000000000000133E-2</v>
      </c>
      <c r="F27" s="69"/>
    </row>
    <row r="28" spans="1:6">
      <c r="A28" s="53"/>
      <c r="B28" s="54" t="s">
        <v>63</v>
      </c>
      <c r="C28" s="71"/>
      <c r="D28" s="12">
        <f>(1+D60)^0.25*(1+D61)^0.25*(1+D62)^0.25*(1+D63)^0.25-1</f>
        <v>2.7246679826693931E-2</v>
      </c>
      <c r="F28" s="69"/>
    </row>
    <row r="29" spans="1:6">
      <c r="A29" s="53"/>
      <c r="B29" s="54" t="s">
        <v>64</v>
      </c>
      <c r="C29" s="71"/>
      <c r="D29" s="13">
        <f>(1+D64)^0.25*(1+D65)^0.25*(1+D66)^0.25*(1+D67)^0.25-1</f>
        <v>2.6869862241643006E-2</v>
      </c>
      <c r="F29" s="69"/>
    </row>
    <row r="30" spans="1:6">
      <c r="A30" s="53"/>
      <c r="B30" s="54" t="s">
        <v>65</v>
      </c>
      <c r="C30" s="71"/>
      <c r="D30" s="13">
        <f>(1+D68)^0.25*(1+D69)^0.25*(1+D70)^0.25*(1+D71)^0.25-1</f>
        <v>3.2490949264880387E-2</v>
      </c>
      <c r="F30" s="69"/>
    </row>
    <row r="31" spans="1:6">
      <c r="A31" s="53"/>
      <c r="B31" s="54" t="s">
        <v>66</v>
      </c>
      <c r="D31" s="13">
        <f>(1+D72)^0.25*(1+D73)^0.25*(1+D74)^0.25*(1+D75)^0.25-1</f>
        <v>3.9999999999999591E-2</v>
      </c>
    </row>
    <row r="32" spans="1:6">
      <c r="A32" s="53"/>
      <c r="B32" s="54" t="s">
        <v>29</v>
      </c>
      <c r="D32" s="13">
        <f>(1+D76)^0.25*(1+D77)^0.25*(1+D78)^0.25*(1+D79)^0.25-1</f>
        <v>3.9999999999999591E-2</v>
      </c>
    </row>
    <row r="33" spans="1:8">
      <c r="A33" s="53"/>
      <c r="B33" s="54" t="s">
        <v>187</v>
      </c>
      <c r="D33" s="13">
        <f>(1+D77)^0.25*(1+D78)^0.25*(1+D79)^0.25*(1+D80)^0.25-1</f>
        <v>3.9999999999999591E-2</v>
      </c>
    </row>
    <row r="35" spans="1:8" s="56" customFormat="1">
      <c r="B35" s="55" t="s">
        <v>68</v>
      </c>
      <c r="C35" s="55"/>
    </row>
    <row r="37" spans="1:8">
      <c r="A37" s="53"/>
      <c r="B37" s="54" t="s">
        <v>67</v>
      </c>
    </row>
    <row r="38" spans="1:8">
      <c r="A38" s="53"/>
      <c r="B38" s="72" t="s">
        <v>113</v>
      </c>
    </row>
    <row r="39" spans="1:8">
      <c r="A39" s="53"/>
      <c r="B39" s="72" t="s">
        <v>77</v>
      </c>
    </row>
    <row r="40" spans="1:8">
      <c r="A40" s="53"/>
      <c r="B40" s="72"/>
    </row>
    <row r="41" spans="1:8">
      <c r="A41" s="53"/>
      <c r="B41" s="54" t="s">
        <v>114</v>
      </c>
    </row>
    <row r="42" spans="1:8">
      <c r="A42" s="53"/>
      <c r="B42" s="73"/>
    </row>
    <row r="43" spans="1:8">
      <c r="A43" s="53"/>
      <c r="B43" s="73"/>
    </row>
    <row r="44" spans="1:8">
      <c r="A44" s="53"/>
      <c r="B44" s="74">
        <v>39264</v>
      </c>
      <c r="C44" s="75"/>
      <c r="D44" s="76">
        <v>5.2499999999999998E-2</v>
      </c>
      <c r="H44" s="133"/>
    </row>
    <row r="45" spans="1:8">
      <c r="A45" s="53"/>
      <c r="B45" s="77">
        <v>39356</v>
      </c>
      <c r="C45" s="75"/>
      <c r="D45" s="76">
        <v>5.3999999999999999E-2</v>
      </c>
      <c r="H45" s="133"/>
    </row>
    <row r="46" spans="1:8">
      <c r="A46" s="53"/>
      <c r="B46" s="77">
        <v>39448</v>
      </c>
      <c r="C46" s="75"/>
      <c r="D46" s="76">
        <v>5.2999999999999999E-2</v>
      </c>
      <c r="H46" s="133"/>
    </row>
    <row r="47" spans="1:8">
      <c r="A47" s="53"/>
      <c r="B47" s="77">
        <v>39539</v>
      </c>
      <c r="C47" s="75"/>
      <c r="D47" s="76">
        <v>4.7500000000000001E-2</v>
      </c>
      <c r="H47" s="133"/>
    </row>
    <row r="48" spans="1:8">
      <c r="A48" s="53"/>
      <c r="B48" s="77">
        <v>39630</v>
      </c>
      <c r="C48" s="75"/>
      <c r="D48" s="76">
        <v>5.1499999999999997E-2</v>
      </c>
      <c r="H48" s="133"/>
    </row>
    <row r="49" spans="1:8">
      <c r="A49" s="53"/>
      <c r="B49" s="77">
        <v>39722</v>
      </c>
      <c r="C49" s="75"/>
      <c r="D49" s="76">
        <v>5.45E-2</v>
      </c>
      <c r="H49" s="133"/>
    </row>
    <row r="50" spans="1:8">
      <c r="A50" s="53"/>
      <c r="B50" s="77">
        <v>39814</v>
      </c>
      <c r="C50" s="75"/>
      <c r="D50" s="76">
        <v>4.9000000000000002E-2</v>
      </c>
      <c r="H50" s="133"/>
    </row>
    <row r="51" spans="1:8">
      <c r="A51" s="53"/>
      <c r="B51" s="77">
        <v>39904</v>
      </c>
      <c r="C51" s="75"/>
      <c r="D51" s="76">
        <v>3.5000000000000003E-2</v>
      </c>
      <c r="H51" s="133"/>
    </row>
    <row r="52" spans="1:8">
      <c r="A52" s="53"/>
      <c r="B52" s="77">
        <v>39995</v>
      </c>
      <c r="C52" s="75"/>
      <c r="D52" s="76">
        <v>2.75E-2</v>
      </c>
      <c r="H52" s="133"/>
    </row>
    <row r="53" spans="1:8">
      <c r="A53" s="53"/>
      <c r="B53" s="77">
        <v>40087</v>
      </c>
      <c r="C53" s="75"/>
      <c r="D53" s="76">
        <v>2.5000000000000001E-2</v>
      </c>
      <c r="H53" s="133"/>
    </row>
    <row r="54" spans="1:8">
      <c r="A54" s="53"/>
      <c r="B54" s="77">
        <v>40179</v>
      </c>
      <c r="C54" s="75"/>
      <c r="D54" s="76">
        <v>2.5000000000000001E-2</v>
      </c>
      <c r="H54" s="133"/>
    </row>
    <row r="55" spans="1:8">
      <c r="A55" s="53"/>
      <c r="B55" s="77">
        <v>40269</v>
      </c>
      <c r="C55" s="75"/>
      <c r="D55" s="76">
        <v>2.5000000000000001E-2</v>
      </c>
      <c r="H55" s="133"/>
    </row>
    <row r="56" spans="1:8">
      <c r="A56" s="53"/>
      <c r="B56" s="77">
        <v>40360</v>
      </c>
      <c r="C56" s="75"/>
      <c r="D56" s="76">
        <v>2.5000000000000001E-2</v>
      </c>
      <c r="H56" s="133"/>
    </row>
    <row r="57" spans="1:8">
      <c r="A57" s="53"/>
      <c r="B57" s="77">
        <v>40452</v>
      </c>
      <c r="C57" s="75"/>
      <c r="D57" s="76">
        <v>2.5000000000000001E-2</v>
      </c>
      <c r="H57" s="133"/>
    </row>
    <row r="58" spans="1:8">
      <c r="A58" s="53"/>
      <c r="B58" s="77">
        <v>40544</v>
      </c>
      <c r="C58" s="75"/>
      <c r="D58" s="76">
        <v>2.5000000000000001E-2</v>
      </c>
      <c r="H58" s="133"/>
    </row>
    <row r="59" spans="1:8">
      <c r="A59" s="53"/>
      <c r="B59" s="77">
        <v>40634</v>
      </c>
      <c r="C59" s="75"/>
      <c r="D59" s="76">
        <v>2.5000000000000001E-2</v>
      </c>
      <c r="H59" s="133"/>
    </row>
    <row r="60" spans="1:8">
      <c r="A60" s="53"/>
      <c r="B60" s="77">
        <v>40725</v>
      </c>
      <c r="C60" s="75"/>
      <c r="D60" s="76">
        <v>2.75E-2</v>
      </c>
      <c r="H60" s="133"/>
    </row>
    <row r="61" spans="1:8">
      <c r="A61" s="53"/>
      <c r="B61" s="77">
        <v>40817</v>
      </c>
      <c r="C61" s="75"/>
      <c r="D61" s="78">
        <v>0.03</v>
      </c>
      <c r="H61" s="133"/>
    </row>
    <row r="62" spans="1:8">
      <c r="A62" s="53"/>
      <c r="B62" s="77">
        <v>40909</v>
      </c>
      <c r="C62" s="71"/>
      <c r="D62" s="76">
        <v>2.8500000000000001E-2</v>
      </c>
      <c r="H62" s="133"/>
    </row>
    <row r="63" spans="1:8">
      <c r="A63" s="53"/>
      <c r="B63" s="77">
        <v>41000</v>
      </c>
      <c r="C63" s="71"/>
      <c r="D63" s="76">
        <v>2.3E-2</v>
      </c>
      <c r="H63" s="133"/>
    </row>
    <row r="64" spans="1:8">
      <c r="A64" s="53"/>
      <c r="B64" s="77">
        <v>41091</v>
      </c>
      <c r="C64" s="71"/>
      <c r="D64" s="76">
        <v>2.5000000000000001E-2</v>
      </c>
      <c r="H64" s="133"/>
    </row>
    <row r="65" spans="1:8">
      <c r="A65" s="53"/>
      <c r="B65" s="77">
        <v>41183</v>
      </c>
      <c r="C65" s="71"/>
      <c r="D65" s="76">
        <v>2.2499999999999999E-2</v>
      </c>
      <c r="H65" s="133"/>
    </row>
    <row r="66" spans="1:8">
      <c r="A66" s="53"/>
      <c r="B66" s="77">
        <v>41275</v>
      </c>
      <c r="C66" s="71"/>
      <c r="D66" s="79">
        <v>0.03</v>
      </c>
      <c r="H66" s="133"/>
    </row>
    <row r="67" spans="1:8">
      <c r="A67" s="53"/>
      <c r="B67" s="74">
        <v>41365</v>
      </c>
      <c r="C67" s="71"/>
      <c r="D67" s="79">
        <v>0.03</v>
      </c>
      <c r="H67" s="133"/>
    </row>
    <row r="68" spans="1:8">
      <c r="A68" s="53"/>
      <c r="B68" s="74">
        <v>41456</v>
      </c>
      <c r="D68" s="79">
        <v>0.03</v>
      </c>
      <c r="H68" s="133"/>
    </row>
    <row r="69" spans="1:8">
      <c r="A69" s="53"/>
      <c r="B69" s="77">
        <v>41548</v>
      </c>
      <c r="D69" s="79">
        <v>0.03</v>
      </c>
      <c r="H69" s="133"/>
    </row>
    <row r="70" spans="1:8">
      <c r="A70" s="53"/>
      <c r="B70" s="77">
        <v>41640</v>
      </c>
      <c r="D70" s="79">
        <v>0.03</v>
      </c>
      <c r="H70" s="133"/>
    </row>
    <row r="71" spans="1:8">
      <c r="A71" s="53"/>
      <c r="B71" s="77">
        <v>41730</v>
      </c>
      <c r="D71" s="79">
        <v>0.04</v>
      </c>
      <c r="H71" s="133"/>
    </row>
    <row r="72" spans="1:8">
      <c r="A72" s="53"/>
      <c r="B72" s="77">
        <v>41821</v>
      </c>
      <c r="D72" s="79">
        <v>0.04</v>
      </c>
      <c r="H72" s="133"/>
    </row>
    <row r="73" spans="1:8">
      <c r="A73" s="53"/>
      <c r="B73" s="77">
        <v>41913</v>
      </c>
      <c r="D73" s="79">
        <v>0.04</v>
      </c>
      <c r="H73" s="133"/>
    </row>
    <row r="74" spans="1:8">
      <c r="A74" s="53"/>
      <c r="B74" s="77">
        <v>42005</v>
      </c>
      <c r="D74" s="79">
        <v>0.04</v>
      </c>
      <c r="H74" s="133"/>
    </row>
    <row r="75" spans="1:8">
      <c r="A75" s="53"/>
      <c r="B75" s="77">
        <v>42095</v>
      </c>
      <c r="D75" s="79">
        <v>0.04</v>
      </c>
      <c r="H75" s="133"/>
    </row>
    <row r="76" spans="1:8">
      <c r="A76" s="53"/>
      <c r="B76" s="77">
        <v>42186</v>
      </c>
      <c r="D76" s="79">
        <v>0.04</v>
      </c>
      <c r="H76" s="133"/>
    </row>
    <row r="77" spans="1:8">
      <c r="A77" s="53"/>
      <c r="B77" s="77">
        <v>42278</v>
      </c>
      <c r="D77" s="79">
        <v>0.04</v>
      </c>
      <c r="H77" s="133"/>
    </row>
    <row r="78" spans="1:8">
      <c r="A78" s="53"/>
      <c r="B78" s="77">
        <v>42370</v>
      </c>
      <c r="D78" s="79">
        <v>0.04</v>
      </c>
      <c r="H78" s="133"/>
    </row>
    <row r="79" spans="1:8">
      <c r="A79" s="53"/>
      <c r="B79" s="77">
        <v>42461</v>
      </c>
      <c r="D79" s="79">
        <v>0.04</v>
      </c>
      <c r="H79" s="133"/>
    </row>
    <row r="80" spans="1:8">
      <c r="B80" s="77">
        <v>42552</v>
      </c>
      <c r="D80" s="79">
        <v>0.04</v>
      </c>
    </row>
    <row r="81" spans="2:4">
      <c r="B81" s="77">
        <v>42644</v>
      </c>
      <c r="D81" s="79">
        <v>0.04</v>
      </c>
    </row>
    <row r="82" spans="2:4">
      <c r="B82" s="77">
        <v>42736</v>
      </c>
      <c r="D82" s="80">
        <f>D81</f>
        <v>0.04</v>
      </c>
    </row>
    <row r="83" spans="2:4">
      <c r="B83" s="77">
        <v>42826</v>
      </c>
      <c r="D83" s="80">
        <f>D81</f>
        <v>0.04</v>
      </c>
    </row>
  </sheetData>
  <pageMargins left="0.75" right="0.75" top="1" bottom="1" header="0.5" footer="0.5"/>
  <pageSetup paperSize="9" scale="3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2:W49"/>
  <sheetViews>
    <sheetView showGridLines="0" zoomScale="85" workbookViewId="0"/>
  </sheetViews>
  <sheetFormatPr defaultRowHeight="12.75"/>
  <cols>
    <col min="1" max="1" width="4.28515625" style="84" customWidth="1"/>
    <col min="2" max="2" width="13.85546875" style="84" customWidth="1"/>
    <col min="3" max="3" width="12.7109375" style="84" customWidth="1"/>
    <col min="4" max="16384" width="9.140625" style="84"/>
  </cols>
  <sheetData>
    <row r="2" spans="1:6" s="82" customFormat="1" ht="18">
      <c r="B2" s="81" t="s">
        <v>69</v>
      </c>
    </row>
    <row r="4" spans="1:6" s="83" customFormat="1">
      <c r="B4" s="55" t="s">
        <v>70</v>
      </c>
    </row>
    <row r="6" spans="1:6">
      <c r="A6" s="86"/>
      <c r="B6" s="84" t="s">
        <v>115</v>
      </c>
    </row>
    <row r="7" spans="1:6">
      <c r="A7" s="86"/>
      <c r="B7" s="54" t="s">
        <v>121</v>
      </c>
    </row>
    <row r="8" spans="1:6">
      <c r="A8" s="86"/>
    </row>
    <row r="9" spans="1:6">
      <c r="A9" s="86"/>
      <c r="C9" s="84" t="s">
        <v>69</v>
      </c>
    </row>
    <row r="10" spans="1:6">
      <c r="A10" s="86"/>
      <c r="B10" s="84">
        <v>2007</v>
      </c>
      <c r="C10" s="85">
        <v>1.4E-2</v>
      </c>
      <c r="F10" s="134"/>
    </row>
    <row r="11" spans="1:6">
      <c r="A11" s="86"/>
      <c r="B11" s="84">
        <v>2008</v>
      </c>
      <c r="C11" s="85">
        <v>1.0999999999999999E-2</v>
      </c>
      <c r="F11" s="134"/>
    </row>
    <row r="12" spans="1:6">
      <c r="A12" s="86"/>
      <c r="B12" s="84">
        <v>2009</v>
      </c>
      <c r="C12" s="85">
        <v>3.2000000000000001E-2</v>
      </c>
      <c r="F12" s="134"/>
    </row>
    <row r="13" spans="1:6">
      <c r="A13" s="86"/>
      <c r="B13" s="84">
        <v>2010</v>
      </c>
      <c r="C13" s="85">
        <v>3.0000000000000001E-3</v>
      </c>
      <c r="F13" s="134"/>
    </row>
    <row r="14" spans="1:6">
      <c r="A14" s="86"/>
      <c r="B14" s="84">
        <v>2011</v>
      </c>
      <c r="C14" s="85">
        <v>1.4999999999999999E-2</v>
      </c>
      <c r="F14" s="134"/>
    </row>
    <row r="15" spans="1:6">
      <c r="A15" s="86"/>
      <c r="B15" s="84">
        <v>2012</v>
      </c>
      <c r="C15" s="85">
        <v>2.5999999999999999E-2</v>
      </c>
      <c r="F15" s="134"/>
    </row>
    <row r="16" spans="1:6">
      <c r="A16" s="86"/>
      <c r="B16" s="84">
        <v>2013</v>
      </c>
      <c r="C16" s="85">
        <v>2.3E-2</v>
      </c>
      <c r="F16" s="134"/>
    </row>
    <row r="17" spans="1:14">
      <c r="A17" s="86"/>
      <c r="B17" s="84">
        <v>2014</v>
      </c>
      <c r="C17" s="85">
        <v>2.8000000000000001E-2</v>
      </c>
      <c r="F17" s="134"/>
    </row>
    <row r="18" spans="1:14">
      <c r="A18" s="86"/>
      <c r="B18" s="84">
        <v>2015</v>
      </c>
      <c r="C18" s="78">
        <v>0.01</v>
      </c>
      <c r="F18" s="134"/>
    </row>
    <row r="19" spans="1:14">
      <c r="A19" s="86"/>
      <c r="B19" s="84">
        <v>2016</v>
      </c>
      <c r="C19" s="78">
        <v>8.0000000000000002E-3</v>
      </c>
      <c r="F19" s="134"/>
    </row>
    <row r="20" spans="1:14" s="197" customFormat="1">
      <c r="A20" s="190"/>
      <c r="B20" s="197">
        <v>2017</v>
      </c>
      <c r="C20" s="246">
        <v>2E-3</v>
      </c>
      <c r="F20" s="134"/>
    </row>
    <row r="23" spans="1:14" s="83" customFormat="1">
      <c r="B23" s="55" t="s">
        <v>71</v>
      </c>
    </row>
    <row r="25" spans="1:14">
      <c r="C25" s="84" t="s">
        <v>72</v>
      </c>
      <c r="D25" s="84">
        <v>2006</v>
      </c>
      <c r="E25" s="84">
        <v>2007</v>
      </c>
      <c r="F25" s="84">
        <v>2008</v>
      </c>
      <c r="G25" s="84">
        <v>2009</v>
      </c>
      <c r="H25" s="84">
        <v>2010</v>
      </c>
      <c r="I25" s="84">
        <v>2011</v>
      </c>
      <c r="J25" s="84">
        <v>2012</v>
      </c>
      <c r="K25" s="84">
        <v>2013</v>
      </c>
      <c r="L25" s="84">
        <v>2014</v>
      </c>
      <c r="M25" s="84">
        <v>2015</v>
      </c>
    </row>
    <row r="26" spans="1:14">
      <c r="B26" s="84" t="s">
        <v>73</v>
      </c>
    </row>
    <row r="27" spans="1:14">
      <c r="A27" s="86"/>
      <c r="B27" s="84">
        <v>2007</v>
      </c>
      <c r="C27" s="86"/>
      <c r="D27" s="87">
        <f>C10</f>
        <v>1.4E-2</v>
      </c>
      <c r="E27" s="88"/>
      <c r="F27" s="88"/>
      <c r="G27" s="88"/>
      <c r="H27" s="88"/>
      <c r="I27" s="88"/>
      <c r="J27" s="88"/>
      <c r="K27" s="88"/>
      <c r="L27" s="88"/>
      <c r="M27" s="88"/>
      <c r="N27" s="88"/>
    </row>
    <row r="28" spans="1:14">
      <c r="A28" s="86"/>
      <c r="B28" s="84">
        <v>2008</v>
      </c>
      <c r="C28" s="86"/>
      <c r="D28" s="87">
        <f t="shared" ref="D28:D34" si="0">(1+D27)*(1+C11)-1</f>
        <v>2.5153999999999899E-2</v>
      </c>
      <c r="E28" s="87">
        <f>C11</f>
        <v>1.0999999999999999E-2</v>
      </c>
      <c r="F28" s="88"/>
      <c r="G28" s="88"/>
      <c r="H28" s="88"/>
      <c r="I28" s="88"/>
      <c r="J28" s="88"/>
      <c r="K28" s="88"/>
      <c r="L28" s="88"/>
      <c r="M28" s="88"/>
      <c r="N28" s="88"/>
    </row>
    <row r="29" spans="1:14">
      <c r="A29" s="86"/>
      <c r="B29" s="84">
        <v>2009</v>
      </c>
      <c r="C29" s="86"/>
      <c r="D29" s="87">
        <f t="shared" si="0"/>
        <v>5.795892799999991E-2</v>
      </c>
      <c r="E29" s="87">
        <f t="shared" ref="E29:E34" si="1">(1+E28)*(1+C12)-1</f>
        <v>4.3351999999999835E-2</v>
      </c>
      <c r="F29" s="87">
        <f>C12</f>
        <v>3.2000000000000001E-2</v>
      </c>
      <c r="G29" s="88"/>
      <c r="H29" s="88"/>
      <c r="I29" s="88"/>
      <c r="J29" s="88"/>
      <c r="K29" s="88"/>
      <c r="L29" s="88"/>
      <c r="M29" s="88"/>
      <c r="N29" s="88"/>
    </row>
    <row r="30" spans="1:14">
      <c r="A30" s="86"/>
      <c r="B30" s="84">
        <v>2010</v>
      </c>
      <c r="C30" s="86"/>
      <c r="D30" s="87">
        <f t="shared" si="0"/>
        <v>6.113280478399985E-2</v>
      </c>
      <c r="E30" s="87">
        <f t="shared" si="1"/>
        <v>4.6482055999999661E-2</v>
      </c>
      <c r="F30" s="87">
        <f>(1+F29)*(1+C13)-1</f>
        <v>3.5096000000000016E-2</v>
      </c>
      <c r="G30" s="87">
        <f>C13</f>
        <v>3.0000000000000001E-3</v>
      </c>
      <c r="H30" s="88"/>
      <c r="I30" s="88"/>
      <c r="J30" s="88"/>
      <c r="K30" s="88"/>
      <c r="L30" s="88"/>
      <c r="M30" s="88"/>
      <c r="N30" s="88"/>
    </row>
    <row r="31" spans="1:14">
      <c r="A31" s="86"/>
      <c r="B31" s="84">
        <v>2011</v>
      </c>
      <c r="C31" s="86"/>
      <c r="D31" s="87">
        <f t="shared" si="0"/>
        <v>7.7049796855759745E-2</v>
      </c>
      <c r="E31" s="87">
        <f t="shared" si="1"/>
        <v>6.2179286839999515E-2</v>
      </c>
      <c r="F31" s="87">
        <f>(1+F30)*(1+C14)-1</f>
        <v>5.0622439999999935E-2</v>
      </c>
      <c r="G31" s="87">
        <f>(1+G30)*(1+C14)-1</f>
        <v>1.8044999999999867E-2</v>
      </c>
      <c r="H31" s="87">
        <f>C14</f>
        <v>1.4999999999999999E-2</v>
      </c>
      <c r="I31" s="88"/>
      <c r="J31" s="88"/>
      <c r="K31" s="88"/>
      <c r="L31" s="88"/>
      <c r="M31" s="88"/>
      <c r="N31" s="88"/>
    </row>
    <row r="32" spans="1:14">
      <c r="A32" s="86"/>
      <c r="B32" s="84">
        <v>2012</v>
      </c>
      <c r="C32" s="86"/>
      <c r="D32" s="87">
        <f t="shared" si="0"/>
        <v>0.10505309157400955</v>
      </c>
      <c r="E32" s="87">
        <f t="shared" si="1"/>
        <v>8.9795948297839434E-2</v>
      </c>
      <c r="F32" s="87">
        <f>(1+F31)*(1+C15)-1</f>
        <v>7.793862343999991E-2</v>
      </c>
      <c r="G32" s="87">
        <f>(1+G31)*(1+C15)-1</f>
        <v>4.4514169999999798E-2</v>
      </c>
      <c r="H32" s="87">
        <f>(1+H31)*(1+C15)-1</f>
        <v>4.1389999999999816E-2</v>
      </c>
      <c r="I32" s="87">
        <f>C15</f>
        <v>2.5999999999999999E-2</v>
      </c>
      <c r="J32" s="89"/>
      <c r="K32" s="89"/>
      <c r="L32" s="89"/>
      <c r="M32" s="89"/>
      <c r="N32" s="88"/>
    </row>
    <row r="33" spans="1:23">
      <c r="A33" s="86"/>
      <c r="B33" s="84">
        <v>2013</v>
      </c>
      <c r="C33" s="90"/>
      <c r="D33" s="87">
        <f t="shared" si="0"/>
        <v>0.13046931268021167</v>
      </c>
      <c r="E33" s="87">
        <f t="shared" si="1"/>
        <v>0.11486125510868961</v>
      </c>
      <c r="F33" s="87">
        <f>(1+F32)*(1+C16)-1</f>
        <v>0.1027312117791197</v>
      </c>
      <c r="G33" s="87">
        <f>(1+G32)*(1+C16)-1</f>
        <v>6.8537995909999649E-2</v>
      </c>
      <c r="H33" s="87">
        <f>(1+H32)*(1+C16)-1</f>
        <v>6.5341969999999749E-2</v>
      </c>
      <c r="I33" s="87">
        <f>(1+I32)*(1+C16)-1</f>
        <v>4.9598000000000031E-2</v>
      </c>
      <c r="J33" s="87">
        <f>C16</f>
        <v>2.3E-2</v>
      </c>
      <c r="K33" s="89"/>
      <c r="L33" s="89"/>
      <c r="M33" s="89"/>
      <c r="N33" s="88"/>
    </row>
    <row r="34" spans="1:23">
      <c r="A34" s="86"/>
      <c r="B34" s="84">
        <v>2014</v>
      </c>
      <c r="D34" s="87">
        <f t="shared" si="0"/>
        <v>0.16212245343525766</v>
      </c>
      <c r="E34" s="87">
        <f t="shared" si="1"/>
        <v>0.14607737025173284</v>
      </c>
      <c r="F34" s="87">
        <f>(1+F33)*(1+C17)-1</f>
        <v>0.133607685708935</v>
      </c>
      <c r="G34" s="87">
        <f>(1+G33)*(1+C17)-1</f>
        <v>9.8457059795479696E-2</v>
      </c>
      <c r="H34" s="87">
        <f>(1+H33)*(1+C17)-1</f>
        <v>9.5171545159999704E-2</v>
      </c>
      <c r="I34" s="87">
        <f>(1+I33)*(1+C17)-1</f>
        <v>7.8986744000000053E-2</v>
      </c>
      <c r="J34" s="87">
        <f>(1+J33)*(1+C17)-1</f>
        <v>5.1644000000000023E-2</v>
      </c>
      <c r="K34" s="87">
        <f>C17</f>
        <v>2.8000000000000001E-2</v>
      </c>
      <c r="L34" s="88"/>
      <c r="M34" s="88"/>
      <c r="N34" s="88"/>
    </row>
    <row r="35" spans="1:23">
      <c r="A35" s="86"/>
      <c r="B35" s="84">
        <v>2015</v>
      </c>
      <c r="D35" s="87">
        <f>(1+D34)*(1+$C$18)-1</f>
        <v>0.17374367796961021</v>
      </c>
      <c r="E35" s="87">
        <f t="shared" ref="E35:K35" si="2">(1+E34)*(1+$C$18)-1</f>
        <v>0.15753814395425025</v>
      </c>
      <c r="F35" s="87">
        <f t="shared" si="2"/>
        <v>0.14494376256602437</v>
      </c>
      <c r="G35" s="87">
        <f t="shared" si="2"/>
        <v>0.10944163039343446</v>
      </c>
      <c r="H35" s="87">
        <f t="shared" si="2"/>
        <v>0.1061232606115996</v>
      </c>
      <c r="I35" s="87">
        <f t="shared" si="2"/>
        <v>8.9776611440000043E-2</v>
      </c>
      <c r="J35" s="87">
        <f t="shared" si="2"/>
        <v>6.2160439999999983E-2</v>
      </c>
      <c r="K35" s="87">
        <f t="shared" si="2"/>
        <v>3.8280000000000092E-2</v>
      </c>
      <c r="L35" s="87">
        <f>$C$18</f>
        <v>0.01</v>
      </c>
      <c r="M35" s="88"/>
      <c r="N35" s="88"/>
    </row>
    <row r="36" spans="1:23">
      <c r="A36" s="86"/>
      <c r="B36" s="84">
        <v>2016</v>
      </c>
      <c r="D36" s="87">
        <f>(1+D35)*(1+$C$19)-1</f>
        <v>0.18313362739336703</v>
      </c>
      <c r="E36" s="87">
        <f t="shared" ref="E36:L36" si="3">(1+E35)*(1+$C$19)-1</f>
        <v>0.16679844910588426</v>
      </c>
      <c r="F36" s="87">
        <f t="shared" si="3"/>
        <v>0.15410331266655253</v>
      </c>
      <c r="G36" s="87">
        <f t="shared" si="3"/>
        <v>0.11831716343658205</v>
      </c>
      <c r="H36" s="87">
        <f t="shared" si="3"/>
        <v>0.11497224669649242</v>
      </c>
      <c r="I36" s="87">
        <f t="shared" si="3"/>
        <v>9.8494824331520014E-2</v>
      </c>
      <c r="J36" s="87">
        <f t="shared" si="3"/>
        <v>7.0657723519999882E-2</v>
      </c>
      <c r="K36" s="87">
        <f t="shared" si="3"/>
        <v>4.6586240000000112E-2</v>
      </c>
      <c r="L36" s="87">
        <f t="shared" si="3"/>
        <v>1.8080000000000096E-2</v>
      </c>
      <c r="M36" s="87">
        <f>C19</f>
        <v>8.0000000000000002E-3</v>
      </c>
      <c r="N36" s="88"/>
    </row>
    <row r="37" spans="1:23">
      <c r="A37" s="86"/>
      <c r="D37" s="167"/>
      <c r="E37" s="167"/>
      <c r="F37" s="167"/>
      <c r="G37" s="167"/>
      <c r="H37" s="167"/>
      <c r="I37" s="167"/>
      <c r="J37" s="167"/>
      <c r="K37" s="167"/>
      <c r="L37" s="167"/>
      <c r="M37" s="167"/>
      <c r="N37" s="167"/>
    </row>
    <row r="38" spans="1:23">
      <c r="D38" s="86"/>
      <c r="E38" s="86"/>
      <c r="F38" s="86"/>
      <c r="G38" s="86"/>
      <c r="H38" s="86"/>
      <c r="I38" s="86"/>
      <c r="O38" s="134"/>
      <c r="P38" s="134"/>
      <c r="Q38" s="134"/>
      <c r="R38" s="134"/>
      <c r="S38" s="134"/>
      <c r="T38" s="134"/>
      <c r="U38" s="134"/>
      <c r="V38" s="134"/>
      <c r="W38" s="134"/>
    </row>
    <row r="39" spans="1:23">
      <c r="D39" s="86"/>
      <c r="E39" s="86"/>
      <c r="F39" s="86"/>
      <c r="G39" s="86"/>
      <c r="H39" s="86"/>
      <c r="I39" s="86"/>
      <c r="O39" s="134"/>
      <c r="P39" s="134"/>
      <c r="Q39" s="134"/>
      <c r="R39" s="134"/>
      <c r="S39" s="134"/>
      <c r="T39" s="134"/>
      <c r="U39" s="134"/>
      <c r="V39" s="134"/>
      <c r="W39" s="134"/>
    </row>
    <row r="40" spans="1:23">
      <c r="O40" s="134"/>
      <c r="P40" s="134"/>
      <c r="Q40" s="134"/>
      <c r="R40" s="134"/>
      <c r="S40" s="134"/>
      <c r="T40" s="134"/>
      <c r="U40" s="134"/>
      <c r="V40" s="134"/>
      <c r="W40" s="134"/>
    </row>
    <row r="41" spans="1:23">
      <c r="O41" s="134"/>
      <c r="P41" s="134"/>
      <c r="Q41" s="134"/>
      <c r="R41" s="134"/>
      <c r="S41" s="134"/>
      <c r="T41" s="134"/>
      <c r="U41" s="134"/>
      <c r="V41" s="134"/>
      <c r="W41" s="134"/>
    </row>
    <row r="42" spans="1:23">
      <c r="O42" s="134"/>
      <c r="P42" s="134"/>
      <c r="Q42" s="134"/>
      <c r="R42" s="134"/>
      <c r="S42" s="134"/>
      <c r="T42" s="134"/>
      <c r="U42" s="134"/>
      <c r="V42" s="134"/>
      <c r="W42" s="134"/>
    </row>
    <row r="43" spans="1:23">
      <c r="O43" s="134"/>
      <c r="P43" s="134"/>
      <c r="Q43" s="134"/>
      <c r="R43" s="134"/>
      <c r="S43" s="134"/>
      <c r="T43" s="134"/>
      <c r="U43" s="134"/>
      <c r="V43" s="134"/>
      <c r="W43" s="134"/>
    </row>
    <row r="44" spans="1:23">
      <c r="O44" s="134"/>
      <c r="P44" s="134"/>
      <c r="Q44" s="134"/>
      <c r="R44" s="134"/>
      <c r="S44" s="134"/>
      <c r="T44" s="134"/>
      <c r="U44" s="134"/>
      <c r="V44" s="134"/>
      <c r="W44" s="134"/>
    </row>
    <row r="45" spans="1:23">
      <c r="O45" s="134"/>
      <c r="P45" s="134"/>
      <c r="Q45" s="134"/>
      <c r="R45" s="134"/>
      <c r="S45" s="134"/>
      <c r="T45" s="134"/>
      <c r="U45" s="134"/>
      <c r="V45" s="134"/>
      <c r="W45" s="134"/>
    </row>
    <row r="46" spans="1:23">
      <c r="O46" s="134"/>
      <c r="P46" s="134"/>
      <c r="Q46" s="134"/>
      <c r="R46" s="134"/>
      <c r="S46" s="134"/>
      <c r="T46" s="134"/>
      <c r="U46" s="134"/>
      <c r="V46" s="134"/>
      <c r="W46" s="134"/>
    </row>
    <row r="47" spans="1:23">
      <c r="O47" s="134"/>
      <c r="P47" s="134"/>
      <c r="Q47" s="134"/>
      <c r="R47" s="134"/>
      <c r="S47" s="134"/>
      <c r="T47" s="134"/>
      <c r="U47" s="134"/>
      <c r="V47" s="134"/>
      <c r="W47" s="134"/>
    </row>
    <row r="48" spans="1:23">
      <c r="O48" s="134"/>
    </row>
    <row r="49" spans="15:15">
      <c r="O49" s="134"/>
    </row>
  </sheetData>
  <pageMargins left="0.75" right="0.75" top="1" bottom="1" header="0.5" footer="0.5"/>
  <pageSetup paperSize="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V299"/>
  <sheetViews>
    <sheetView showGridLines="0" zoomScale="85" zoomScaleNormal="85" workbookViewId="0"/>
  </sheetViews>
  <sheetFormatPr defaultRowHeight="12.75"/>
  <cols>
    <col min="1" max="1" width="4.85546875" style="197" customWidth="1"/>
    <col min="2" max="2" width="67.7109375" style="197" customWidth="1"/>
    <col min="3" max="3" width="4.5703125" style="197" customWidth="1"/>
    <col min="4" max="4" width="21.140625" style="197" customWidth="1"/>
    <col min="5" max="5" width="16.140625" style="197" customWidth="1"/>
    <col min="6" max="6" width="2.7109375" style="197" customWidth="1"/>
    <col min="7" max="14" width="17.140625" style="197" customWidth="1"/>
    <col min="15" max="16384" width="9.140625" style="197"/>
  </cols>
  <sheetData>
    <row r="2" spans="2:22" s="82" customFormat="1" ht="18">
      <c r="B2" s="81" t="s">
        <v>359</v>
      </c>
    </row>
    <row r="4" spans="2:22" s="189" customFormat="1">
      <c r="B4" s="187" t="s">
        <v>319</v>
      </c>
    </row>
    <row r="6" spans="2:22">
      <c r="B6" s="186" t="s">
        <v>364</v>
      </c>
      <c r="N6" s="134"/>
      <c r="O6" s="134"/>
      <c r="P6" s="134"/>
      <c r="Q6" s="134"/>
      <c r="R6" s="134"/>
      <c r="S6" s="134"/>
      <c r="T6" s="134"/>
      <c r="U6" s="134"/>
      <c r="V6" s="134"/>
    </row>
    <row r="7" spans="2:22">
      <c r="N7" s="134"/>
      <c r="O7" s="134"/>
      <c r="P7" s="134"/>
      <c r="Q7" s="134"/>
      <c r="R7" s="134"/>
      <c r="S7" s="134"/>
      <c r="T7" s="134"/>
      <c r="U7" s="134"/>
      <c r="V7" s="134"/>
    </row>
    <row r="8" spans="2:22" s="189" customFormat="1">
      <c r="B8" s="187" t="s">
        <v>358</v>
      </c>
      <c r="G8" s="187" t="s">
        <v>321</v>
      </c>
      <c r="H8" s="187" t="s">
        <v>322</v>
      </c>
      <c r="I8" s="187" t="s">
        <v>323</v>
      </c>
      <c r="J8" s="187" t="s">
        <v>324</v>
      </c>
      <c r="K8" s="187" t="s">
        <v>5</v>
      </c>
      <c r="L8" s="187" t="s">
        <v>325</v>
      </c>
      <c r="M8" s="187" t="s">
        <v>326</v>
      </c>
      <c r="N8" s="187" t="s">
        <v>327</v>
      </c>
    </row>
    <row r="9" spans="2:22">
      <c r="N9" s="134"/>
      <c r="O9" s="134"/>
      <c r="P9" s="134"/>
      <c r="Q9" s="134"/>
      <c r="R9" s="134"/>
      <c r="S9" s="134"/>
      <c r="T9" s="134"/>
      <c r="U9" s="134"/>
      <c r="V9" s="134"/>
    </row>
    <row r="10" spans="2:22">
      <c r="B10" s="188" t="s">
        <v>320</v>
      </c>
      <c r="N10" s="134"/>
      <c r="O10" s="134"/>
      <c r="P10" s="134"/>
      <c r="Q10" s="134"/>
      <c r="R10" s="134"/>
      <c r="S10" s="134"/>
      <c r="T10" s="134"/>
      <c r="U10" s="134"/>
      <c r="V10" s="134"/>
    </row>
    <row r="11" spans="2:22">
      <c r="N11" s="134"/>
      <c r="O11" s="134"/>
      <c r="P11" s="134"/>
      <c r="Q11" s="134"/>
      <c r="R11" s="134"/>
      <c r="S11" s="134"/>
      <c r="T11" s="134"/>
      <c r="U11" s="134"/>
      <c r="V11" s="134"/>
    </row>
    <row r="12" spans="2:22">
      <c r="B12" s="267" t="s">
        <v>328</v>
      </c>
      <c r="N12" s="134"/>
    </row>
    <row r="13" spans="2:22">
      <c r="B13" s="197" t="s">
        <v>329</v>
      </c>
      <c r="G13" s="181">
        <v>138211.38059177471</v>
      </c>
      <c r="H13" s="181">
        <v>188011.04723781827</v>
      </c>
      <c r="I13" s="181">
        <v>2217131.2786353333</v>
      </c>
      <c r="J13" s="181">
        <v>2463085.7065084148</v>
      </c>
      <c r="K13" s="181">
        <v>102272.37998887508</v>
      </c>
      <c r="L13" s="181">
        <v>1902931.3806275316</v>
      </c>
      <c r="M13" s="181">
        <v>51296.687121787989</v>
      </c>
      <c r="N13" s="181"/>
      <c r="P13" s="197" t="s">
        <v>388</v>
      </c>
    </row>
    <row r="14" spans="2:22">
      <c r="B14" s="197" t="s">
        <v>330</v>
      </c>
      <c r="G14" s="181">
        <v>468922.33627533709</v>
      </c>
      <c r="H14" s="181">
        <v>603938.88779902353</v>
      </c>
      <c r="I14" s="181">
        <v>7222145.9228443708</v>
      </c>
      <c r="J14" s="181">
        <v>7787861.7505840249</v>
      </c>
      <c r="K14" s="181">
        <v>338952.20358401537</v>
      </c>
      <c r="L14" s="181">
        <v>5797475.0467467392</v>
      </c>
      <c r="M14" s="181">
        <v>163677.22711687637</v>
      </c>
      <c r="N14" s="181"/>
    </row>
    <row r="16" spans="2:22">
      <c r="B16" s="188" t="s">
        <v>331</v>
      </c>
    </row>
    <row r="17" spans="2:14">
      <c r="B17" s="197" t="s">
        <v>329</v>
      </c>
      <c r="G17" s="181">
        <v>491.89743589743586</v>
      </c>
      <c r="H17" s="181">
        <v>552.69763009924861</v>
      </c>
      <c r="I17" s="181">
        <v>8834.0330626308732</v>
      </c>
      <c r="J17" s="181">
        <v>9902.9292577682227</v>
      </c>
      <c r="K17" s="181">
        <v>338.30666666666667</v>
      </c>
      <c r="L17" s="181">
        <v>7637.1076178644071</v>
      </c>
      <c r="M17" s="181">
        <v>690.21981481481487</v>
      </c>
      <c r="N17" s="181"/>
    </row>
    <row r="18" spans="2:14">
      <c r="B18" s="197" t="s">
        <v>330</v>
      </c>
      <c r="G18" s="181">
        <v>33043.846153846156</v>
      </c>
      <c r="H18" s="181">
        <v>38014.180481653377</v>
      </c>
      <c r="I18" s="181">
        <v>642326.27782981587</v>
      </c>
      <c r="J18" s="181">
        <v>697184.19553697307</v>
      </c>
      <c r="K18" s="181">
        <v>22604.45</v>
      </c>
      <c r="L18" s="181">
        <v>601755.68382204976</v>
      </c>
      <c r="M18" s="181">
        <v>64455.239278799389</v>
      </c>
      <c r="N18" s="181"/>
    </row>
    <row r="20" spans="2:14">
      <c r="B20" s="188" t="s">
        <v>332</v>
      </c>
    </row>
    <row r="21" spans="2:14">
      <c r="B21" s="197" t="s">
        <v>329</v>
      </c>
      <c r="G21" s="181">
        <v>113.66666666666667</v>
      </c>
      <c r="H21" s="181">
        <v>179.52250022013411</v>
      </c>
      <c r="I21" s="181">
        <v>2641.5863315715383</v>
      </c>
      <c r="J21" s="181">
        <v>2901.492359162095</v>
      </c>
      <c r="K21" s="181">
        <v>90.113333333333344</v>
      </c>
      <c r="L21" s="181">
        <v>2096.4168484848487</v>
      </c>
      <c r="M21" s="181">
        <v>904.38643333333323</v>
      </c>
      <c r="N21" s="181"/>
    </row>
    <row r="22" spans="2:14">
      <c r="B22" s="197" t="s">
        <v>333</v>
      </c>
      <c r="G22" s="181">
        <v>7073.2222222222217</v>
      </c>
      <c r="H22" s="181">
        <v>10827.62918600702</v>
      </c>
      <c r="I22" s="181">
        <v>0</v>
      </c>
      <c r="J22" s="181">
        <v>0</v>
      </c>
      <c r="K22" s="181">
        <v>3332.1666666666665</v>
      </c>
      <c r="L22" s="181">
        <v>0</v>
      </c>
      <c r="M22" s="181">
        <v>0</v>
      </c>
      <c r="N22" s="181"/>
    </row>
    <row r="23" spans="2:14">
      <c r="B23" s="197" t="s">
        <v>334</v>
      </c>
      <c r="G23" s="181">
        <v>23280.666666666668</v>
      </c>
      <c r="H23" s="181">
        <v>50771.303444784076</v>
      </c>
      <c r="I23" s="181">
        <v>0</v>
      </c>
      <c r="J23" s="181">
        <v>0</v>
      </c>
      <c r="K23" s="181">
        <v>25676</v>
      </c>
      <c r="L23" s="181">
        <v>0</v>
      </c>
      <c r="M23" s="181">
        <v>0</v>
      </c>
      <c r="N23" s="181"/>
    </row>
    <row r="24" spans="2:14">
      <c r="B24" s="197" t="s">
        <v>335</v>
      </c>
      <c r="G24" s="181">
        <v>0</v>
      </c>
      <c r="H24" s="181">
        <v>0</v>
      </c>
      <c r="I24" s="181">
        <v>802842.13103771035</v>
      </c>
      <c r="J24" s="181">
        <v>767140.4862402369</v>
      </c>
      <c r="K24" s="181">
        <v>0</v>
      </c>
      <c r="L24" s="181">
        <v>644211.21631565655</v>
      </c>
      <c r="M24" s="181">
        <v>312709.94824531168</v>
      </c>
      <c r="N24" s="181"/>
    </row>
    <row r="26" spans="2:14">
      <c r="B26" s="188" t="s">
        <v>336</v>
      </c>
    </row>
    <row r="27" spans="2:14">
      <c r="B27" s="197" t="s">
        <v>329</v>
      </c>
      <c r="G27" s="274"/>
      <c r="H27" s="181">
        <v>4</v>
      </c>
      <c r="I27" s="181">
        <v>3</v>
      </c>
      <c r="J27" s="181">
        <v>0</v>
      </c>
      <c r="K27" s="274"/>
      <c r="L27" s="274"/>
      <c r="M27" s="274"/>
      <c r="N27" s="181">
        <v>8</v>
      </c>
    </row>
    <row r="28" spans="2:14">
      <c r="B28" s="197" t="s">
        <v>330</v>
      </c>
      <c r="G28" s="274"/>
      <c r="H28" s="181">
        <v>73960.1804898298</v>
      </c>
      <c r="I28" s="181">
        <v>78463.623533797523</v>
      </c>
      <c r="J28" s="181">
        <v>0</v>
      </c>
      <c r="K28" s="274"/>
      <c r="L28" s="274"/>
      <c r="M28" s="274"/>
      <c r="N28" s="181">
        <v>583747.65767207486</v>
      </c>
    </row>
    <row r="31" spans="2:14">
      <c r="B31" s="188" t="s">
        <v>337</v>
      </c>
    </row>
    <row r="33" spans="2:14">
      <c r="B33" s="268" t="s">
        <v>338</v>
      </c>
    </row>
    <row r="34" spans="2:14">
      <c r="B34" s="268"/>
    </row>
    <row r="35" spans="2:14">
      <c r="B35" s="269" t="s">
        <v>339</v>
      </c>
    </row>
    <row r="36" spans="2:14">
      <c r="B36" s="272" t="s">
        <v>42</v>
      </c>
      <c r="G36" s="181">
        <v>135413.53846153847</v>
      </c>
      <c r="H36" s="181">
        <v>184701.58903101986</v>
      </c>
      <c r="I36" s="181">
        <v>2174445.3438152052</v>
      </c>
      <c r="J36" s="181">
        <v>2420637.6595494323</v>
      </c>
      <c r="K36" s="181">
        <v>100226.24666666666</v>
      </c>
      <c r="L36" s="181">
        <v>1874249.108571037</v>
      </c>
      <c r="M36" s="181">
        <v>50268.267924158346</v>
      </c>
      <c r="N36" s="181"/>
    </row>
    <row r="37" spans="2:14">
      <c r="B37" s="272" t="s">
        <v>43</v>
      </c>
      <c r="G37" s="181">
        <v>54.435897435897438</v>
      </c>
      <c r="H37" s="181">
        <v>126.07011253394201</v>
      </c>
      <c r="I37" s="181">
        <v>7256.1635367824301</v>
      </c>
      <c r="J37" s="181">
        <v>11251.420589501355</v>
      </c>
      <c r="K37" s="181">
        <v>670.8</v>
      </c>
      <c r="L37" s="181">
        <v>7812.5258090179377</v>
      </c>
      <c r="M37" s="181">
        <v>374.51345120346019</v>
      </c>
      <c r="N37" s="181"/>
    </row>
    <row r="38" spans="2:14">
      <c r="B38" s="273" t="s">
        <v>44</v>
      </c>
      <c r="G38" s="181">
        <v>2112.5897435897436</v>
      </c>
      <c r="H38" s="181">
        <v>2539.5010462371633</v>
      </c>
      <c r="I38" s="181">
        <v>26640.793146874938</v>
      </c>
      <c r="J38" s="181">
        <v>22573.457969768024</v>
      </c>
      <c r="K38" s="181">
        <v>1025.2666666666667</v>
      </c>
      <c r="L38" s="181">
        <v>14415.105312533888</v>
      </c>
      <c r="M38" s="181">
        <v>379.23170252772132</v>
      </c>
      <c r="N38" s="181"/>
    </row>
    <row r="39" spans="2:14">
      <c r="B39" s="273" t="s">
        <v>45</v>
      </c>
      <c r="G39" s="181">
        <v>678.53846153846155</v>
      </c>
      <c r="H39" s="181">
        <v>653.9017663200874</v>
      </c>
      <c r="I39" s="181">
        <v>8868.0561638651106</v>
      </c>
      <c r="J39" s="181">
        <v>8717.7330702667641</v>
      </c>
      <c r="K39" s="181">
        <v>375.2</v>
      </c>
      <c r="L39" s="181">
        <v>6207.3289997825768</v>
      </c>
      <c r="M39" s="181">
        <v>262.27755207569777</v>
      </c>
      <c r="N39" s="181"/>
    </row>
    <row r="40" spans="2:14">
      <c r="B40" s="272"/>
    </row>
    <row r="41" spans="2:14">
      <c r="B41" s="269" t="s">
        <v>340</v>
      </c>
    </row>
    <row r="42" spans="2:14">
      <c r="B42" s="272" t="s">
        <v>42</v>
      </c>
      <c r="G42" s="181">
        <v>0</v>
      </c>
      <c r="H42" s="181">
        <v>0</v>
      </c>
      <c r="I42" s="181">
        <v>0</v>
      </c>
      <c r="J42" s="181">
        <v>0</v>
      </c>
      <c r="K42" s="181">
        <v>0</v>
      </c>
      <c r="L42" s="181">
        <v>0</v>
      </c>
      <c r="M42" s="181">
        <v>0</v>
      </c>
      <c r="N42" s="181"/>
    </row>
    <row r="43" spans="2:14">
      <c r="B43" s="272" t="s">
        <v>43</v>
      </c>
      <c r="G43" s="181">
        <v>0</v>
      </c>
      <c r="H43" s="181">
        <v>0</v>
      </c>
      <c r="I43" s="181">
        <v>0</v>
      </c>
      <c r="J43" s="181">
        <v>0</v>
      </c>
      <c r="K43" s="181">
        <v>0</v>
      </c>
      <c r="L43" s="181">
        <v>0</v>
      </c>
      <c r="M43" s="181">
        <v>0</v>
      </c>
      <c r="N43" s="181"/>
    </row>
    <row r="44" spans="2:14">
      <c r="B44" s="273" t="s">
        <v>44</v>
      </c>
      <c r="G44" s="181">
        <v>0</v>
      </c>
      <c r="H44" s="181">
        <v>0</v>
      </c>
      <c r="I44" s="181">
        <v>0</v>
      </c>
      <c r="J44" s="181">
        <v>0</v>
      </c>
      <c r="K44" s="181">
        <v>0.26666666666666666</v>
      </c>
      <c r="L44" s="181">
        <v>0</v>
      </c>
      <c r="M44" s="181">
        <v>0</v>
      </c>
      <c r="N44" s="181"/>
    </row>
    <row r="45" spans="2:14">
      <c r="B45" s="273" t="s">
        <v>45</v>
      </c>
      <c r="G45" s="181">
        <v>0.33333333333333331</v>
      </c>
      <c r="H45" s="181">
        <v>0</v>
      </c>
      <c r="I45" s="181">
        <v>0</v>
      </c>
      <c r="J45" s="181">
        <v>0</v>
      </c>
      <c r="K45" s="181">
        <v>0</v>
      </c>
      <c r="L45" s="181">
        <v>0</v>
      </c>
      <c r="M45" s="181">
        <v>0</v>
      </c>
      <c r="N45" s="181"/>
    </row>
    <row r="46" spans="2:14">
      <c r="B46" s="272"/>
    </row>
    <row r="47" spans="2:14">
      <c r="B47" s="269" t="s">
        <v>341</v>
      </c>
    </row>
    <row r="48" spans="2:14">
      <c r="B48" s="272" t="s">
        <v>342</v>
      </c>
      <c r="G48" s="274"/>
      <c r="H48" s="181"/>
      <c r="I48" s="181"/>
      <c r="J48" s="181"/>
      <c r="K48" s="274"/>
      <c r="L48" s="274"/>
      <c r="M48" s="274"/>
      <c r="N48" s="181"/>
    </row>
    <row r="49" spans="2:14">
      <c r="B49" s="268"/>
    </row>
    <row r="50" spans="2:14">
      <c r="B50" s="268"/>
    </row>
    <row r="51" spans="2:14">
      <c r="B51" s="268" t="s">
        <v>343</v>
      </c>
    </row>
    <row r="52" spans="2:14">
      <c r="B52" s="268"/>
    </row>
    <row r="53" spans="2:14">
      <c r="B53" s="269" t="s">
        <v>339</v>
      </c>
    </row>
    <row r="54" spans="2:14">
      <c r="B54" s="273" t="s">
        <v>344</v>
      </c>
      <c r="G54" s="181">
        <v>229.15384615384616</v>
      </c>
      <c r="H54" s="181">
        <v>193.94954212108632</v>
      </c>
      <c r="I54" s="181">
        <v>3271.9969716201817</v>
      </c>
      <c r="J54" s="181">
        <v>3421.8932857219002</v>
      </c>
      <c r="K54" s="181">
        <v>136.72</v>
      </c>
      <c r="L54" s="181">
        <v>2264.3367390572389</v>
      </c>
      <c r="M54" s="181">
        <v>106.66666666666667</v>
      </c>
      <c r="N54" s="181"/>
    </row>
    <row r="55" spans="2:14">
      <c r="B55" s="273" t="s">
        <v>345</v>
      </c>
      <c r="G55" s="181">
        <v>176.12820512820511</v>
      </c>
      <c r="H55" s="181">
        <v>250.83846119979373</v>
      </c>
      <c r="I55" s="181">
        <v>3529.1494465741821</v>
      </c>
      <c r="J55" s="181">
        <v>4464.9431433173741</v>
      </c>
      <c r="K55" s="181">
        <v>135.33666666666667</v>
      </c>
      <c r="L55" s="181">
        <v>3282.3502676767675</v>
      </c>
      <c r="M55" s="181">
        <v>197.66666666666666</v>
      </c>
      <c r="N55" s="181"/>
    </row>
    <row r="56" spans="2:14">
      <c r="B56" s="273" t="s">
        <v>346</v>
      </c>
      <c r="G56" s="181">
        <v>57.743589743589745</v>
      </c>
      <c r="H56" s="181">
        <v>93.812167125803498</v>
      </c>
      <c r="I56" s="181">
        <v>1936.0486498630275</v>
      </c>
      <c r="J56" s="181">
        <v>2123.2610622853063</v>
      </c>
      <c r="K56" s="181">
        <v>36.556666666666665</v>
      </c>
      <c r="L56" s="181">
        <v>1905.5730370370368</v>
      </c>
      <c r="M56" s="181">
        <v>188</v>
      </c>
      <c r="N56" s="181"/>
    </row>
    <row r="57" spans="2:14">
      <c r="B57" s="273" t="s">
        <v>347</v>
      </c>
      <c r="G57" s="181">
        <v>52.717948717948723</v>
      </c>
      <c r="H57" s="181">
        <v>52.896758997194866</v>
      </c>
      <c r="I57" s="181">
        <v>982.12804452323542</v>
      </c>
      <c r="J57" s="181">
        <v>1220.2830766839397</v>
      </c>
      <c r="K57" s="181">
        <v>18.75</v>
      </c>
      <c r="L57" s="181">
        <v>631.53538299663296</v>
      </c>
      <c r="M57" s="181">
        <v>297.55361457113855</v>
      </c>
      <c r="N57" s="181"/>
    </row>
    <row r="58" spans="2:14">
      <c r="B58" s="270" t="s">
        <v>348</v>
      </c>
      <c r="G58" s="181">
        <v>15.794871794871796</v>
      </c>
      <c r="H58" s="181">
        <v>11.894277142533682</v>
      </c>
      <c r="I58" s="181">
        <v>812.0985995099594</v>
      </c>
      <c r="J58" s="181">
        <v>665.95378617854385</v>
      </c>
      <c r="K58" s="181">
        <v>4</v>
      </c>
      <c r="L58" s="181">
        <v>717.76139646464651</v>
      </c>
      <c r="M58" s="181">
        <v>391.66566270920958</v>
      </c>
      <c r="N58" s="181"/>
    </row>
    <row r="59" spans="2:14">
      <c r="B59" s="273" t="s">
        <v>349</v>
      </c>
      <c r="G59" s="181">
        <v>3.6153846153846154</v>
      </c>
      <c r="H59" s="181">
        <v>0.33275217932752182</v>
      </c>
      <c r="I59" s="181">
        <v>379.67935485226991</v>
      </c>
      <c r="J59" s="181">
        <v>352.41646356589399</v>
      </c>
      <c r="K59" s="181">
        <v>3</v>
      </c>
      <c r="L59" s="181">
        <v>421.60050252525258</v>
      </c>
      <c r="M59" s="181">
        <v>1.6666666666666667</v>
      </c>
      <c r="N59" s="181"/>
    </row>
    <row r="60" spans="2:14">
      <c r="B60" s="273" t="s">
        <v>350</v>
      </c>
      <c r="G60" s="181">
        <v>3</v>
      </c>
      <c r="H60" s="181">
        <v>0.99941884599418851</v>
      </c>
      <c r="I60" s="181">
        <v>232.3428965198936</v>
      </c>
      <c r="J60" s="181">
        <v>195.97539916780613</v>
      </c>
      <c r="K60" s="181">
        <v>0</v>
      </c>
      <c r="L60" s="181">
        <v>318.18735858585859</v>
      </c>
      <c r="M60" s="181">
        <v>0</v>
      </c>
      <c r="N60" s="181"/>
    </row>
    <row r="61" spans="2:14">
      <c r="B61" s="273" t="s">
        <v>351</v>
      </c>
      <c r="G61" s="181">
        <v>7.666666666666667</v>
      </c>
      <c r="H61" s="181">
        <v>0</v>
      </c>
      <c r="I61" s="181">
        <v>77.991165527874884</v>
      </c>
      <c r="J61" s="181">
        <v>89.131133053770242</v>
      </c>
      <c r="K61" s="181">
        <v>0</v>
      </c>
      <c r="L61" s="181">
        <v>133.7383308080808</v>
      </c>
      <c r="M61" s="181">
        <v>213.33333333333334</v>
      </c>
      <c r="N61" s="181"/>
    </row>
    <row r="62" spans="2:14">
      <c r="B62" s="272" t="s">
        <v>352</v>
      </c>
      <c r="G62" s="181">
        <v>0</v>
      </c>
      <c r="H62" s="181">
        <v>0</v>
      </c>
      <c r="I62" s="181">
        <v>29.309066124830689</v>
      </c>
      <c r="J62" s="181">
        <v>38.728853499598991</v>
      </c>
      <c r="K62" s="181">
        <v>0</v>
      </c>
      <c r="L62" s="181">
        <v>50.575424242424248</v>
      </c>
      <c r="M62" s="181">
        <v>0</v>
      </c>
      <c r="N62" s="181"/>
    </row>
    <row r="63" spans="2:14">
      <c r="B63" s="272" t="s">
        <v>353</v>
      </c>
      <c r="G63" s="181">
        <v>0</v>
      </c>
      <c r="H63" s="181">
        <v>0</v>
      </c>
      <c r="I63" s="181">
        <v>14.933414698244107</v>
      </c>
      <c r="J63" s="181">
        <v>33.742627310252608</v>
      </c>
      <c r="K63" s="181">
        <v>0</v>
      </c>
      <c r="L63" s="181">
        <v>47.561198653198652</v>
      </c>
      <c r="M63" s="181">
        <v>8.3333333333333339</v>
      </c>
      <c r="N63" s="181"/>
    </row>
    <row r="64" spans="2:14">
      <c r="B64" s="272"/>
    </row>
    <row r="65" spans="2:14">
      <c r="B65" s="269" t="s">
        <v>340</v>
      </c>
    </row>
    <row r="66" spans="2:14">
      <c r="B66" s="273" t="s">
        <v>344</v>
      </c>
      <c r="G66" s="181">
        <v>2.6666666666666665</v>
      </c>
      <c r="H66" s="181">
        <v>4.196906172559971</v>
      </c>
      <c r="I66" s="181">
        <v>74.775595999952159</v>
      </c>
      <c r="J66" s="181">
        <v>18.010796793498994</v>
      </c>
      <c r="K66" s="181">
        <v>2.3433333333333333</v>
      </c>
      <c r="L66" s="181">
        <v>0</v>
      </c>
      <c r="M66" s="181">
        <v>1</v>
      </c>
      <c r="N66" s="181"/>
    </row>
    <row r="67" spans="2:14">
      <c r="B67" s="273" t="s">
        <v>345</v>
      </c>
      <c r="G67" s="181">
        <v>6</v>
      </c>
      <c r="H67" s="181">
        <v>12.603767437764946</v>
      </c>
      <c r="I67" s="181">
        <v>2.6834500947856164</v>
      </c>
      <c r="J67" s="181">
        <v>18.333333333333332</v>
      </c>
      <c r="K67" s="181">
        <v>8.09</v>
      </c>
      <c r="L67" s="181">
        <v>0</v>
      </c>
      <c r="M67" s="181">
        <v>2</v>
      </c>
      <c r="N67" s="181"/>
    </row>
    <row r="68" spans="2:14">
      <c r="B68" s="273" t="s">
        <v>346</v>
      </c>
      <c r="G68" s="181">
        <v>6.333333333333333</v>
      </c>
      <c r="H68" s="181">
        <v>11.22282413172824</v>
      </c>
      <c r="I68" s="181">
        <v>2.2018542635092815</v>
      </c>
      <c r="J68" s="181">
        <v>18.368362724510501</v>
      </c>
      <c r="K68" s="181">
        <v>14.26</v>
      </c>
      <c r="L68" s="181">
        <v>0</v>
      </c>
      <c r="M68" s="181">
        <v>17.860612554692427</v>
      </c>
      <c r="N68" s="181"/>
    </row>
    <row r="69" spans="2:14">
      <c r="B69" s="273" t="s">
        <v>347</v>
      </c>
      <c r="G69" s="181">
        <v>18.666666666666668</v>
      </c>
      <c r="H69" s="181">
        <v>31.024702190019749</v>
      </c>
      <c r="I69" s="181">
        <v>2.0170831239289475</v>
      </c>
      <c r="J69" s="181">
        <v>44.552938479404418</v>
      </c>
      <c r="K69" s="181">
        <v>20.526666666666667</v>
      </c>
      <c r="L69" s="181">
        <v>0</v>
      </c>
      <c r="M69" s="181">
        <v>30.666666666666668</v>
      </c>
      <c r="N69" s="181"/>
    </row>
    <row r="70" spans="2:14">
      <c r="B70" s="270" t="s">
        <v>348</v>
      </c>
      <c r="G70" s="181">
        <v>15.666666666666666</v>
      </c>
      <c r="H70" s="181">
        <v>21.322439211542576</v>
      </c>
      <c r="I70" s="181">
        <v>7.9800599442992777</v>
      </c>
      <c r="J70" s="181">
        <v>28.62260286912009</v>
      </c>
      <c r="K70" s="181">
        <v>20.393333333333334</v>
      </c>
      <c r="L70" s="181">
        <v>0</v>
      </c>
      <c r="M70" s="181">
        <v>35</v>
      </c>
      <c r="N70" s="181"/>
    </row>
    <row r="71" spans="2:14">
      <c r="B71" s="273" t="s">
        <v>349</v>
      </c>
      <c r="G71" s="181">
        <v>8.6666666666666661</v>
      </c>
      <c r="H71" s="181">
        <v>16.516735851667359</v>
      </c>
      <c r="I71" s="181">
        <v>116.95023930992849</v>
      </c>
      <c r="J71" s="181">
        <v>36.85476379545851</v>
      </c>
      <c r="K71" s="181">
        <v>8.0333333333333332</v>
      </c>
      <c r="L71" s="181">
        <v>0</v>
      </c>
      <c r="M71" s="181">
        <v>1</v>
      </c>
      <c r="N71" s="181"/>
    </row>
    <row r="72" spans="2:14">
      <c r="B72" s="273" t="s">
        <v>350</v>
      </c>
      <c r="G72" s="181">
        <v>1.7948717948717949</v>
      </c>
      <c r="H72" s="181">
        <v>14.325778331257782</v>
      </c>
      <c r="I72" s="181">
        <v>16.801291387275182</v>
      </c>
      <c r="J72" s="181">
        <v>22.815108694765694</v>
      </c>
      <c r="K72" s="181">
        <v>5.97</v>
      </c>
      <c r="L72" s="181">
        <v>0</v>
      </c>
      <c r="M72" s="181">
        <v>0</v>
      </c>
      <c r="N72" s="181"/>
    </row>
    <row r="73" spans="2:14">
      <c r="B73" s="273" t="s">
        <v>351</v>
      </c>
      <c r="G73" s="181">
        <v>0</v>
      </c>
      <c r="H73" s="181">
        <v>8.994769613947696</v>
      </c>
      <c r="I73" s="181">
        <v>89.911743050202332</v>
      </c>
      <c r="J73" s="181">
        <v>21.561105544970477</v>
      </c>
      <c r="K73" s="181">
        <v>6.4933333333333332</v>
      </c>
      <c r="L73" s="181">
        <v>0</v>
      </c>
      <c r="M73" s="181">
        <v>32.333333333333336</v>
      </c>
      <c r="N73" s="181"/>
    </row>
    <row r="74" spans="2:14">
      <c r="B74" s="272" t="s">
        <v>352</v>
      </c>
      <c r="G74" s="181">
        <v>0</v>
      </c>
      <c r="H74" s="181">
        <v>4.6945922487641045</v>
      </c>
      <c r="I74" s="181">
        <v>9.1174496628711328</v>
      </c>
      <c r="J74" s="181">
        <v>6.7176026450334465</v>
      </c>
      <c r="K74" s="181">
        <v>5</v>
      </c>
      <c r="L74" s="181">
        <v>0</v>
      </c>
      <c r="M74" s="181">
        <v>0</v>
      </c>
      <c r="N74" s="181"/>
    </row>
    <row r="75" spans="2:14">
      <c r="B75" s="272" t="s">
        <v>353</v>
      </c>
      <c r="G75" s="181">
        <v>0</v>
      </c>
      <c r="H75" s="181">
        <v>2.6655043586550438</v>
      </c>
      <c r="I75" s="181">
        <v>36.490361934702428</v>
      </c>
      <c r="J75" s="181">
        <v>7.1664827057010649</v>
      </c>
      <c r="K75" s="181">
        <v>3</v>
      </c>
      <c r="L75" s="181">
        <v>0</v>
      </c>
      <c r="M75" s="181">
        <v>70</v>
      </c>
      <c r="N75" s="181"/>
    </row>
    <row r="76" spans="2:14">
      <c r="B76" s="272"/>
    </row>
    <row r="77" spans="2:14">
      <c r="B77" s="269" t="s">
        <v>341</v>
      </c>
    </row>
    <row r="78" spans="2:14">
      <c r="B78" s="272" t="s">
        <v>354</v>
      </c>
      <c r="G78" s="274"/>
      <c r="H78" s="181">
        <v>4</v>
      </c>
      <c r="I78" s="181">
        <v>4</v>
      </c>
      <c r="J78" s="181">
        <v>1</v>
      </c>
      <c r="K78" s="274"/>
      <c r="L78" s="274"/>
      <c r="M78" s="274"/>
      <c r="N78" s="181">
        <v>8</v>
      </c>
    </row>
    <row r="79" spans="2:14">
      <c r="B79" s="271"/>
    </row>
    <row r="80" spans="2:14">
      <c r="B80" s="271"/>
    </row>
    <row r="81" spans="2:14">
      <c r="B81" s="271"/>
    </row>
    <row r="82" spans="2:14">
      <c r="B82" s="271"/>
    </row>
    <row r="83" spans="2:14">
      <c r="B83" s="268" t="s">
        <v>355</v>
      </c>
    </row>
    <row r="84" spans="2:14">
      <c r="B84" s="268"/>
    </row>
    <row r="85" spans="2:14">
      <c r="B85" s="269" t="s">
        <v>339</v>
      </c>
    </row>
    <row r="86" spans="2:14">
      <c r="B86" s="272" t="s">
        <v>42</v>
      </c>
      <c r="G86" s="181">
        <v>716.15741821834683</v>
      </c>
      <c r="H86" s="181">
        <v>1169</v>
      </c>
      <c r="I86" s="181">
        <v>11771.35668965225</v>
      </c>
      <c r="J86" s="181">
        <v>14767.21433204562</v>
      </c>
      <c r="K86" s="181">
        <v>585.33333333333337</v>
      </c>
      <c r="L86" s="181">
        <v>9035.2377512124021</v>
      </c>
      <c r="M86" s="181">
        <v>485.59752072072069</v>
      </c>
      <c r="N86" s="181"/>
    </row>
    <row r="87" spans="2:14">
      <c r="B87" s="272" t="s">
        <v>43</v>
      </c>
      <c r="G87" s="181">
        <v>2.3333333333333335</v>
      </c>
      <c r="H87" s="181">
        <v>14</v>
      </c>
      <c r="I87" s="181">
        <v>168.60177815353288</v>
      </c>
      <c r="J87" s="181">
        <v>138.95270452556059</v>
      </c>
      <c r="K87" s="181">
        <v>5.666666666666667</v>
      </c>
      <c r="L87" s="181">
        <v>92.324612475361548</v>
      </c>
      <c r="M87" s="181">
        <v>3.3333333333333335</v>
      </c>
      <c r="N87" s="181"/>
    </row>
    <row r="88" spans="2:14">
      <c r="B88" s="273" t="s">
        <v>44</v>
      </c>
      <c r="G88" s="181">
        <v>6.912331707742962</v>
      </c>
      <c r="H88" s="181">
        <v>10</v>
      </c>
      <c r="I88" s="181">
        <v>152.62465534914804</v>
      </c>
      <c r="J88" s="181">
        <v>129.36304233597878</v>
      </c>
      <c r="K88" s="181">
        <v>5.333333333333333</v>
      </c>
      <c r="L88" s="181">
        <v>98.003736213538048</v>
      </c>
      <c r="M88" s="181">
        <v>4.333333333333333</v>
      </c>
      <c r="N88" s="181"/>
    </row>
    <row r="89" spans="2:14">
      <c r="B89" s="273" t="s">
        <v>45</v>
      </c>
      <c r="G89" s="181">
        <v>4.2444683365678406</v>
      </c>
      <c r="H89" s="181">
        <v>5.666666666666667</v>
      </c>
      <c r="I89" s="181">
        <v>116.36056715423932</v>
      </c>
      <c r="J89" s="181">
        <v>107.49461607331689</v>
      </c>
      <c r="K89" s="181">
        <v>3</v>
      </c>
      <c r="L89" s="181">
        <v>55.436035198328653</v>
      </c>
      <c r="M89" s="181">
        <v>0.33333333333333331</v>
      </c>
      <c r="N89" s="181"/>
    </row>
    <row r="90" spans="2:14">
      <c r="B90" s="272"/>
    </row>
    <row r="91" spans="2:14">
      <c r="B91" s="269" t="s">
        <v>340</v>
      </c>
    </row>
    <row r="92" spans="2:14">
      <c r="B92" s="272" t="s">
        <v>42</v>
      </c>
      <c r="G92" s="181">
        <v>0</v>
      </c>
      <c r="H92" s="181">
        <v>0</v>
      </c>
      <c r="I92" s="181">
        <v>0</v>
      </c>
      <c r="J92" s="181">
        <v>0</v>
      </c>
      <c r="K92" s="181">
        <v>0</v>
      </c>
      <c r="L92" s="181">
        <v>0</v>
      </c>
      <c r="M92" s="181">
        <v>0</v>
      </c>
      <c r="N92" s="181"/>
    </row>
    <row r="93" spans="2:14">
      <c r="B93" s="272" t="s">
        <v>43</v>
      </c>
      <c r="G93" s="181">
        <v>0</v>
      </c>
      <c r="H93" s="181">
        <v>0</v>
      </c>
      <c r="I93" s="181">
        <v>0</v>
      </c>
      <c r="J93" s="181">
        <v>0</v>
      </c>
      <c r="K93" s="181">
        <v>0</v>
      </c>
      <c r="L93" s="181">
        <v>0</v>
      </c>
      <c r="M93" s="181">
        <v>0</v>
      </c>
      <c r="N93" s="181"/>
    </row>
    <row r="94" spans="2:14">
      <c r="B94" s="273" t="s">
        <v>44</v>
      </c>
      <c r="G94" s="181">
        <v>0</v>
      </c>
      <c r="H94" s="181">
        <v>0</v>
      </c>
      <c r="I94" s="181">
        <v>0</v>
      </c>
      <c r="J94" s="181">
        <v>0</v>
      </c>
      <c r="K94" s="181">
        <v>0</v>
      </c>
      <c r="L94" s="181">
        <v>0</v>
      </c>
      <c r="M94" s="181">
        <v>0</v>
      </c>
      <c r="N94" s="181"/>
    </row>
    <row r="95" spans="2:14">
      <c r="B95" s="273" t="s">
        <v>45</v>
      </c>
      <c r="G95" s="181">
        <v>0</v>
      </c>
      <c r="H95" s="181">
        <v>0</v>
      </c>
      <c r="I95" s="181">
        <v>0</v>
      </c>
      <c r="J95" s="181">
        <v>0</v>
      </c>
      <c r="K95" s="181">
        <v>0</v>
      </c>
      <c r="L95" s="181">
        <v>0</v>
      </c>
      <c r="M95" s="181">
        <v>0</v>
      </c>
      <c r="N95" s="181"/>
    </row>
    <row r="96" spans="2:14">
      <c r="B96" s="272"/>
    </row>
    <row r="97" spans="2:14">
      <c r="B97" s="269" t="s">
        <v>341</v>
      </c>
    </row>
    <row r="98" spans="2:14">
      <c r="B98" s="272" t="s">
        <v>342</v>
      </c>
      <c r="G98" s="274"/>
      <c r="H98" s="181"/>
      <c r="I98" s="181"/>
      <c r="J98" s="181"/>
      <c r="K98" s="274"/>
      <c r="L98" s="274"/>
      <c r="M98" s="274"/>
      <c r="N98" s="181"/>
    </row>
    <row r="99" spans="2:14">
      <c r="B99" s="268"/>
    </row>
    <row r="100" spans="2:14">
      <c r="B100" s="268"/>
    </row>
    <row r="101" spans="2:14">
      <c r="B101" s="268" t="s">
        <v>356</v>
      </c>
    </row>
    <row r="102" spans="2:14">
      <c r="B102" s="268"/>
    </row>
    <row r="103" spans="2:14">
      <c r="B103" s="269" t="s">
        <v>339</v>
      </c>
    </row>
    <row r="104" spans="2:14">
      <c r="B104" s="272" t="s">
        <v>42</v>
      </c>
      <c r="G104" s="181">
        <v>1896.7243284267897</v>
      </c>
      <c r="H104" s="181">
        <v>1240.3333333333333</v>
      </c>
      <c r="I104" s="181">
        <v>15756.611174344836</v>
      </c>
      <c r="J104" s="181">
        <v>14105.754653151256</v>
      </c>
      <c r="K104" s="181">
        <v>1383.3333333333333</v>
      </c>
      <c r="L104" s="181">
        <v>5820.7997504641016</v>
      </c>
      <c r="M104" s="181">
        <v>221</v>
      </c>
      <c r="N104" s="181"/>
    </row>
    <row r="105" spans="2:14">
      <c r="B105" s="272" t="s">
        <v>43</v>
      </c>
      <c r="G105" s="181">
        <v>240.96956294135873</v>
      </c>
      <c r="H105" s="181">
        <v>232</v>
      </c>
      <c r="I105" s="181">
        <v>6645.152581550632</v>
      </c>
      <c r="J105" s="181">
        <v>2206.1508002657592</v>
      </c>
      <c r="K105" s="181">
        <v>140</v>
      </c>
      <c r="L105" s="181">
        <v>1236.8627230970453</v>
      </c>
      <c r="M105" s="181">
        <v>16.666666666666668</v>
      </c>
      <c r="N105" s="181"/>
    </row>
    <row r="106" spans="2:14">
      <c r="B106" s="273" t="s">
        <v>44</v>
      </c>
      <c r="G106" s="181">
        <v>98.372380854277992</v>
      </c>
      <c r="H106" s="181">
        <v>54.333333333333336</v>
      </c>
      <c r="I106" s="181">
        <v>568.15678353560133</v>
      </c>
      <c r="J106" s="181">
        <v>1389.876716916624</v>
      </c>
      <c r="K106" s="181">
        <v>69.333333333333329</v>
      </c>
      <c r="L106" s="181">
        <v>1794.391357869159</v>
      </c>
      <c r="M106" s="181">
        <v>61</v>
      </c>
      <c r="N106" s="181"/>
    </row>
    <row r="107" spans="2:14">
      <c r="B107" s="273" t="s">
        <v>45</v>
      </c>
      <c r="G107" s="181">
        <v>59.189676461872573</v>
      </c>
      <c r="H107" s="181">
        <v>79.666666666666671</v>
      </c>
      <c r="I107" s="181">
        <v>344.19073096005667</v>
      </c>
      <c r="J107" s="181">
        <v>1673.5270205964637</v>
      </c>
      <c r="K107" s="181">
        <v>51</v>
      </c>
      <c r="L107" s="181">
        <v>835.49714842422406</v>
      </c>
      <c r="M107" s="181">
        <v>0</v>
      </c>
      <c r="N107" s="181"/>
    </row>
    <row r="108" spans="2:14">
      <c r="B108" s="272"/>
    </row>
    <row r="109" spans="2:14">
      <c r="B109" s="269" t="s">
        <v>340</v>
      </c>
    </row>
    <row r="110" spans="2:14">
      <c r="B110" s="272" t="s">
        <v>42</v>
      </c>
      <c r="G110" s="181">
        <v>0</v>
      </c>
      <c r="H110" s="181">
        <v>0</v>
      </c>
      <c r="I110" s="181">
        <v>0</v>
      </c>
      <c r="J110" s="181">
        <v>0</v>
      </c>
      <c r="K110" s="181">
        <v>0</v>
      </c>
      <c r="L110" s="181">
        <v>0</v>
      </c>
      <c r="M110" s="181">
        <v>0</v>
      </c>
      <c r="N110" s="181"/>
    </row>
    <row r="111" spans="2:14">
      <c r="B111" s="272" t="s">
        <v>43</v>
      </c>
      <c r="G111" s="181">
        <v>0</v>
      </c>
      <c r="H111" s="181">
        <v>0</v>
      </c>
      <c r="I111" s="181">
        <v>0</v>
      </c>
      <c r="J111" s="181">
        <v>0</v>
      </c>
      <c r="K111" s="181">
        <v>0</v>
      </c>
      <c r="L111" s="181">
        <v>0</v>
      </c>
      <c r="M111" s="181">
        <v>0</v>
      </c>
      <c r="N111" s="181"/>
    </row>
    <row r="112" spans="2:14">
      <c r="B112" s="273" t="s">
        <v>44</v>
      </c>
      <c r="G112" s="181">
        <v>0</v>
      </c>
      <c r="H112" s="181">
        <v>0</v>
      </c>
      <c r="I112" s="181">
        <v>0</v>
      </c>
      <c r="J112" s="181">
        <v>0</v>
      </c>
      <c r="K112" s="181">
        <v>0</v>
      </c>
      <c r="L112" s="181">
        <v>0</v>
      </c>
      <c r="M112" s="181">
        <v>0</v>
      </c>
      <c r="N112" s="181"/>
    </row>
    <row r="113" spans="2:14">
      <c r="B113" s="273" t="s">
        <v>45</v>
      </c>
      <c r="G113" s="181">
        <v>0</v>
      </c>
      <c r="H113" s="181">
        <v>0</v>
      </c>
      <c r="I113" s="181">
        <v>0</v>
      </c>
      <c r="J113" s="181">
        <v>0</v>
      </c>
      <c r="K113" s="181">
        <v>0</v>
      </c>
      <c r="L113" s="181">
        <v>0</v>
      </c>
      <c r="M113" s="181">
        <v>0</v>
      </c>
      <c r="N113" s="181"/>
    </row>
    <row r="114" spans="2:14">
      <c r="B114" s="272"/>
    </row>
    <row r="115" spans="2:14">
      <c r="B115" s="269" t="s">
        <v>341</v>
      </c>
    </row>
    <row r="116" spans="2:14">
      <c r="B116" s="272" t="s">
        <v>342</v>
      </c>
      <c r="G116" s="274"/>
      <c r="H116" s="181"/>
      <c r="I116" s="181"/>
      <c r="J116" s="181"/>
      <c r="K116" s="274"/>
      <c r="L116" s="274"/>
      <c r="M116" s="274"/>
      <c r="N116" s="181"/>
    </row>
    <row r="117" spans="2:14">
      <c r="B117" s="268"/>
    </row>
    <row r="118" spans="2:14">
      <c r="B118" s="268"/>
    </row>
    <row r="119" spans="2:14">
      <c r="B119" s="268" t="s">
        <v>357</v>
      </c>
    </row>
    <row r="120" spans="2:14">
      <c r="B120" s="268"/>
    </row>
    <row r="121" spans="2:14">
      <c r="B121" s="269" t="s">
        <v>339</v>
      </c>
    </row>
    <row r="122" spans="2:14">
      <c r="B122" s="273" t="s">
        <v>344</v>
      </c>
      <c r="G122" s="181">
        <v>2.2314036927775578</v>
      </c>
      <c r="H122" s="181">
        <v>1.6666666666666667</v>
      </c>
      <c r="I122" s="181">
        <v>43.289768346739486</v>
      </c>
      <c r="J122" s="181">
        <v>3.7697272486013707</v>
      </c>
      <c r="K122" s="181">
        <v>2</v>
      </c>
      <c r="L122" s="181">
        <v>27.666745538691469</v>
      </c>
      <c r="M122" s="181">
        <v>0.66666666666666663</v>
      </c>
      <c r="N122" s="181"/>
    </row>
    <row r="123" spans="2:14">
      <c r="B123" s="273" t="s">
        <v>345</v>
      </c>
      <c r="G123" s="181">
        <v>2.8601849515460831</v>
      </c>
      <c r="H123" s="181">
        <v>0.66666666666666663</v>
      </c>
      <c r="I123" s="181">
        <v>35.17441702403471</v>
      </c>
      <c r="J123" s="181">
        <v>61.57164494625458</v>
      </c>
      <c r="K123" s="181">
        <v>1.6666666666666667</v>
      </c>
      <c r="L123" s="181">
        <v>14.243949685253932</v>
      </c>
      <c r="M123" s="181">
        <v>1.3333333333333333</v>
      </c>
      <c r="N123" s="181"/>
    </row>
    <row r="124" spans="2:14">
      <c r="B124" s="273" t="s">
        <v>346</v>
      </c>
      <c r="G124" s="181">
        <v>0.66823693968304243</v>
      </c>
      <c r="H124" s="181">
        <v>0.33333333333333331</v>
      </c>
      <c r="I124" s="181">
        <v>18.042796207429038</v>
      </c>
      <c r="J124" s="181">
        <v>29.192183141565852</v>
      </c>
      <c r="K124" s="181">
        <v>0.33333333333333331</v>
      </c>
      <c r="L124" s="181">
        <v>7.0219387062708734</v>
      </c>
      <c r="M124" s="181">
        <v>1</v>
      </c>
      <c r="N124" s="181"/>
    </row>
    <row r="125" spans="2:14">
      <c r="B125" s="273" t="s">
        <v>347</v>
      </c>
      <c r="G125" s="181">
        <v>0.30076649238484837</v>
      </c>
      <c r="H125" s="181">
        <v>0.33333333333333331</v>
      </c>
      <c r="I125" s="181">
        <v>9.6357831822100444</v>
      </c>
      <c r="J125" s="181">
        <v>7.1482519727837674</v>
      </c>
      <c r="K125" s="181">
        <v>0</v>
      </c>
      <c r="L125" s="181">
        <v>0</v>
      </c>
      <c r="M125" s="181">
        <v>0</v>
      </c>
      <c r="N125" s="181"/>
    </row>
    <row r="126" spans="2:14">
      <c r="B126" s="270" t="s">
        <v>348</v>
      </c>
      <c r="G126" s="181">
        <v>0</v>
      </c>
      <c r="H126" s="181">
        <v>0.66666666666666663</v>
      </c>
      <c r="I126" s="181">
        <v>6.6001156871820257</v>
      </c>
      <c r="J126" s="181">
        <v>5.3942550178972564</v>
      </c>
      <c r="K126" s="181">
        <v>0</v>
      </c>
      <c r="L126" s="181">
        <v>0.45706451612903226</v>
      </c>
      <c r="M126" s="181">
        <v>0</v>
      </c>
      <c r="N126" s="181"/>
    </row>
    <row r="127" spans="2:14">
      <c r="B127" s="273" t="s">
        <v>349</v>
      </c>
      <c r="G127" s="181">
        <v>0</v>
      </c>
      <c r="H127" s="181">
        <v>0</v>
      </c>
      <c r="I127" s="181">
        <v>2.9530287001343325</v>
      </c>
      <c r="J127" s="181">
        <v>3.1372897105407884</v>
      </c>
      <c r="K127" s="181">
        <v>0</v>
      </c>
      <c r="L127" s="181">
        <v>0</v>
      </c>
      <c r="M127" s="181">
        <v>0.33333333333333331</v>
      </c>
      <c r="N127" s="181"/>
    </row>
    <row r="128" spans="2:14">
      <c r="B128" s="273" t="s">
        <v>350</v>
      </c>
      <c r="G128" s="181">
        <v>0</v>
      </c>
      <c r="H128" s="181">
        <v>0</v>
      </c>
      <c r="I128" s="181">
        <v>1.485068241075816</v>
      </c>
      <c r="J128" s="181">
        <v>0.16381349870262205</v>
      </c>
      <c r="K128" s="181">
        <v>0</v>
      </c>
      <c r="L128" s="181">
        <v>0</v>
      </c>
      <c r="M128" s="181">
        <v>0</v>
      </c>
      <c r="N128" s="181"/>
    </row>
    <row r="129" spans="2:14">
      <c r="B129" s="273" t="s">
        <v>351</v>
      </c>
      <c r="G129" s="181">
        <v>0</v>
      </c>
      <c r="H129" s="181">
        <v>0</v>
      </c>
      <c r="I129" s="181">
        <v>0.30266294837238233</v>
      </c>
      <c r="J129" s="181">
        <v>3.0670384960950998E-2</v>
      </c>
      <c r="K129" s="181">
        <v>0</v>
      </c>
      <c r="L129" s="181">
        <v>0</v>
      </c>
      <c r="M129" s="181">
        <v>0</v>
      </c>
      <c r="N129" s="181"/>
    </row>
    <row r="130" spans="2:14">
      <c r="B130" s="272" t="s">
        <v>352</v>
      </c>
      <c r="G130" s="181">
        <v>0</v>
      </c>
      <c r="H130" s="181">
        <v>0</v>
      </c>
      <c r="I130" s="181">
        <v>0</v>
      </c>
      <c r="J130" s="181">
        <v>0</v>
      </c>
      <c r="K130" s="181">
        <v>0</v>
      </c>
      <c r="L130" s="181">
        <v>0</v>
      </c>
      <c r="M130" s="181">
        <v>0</v>
      </c>
      <c r="N130" s="181"/>
    </row>
    <row r="131" spans="2:14">
      <c r="B131" s="272" t="s">
        <v>353</v>
      </c>
      <c r="G131" s="181">
        <v>0</v>
      </c>
      <c r="H131" s="181">
        <v>0</v>
      </c>
      <c r="I131" s="181">
        <v>0</v>
      </c>
      <c r="J131" s="181">
        <v>0</v>
      </c>
      <c r="K131" s="181">
        <v>0</v>
      </c>
      <c r="L131" s="181">
        <v>0</v>
      </c>
      <c r="M131" s="181">
        <v>0</v>
      </c>
      <c r="N131" s="181"/>
    </row>
    <row r="132" spans="2:14">
      <c r="B132" s="272"/>
    </row>
    <row r="133" spans="2:14">
      <c r="B133" s="269" t="s">
        <v>340</v>
      </c>
    </row>
    <row r="134" spans="2:14">
      <c r="B134" s="273" t="s">
        <v>344</v>
      </c>
      <c r="G134" s="181">
        <v>0.57527636594690978</v>
      </c>
      <c r="H134" s="181">
        <v>0.66666666666666663</v>
      </c>
      <c r="I134" s="181">
        <v>0</v>
      </c>
      <c r="J134" s="181">
        <v>0</v>
      </c>
      <c r="K134" s="181">
        <v>0</v>
      </c>
      <c r="L134" s="181">
        <v>1.5237931963992228</v>
      </c>
      <c r="M134" s="181">
        <v>0</v>
      </c>
      <c r="N134" s="181"/>
    </row>
    <row r="135" spans="2:14">
      <c r="B135" s="273" t="s">
        <v>345</v>
      </c>
      <c r="G135" s="181">
        <v>0.63268964127630922</v>
      </c>
      <c r="H135" s="181">
        <v>0.33333333333333331</v>
      </c>
      <c r="I135" s="181">
        <v>1.5214670313653715</v>
      </c>
      <c r="J135" s="181">
        <v>4.4327800237354191</v>
      </c>
      <c r="K135" s="181">
        <v>0</v>
      </c>
      <c r="L135" s="181">
        <v>2.1031432339311174</v>
      </c>
      <c r="M135" s="181">
        <v>0</v>
      </c>
      <c r="N135" s="181"/>
    </row>
    <row r="136" spans="2:14">
      <c r="B136" s="273" t="s">
        <v>346</v>
      </c>
      <c r="G136" s="181">
        <v>0.35838376107217745</v>
      </c>
      <c r="H136" s="181">
        <v>0</v>
      </c>
      <c r="I136" s="181">
        <v>0.28117920237543897</v>
      </c>
      <c r="J136" s="181">
        <v>2.5716829204758653</v>
      </c>
      <c r="K136" s="181">
        <v>0.66666666666666663</v>
      </c>
      <c r="L136" s="181">
        <v>2.7901021858211617</v>
      </c>
      <c r="M136" s="181">
        <v>0</v>
      </c>
      <c r="N136" s="181"/>
    </row>
    <row r="137" spans="2:14">
      <c r="B137" s="273" t="s">
        <v>347</v>
      </c>
      <c r="G137" s="181">
        <v>0</v>
      </c>
      <c r="H137" s="181">
        <v>1.3333333333333333</v>
      </c>
      <c r="I137" s="181">
        <v>1.2494744679539402</v>
      </c>
      <c r="J137" s="181">
        <v>0.39459332865622926</v>
      </c>
      <c r="K137" s="181">
        <v>0.33333333333333331</v>
      </c>
      <c r="L137" s="181">
        <v>3.4648787561592429</v>
      </c>
      <c r="M137" s="181">
        <v>0</v>
      </c>
      <c r="N137" s="181"/>
    </row>
    <row r="138" spans="2:14">
      <c r="B138" s="270" t="s">
        <v>348</v>
      </c>
      <c r="G138" s="181">
        <v>0</v>
      </c>
      <c r="H138" s="181">
        <v>0.33333333333333331</v>
      </c>
      <c r="I138" s="181">
        <v>0.746622127906579</v>
      </c>
      <c r="J138" s="181">
        <v>1.7093302102504044</v>
      </c>
      <c r="K138" s="181">
        <v>0</v>
      </c>
      <c r="L138" s="181">
        <v>3.5217240019934928</v>
      </c>
      <c r="M138" s="181">
        <v>0</v>
      </c>
      <c r="N138" s="181"/>
    </row>
    <row r="139" spans="2:14">
      <c r="B139" s="273" t="s">
        <v>349</v>
      </c>
      <c r="G139" s="181">
        <v>0</v>
      </c>
      <c r="H139" s="181">
        <v>0.33333333333333331</v>
      </c>
      <c r="I139" s="181">
        <v>2.8719649535414304</v>
      </c>
      <c r="J139" s="181">
        <v>3.0946730874875144</v>
      </c>
      <c r="K139" s="181">
        <v>0</v>
      </c>
      <c r="L139" s="181">
        <v>5.2732640366268537</v>
      </c>
      <c r="M139" s="181">
        <v>0</v>
      </c>
      <c r="N139" s="181"/>
    </row>
    <row r="140" spans="2:14">
      <c r="B140" s="273" t="s">
        <v>350</v>
      </c>
      <c r="G140" s="181">
        <v>0</v>
      </c>
      <c r="H140" s="181">
        <v>0</v>
      </c>
      <c r="I140" s="181">
        <v>1.661626756871089</v>
      </c>
      <c r="J140" s="181">
        <v>1.1741367852829561</v>
      </c>
      <c r="K140" s="181">
        <v>0</v>
      </c>
      <c r="L140" s="181">
        <v>1.9044314558695099</v>
      </c>
      <c r="M140" s="181">
        <v>0</v>
      </c>
      <c r="N140" s="181"/>
    </row>
    <row r="141" spans="2:14">
      <c r="B141" s="273" t="s">
        <v>351</v>
      </c>
      <c r="G141" s="181">
        <v>0</v>
      </c>
      <c r="H141" s="181">
        <v>0</v>
      </c>
      <c r="I141" s="181">
        <v>3.208731462011313</v>
      </c>
      <c r="J141" s="181">
        <v>0.34485969629946628</v>
      </c>
      <c r="K141" s="181">
        <v>0</v>
      </c>
      <c r="L141" s="181">
        <v>6.0446208255018492</v>
      </c>
      <c r="M141" s="181">
        <v>0</v>
      </c>
      <c r="N141" s="181"/>
    </row>
    <row r="142" spans="2:14">
      <c r="B142" s="272" t="s">
        <v>352</v>
      </c>
      <c r="G142" s="181">
        <v>0</v>
      </c>
      <c r="H142" s="181">
        <v>0.66666666666666663</v>
      </c>
      <c r="I142" s="181">
        <v>0.28058474317379956</v>
      </c>
      <c r="J142" s="181">
        <v>2.9492776206045377E-2</v>
      </c>
      <c r="K142" s="181">
        <v>0</v>
      </c>
      <c r="L142" s="181">
        <v>2.3822492199183937E-2</v>
      </c>
      <c r="M142" s="181">
        <v>0</v>
      </c>
      <c r="N142" s="181"/>
    </row>
    <row r="143" spans="2:14">
      <c r="B143" s="272" t="s">
        <v>353</v>
      </c>
      <c r="G143" s="181">
        <v>0</v>
      </c>
      <c r="H143" s="181">
        <v>0</v>
      </c>
      <c r="I143" s="181">
        <v>0</v>
      </c>
      <c r="J143" s="181">
        <v>0</v>
      </c>
      <c r="K143" s="181">
        <v>0</v>
      </c>
      <c r="L143" s="181">
        <v>0.99999999999999989</v>
      </c>
      <c r="M143" s="181">
        <v>0</v>
      </c>
      <c r="N143" s="181"/>
    </row>
    <row r="144" spans="2:14">
      <c r="B144" s="272"/>
    </row>
    <row r="145" spans="2:22">
      <c r="B145" s="269" t="s">
        <v>341</v>
      </c>
    </row>
    <row r="146" spans="2:22">
      <c r="B146" s="272" t="s">
        <v>354</v>
      </c>
      <c r="G146" s="274"/>
      <c r="H146" s="181"/>
      <c r="I146" s="181"/>
      <c r="J146" s="181"/>
      <c r="K146" s="274"/>
      <c r="L146" s="274"/>
      <c r="M146" s="274"/>
      <c r="N146" s="181"/>
    </row>
    <row r="149" spans="2:22" s="189" customFormat="1">
      <c r="B149" s="187" t="s">
        <v>185</v>
      </c>
      <c r="G149" s="187" t="s">
        <v>321</v>
      </c>
      <c r="H149" s="187" t="s">
        <v>322</v>
      </c>
      <c r="I149" s="187" t="s">
        <v>323</v>
      </c>
      <c r="J149" s="187" t="s">
        <v>324</v>
      </c>
      <c r="K149" s="187" t="s">
        <v>5</v>
      </c>
      <c r="L149" s="187" t="s">
        <v>325</v>
      </c>
      <c r="M149" s="187" t="s">
        <v>326</v>
      </c>
      <c r="N149" s="187" t="s">
        <v>327</v>
      </c>
    </row>
    <row r="150" spans="2:22">
      <c r="N150" s="134"/>
      <c r="O150" s="134"/>
      <c r="P150" s="134"/>
      <c r="Q150" s="134"/>
      <c r="R150" s="134"/>
      <c r="S150" s="134"/>
      <c r="T150" s="134"/>
      <c r="U150" s="134"/>
      <c r="V150" s="134"/>
    </row>
    <row r="151" spans="2:22">
      <c r="B151" s="188" t="s">
        <v>320</v>
      </c>
      <c r="N151" s="134"/>
      <c r="O151" s="134"/>
      <c r="P151" s="134"/>
      <c r="Q151" s="134"/>
      <c r="R151" s="134"/>
      <c r="S151" s="134"/>
      <c r="T151" s="134"/>
      <c r="U151" s="134"/>
      <c r="V151" s="134"/>
    </row>
    <row r="152" spans="2:22">
      <c r="N152" s="134"/>
      <c r="O152" s="134"/>
      <c r="P152" s="134"/>
      <c r="Q152" s="134"/>
      <c r="R152" s="134"/>
      <c r="S152" s="134"/>
      <c r="T152" s="134"/>
      <c r="U152" s="134"/>
      <c r="V152" s="134"/>
    </row>
    <row r="153" spans="2:22">
      <c r="B153" s="267" t="s">
        <v>328</v>
      </c>
      <c r="N153" s="134"/>
    </row>
    <row r="154" spans="2:22">
      <c r="B154" s="197" t="s">
        <v>329</v>
      </c>
      <c r="G154" s="193">
        <v>18</v>
      </c>
      <c r="H154" s="193">
        <v>18</v>
      </c>
      <c r="I154" s="193">
        <v>18</v>
      </c>
      <c r="J154" s="193">
        <v>18.007200000000001</v>
      </c>
      <c r="K154" s="193">
        <v>18</v>
      </c>
      <c r="L154" s="193">
        <v>18</v>
      </c>
      <c r="M154" s="193">
        <v>18</v>
      </c>
      <c r="N154" s="193"/>
      <c r="P154" s="197" t="s">
        <v>389</v>
      </c>
    </row>
    <row r="155" spans="2:22">
      <c r="B155" s="197" t="s">
        <v>330</v>
      </c>
      <c r="G155" s="193">
        <v>22.559899999999999</v>
      </c>
      <c r="H155" s="193">
        <v>22.86</v>
      </c>
      <c r="I155" s="193">
        <v>22.726500000000001</v>
      </c>
      <c r="J155" s="193">
        <v>22.6554</v>
      </c>
      <c r="K155" s="193">
        <v>28.88</v>
      </c>
      <c r="L155" s="193">
        <v>21.8081</v>
      </c>
      <c r="M155" s="193">
        <v>18.615000000000002</v>
      </c>
      <c r="N155" s="193"/>
    </row>
    <row r="156" spans="2:22">
      <c r="G156" s="281"/>
      <c r="H156" s="281"/>
      <c r="I156" s="281"/>
      <c r="J156" s="281"/>
      <c r="K156" s="281"/>
      <c r="L156" s="281"/>
      <c r="M156" s="281"/>
      <c r="N156" s="281"/>
    </row>
    <row r="157" spans="2:22">
      <c r="B157" s="188" t="s">
        <v>331</v>
      </c>
      <c r="G157" s="281"/>
      <c r="H157" s="281"/>
      <c r="I157" s="281"/>
      <c r="J157" s="281"/>
      <c r="K157" s="281"/>
      <c r="L157" s="281"/>
      <c r="M157" s="281"/>
      <c r="N157" s="281"/>
    </row>
    <row r="158" spans="2:22">
      <c r="B158" s="197" t="s">
        <v>329</v>
      </c>
      <c r="G158" s="193">
        <v>18</v>
      </c>
      <c r="H158" s="193">
        <v>18</v>
      </c>
      <c r="I158" s="193">
        <v>18</v>
      </c>
      <c r="J158" s="193">
        <v>18</v>
      </c>
      <c r="K158" s="193">
        <v>18</v>
      </c>
      <c r="L158" s="193">
        <v>18</v>
      </c>
      <c r="M158" s="193">
        <v>18</v>
      </c>
      <c r="N158" s="193"/>
    </row>
    <row r="159" spans="2:22">
      <c r="B159" s="197" t="s">
        <v>330</v>
      </c>
      <c r="G159" s="193">
        <v>22.2377</v>
      </c>
      <c r="H159" s="193">
        <v>22.86</v>
      </c>
      <c r="I159" s="193">
        <v>22.726500000000001</v>
      </c>
      <c r="J159" s="193">
        <v>22.68</v>
      </c>
      <c r="K159" s="193">
        <v>28.88</v>
      </c>
      <c r="L159" s="193">
        <v>21.8081</v>
      </c>
      <c r="M159" s="193">
        <v>18.615000000000002</v>
      </c>
      <c r="N159" s="193"/>
    </row>
    <row r="160" spans="2:22">
      <c r="G160" s="281"/>
      <c r="H160" s="281"/>
      <c r="I160" s="281"/>
      <c r="J160" s="281"/>
      <c r="K160" s="281"/>
      <c r="L160" s="281"/>
      <c r="M160" s="281"/>
      <c r="N160" s="281"/>
    </row>
    <row r="161" spans="2:14">
      <c r="B161" s="188" t="s">
        <v>332</v>
      </c>
      <c r="G161" s="281"/>
      <c r="H161" s="281"/>
      <c r="I161" s="281"/>
      <c r="J161" s="281"/>
      <c r="K161" s="281"/>
      <c r="L161" s="281"/>
      <c r="M161" s="281"/>
      <c r="N161" s="281"/>
    </row>
    <row r="162" spans="2:14">
      <c r="B162" s="197" t="s">
        <v>329</v>
      </c>
      <c r="G162" s="193">
        <v>500</v>
      </c>
      <c r="H162" s="193">
        <v>444.72</v>
      </c>
      <c r="I162" s="193">
        <v>919.83</v>
      </c>
      <c r="J162" s="193">
        <v>684</v>
      </c>
      <c r="K162" s="193">
        <v>572</v>
      </c>
      <c r="L162" s="193">
        <v>675.55</v>
      </c>
      <c r="M162" s="193">
        <v>300</v>
      </c>
      <c r="N162" s="193"/>
    </row>
    <row r="163" spans="2:14">
      <c r="B163" s="197" t="s">
        <v>333</v>
      </c>
      <c r="G163" s="193">
        <v>25.326599999999999</v>
      </c>
      <c r="H163" s="193">
        <v>19.032</v>
      </c>
      <c r="I163" s="193"/>
      <c r="J163" s="193"/>
      <c r="K163" s="193">
        <v>30.9</v>
      </c>
      <c r="L163" s="193"/>
      <c r="M163" s="193"/>
      <c r="N163" s="193"/>
    </row>
    <row r="164" spans="2:14">
      <c r="B164" s="197" t="s">
        <v>334</v>
      </c>
      <c r="G164" s="193">
        <v>16.931999999999999</v>
      </c>
      <c r="H164" s="193">
        <v>19.032</v>
      </c>
      <c r="I164" s="193"/>
      <c r="J164" s="193"/>
      <c r="K164" s="193">
        <v>22.6</v>
      </c>
      <c r="L164" s="193"/>
      <c r="M164" s="193"/>
      <c r="N164" s="193"/>
    </row>
    <row r="165" spans="2:14">
      <c r="B165" s="197" t="s">
        <v>335</v>
      </c>
      <c r="G165" s="193"/>
      <c r="H165" s="193"/>
      <c r="I165" s="193">
        <v>21.15</v>
      </c>
      <c r="J165" s="193">
        <v>16.200000000000003</v>
      </c>
      <c r="K165" s="193"/>
      <c r="L165" s="193">
        <v>20.832200000000004</v>
      </c>
      <c r="M165" s="193">
        <v>24.166799999999999</v>
      </c>
      <c r="N165" s="193"/>
    </row>
    <row r="166" spans="2:14">
      <c r="G166" s="281"/>
      <c r="H166" s="281"/>
      <c r="I166" s="281"/>
      <c r="J166" s="281"/>
      <c r="K166" s="281"/>
      <c r="L166" s="281"/>
      <c r="M166" s="281"/>
      <c r="N166" s="281"/>
    </row>
    <row r="167" spans="2:14">
      <c r="B167" s="188" t="s">
        <v>336</v>
      </c>
      <c r="G167" s="281"/>
      <c r="H167" s="281"/>
      <c r="I167" s="281"/>
      <c r="J167" s="281"/>
      <c r="K167" s="281"/>
      <c r="L167" s="281"/>
      <c r="M167" s="281"/>
      <c r="N167" s="281"/>
    </row>
    <row r="168" spans="2:14">
      <c r="B168" s="197" t="s">
        <v>329</v>
      </c>
      <c r="G168" s="282"/>
      <c r="H168" s="193">
        <v>444.72</v>
      </c>
      <c r="I168" s="193">
        <v>919.83</v>
      </c>
      <c r="J168" s="193"/>
      <c r="K168" s="282"/>
      <c r="L168" s="282"/>
      <c r="M168" s="282"/>
      <c r="N168" s="193">
        <v>480</v>
      </c>
    </row>
    <row r="169" spans="2:14">
      <c r="B169" s="197" t="s">
        <v>330</v>
      </c>
      <c r="G169" s="282"/>
      <c r="H169" s="193">
        <v>19.032</v>
      </c>
      <c r="I169" s="193">
        <v>11.45</v>
      </c>
      <c r="J169" s="193"/>
      <c r="K169" s="282"/>
      <c r="L169" s="282"/>
      <c r="M169" s="282"/>
      <c r="N169" s="193">
        <v>5.7506000000000004</v>
      </c>
    </row>
    <row r="170" spans="2:14">
      <c r="G170" s="281"/>
      <c r="H170" s="281"/>
      <c r="I170" s="281"/>
      <c r="J170" s="281"/>
      <c r="K170" s="281"/>
      <c r="L170" s="281"/>
      <c r="M170" s="281"/>
      <c r="N170" s="281"/>
    </row>
    <row r="171" spans="2:14">
      <c r="G171" s="281"/>
      <c r="H171" s="281"/>
      <c r="I171" s="281"/>
      <c r="J171" s="281"/>
      <c r="K171" s="281"/>
      <c r="L171" s="281"/>
      <c r="M171" s="281"/>
      <c r="N171" s="281"/>
    </row>
    <row r="172" spans="2:14">
      <c r="B172" s="188" t="s">
        <v>337</v>
      </c>
      <c r="G172" s="281"/>
      <c r="H172" s="281"/>
      <c r="I172" s="281"/>
      <c r="J172" s="281"/>
      <c r="K172" s="281"/>
      <c r="L172" s="281"/>
      <c r="M172" s="281"/>
      <c r="N172" s="281"/>
    </row>
    <row r="173" spans="2:14">
      <c r="G173" s="281"/>
      <c r="H173" s="281"/>
      <c r="I173" s="281"/>
      <c r="J173" s="281"/>
      <c r="K173" s="281"/>
      <c r="L173" s="281"/>
      <c r="M173" s="281"/>
      <c r="N173" s="281"/>
    </row>
    <row r="174" spans="2:14">
      <c r="B174" s="268" t="s">
        <v>338</v>
      </c>
      <c r="G174" s="281"/>
      <c r="H174" s="281"/>
      <c r="I174" s="281"/>
      <c r="J174" s="281"/>
      <c r="K174" s="281"/>
      <c r="L174" s="281"/>
      <c r="M174" s="281"/>
      <c r="N174" s="281"/>
    </row>
    <row r="175" spans="2:14">
      <c r="B175" s="268"/>
      <c r="G175" s="281"/>
      <c r="H175" s="281"/>
      <c r="I175" s="281"/>
      <c r="J175" s="281"/>
      <c r="K175" s="281"/>
      <c r="L175" s="281"/>
      <c r="M175" s="281"/>
      <c r="N175" s="281"/>
    </row>
    <row r="176" spans="2:14">
      <c r="B176" s="269" t="s">
        <v>339</v>
      </c>
      <c r="G176" s="281"/>
      <c r="H176" s="281"/>
      <c r="I176" s="281"/>
      <c r="J176" s="281"/>
      <c r="K176" s="281"/>
      <c r="L176" s="281"/>
      <c r="M176" s="281"/>
      <c r="N176" s="281"/>
    </row>
    <row r="177" spans="2:14">
      <c r="B177" s="272" t="s">
        <v>42</v>
      </c>
      <c r="G177" s="193">
        <v>16.55</v>
      </c>
      <c r="H177" s="193">
        <v>16.080000000000002</v>
      </c>
      <c r="I177" s="193">
        <v>15.28</v>
      </c>
      <c r="J177" s="193">
        <v>20.862000000000002</v>
      </c>
      <c r="K177" s="193">
        <v>14.63</v>
      </c>
      <c r="L177" s="193">
        <v>20.891199999999998</v>
      </c>
      <c r="M177" s="193">
        <v>9.6</v>
      </c>
      <c r="N177" s="193"/>
    </row>
    <row r="178" spans="2:14">
      <c r="B178" s="272" t="s">
        <v>43</v>
      </c>
      <c r="G178" s="193">
        <v>37.409999999999997</v>
      </c>
      <c r="H178" s="193">
        <v>32.28</v>
      </c>
      <c r="I178" s="193">
        <v>26.31</v>
      </c>
      <c r="J178" s="193">
        <v>38.978999999999999</v>
      </c>
      <c r="K178" s="193">
        <v>34</v>
      </c>
      <c r="L178" s="193">
        <v>41.678800000000003</v>
      </c>
      <c r="M178" s="193">
        <v>9.6</v>
      </c>
      <c r="N178" s="193"/>
    </row>
    <row r="179" spans="2:14">
      <c r="B179" s="273" t="s">
        <v>44</v>
      </c>
      <c r="G179" s="193">
        <v>37.5</v>
      </c>
      <c r="H179" s="193">
        <v>34.92</v>
      </c>
      <c r="I179" s="193">
        <v>26.31</v>
      </c>
      <c r="J179" s="193">
        <v>40.150200000000005</v>
      </c>
      <c r="K179" s="193">
        <v>34</v>
      </c>
      <c r="L179" s="193">
        <v>43.339600000000004</v>
      </c>
      <c r="M179" s="193">
        <v>9.6</v>
      </c>
      <c r="N179" s="193"/>
    </row>
    <row r="180" spans="2:14">
      <c r="B180" s="273" t="s">
        <v>45</v>
      </c>
      <c r="G180" s="193">
        <v>46.81</v>
      </c>
      <c r="H180" s="193">
        <v>57.84</v>
      </c>
      <c r="I180" s="193">
        <v>32.9</v>
      </c>
      <c r="J180" s="193">
        <v>68.1858</v>
      </c>
      <c r="K180" s="193">
        <v>46</v>
      </c>
      <c r="L180" s="193">
        <v>70.5124</v>
      </c>
      <c r="M180" s="193">
        <v>9.6</v>
      </c>
      <c r="N180" s="193"/>
    </row>
    <row r="181" spans="2:14">
      <c r="B181" s="272"/>
      <c r="G181" s="281"/>
      <c r="H181" s="281"/>
      <c r="I181" s="281"/>
      <c r="J181" s="281"/>
      <c r="K181" s="281"/>
      <c r="L181" s="281"/>
      <c r="M181" s="281"/>
      <c r="N181" s="281"/>
    </row>
    <row r="182" spans="2:14">
      <c r="B182" s="269" t="s">
        <v>340</v>
      </c>
      <c r="G182" s="281"/>
      <c r="H182" s="281"/>
      <c r="I182" s="281"/>
      <c r="J182" s="281"/>
      <c r="K182" s="281"/>
      <c r="L182" s="281"/>
      <c r="M182" s="281"/>
      <c r="N182" s="281"/>
    </row>
    <row r="183" spans="2:14">
      <c r="B183" s="272" t="s">
        <v>42</v>
      </c>
      <c r="G183" s="193"/>
      <c r="H183" s="193"/>
      <c r="I183" s="193"/>
      <c r="J183" s="193">
        <v>20.862000000000002</v>
      </c>
      <c r="K183" s="193"/>
      <c r="L183" s="193"/>
      <c r="M183" s="193"/>
      <c r="N183" s="193"/>
    </row>
    <row r="184" spans="2:14">
      <c r="B184" s="272" t="s">
        <v>43</v>
      </c>
      <c r="G184" s="193"/>
      <c r="H184" s="193"/>
      <c r="I184" s="193"/>
      <c r="J184" s="193">
        <v>38.978999999999999</v>
      </c>
      <c r="K184" s="193"/>
      <c r="L184" s="193"/>
      <c r="M184" s="193"/>
      <c r="N184" s="193"/>
    </row>
    <row r="185" spans="2:14">
      <c r="B185" s="273" t="s">
        <v>44</v>
      </c>
      <c r="G185" s="193"/>
      <c r="H185" s="193"/>
      <c r="I185" s="193"/>
      <c r="J185" s="193">
        <v>40.150200000000005</v>
      </c>
      <c r="K185" s="193">
        <v>34</v>
      </c>
      <c r="L185" s="193"/>
      <c r="M185" s="193"/>
      <c r="N185" s="193"/>
    </row>
    <row r="186" spans="2:14">
      <c r="B186" s="273" t="s">
        <v>45</v>
      </c>
      <c r="G186" s="193">
        <v>50.53</v>
      </c>
      <c r="H186" s="193"/>
      <c r="I186" s="193"/>
      <c r="J186" s="193">
        <v>68.1858</v>
      </c>
      <c r="K186" s="193"/>
      <c r="L186" s="193"/>
      <c r="M186" s="193"/>
      <c r="N186" s="193"/>
    </row>
    <row r="187" spans="2:14">
      <c r="B187" s="272"/>
      <c r="G187" s="281"/>
      <c r="H187" s="281"/>
      <c r="I187" s="281"/>
      <c r="J187" s="281"/>
      <c r="K187" s="281"/>
      <c r="L187" s="281"/>
      <c r="M187" s="281"/>
      <c r="N187" s="281"/>
    </row>
    <row r="188" spans="2:14">
      <c r="B188" s="269" t="s">
        <v>341</v>
      </c>
      <c r="G188" s="281"/>
      <c r="H188" s="281"/>
      <c r="I188" s="281"/>
      <c r="J188" s="281"/>
      <c r="K188" s="281"/>
      <c r="L188" s="281"/>
      <c r="M188" s="281"/>
      <c r="N188" s="281"/>
    </row>
    <row r="189" spans="2:14">
      <c r="B189" s="272" t="s">
        <v>342</v>
      </c>
      <c r="G189" s="282"/>
      <c r="H189" s="193"/>
      <c r="I189" s="193"/>
      <c r="J189" s="193"/>
      <c r="K189" s="282"/>
      <c r="L189" s="282"/>
      <c r="M189" s="282"/>
      <c r="N189" s="193"/>
    </row>
    <row r="190" spans="2:14">
      <c r="B190" s="268"/>
      <c r="G190" s="281"/>
      <c r="H190" s="281"/>
      <c r="I190" s="281"/>
      <c r="J190" s="281"/>
      <c r="K190" s="281"/>
      <c r="L190" s="281"/>
      <c r="M190" s="281"/>
      <c r="N190" s="281"/>
    </row>
    <row r="191" spans="2:14">
      <c r="B191" s="268"/>
      <c r="G191" s="281"/>
      <c r="H191" s="281"/>
      <c r="I191" s="281"/>
      <c r="J191" s="281"/>
      <c r="K191" s="281"/>
      <c r="L191" s="281"/>
      <c r="M191" s="281"/>
      <c r="N191" s="281"/>
    </row>
    <row r="192" spans="2:14">
      <c r="B192" s="268" t="s">
        <v>343</v>
      </c>
      <c r="G192" s="281"/>
      <c r="H192" s="281"/>
      <c r="I192" s="281"/>
      <c r="J192" s="281"/>
      <c r="K192" s="281"/>
      <c r="L192" s="281"/>
      <c r="M192" s="281"/>
      <c r="N192" s="281"/>
    </row>
    <row r="193" spans="2:14">
      <c r="B193" s="268"/>
      <c r="G193" s="281"/>
      <c r="H193" s="281"/>
      <c r="I193" s="281"/>
      <c r="J193" s="281"/>
      <c r="K193" s="281"/>
      <c r="L193" s="281"/>
      <c r="M193" s="281"/>
      <c r="N193" s="281"/>
    </row>
    <row r="194" spans="2:14">
      <c r="B194" s="269" t="s">
        <v>339</v>
      </c>
      <c r="G194" s="281"/>
      <c r="H194" s="281"/>
      <c r="I194" s="281"/>
      <c r="J194" s="281"/>
      <c r="K194" s="281"/>
      <c r="L194" s="281"/>
      <c r="M194" s="281"/>
      <c r="N194" s="281"/>
    </row>
    <row r="195" spans="2:14">
      <c r="B195" s="273" t="s">
        <v>344</v>
      </c>
      <c r="G195" s="193">
        <v>81.599999999999994</v>
      </c>
      <c r="H195" s="193">
        <v>71.52</v>
      </c>
      <c r="I195" s="193">
        <v>53.01</v>
      </c>
      <c r="J195" s="193">
        <v>72.959999999999994</v>
      </c>
      <c r="K195" s="193">
        <v>34</v>
      </c>
      <c r="L195" s="193">
        <v>81.174700000000001</v>
      </c>
      <c r="M195" s="193">
        <v>91.9</v>
      </c>
      <c r="N195" s="193"/>
    </row>
    <row r="196" spans="2:14">
      <c r="B196" s="273" t="s">
        <v>345</v>
      </c>
      <c r="G196" s="193">
        <v>86.7</v>
      </c>
      <c r="H196" s="193">
        <v>71.52</v>
      </c>
      <c r="I196" s="193">
        <v>53.01</v>
      </c>
      <c r="J196" s="193">
        <v>106.07999999999998</v>
      </c>
      <c r="K196" s="193">
        <v>34</v>
      </c>
      <c r="L196" s="193">
        <v>76.893799999999999</v>
      </c>
      <c r="M196" s="193">
        <v>91.9</v>
      </c>
      <c r="N196" s="193"/>
    </row>
    <row r="197" spans="2:14">
      <c r="B197" s="273" t="s">
        <v>346</v>
      </c>
      <c r="G197" s="193">
        <v>113.6484</v>
      </c>
      <c r="H197" s="193">
        <v>71.52</v>
      </c>
      <c r="I197" s="193">
        <v>64.17</v>
      </c>
      <c r="J197" s="193">
        <v>204.84</v>
      </c>
      <c r="K197" s="193">
        <v>59</v>
      </c>
      <c r="L197" s="193">
        <v>76.893799999999999</v>
      </c>
      <c r="M197" s="193">
        <v>91.9</v>
      </c>
      <c r="N197" s="193"/>
    </row>
    <row r="198" spans="2:14">
      <c r="B198" s="273" t="s">
        <v>347</v>
      </c>
      <c r="G198" s="193">
        <v>113.6484</v>
      </c>
      <c r="H198" s="193">
        <v>71.52</v>
      </c>
      <c r="I198" s="193">
        <v>64.17</v>
      </c>
      <c r="J198" s="193">
        <v>204.84</v>
      </c>
      <c r="K198" s="193">
        <v>61.5</v>
      </c>
      <c r="L198" s="193">
        <v>131.178</v>
      </c>
      <c r="M198" s="193">
        <v>91.9</v>
      </c>
      <c r="N198" s="193"/>
    </row>
    <row r="199" spans="2:14">
      <c r="B199" s="270" t="s">
        <v>348</v>
      </c>
      <c r="G199" s="193">
        <v>255</v>
      </c>
      <c r="H199" s="193">
        <v>88.44</v>
      </c>
      <c r="I199" s="193">
        <v>64.17</v>
      </c>
      <c r="J199" s="193">
        <v>204.84</v>
      </c>
      <c r="K199" s="193">
        <v>71</v>
      </c>
      <c r="L199" s="193">
        <v>131.178</v>
      </c>
      <c r="M199" s="193">
        <v>91.9</v>
      </c>
      <c r="N199" s="193"/>
    </row>
    <row r="200" spans="2:14">
      <c r="B200" s="273" t="s">
        <v>349</v>
      </c>
      <c r="G200" s="193">
        <v>255</v>
      </c>
      <c r="H200" s="193">
        <v>88.44</v>
      </c>
      <c r="I200" s="193">
        <v>74.239999999999995</v>
      </c>
      <c r="J200" s="193">
        <v>245.04000000000002</v>
      </c>
      <c r="K200" s="193">
        <v>76</v>
      </c>
      <c r="L200" s="193">
        <v>131.178</v>
      </c>
      <c r="M200" s="193">
        <v>91.9</v>
      </c>
      <c r="N200" s="193"/>
    </row>
    <row r="201" spans="2:14">
      <c r="B201" s="273" t="s">
        <v>350</v>
      </c>
      <c r="G201" s="193">
        <v>255</v>
      </c>
      <c r="H201" s="193">
        <v>107.39999999999999</v>
      </c>
      <c r="I201" s="193">
        <v>74.239999999999995</v>
      </c>
      <c r="J201" s="193">
        <v>245.04000000000002</v>
      </c>
      <c r="K201" s="193">
        <v>76</v>
      </c>
      <c r="L201" s="193">
        <v>131.178</v>
      </c>
      <c r="M201" s="193">
        <v>91.9</v>
      </c>
      <c r="N201" s="193"/>
    </row>
    <row r="202" spans="2:14">
      <c r="B202" s="273" t="s">
        <v>351</v>
      </c>
      <c r="G202" s="193">
        <v>255</v>
      </c>
      <c r="H202" s="193">
        <v>107.39999999999999</v>
      </c>
      <c r="I202" s="193">
        <v>75.38</v>
      </c>
      <c r="J202" s="193">
        <v>245.04000000000002</v>
      </c>
      <c r="K202" s="193"/>
      <c r="L202" s="193">
        <v>131.178</v>
      </c>
      <c r="M202" s="193">
        <v>91.9</v>
      </c>
      <c r="N202" s="193"/>
    </row>
    <row r="203" spans="2:14">
      <c r="B203" s="272" t="s">
        <v>352</v>
      </c>
      <c r="G203" s="193"/>
      <c r="H203" s="193">
        <v>107.39999999999999</v>
      </c>
      <c r="I203" s="193">
        <v>75.38</v>
      </c>
      <c r="J203" s="193">
        <v>245.04000000000002</v>
      </c>
      <c r="K203" s="193"/>
      <c r="L203" s="193">
        <v>131.178</v>
      </c>
      <c r="M203" s="193">
        <v>91.9</v>
      </c>
      <c r="N203" s="193"/>
    </row>
    <row r="204" spans="2:14">
      <c r="B204" s="272" t="s">
        <v>353</v>
      </c>
      <c r="G204" s="193"/>
      <c r="H204" s="193"/>
      <c r="I204" s="193">
        <v>79.680000000000007</v>
      </c>
      <c r="J204" s="193">
        <v>245.04000000000002</v>
      </c>
      <c r="K204" s="193"/>
      <c r="L204" s="193">
        <v>131.178</v>
      </c>
      <c r="M204" s="193">
        <v>91.9</v>
      </c>
      <c r="N204" s="193"/>
    </row>
    <row r="205" spans="2:14">
      <c r="B205" s="272"/>
      <c r="G205" s="281"/>
      <c r="H205" s="281"/>
      <c r="I205" s="281"/>
      <c r="J205" s="281"/>
      <c r="K205" s="281"/>
      <c r="L205" s="281"/>
      <c r="M205" s="281"/>
      <c r="N205" s="281"/>
    </row>
    <row r="206" spans="2:14">
      <c r="B206" s="269" t="s">
        <v>340</v>
      </c>
      <c r="G206" s="281"/>
      <c r="H206" s="281"/>
      <c r="I206" s="281"/>
      <c r="J206" s="281"/>
      <c r="K206" s="281"/>
      <c r="L206" s="281"/>
      <c r="M206" s="281"/>
      <c r="N206" s="281"/>
    </row>
    <row r="207" spans="2:14">
      <c r="B207" s="273" t="s">
        <v>344</v>
      </c>
      <c r="G207" s="193">
        <v>255</v>
      </c>
      <c r="H207" s="193">
        <v>140.04</v>
      </c>
      <c r="I207" s="193">
        <v>53.01</v>
      </c>
      <c r="J207" s="193">
        <v>72.959999999999994</v>
      </c>
      <c r="K207" s="193">
        <v>104.5</v>
      </c>
      <c r="L207" s="193">
        <v>131.178</v>
      </c>
      <c r="M207" s="193">
        <v>91.9</v>
      </c>
      <c r="N207" s="193"/>
    </row>
    <row r="208" spans="2:14">
      <c r="B208" s="273" t="s">
        <v>345</v>
      </c>
      <c r="G208" s="193">
        <v>255</v>
      </c>
      <c r="H208" s="193">
        <v>140.04</v>
      </c>
      <c r="I208" s="193">
        <v>53.01</v>
      </c>
      <c r="J208" s="193">
        <v>106.07999999999998</v>
      </c>
      <c r="K208" s="193">
        <v>104.5</v>
      </c>
      <c r="L208" s="193">
        <v>131.178</v>
      </c>
      <c r="M208" s="193">
        <v>91.9</v>
      </c>
      <c r="N208" s="193"/>
    </row>
    <row r="209" spans="2:14">
      <c r="B209" s="273" t="s">
        <v>346</v>
      </c>
      <c r="G209" s="193">
        <v>255</v>
      </c>
      <c r="H209" s="193">
        <v>171.12</v>
      </c>
      <c r="I209" s="193">
        <v>64.17</v>
      </c>
      <c r="J209" s="193">
        <v>204.84</v>
      </c>
      <c r="K209" s="193">
        <v>120</v>
      </c>
      <c r="L209" s="193">
        <v>131.178</v>
      </c>
      <c r="M209" s="193">
        <v>91.9</v>
      </c>
      <c r="N209" s="193"/>
    </row>
    <row r="210" spans="2:14">
      <c r="B210" s="273" t="s">
        <v>347</v>
      </c>
      <c r="G210" s="193">
        <v>255</v>
      </c>
      <c r="H210" s="193">
        <v>171.12</v>
      </c>
      <c r="I210" s="193">
        <v>64.17</v>
      </c>
      <c r="J210" s="193">
        <v>204.84</v>
      </c>
      <c r="K210" s="193">
        <v>128</v>
      </c>
      <c r="L210" s="193">
        <v>131.178</v>
      </c>
      <c r="M210" s="193">
        <v>91.9</v>
      </c>
      <c r="N210" s="193"/>
    </row>
    <row r="211" spans="2:14">
      <c r="B211" s="270" t="s">
        <v>348</v>
      </c>
      <c r="G211" s="193">
        <v>255</v>
      </c>
      <c r="H211" s="193">
        <v>171.12</v>
      </c>
      <c r="I211" s="193">
        <v>64.17</v>
      </c>
      <c r="J211" s="193">
        <v>204.84</v>
      </c>
      <c r="K211" s="193">
        <v>136</v>
      </c>
      <c r="L211" s="193">
        <v>131.178</v>
      </c>
      <c r="M211" s="193">
        <v>91.9</v>
      </c>
      <c r="N211" s="193"/>
    </row>
    <row r="212" spans="2:14">
      <c r="B212" s="273" t="s">
        <v>349</v>
      </c>
      <c r="G212" s="193">
        <v>255</v>
      </c>
      <c r="H212" s="193">
        <v>225.48000000000002</v>
      </c>
      <c r="I212" s="193">
        <v>74.239999999999995</v>
      </c>
      <c r="J212" s="193">
        <v>245.04000000000002</v>
      </c>
      <c r="K212" s="193">
        <v>149</v>
      </c>
      <c r="L212" s="193">
        <v>131.178</v>
      </c>
      <c r="M212" s="193">
        <v>91.9</v>
      </c>
      <c r="N212" s="193"/>
    </row>
    <row r="213" spans="2:14">
      <c r="B213" s="273" t="s">
        <v>350</v>
      </c>
      <c r="G213" s="193">
        <v>255</v>
      </c>
      <c r="H213" s="193">
        <v>225.48000000000002</v>
      </c>
      <c r="I213" s="193">
        <v>74.239999999999995</v>
      </c>
      <c r="J213" s="193">
        <v>245.04000000000002</v>
      </c>
      <c r="K213" s="193">
        <v>151</v>
      </c>
      <c r="L213" s="193">
        <v>131.178</v>
      </c>
      <c r="M213" s="193">
        <v>91.9</v>
      </c>
      <c r="N213" s="193"/>
    </row>
    <row r="214" spans="2:14">
      <c r="B214" s="273" t="s">
        <v>351</v>
      </c>
      <c r="G214" s="193">
        <v>255</v>
      </c>
      <c r="H214" s="193">
        <v>225.48000000000002</v>
      </c>
      <c r="I214" s="193">
        <v>75.38</v>
      </c>
      <c r="J214" s="193">
        <v>245.04000000000002</v>
      </c>
      <c r="K214" s="193">
        <v>151</v>
      </c>
      <c r="L214" s="193">
        <v>131.178</v>
      </c>
      <c r="M214" s="193">
        <v>91.9</v>
      </c>
      <c r="N214" s="193"/>
    </row>
    <row r="215" spans="2:14">
      <c r="B215" s="272" t="s">
        <v>352</v>
      </c>
      <c r="G215" s="193"/>
      <c r="H215" s="193">
        <v>225.48000000000002</v>
      </c>
      <c r="I215" s="193">
        <v>75.38</v>
      </c>
      <c r="J215" s="193">
        <v>245.04000000000002</v>
      </c>
      <c r="K215" s="193">
        <v>151</v>
      </c>
      <c r="L215" s="193">
        <v>131.178</v>
      </c>
      <c r="M215" s="193">
        <v>91.9</v>
      </c>
      <c r="N215" s="193"/>
    </row>
    <row r="216" spans="2:14">
      <c r="B216" s="272" t="s">
        <v>353</v>
      </c>
      <c r="G216" s="193"/>
      <c r="H216" s="193">
        <v>225.48000000000002</v>
      </c>
      <c r="I216" s="193">
        <v>79.680000000000007</v>
      </c>
      <c r="J216" s="193">
        <v>245.04000000000002</v>
      </c>
      <c r="K216" s="193">
        <v>151</v>
      </c>
      <c r="L216" s="193">
        <v>131.178</v>
      </c>
      <c r="M216" s="193">
        <v>91.9</v>
      </c>
      <c r="N216" s="193"/>
    </row>
    <row r="217" spans="2:14">
      <c r="B217" s="272"/>
      <c r="G217" s="281"/>
      <c r="H217" s="281"/>
      <c r="I217" s="281"/>
      <c r="J217" s="281"/>
      <c r="K217" s="281"/>
      <c r="L217" s="281"/>
      <c r="M217" s="281"/>
      <c r="N217" s="281"/>
    </row>
    <row r="218" spans="2:14">
      <c r="B218" s="269" t="s">
        <v>341</v>
      </c>
      <c r="G218" s="281"/>
      <c r="H218" s="281"/>
      <c r="I218" s="281"/>
      <c r="J218" s="281"/>
      <c r="K218" s="281"/>
      <c r="L218" s="281"/>
      <c r="M218" s="281"/>
      <c r="N218" s="281"/>
    </row>
    <row r="219" spans="2:14">
      <c r="B219" s="272" t="s">
        <v>354</v>
      </c>
      <c r="G219" s="282"/>
      <c r="H219" s="193">
        <v>2273.5199999999995</v>
      </c>
      <c r="I219" s="193">
        <v>105806.6</v>
      </c>
      <c r="J219" s="193">
        <v>113796</v>
      </c>
      <c r="K219" s="282"/>
      <c r="L219" s="282"/>
      <c r="M219" s="282"/>
      <c r="N219" s="193"/>
    </row>
    <row r="220" spans="2:14">
      <c r="B220" s="271"/>
      <c r="G220" s="281"/>
      <c r="H220" s="281"/>
      <c r="I220" s="281"/>
      <c r="J220" s="281"/>
      <c r="K220" s="281"/>
      <c r="L220" s="281"/>
      <c r="M220" s="281"/>
      <c r="N220" s="281"/>
    </row>
    <row r="221" spans="2:14">
      <c r="B221" s="271"/>
      <c r="G221" s="281"/>
      <c r="H221" s="281"/>
      <c r="I221" s="281"/>
      <c r="J221" s="281"/>
      <c r="K221" s="281"/>
      <c r="L221" s="281"/>
      <c r="M221" s="281"/>
      <c r="N221" s="281"/>
    </row>
    <row r="222" spans="2:14">
      <c r="B222" s="271"/>
      <c r="G222" s="281"/>
      <c r="H222" s="281"/>
      <c r="I222" s="281"/>
      <c r="J222" s="281"/>
      <c r="K222" s="281"/>
      <c r="L222" s="281"/>
      <c r="M222" s="281"/>
      <c r="N222" s="281"/>
    </row>
    <row r="223" spans="2:14">
      <c r="B223" s="271"/>
      <c r="G223" s="281"/>
      <c r="H223" s="281"/>
      <c r="I223" s="281"/>
      <c r="J223" s="281"/>
      <c r="K223" s="281"/>
      <c r="L223" s="281"/>
      <c r="M223" s="281"/>
      <c r="N223" s="281"/>
    </row>
    <row r="224" spans="2:14">
      <c r="B224" s="268" t="s">
        <v>355</v>
      </c>
      <c r="G224" s="281"/>
      <c r="H224" s="281"/>
      <c r="I224" s="281"/>
      <c r="J224" s="281"/>
      <c r="K224" s="281"/>
      <c r="L224" s="281"/>
      <c r="M224" s="281"/>
      <c r="N224" s="281"/>
    </row>
    <row r="225" spans="2:14">
      <c r="B225" s="268"/>
      <c r="G225" s="281"/>
      <c r="H225" s="281"/>
      <c r="I225" s="281"/>
      <c r="J225" s="281"/>
      <c r="K225" s="281"/>
      <c r="L225" s="281"/>
      <c r="M225" s="281"/>
      <c r="N225" s="281"/>
    </row>
    <row r="226" spans="2:14">
      <c r="B226" s="269" t="s">
        <v>339</v>
      </c>
      <c r="G226" s="281"/>
      <c r="H226" s="281"/>
      <c r="I226" s="281"/>
      <c r="J226" s="281"/>
      <c r="K226" s="281"/>
      <c r="L226" s="281"/>
      <c r="M226" s="281"/>
      <c r="N226" s="281"/>
    </row>
    <row r="227" spans="2:14">
      <c r="B227" s="272" t="s">
        <v>42</v>
      </c>
      <c r="G227" s="193">
        <v>632.4</v>
      </c>
      <c r="H227" s="193">
        <v>723</v>
      </c>
      <c r="I227" s="193">
        <v>601.83000000000004</v>
      </c>
      <c r="J227" s="193">
        <v>779.6</v>
      </c>
      <c r="K227" s="193">
        <v>495</v>
      </c>
      <c r="L227" s="193">
        <v>1084.72</v>
      </c>
      <c r="M227" s="193">
        <v>838.76</v>
      </c>
      <c r="N227" s="193"/>
    </row>
    <row r="228" spans="2:14">
      <c r="B228" s="272" t="s">
        <v>43</v>
      </c>
      <c r="G228" s="193">
        <v>1122</v>
      </c>
      <c r="H228" s="193">
        <v>1319</v>
      </c>
      <c r="I228" s="193">
        <v>1140.3</v>
      </c>
      <c r="J228" s="193">
        <v>1556</v>
      </c>
      <c r="K228" s="193">
        <v>1160</v>
      </c>
      <c r="L228" s="193">
        <v>2062.25</v>
      </c>
      <c r="M228" s="193">
        <v>2161.61</v>
      </c>
      <c r="N228" s="193"/>
    </row>
    <row r="229" spans="2:14">
      <c r="B229" s="273" t="s">
        <v>44</v>
      </c>
      <c r="G229" s="193">
        <v>1122</v>
      </c>
      <c r="H229" s="193">
        <v>1319</v>
      </c>
      <c r="I229" s="193">
        <v>1167.58</v>
      </c>
      <c r="J229" s="193">
        <v>1556</v>
      </c>
      <c r="K229" s="193">
        <v>1160</v>
      </c>
      <c r="L229" s="193">
        <v>2224.4299999999998</v>
      </c>
      <c r="M229" s="193">
        <v>3009.6800000000003</v>
      </c>
      <c r="N229" s="193"/>
    </row>
    <row r="230" spans="2:14">
      <c r="B230" s="273" t="s">
        <v>45</v>
      </c>
      <c r="G230" s="193">
        <v>1530</v>
      </c>
      <c r="H230" s="193">
        <v>1677</v>
      </c>
      <c r="I230" s="193">
        <v>1604.88</v>
      </c>
      <c r="J230" s="193">
        <v>2299</v>
      </c>
      <c r="K230" s="193">
        <v>1675</v>
      </c>
      <c r="L230" s="193">
        <v>3631.33</v>
      </c>
      <c r="M230" s="193">
        <v>3113.3</v>
      </c>
      <c r="N230" s="193"/>
    </row>
    <row r="231" spans="2:14">
      <c r="B231" s="272"/>
      <c r="G231" s="281"/>
      <c r="H231" s="281"/>
      <c r="I231" s="281"/>
      <c r="J231" s="281"/>
      <c r="K231" s="281"/>
      <c r="L231" s="281"/>
      <c r="M231" s="281"/>
      <c r="N231" s="281"/>
    </row>
    <row r="232" spans="2:14">
      <c r="B232" s="269" t="s">
        <v>340</v>
      </c>
      <c r="G232" s="281"/>
      <c r="H232" s="281"/>
      <c r="I232" s="281"/>
      <c r="J232" s="281"/>
      <c r="K232" s="281"/>
      <c r="L232" s="281"/>
      <c r="M232" s="281"/>
      <c r="N232" s="281"/>
    </row>
    <row r="233" spans="2:14">
      <c r="B233" s="272" t="s">
        <v>42</v>
      </c>
      <c r="G233" s="193"/>
      <c r="H233" s="193"/>
      <c r="I233" s="193"/>
      <c r="J233" s="193">
        <v>779.6</v>
      </c>
      <c r="K233" s="193"/>
      <c r="L233" s="193"/>
      <c r="M233" s="193"/>
      <c r="N233" s="193"/>
    </row>
    <row r="234" spans="2:14">
      <c r="B234" s="272" t="s">
        <v>43</v>
      </c>
      <c r="G234" s="193"/>
      <c r="H234" s="193"/>
      <c r="I234" s="193"/>
      <c r="J234" s="193">
        <v>1556</v>
      </c>
      <c r="K234" s="193"/>
      <c r="L234" s="193"/>
      <c r="M234" s="193"/>
      <c r="N234" s="193"/>
    </row>
    <row r="235" spans="2:14">
      <c r="B235" s="273" t="s">
        <v>44</v>
      </c>
      <c r="G235" s="193"/>
      <c r="H235" s="193"/>
      <c r="I235" s="193"/>
      <c r="J235" s="193">
        <v>1556</v>
      </c>
      <c r="K235" s="193"/>
      <c r="L235" s="193"/>
      <c r="M235" s="193"/>
      <c r="N235" s="193"/>
    </row>
    <row r="236" spans="2:14">
      <c r="B236" s="273" t="s">
        <v>45</v>
      </c>
      <c r="G236" s="193"/>
      <c r="H236" s="193"/>
      <c r="I236" s="193"/>
      <c r="J236" s="193">
        <v>2299</v>
      </c>
      <c r="K236" s="193"/>
      <c r="L236" s="193"/>
      <c r="M236" s="193"/>
      <c r="N236" s="193"/>
    </row>
    <row r="237" spans="2:14">
      <c r="B237" s="272"/>
      <c r="G237" s="281"/>
      <c r="H237" s="281"/>
      <c r="I237" s="281"/>
      <c r="J237" s="281"/>
      <c r="K237" s="281"/>
      <c r="L237" s="281"/>
      <c r="M237" s="281"/>
      <c r="N237" s="281"/>
    </row>
    <row r="238" spans="2:14">
      <c r="B238" s="269" t="s">
        <v>341</v>
      </c>
      <c r="G238" s="281"/>
      <c r="H238" s="281"/>
      <c r="I238" s="281"/>
      <c r="J238" s="281"/>
      <c r="K238" s="281"/>
      <c r="L238" s="281"/>
      <c r="M238" s="281"/>
      <c r="N238" s="281"/>
    </row>
    <row r="239" spans="2:14">
      <c r="B239" s="272" t="s">
        <v>342</v>
      </c>
      <c r="G239" s="282"/>
      <c r="H239" s="193"/>
      <c r="I239" s="193"/>
      <c r="J239" s="193"/>
      <c r="K239" s="282"/>
      <c r="L239" s="282"/>
      <c r="M239" s="282"/>
      <c r="N239" s="193"/>
    </row>
    <row r="240" spans="2:14">
      <c r="B240" s="268"/>
      <c r="G240" s="281"/>
      <c r="H240" s="281"/>
      <c r="I240" s="281"/>
      <c r="J240" s="281"/>
      <c r="K240" s="281"/>
      <c r="L240" s="281"/>
      <c r="M240" s="281"/>
      <c r="N240" s="281"/>
    </row>
    <row r="241" spans="2:14">
      <c r="B241" s="268"/>
      <c r="G241" s="281"/>
      <c r="H241" s="281"/>
      <c r="I241" s="281"/>
      <c r="J241" s="281"/>
      <c r="K241" s="281"/>
      <c r="L241" s="281"/>
      <c r="M241" s="281"/>
      <c r="N241" s="281"/>
    </row>
    <row r="242" spans="2:14">
      <c r="B242" s="268" t="s">
        <v>356</v>
      </c>
      <c r="G242" s="281"/>
      <c r="H242" s="281"/>
      <c r="I242" s="281"/>
      <c r="J242" s="281"/>
      <c r="K242" s="281"/>
      <c r="L242" s="281"/>
      <c r="M242" s="281"/>
      <c r="N242" s="281"/>
    </row>
    <row r="243" spans="2:14">
      <c r="B243" s="268"/>
      <c r="G243" s="281"/>
      <c r="H243" s="281"/>
      <c r="I243" s="281"/>
      <c r="J243" s="281"/>
      <c r="K243" s="281"/>
      <c r="L243" s="281"/>
      <c r="M243" s="281"/>
      <c r="N243" s="281"/>
    </row>
    <row r="244" spans="2:14">
      <c r="B244" s="269" t="s">
        <v>339</v>
      </c>
      <c r="G244" s="281"/>
      <c r="H244" s="281"/>
      <c r="I244" s="281"/>
      <c r="J244" s="281"/>
      <c r="K244" s="281"/>
      <c r="L244" s="281"/>
      <c r="M244" s="281"/>
      <c r="N244" s="281"/>
    </row>
    <row r="245" spans="2:14">
      <c r="B245" s="272" t="s">
        <v>42</v>
      </c>
      <c r="G245" s="193">
        <v>18.739999999999998</v>
      </c>
      <c r="H245" s="193">
        <v>26.2</v>
      </c>
      <c r="I245" s="193">
        <v>18.04</v>
      </c>
      <c r="J245" s="193">
        <v>30.2</v>
      </c>
      <c r="K245" s="193">
        <v>13.1</v>
      </c>
      <c r="L245" s="193">
        <v>51.14</v>
      </c>
      <c r="M245" s="193">
        <v>50.910000000000004</v>
      </c>
      <c r="N245" s="193"/>
    </row>
    <row r="246" spans="2:14">
      <c r="B246" s="272" t="s">
        <v>43</v>
      </c>
      <c r="G246" s="193">
        <v>20.27</v>
      </c>
      <c r="H246" s="193">
        <v>27.8</v>
      </c>
      <c r="I246" s="193">
        <v>22.26</v>
      </c>
      <c r="J246" s="193">
        <v>36.1</v>
      </c>
      <c r="K246" s="193">
        <v>20.5</v>
      </c>
      <c r="L246" s="193">
        <v>51.14</v>
      </c>
      <c r="M246" s="193">
        <v>41.650000000000006</v>
      </c>
      <c r="N246" s="193"/>
    </row>
    <row r="247" spans="2:14">
      <c r="B247" s="273" t="s">
        <v>44</v>
      </c>
      <c r="G247" s="193">
        <v>23.18</v>
      </c>
      <c r="H247" s="193">
        <v>29.2</v>
      </c>
      <c r="I247" s="193">
        <v>22.26</v>
      </c>
      <c r="J247" s="193">
        <v>36.1</v>
      </c>
      <c r="K247" s="193">
        <v>20.5</v>
      </c>
      <c r="L247" s="193">
        <v>51.14</v>
      </c>
      <c r="M247" s="193">
        <v>41.650000000000006</v>
      </c>
      <c r="N247" s="193"/>
    </row>
    <row r="248" spans="2:14">
      <c r="B248" s="273" t="s">
        <v>45</v>
      </c>
      <c r="G248" s="193">
        <v>26.47</v>
      </c>
      <c r="H248" s="193">
        <v>30.4</v>
      </c>
      <c r="I248" s="193">
        <v>22.26</v>
      </c>
      <c r="J248" s="193">
        <v>36.1</v>
      </c>
      <c r="K248" s="193">
        <v>16.5</v>
      </c>
      <c r="L248" s="193">
        <v>60.300000000000004</v>
      </c>
      <c r="M248" s="193">
        <v>41.650000000000006</v>
      </c>
      <c r="N248" s="193"/>
    </row>
    <row r="249" spans="2:14">
      <c r="B249" s="272"/>
      <c r="G249" s="281"/>
      <c r="H249" s="281"/>
      <c r="I249" s="281"/>
      <c r="J249" s="281"/>
      <c r="K249" s="281"/>
      <c r="L249" s="281"/>
      <c r="M249" s="281"/>
      <c r="N249" s="281"/>
    </row>
    <row r="250" spans="2:14">
      <c r="B250" s="269" t="s">
        <v>340</v>
      </c>
      <c r="G250" s="281"/>
      <c r="H250" s="281"/>
      <c r="I250" s="281"/>
      <c r="J250" s="281"/>
      <c r="K250" s="281"/>
      <c r="L250" s="281"/>
      <c r="M250" s="281"/>
      <c r="N250" s="281"/>
    </row>
    <row r="251" spans="2:14">
      <c r="B251" s="272" t="s">
        <v>42</v>
      </c>
      <c r="G251" s="193">
        <v>18.739999999999998</v>
      </c>
      <c r="H251" s="193"/>
      <c r="I251" s="193"/>
      <c r="J251" s="193">
        <v>30.2</v>
      </c>
      <c r="K251" s="193"/>
      <c r="L251" s="193">
        <v>51.14</v>
      </c>
      <c r="M251" s="193"/>
      <c r="N251" s="193"/>
    </row>
    <row r="252" spans="2:14">
      <c r="B252" s="272" t="s">
        <v>43</v>
      </c>
      <c r="G252" s="193">
        <v>20.27</v>
      </c>
      <c r="H252" s="193"/>
      <c r="I252" s="193"/>
      <c r="J252" s="193">
        <v>36.1</v>
      </c>
      <c r="K252" s="193"/>
      <c r="L252" s="193">
        <v>51.14</v>
      </c>
      <c r="M252" s="193"/>
      <c r="N252" s="193"/>
    </row>
    <row r="253" spans="2:14">
      <c r="B253" s="273" t="s">
        <v>44</v>
      </c>
      <c r="G253" s="193">
        <v>23.18</v>
      </c>
      <c r="H253" s="193"/>
      <c r="I253" s="193"/>
      <c r="J253" s="193">
        <v>36.1</v>
      </c>
      <c r="K253" s="193"/>
      <c r="L253" s="193">
        <v>51.14</v>
      </c>
      <c r="M253" s="193"/>
      <c r="N253" s="193"/>
    </row>
    <row r="254" spans="2:14">
      <c r="B254" s="273" t="s">
        <v>45</v>
      </c>
      <c r="G254" s="193">
        <v>26.4</v>
      </c>
      <c r="H254" s="193"/>
      <c r="I254" s="193"/>
      <c r="J254" s="193">
        <v>36.1</v>
      </c>
      <c r="K254" s="193"/>
      <c r="L254" s="193">
        <v>60.300000000000004</v>
      </c>
      <c r="M254" s="193"/>
      <c r="N254" s="193"/>
    </row>
    <row r="255" spans="2:14">
      <c r="B255" s="272"/>
      <c r="G255" s="281"/>
      <c r="H255" s="281"/>
      <c r="I255" s="281"/>
      <c r="J255" s="281"/>
      <c r="K255" s="281"/>
      <c r="L255" s="281"/>
      <c r="M255" s="281"/>
      <c r="N255" s="281"/>
    </row>
    <row r="256" spans="2:14">
      <c r="B256" s="269" t="s">
        <v>341</v>
      </c>
      <c r="G256" s="281"/>
      <c r="H256" s="281"/>
      <c r="I256" s="281"/>
      <c r="J256" s="281"/>
      <c r="K256" s="281"/>
      <c r="L256" s="281"/>
      <c r="M256" s="281"/>
      <c r="N256" s="281"/>
    </row>
    <row r="257" spans="2:14">
      <c r="B257" s="272" t="s">
        <v>342</v>
      </c>
      <c r="G257" s="282"/>
      <c r="H257" s="193"/>
      <c r="I257" s="193"/>
      <c r="J257" s="193"/>
      <c r="K257" s="282"/>
      <c r="L257" s="282"/>
      <c r="M257" s="282"/>
      <c r="N257" s="193"/>
    </row>
    <row r="258" spans="2:14">
      <c r="B258" s="268"/>
      <c r="G258" s="281"/>
      <c r="H258" s="281"/>
      <c r="I258" s="281"/>
      <c r="J258" s="281"/>
      <c r="K258" s="281"/>
      <c r="L258" s="281"/>
      <c r="M258" s="281"/>
      <c r="N258" s="281"/>
    </row>
    <row r="259" spans="2:14">
      <c r="B259" s="268"/>
      <c r="G259" s="281"/>
      <c r="H259" s="281"/>
      <c r="I259" s="281"/>
      <c r="J259" s="281"/>
      <c r="K259" s="281"/>
      <c r="L259" s="281"/>
      <c r="M259" s="281"/>
      <c r="N259" s="281"/>
    </row>
    <row r="260" spans="2:14">
      <c r="B260" s="268" t="s">
        <v>357</v>
      </c>
      <c r="G260" s="281"/>
      <c r="H260" s="281"/>
      <c r="I260" s="281"/>
      <c r="J260" s="281"/>
      <c r="K260" s="281"/>
      <c r="L260" s="281"/>
      <c r="M260" s="281"/>
      <c r="N260" s="281"/>
    </row>
    <row r="261" spans="2:14">
      <c r="B261" s="268"/>
      <c r="G261" s="281"/>
      <c r="H261" s="281"/>
      <c r="I261" s="281"/>
      <c r="J261" s="281"/>
      <c r="K261" s="281"/>
      <c r="L261" s="281"/>
      <c r="M261" s="281"/>
      <c r="N261" s="281"/>
    </row>
    <row r="262" spans="2:14">
      <c r="B262" s="269" t="s">
        <v>339</v>
      </c>
      <c r="G262" s="281"/>
      <c r="H262" s="281"/>
      <c r="I262" s="281"/>
      <c r="J262" s="281"/>
      <c r="K262" s="281"/>
      <c r="L262" s="281"/>
      <c r="M262" s="281"/>
      <c r="N262" s="281"/>
    </row>
    <row r="263" spans="2:14">
      <c r="B263" s="273" t="s">
        <v>344</v>
      </c>
      <c r="G263" s="193">
        <v>3806.4</v>
      </c>
      <c r="H263" s="193">
        <v>2393</v>
      </c>
      <c r="I263" s="193">
        <v>2441.9499999999998</v>
      </c>
      <c r="J263" s="193">
        <v>2422</v>
      </c>
      <c r="K263" s="193">
        <v>1040</v>
      </c>
      <c r="L263" s="193">
        <v>3926.46</v>
      </c>
      <c r="M263" s="193">
        <v>3285.9</v>
      </c>
      <c r="N263" s="193"/>
    </row>
    <row r="264" spans="2:14">
      <c r="B264" s="273" t="s">
        <v>345</v>
      </c>
      <c r="G264" s="193">
        <v>3806.27</v>
      </c>
      <c r="H264" s="193">
        <v>2393</v>
      </c>
      <c r="I264" s="193">
        <v>2441.9499999999998</v>
      </c>
      <c r="J264" s="193">
        <v>2422</v>
      </c>
      <c r="K264" s="193">
        <v>1320</v>
      </c>
      <c r="L264" s="193">
        <v>3926.46</v>
      </c>
      <c r="M264" s="193">
        <v>3285.9</v>
      </c>
      <c r="N264" s="193"/>
    </row>
    <row r="265" spans="2:14">
      <c r="B265" s="273" t="s">
        <v>346</v>
      </c>
      <c r="G265" s="193">
        <v>3906.2</v>
      </c>
      <c r="H265" s="193">
        <v>2393</v>
      </c>
      <c r="I265" s="193">
        <v>3000.22</v>
      </c>
      <c r="J265" s="193">
        <v>4143</v>
      </c>
      <c r="K265" s="193">
        <v>2300</v>
      </c>
      <c r="L265" s="193">
        <v>4124.57</v>
      </c>
      <c r="M265" s="193">
        <v>4032.09</v>
      </c>
      <c r="N265" s="193"/>
    </row>
    <row r="266" spans="2:14">
      <c r="B266" s="273" t="s">
        <v>347</v>
      </c>
      <c r="G266" s="193">
        <v>3906.2</v>
      </c>
      <c r="H266" s="193">
        <v>2393</v>
      </c>
      <c r="I266" s="193">
        <v>3000.22</v>
      </c>
      <c r="J266" s="193">
        <v>4143</v>
      </c>
      <c r="K266" s="193">
        <v>4140</v>
      </c>
      <c r="L266" s="193">
        <v>6594.96</v>
      </c>
      <c r="M266" s="193">
        <v>4032.09</v>
      </c>
      <c r="N266" s="193"/>
    </row>
    <row r="267" spans="2:14">
      <c r="B267" s="270" t="s">
        <v>348</v>
      </c>
      <c r="G267" s="193"/>
      <c r="H267" s="193">
        <v>2871</v>
      </c>
      <c r="I267" s="193">
        <v>3000.22</v>
      </c>
      <c r="J267" s="193">
        <v>4143</v>
      </c>
      <c r="K267" s="193">
        <v>4510</v>
      </c>
      <c r="L267" s="193">
        <v>6594.96</v>
      </c>
      <c r="M267" s="193">
        <v>4032.09</v>
      </c>
      <c r="N267" s="193"/>
    </row>
    <row r="268" spans="2:14">
      <c r="B268" s="273" t="s">
        <v>349</v>
      </c>
      <c r="G268" s="193"/>
      <c r="H268" s="193">
        <v>2871</v>
      </c>
      <c r="I268" s="193">
        <v>3503.73</v>
      </c>
      <c r="J268" s="193">
        <v>4948</v>
      </c>
      <c r="K268" s="193">
        <v>6100</v>
      </c>
      <c r="L268" s="193"/>
      <c r="M268" s="193">
        <v>4032.09</v>
      </c>
      <c r="N268" s="193"/>
    </row>
    <row r="269" spans="2:14">
      <c r="B269" s="273" t="s">
        <v>350</v>
      </c>
      <c r="G269" s="193"/>
      <c r="H269" s="193">
        <v>3477</v>
      </c>
      <c r="I269" s="193">
        <v>3503.73</v>
      </c>
      <c r="J269" s="193">
        <v>4948</v>
      </c>
      <c r="K269" s="193">
        <v>6680</v>
      </c>
      <c r="L269" s="193"/>
      <c r="M269" s="193">
        <v>4032.09</v>
      </c>
      <c r="N269" s="193"/>
    </row>
    <row r="270" spans="2:14">
      <c r="B270" s="273" t="s">
        <v>351</v>
      </c>
      <c r="G270" s="193"/>
      <c r="H270" s="193"/>
      <c r="I270" s="193">
        <v>3560.54</v>
      </c>
      <c r="J270" s="193">
        <v>4948</v>
      </c>
      <c r="K270" s="193">
        <v>6680</v>
      </c>
      <c r="L270" s="193"/>
      <c r="M270" s="193">
        <v>4032.09</v>
      </c>
      <c r="N270" s="193"/>
    </row>
    <row r="271" spans="2:14">
      <c r="B271" s="272" t="s">
        <v>352</v>
      </c>
      <c r="G271" s="193"/>
      <c r="H271" s="193"/>
      <c r="I271" s="193">
        <v>3560.54</v>
      </c>
      <c r="J271" s="193">
        <v>4948</v>
      </c>
      <c r="K271" s="193">
        <v>6680</v>
      </c>
      <c r="L271" s="193"/>
      <c r="M271" s="193">
        <v>4032.09</v>
      </c>
      <c r="N271" s="193"/>
    </row>
    <row r="272" spans="2:14">
      <c r="B272" s="272" t="s">
        <v>353</v>
      </c>
      <c r="G272" s="193"/>
      <c r="H272" s="193"/>
      <c r="I272" s="193">
        <v>3775.6</v>
      </c>
      <c r="J272" s="193">
        <v>4948</v>
      </c>
      <c r="K272" s="193">
        <v>6680</v>
      </c>
      <c r="L272" s="193"/>
      <c r="M272" s="193">
        <v>4032.09</v>
      </c>
      <c r="N272" s="193"/>
    </row>
    <row r="273" spans="2:14">
      <c r="B273" s="272"/>
      <c r="G273" s="281"/>
      <c r="H273" s="281"/>
      <c r="I273" s="281"/>
      <c r="J273" s="281"/>
      <c r="K273" s="281"/>
      <c r="L273" s="281"/>
      <c r="M273" s="281"/>
      <c r="N273" s="281"/>
    </row>
    <row r="274" spans="2:14">
      <c r="B274" s="269" t="s">
        <v>340</v>
      </c>
      <c r="G274" s="281"/>
      <c r="H274" s="281"/>
      <c r="I274" s="281"/>
      <c r="J274" s="281"/>
      <c r="K274" s="281"/>
      <c r="L274" s="281"/>
      <c r="M274" s="281"/>
      <c r="N274" s="281"/>
    </row>
    <row r="275" spans="2:14">
      <c r="B275" s="273" t="s">
        <v>344</v>
      </c>
      <c r="G275" s="193">
        <v>11334.13</v>
      </c>
      <c r="H275" s="193">
        <v>7812</v>
      </c>
      <c r="I275" s="193">
        <v>2441.9499999999998</v>
      </c>
      <c r="J275" s="193">
        <v>2422</v>
      </c>
      <c r="K275" s="193">
        <v>6680</v>
      </c>
      <c r="L275" s="193">
        <v>6594.96</v>
      </c>
      <c r="M275" s="193">
        <v>4032.09</v>
      </c>
      <c r="N275" s="193"/>
    </row>
    <row r="276" spans="2:14">
      <c r="B276" s="273" t="s">
        <v>345</v>
      </c>
      <c r="G276" s="193">
        <v>11334.13</v>
      </c>
      <c r="H276" s="193">
        <v>7812</v>
      </c>
      <c r="I276" s="193">
        <v>2441.9499999999998</v>
      </c>
      <c r="J276" s="193">
        <v>2422</v>
      </c>
      <c r="K276" s="193">
        <v>6680</v>
      </c>
      <c r="L276" s="193">
        <v>6594.96</v>
      </c>
      <c r="M276" s="193">
        <v>4032.09</v>
      </c>
      <c r="N276" s="193"/>
    </row>
    <row r="277" spans="2:14">
      <c r="B277" s="273" t="s">
        <v>346</v>
      </c>
      <c r="G277" s="193">
        <v>11334.13</v>
      </c>
      <c r="H277" s="193">
        <v>8774</v>
      </c>
      <c r="I277" s="193">
        <v>3000.22</v>
      </c>
      <c r="J277" s="193">
        <v>4143</v>
      </c>
      <c r="K277" s="193">
        <v>6680</v>
      </c>
      <c r="L277" s="193">
        <v>6594.96</v>
      </c>
      <c r="M277" s="193">
        <v>4032.09</v>
      </c>
      <c r="N277" s="193"/>
    </row>
    <row r="278" spans="2:14">
      <c r="B278" s="273" t="s">
        <v>347</v>
      </c>
      <c r="G278" s="193">
        <v>11334.13</v>
      </c>
      <c r="H278" s="193">
        <v>8774</v>
      </c>
      <c r="I278" s="193">
        <v>3000.22</v>
      </c>
      <c r="J278" s="193">
        <v>4143</v>
      </c>
      <c r="K278" s="193">
        <v>6680</v>
      </c>
      <c r="L278" s="193">
        <v>6594.96</v>
      </c>
      <c r="M278" s="193">
        <v>4032.09</v>
      </c>
      <c r="N278" s="193"/>
    </row>
    <row r="279" spans="2:14">
      <c r="B279" s="270" t="s">
        <v>348</v>
      </c>
      <c r="G279" s="193">
        <v>11334.13</v>
      </c>
      <c r="H279" s="193">
        <v>8774</v>
      </c>
      <c r="I279" s="193">
        <v>3000.22</v>
      </c>
      <c r="J279" s="193">
        <v>4143</v>
      </c>
      <c r="K279" s="193">
        <v>6680</v>
      </c>
      <c r="L279" s="193">
        <v>6594.96</v>
      </c>
      <c r="M279" s="193">
        <v>4032.09</v>
      </c>
      <c r="N279" s="193"/>
    </row>
    <row r="280" spans="2:14">
      <c r="B280" s="273" t="s">
        <v>349</v>
      </c>
      <c r="G280" s="193">
        <v>11334.13</v>
      </c>
      <c r="H280" s="193">
        <v>10549</v>
      </c>
      <c r="I280" s="193">
        <v>3503.73</v>
      </c>
      <c r="J280" s="193">
        <v>4948</v>
      </c>
      <c r="K280" s="193">
        <v>6680</v>
      </c>
      <c r="L280" s="193">
        <v>6594.96</v>
      </c>
      <c r="M280" s="193">
        <v>4032.09</v>
      </c>
      <c r="N280" s="193"/>
    </row>
    <row r="281" spans="2:14">
      <c r="B281" s="273" t="s">
        <v>350</v>
      </c>
      <c r="G281" s="193">
        <v>11334.13</v>
      </c>
      <c r="H281" s="193">
        <v>10549</v>
      </c>
      <c r="I281" s="193">
        <v>3503.73</v>
      </c>
      <c r="J281" s="193">
        <v>4948</v>
      </c>
      <c r="K281" s="193">
        <v>6680</v>
      </c>
      <c r="L281" s="193">
        <v>6594.96</v>
      </c>
      <c r="M281" s="193">
        <v>4032.09</v>
      </c>
      <c r="N281" s="193"/>
    </row>
    <row r="282" spans="2:14">
      <c r="B282" s="273" t="s">
        <v>351</v>
      </c>
      <c r="G282" s="193">
        <v>11334.13</v>
      </c>
      <c r="H282" s="193"/>
      <c r="I282" s="193">
        <v>3560.54</v>
      </c>
      <c r="J282" s="193">
        <v>4948</v>
      </c>
      <c r="K282" s="193">
        <v>6680</v>
      </c>
      <c r="L282" s="193">
        <v>6594.96</v>
      </c>
      <c r="M282" s="193">
        <v>4032.09</v>
      </c>
      <c r="N282" s="193"/>
    </row>
    <row r="283" spans="2:14">
      <c r="B283" s="272" t="s">
        <v>352</v>
      </c>
      <c r="G283" s="193"/>
      <c r="H283" s="193"/>
      <c r="I283" s="193">
        <v>3560.54</v>
      </c>
      <c r="J283" s="193">
        <v>4948</v>
      </c>
      <c r="K283" s="193">
        <v>6680</v>
      </c>
      <c r="L283" s="193">
        <v>6594.96</v>
      </c>
      <c r="M283" s="193">
        <v>4032.09</v>
      </c>
      <c r="N283" s="193"/>
    </row>
    <row r="284" spans="2:14">
      <c r="B284" s="272" t="s">
        <v>353</v>
      </c>
      <c r="G284" s="193"/>
      <c r="H284" s="193"/>
      <c r="I284" s="193">
        <v>3775.6</v>
      </c>
      <c r="J284" s="193">
        <v>4948</v>
      </c>
      <c r="K284" s="193">
        <v>6680</v>
      </c>
      <c r="L284" s="193">
        <v>6594.96</v>
      </c>
      <c r="M284" s="193">
        <v>4032.09</v>
      </c>
      <c r="N284" s="193"/>
    </row>
    <row r="285" spans="2:14">
      <c r="B285" s="272"/>
      <c r="G285" s="281"/>
      <c r="H285" s="281"/>
      <c r="I285" s="281"/>
      <c r="J285" s="281"/>
      <c r="K285" s="281"/>
      <c r="L285" s="281"/>
      <c r="M285" s="281"/>
      <c r="N285" s="281"/>
    </row>
    <row r="286" spans="2:14">
      <c r="B286" s="269" t="s">
        <v>341</v>
      </c>
      <c r="G286" s="281"/>
      <c r="H286" s="281"/>
      <c r="I286" s="281"/>
      <c r="J286" s="281"/>
      <c r="K286" s="281"/>
      <c r="L286" s="281"/>
      <c r="M286" s="281"/>
      <c r="N286" s="281"/>
    </row>
    <row r="287" spans="2:14">
      <c r="B287" s="272" t="s">
        <v>354</v>
      </c>
      <c r="G287" s="282"/>
      <c r="H287" s="193"/>
      <c r="I287" s="193"/>
      <c r="J287" s="193"/>
      <c r="K287" s="282"/>
      <c r="L287" s="282"/>
      <c r="M287" s="282"/>
      <c r="N287" s="193"/>
    </row>
    <row r="290" spans="2:14" s="189" customFormat="1">
      <c r="B290" s="187" t="s">
        <v>359</v>
      </c>
      <c r="G290" s="187" t="s">
        <v>321</v>
      </c>
      <c r="H290" s="187" t="s">
        <v>322</v>
      </c>
      <c r="I290" s="187" t="s">
        <v>323</v>
      </c>
      <c r="J290" s="187" t="s">
        <v>324</v>
      </c>
      <c r="K290" s="187" t="s">
        <v>5</v>
      </c>
      <c r="L290" s="187" t="s">
        <v>325</v>
      </c>
      <c r="M290" s="187" t="s">
        <v>326</v>
      </c>
      <c r="N290" s="187" t="s">
        <v>327</v>
      </c>
    </row>
    <row r="292" spans="2:14">
      <c r="B292" s="197" t="s">
        <v>360</v>
      </c>
      <c r="G292" s="51">
        <f>SUMPRODUCT(G13:G24,G154:G165)</f>
        <v>14440481.407518128</v>
      </c>
      <c r="H292" s="51">
        <f t="shared" ref="H292:N292" si="0">SUMPRODUCT(H13:H24,H154:H165)</f>
        <v>19321382.680645909</v>
      </c>
      <c r="I292" s="51">
        <f t="shared" si="0"/>
        <v>238209224.50600228</v>
      </c>
      <c r="J292" s="51">
        <f t="shared" si="0"/>
        <v>251193086.97059673</v>
      </c>
      <c r="K292" s="51">
        <f t="shared" si="0"/>
        <v>13023534.891972782</v>
      </c>
      <c r="L292" s="51">
        <f t="shared" si="0"/>
        <v>188781867.78625929</v>
      </c>
      <c r="M292" s="51">
        <f t="shared" si="0"/>
        <v>13010964.894069152</v>
      </c>
      <c r="N292" s="51">
        <f t="shared" si="0"/>
        <v>0</v>
      </c>
    </row>
    <row r="293" spans="2:14">
      <c r="B293" s="197" t="s">
        <v>392</v>
      </c>
      <c r="G293" s="51">
        <f>G13*G154+G17*G158</f>
        <v>2496659.004498099</v>
      </c>
      <c r="H293" s="51">
        <f t="shared" ref="H293:N293" si="1">H13*H154+H17*H158</f>
        <v>3394147.4076225157</v>
      </c>
      <c r="I293" s="51">
        <f t="shared" si="1"/>
        <v>40067375.61056336</v>
      </c>
      <c r="J293" s="51">
        <f t="shared" si="1"/>
        <v>44531529.660878159</v>
      </c>
      <c r="K293" s="51">
        <f t="shared" si="1"/>
        <v>1846992.3597997515</v>
      </c>
      <c r="L293" s="51">
        <f t="shared" si="1"/>
        <v>34390232.788417131</v>
      </c>
      <c r="M293" s="51">
        <f t="shared" si="1"/>
        <v>935764.32485885045</v>
      </c>
      <c r="N293" s="51">
        <f t="shared" si="1"/>
        <v>0</v>
      </c>
    </row>
    <row r="295" spans="2:14">
      <c r="B295" s="197" t="s">
        <v>361</v>
      </c>
      <c r="G295" s="51">
        <f>SUMPRODUCT(G36:G75,G177:G216)</f>
        <v>2423572.2065948723</v>
      </c>
      <c r="H295" s="51">
        <f t="shared" ref="H295:N295" si="2">SUMPRODUCT(H36:H75,H177:H216)</f>
        <v>3167937.6301690675</v>
      </c>
      <c r="I295" s="51">
        <f t="shared" si="2"/>
        <v>35088919.08667621</v>
      </c>
      <c r="J295" s="51">
        <f t="shared" si="2"/>
        <v>54202569.25291732</v>
      </c>
      <c r="K295" s="51">
        <f t="shared" si="2"/>
        <v>1566805.7370666666</v>
      </c>
      <c r="L295" s="51">
        <f t="shared" si="2"/>
        <v>41430553.071393415</v>
      </c>
      <c r="M295" s="51">
        <f t="shared" si="2"/>
        <v>638886.39859017322</v>
      </c>
      <c r="N295" s="51">
        <f t="shared" si="2"/>
        <v>0</v>
      </c>
    </row>
    <row r="297" spans="2:14">
      <c r="B297" s="197" t="s">
        <v>362</v>
      </c>
      <c r="G297" s="51">
        <f>SUMPRODUCT(G86:G143,G227:G284)</f>
        <v>554960.29778938962</v>
      </c>
      <c r="H297" s="51">
        <f t="shared" ref="H297:N297" si="3">SUMPRODUCT(H86:H143,H227:H284)</f>
        <v>964345.39999999991</v>
      </c>
      <c r="I297" s="51">
        <f t="shared" si="3"/>
        <v>8443970.4509490393</v>
      </c>
      <c r="J297" s="51">
        <f t="shared" si="3"/>
        <v>13194105.265551958</v>
      </c>
      <c r="K297" s="51">
        <f t="shared" si="3"/>
        <v>342506.16666666669</v>
      </c>
      <c r="L297" s="51">
        <f t="shared" si="3"/>
        <v>11292369.687829595</v>
      </c>
      <c r="M297" s="51">
        <f t="shared" si="3"/>
        <v>455018.70314637839</v>
      </c>
      <c r="N297" s="51">
        <f t="shared" si="3"/>
        <v>0</v>
      </c>
    </row>
    <row r="299" spans="2:14">
      <c r="B299" s="197" t="s">
        <v>363</v>
      </c>
      <c r="G299" s="276">
        <f>SUMPRODUCT(G27:G28,G168:G169)+G78*G219</f>
        <v>0</v>
      </c>
      <c r="H299" s="276">
        <f t="shared" ref="H299:N299" si="4">SUMPRODUCT(H27:H28,H168:H169)+H78*H219</f>
        <v>1418483.1150824407</v>
      </c>
      <c r="I299" s="276">
        <f t="shared" si="4"/>
        <v>1324394.3794619816</v>
      </c>
      <c r="J299" s="276">
        <f t="shared" si="4"/>
        <v>113796</v>
      </c>
      <c r="K299" s="276">
        <f t="shared" si="4"/>
        <v>0</v>
      </c>
      <c r="L299" s="276">
        <f t="shared" si="4"/>
        <v>0</v>
      </c>
      <c r="M299" s="276">
        <f t="shared" si="4"/>
        <v>0</v>
      </c>
      <c r="N299" s="276">
        <f t="shared" si="4"/>
        <v>3360739.2802090337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pageSetUpPr fitToPage="1"/>
  </sheetPr>
  <dimension ref="B1:Q74"/>
  <sheetViews>
    <sheetView showGridLines="0" zoomScale="85" zoomScaleNormal="85" workbookViewId="0">
      <pane xSplit="4" ySplit="3" topLeftCell="E4" activePane="bottomRight" state="frozen"/>
      <selection pane="topRight" activeCell="E1" sqref="E1"/>
      <selection pane="bottomLeft" activeCell="A4" sqref="A4"/>
      <selection pane="bottomRight" activeCell="E4" sqref="E4"/>
    </sheetView>
  </sheetViews>
  <sheetFormatPr defaultRowHeight="12.75"/>
  <cols>
    <col min="1" max="1" width="3.42578125" style="31" customWidth="1"/>
    <col min="2" max="2" width="67.85546875" style="31" customWidth="1"/>
    <col min="3" max="3" width="1" style="31" customWidth="1"/>
    <col min="4" max="4" width="10.28515625" style="31" customWidth="1"/>
    <col min="5" max="5" width="10" style="31" customWidth="1"/>
    <col min="6" max="6" width="3.5703125" style="31" customWidth="1"/>
    <col min="7" max="8" width="14.42578125" style="31" customWidth="1"/>
    <col min="9" max="9" width="15.28515625" style="31" bestFit="1" customWidth="1"/>
    <col min="10" max="13" width="14.42578125" style="31" customWidth="1"/>
    <col min="14" max="14" width="11.85546875" style="31" customWidth="1"/>
    <col min="15" max="15" width="5.5703125" style="31" customWidth="1"/>
    <col min="16" max="16" width="11.85546875" style="31" customWidth="1"/>
    <col min="17" max="17" width="16.7109375" style="31" bestFit="1" customWidth="1"/>
    <col min="18" max="16384" width="9.140625" style="31"/>
  </cols>
  <sheetData>
    <row r="1" spans="2:17" s="27" customFormat="1"/>
    <row r="2" spans="2:17" s="39" customFormat="1" ht="18">
      <c r="B2" s="34" t="s">
        <v>130</v>
      </c>
      <c r="C2" s="40"/>
      <c r="F2" s="41"/>
      <c r="G2" s="5" t="s">
        <v>0</v>
      </c>
      <c r="H2" s="5" t="s">
        <v>189</v>
      </c>
      <c r="I2" s="5" t="s">
        <v>3</v>
      </c>
      <c r="J2" s="5" t="s">
        <v>4</v>
      </c>
      <c r="K2" s="5" t="s">
        <v>5</v>
      </c>
      <c r="L2" s="5" t="s">
        <v>6</v>
      </c>
      <c r="M2" s="5" t="s">
        <v>7</v>
      </c>
      <c r="N2" s="5" t="s">
        <v>8</v>
      </c>
      <c r="O2" s="41"/>
      <c r="P2" s="41"/>
      <c r="Q2" s="41"/>
    </row>
    <row r="3" spans="2:17" s="27" customFormat="1"/>
    <row r="4" spans="2:17" s="16" customFormat="1">
      <c r="B4" s="30" t="s">
        <v>9</v>
      </c>
    </row>
    <row r="5" spans="2:17" s="27" customFormat="1">
      <c r="G5" s="28"/>
      <c r="H5" s="28"/>
      <c r="I5" s="28"/>
      <c r="J5" s="28"/>
      <c r="K5" s="28"/>
      <c r="L5" s="28"/>
      <c r="M5" s="28"/>
      <c r="N5" s="28"/>
      <c r="O5" s="28"/>
      <c r="P5" s="28"/>
    </row>
    <row r="6" spans="2:17" s="225" customFormat="1">
      <c r="B6" s="225" t="s">
        <v>132</v>
      </c>
      <c r="D6" s="225" t="s">
        <v>13</v>
      </c>
      <c r="G6" s="18">
        <v>20195500.85954722</v>
      </c>
      <c r="H6" s="18">
        <v>28219963.185883924</v>
      </c>
      <c r="I6" s="18">
        <v>330110915.36535496</v>
      </c>
      <c r="J6" s="18">
        <v>380662873.09859294</v>
      </c>
      <c r="K6" s="18">
        <v>17074085.421158154</v>
      </c>
      <c r="L6" s="18">
        <v>282544855.87405187</v>
      </c>
      <c r="M6" s="18">
        <v>16130066.900690712</v>
      </c>
      <c r="N6" s="18">
        <v>5521688.1916046264</v>
      </c>
      <c r="P6" s="224" t="s">
        <v>297</v>
      </c>
    </row>
    <row r="7" spans="2:17" s="225" customFormat="1">
      <c r="B7" s="225" t="s">
        <v>133</v>
      </c>
      <c r="G7" s="19">
        <v>1.54</v>
      </c>
      <c r="H7" s="19">
        <v>1.51</v>
      </c>
      <c r="I7" s="19">
        <v>1.54</v>
      </c>
      <c r="J7" s="19">
        <v>1.42</v>
      </c>
      <c r="K7" s="19">
        <v>1.44</v>
      </c>
      <c r="L7" s="19">
        <v>1.46</v>
      </c>
      <c r="M7" s="19">
        <v>1.79</v>
      </c>
      <c r="N7" s="19">
        <v>2.19</v>
      </c>
      <c r="P7" s="224" t="s">
        <v>298</v>
      </c>
    </row>
    <row r="8" spans="2:17" s="225" customFormat="1">
      <c r="G8" s="176"/>
      <c r="H8" s="176"/>
      <c r="I8" s="176"/>
      <c r="J8" s="176"/>
      <c r="K8" s="176"/>
      <c r="L8" s="176"/>
      <c r="M8" s="176"/>
      <c r="N8" s="176"/>
      <c r="P8" s="224"/>
    </row>
    <row r="9" spans="2:17" s="225" customFormat="1">
      <c r="B9" s="225" t="s">
        <v>134</v>
      </c>
      <c r="D9" s="225" t="s">
        <v>15</v>
      </c>
      <c r="E9" s="17">
        <f>CPI!C20</f>
        <v>2E-3</v>
      </c>
    </row>
    <row r="10" spans="2:17" s="225" customFormat="1"/>
    <row r="11" spans="2:17" s="225" customFormat="1">
      <c r="B11" s="225" t="s">
        <v>135</v>
      </c>
      <c r="D11" s="225" t="s">
        <v>124</v>
      </c>
      <c r="G11" s="38">
        <f t="shared" ref="G11:N11" si="0">G6*(1-G7/100+$E$9)</f>
        <v>19924881.148029286</v>
      </c>
      <c r="H11" s="38">
        <f t="shared" si="0"/>
        <v>27850281.668148845</v>
      </c>
      <c r="I11" s="38">
        <f t="shared" si="0"/>
        <v>325687429.09945923</v>
      </c>
      <c r="J11" s="38">
        <f t="shared" si="0"/>
        <v>376018786.04679012</v>
      </c>
      <c r="K11" s="38">
        <f t="shared" si="0"/>
        <v>16862366.761935793</v>
      </c>
      <c r="L11" s="38">
        <f t="shared" si="0"/>
        <v>278984790.69003886</v>
      </c>
      <c r="M11" s="38">
        <f t="shared" si="0"/>
        <v>15873598.83696973</v>
      </c>
      <c r="N11" s="38">
        <f t="shared" si="0"/>
        <v>5411806.5965916943</v>
      </c>
    </row>
    <row r="12" spans="2:17" s="27" customFormat="1"/>
    <row r="13" spans="2:17" s="16" customFormat="1">
      <c r="B13" s="30" t="s">
        <v>136</v>
      </c>
    </row>
    <row r="14" spans="2:17" s="27" customFormat="1"/>
    <row r="15" spans="2:17" s="223" customFormat="1">
      <c r="B15" s="139" t="s">
        <v>137</v>
      </c>
      <c r="C15" s="232"/>
      <c r="D15" s="224" t="s">
        <v>124</v>
      </c>
      <c r="E15" s="224"/>
      <c r="G15" s="229">
        <f>'Nacalculaties en correcties'!G34</f>
        <v>-25696.553166461625</v>
      </c>
      <c r="H15" s="229">
        <f>'Nacalculaties en correcties'!H34</f>
        <v>-34538.493399787054</v>
      </c>
      <c r="I15" s="229">
        <f>'Nacalculaties en correcties'!I34</f>
        <v>-755144.13704525784</v>
      </c>
      <c r="J15" s="229">
        <f>'Nacalculaties en correcties'!J34</f>
        <v>-735316.84079503943</v>
      </c>
      <c r="K15" s="229">
        <f>'Nacalculaties en correcties'!K34</f>
        <v>-20584.030714730223</v>
      </c>
      <c r="L15" s="229">
        <f>'Nacalculaties en correcties'!L34</f>
        <v>-323739.3064768007</v>
      </c>
      <c r="M15" s="229">
        <f>'Nacalculaties en correcties'!M34</f>
        <v>-19051.453104564676</v>
      </c>
      <c r="N15" s="229">
        <f>'Nacalculaties en correcties'!N34</f>
        <v>-1.978064662386346E-2</v>
      </c>
    </row>
    <row r="16" spans="2:17" s="223" customFormat="1">
      <c r="B16" s="139" t="s">
        <v>138</v>
      </c>
      <c r="C16" s="232"/>
      <c r="D16" s="224" t="s">
        <v>124</v>
      </c>
      <c r="E16" s="224"/>
      <c r="G16" s="229">
        <f>'Nacalculaties en correcties'!G35</f>
        <v>-50930.325300558085</v>
      </c>
      <c r="H16" s="229">
        <f>'Nacalculaties en correcties'!H35</f>
        <v>-68522.310160231878</v>
      </c>
      <c r="I16" s="229">
        <f>'Nacalculaties en correcties'!I35</f>
        <v>-1532525.9723579264</v>
      </c>
      <c r="J16" s="229">
        <f>'Nacalculaties en correcties'!J35</f>
        <v>-1491039.3547941246</v>
      </c>
      <c r="K16" s="229">
        <f>'Nacalculaties en correcties'!K35</f>
        <v>-41638.76392434333</v>
      </c>
      <c r="L16" s="229">
        <f>'Nacalculaties en correcties'!L35</f>
        <v>-658037.96937472397</v>
      </c>
      <c r="M16" s="229">
        <f>'Nacalculaties en correcties'!M35</f>
        <v>-39650.987138944314</v>
      </c>
      <c r="N16" s="229">
        <f>'Nacalculaties en correcties'!N35</f>
        <v>-1.5770651243464592E-2</v>
      </c>
    </row>
    <row r="17" spans="2:14" s="223" customFormat="1">
      <c r="B17" s="139" t="s">
        <v>139</v>
      </c>
      <c r="C17" s="232"/>
      <c r="D17" s="224" t="s">
        <v>124</v>
      </c>
      <c r="E17" s="224"/>
      <c r="G17" s="229">
        <f>'Nacalculaties en correcties'!G36</f>
        <v>-75858.779650058466</v>
      </c>
      <c r="H17" s="229">
        <f>'Nacalculaties en correcties'!H36</f>
        <v>-102161.51519303469</v>
      </c>
      <c r="I17" s="229">
        <f>'Nacalculaties en correcties'!I36</f>
        <v>-2337531.9937169272</v>
      </c>
      <c r="J17" s="229">
        <f>'Nacalculaties en correcties'!J36</f>
        <v>-2272033.7847734089</v>
      </c>
      <c r="K17" s="229">
        <f>'Nacalculaties en correcties'!K36</f>
        <v>-63296.568650997942</v>
      </c>
      <c r="L17" s="229">
        <f>'Nacalculaties en correcties'!L36</f>
        <v>-1005115.6015346339</v>
      </c>
      <c r="M17" s="229">
        <f>'Nacalculaties en correcties'!M36</f>
        <v>-62012.318585596462</v>
      </c>
      <c r="N17" s="229">
        <f>'Nacalculaties en correcties'!N36</f>
        <v>-1.2532115421828775E-2</v>
      </c>
    </row>
    <row r="18" spans="2:14" s="223" customFormat="1">
      <c r="B18" s="139" t="s">
        <v>140</v>
      </c>
      <c r="C18" s="232"/>
      <c r="D18" s="224" t="s">
        <v>124</v>
      </c>
      <c r="E18" s="224"/>
      <c r="G18" s="229">
        <f>'Nacalculaties en correcties'!G37</f>
        <v>13715.350713701744</v>
      </c>
      <c r="H18" s="229">
        <f>'Nacalculaties en correcties'!H37</f>
        <v>-41309.799813926948</v>
      </c>
      <c r="I18" s="229">
        <f>'Nacalculaties en correcties'!I37</f>
        <v>-566517.29232139478</v>
      </c>
      <c r="J18" s="229">
        <f>'Nacalculaties en correcties'!J37</f>
        <v>-501184.51944420621</v>
      </c>
      <c r="K18" s="229">
        <f>'Nacalculaties en correcties'!K37</f>
        <v>-22710.672447290384</v>
      </c>
      <c r="L18" s="229">
        <f>'Nacalculaties en correcties'!L37</f>
        <v>-401754.63041006745</v>
      </c>
      <c r="M18" s="229">
        <f>'Nacalculaties en correcties'!M37</f>
        <v>-18617.099073998525</v>
      </c>
      <c r="N18" s="229">
        <f>'Nacalculaties en correcties'!N37</f>
        <v>724.25468386824912</v>
      </c>
    </row>
    <row r="19" spans="2:14" s="223" customFormat="1">
      <c r="B19" s="139" t="s">
        <v>141</v>
      </c>
      <c r="C19" s="232"/>
      <c r="D19" s="224" t="s">
        <v>124</v>
      </c>
      <c r="E19" s="224"/>
      <c r="G19" s="229">
        <f>'Nacalculaties en correcties'!G38</f>
        <v>-10472.222608434049</v>
      </c>
      <c r="H19" s="229">
        <f>'Nacalculaties en correcties'!H38</f>
        <v>-74635.421458030745</v>
      </c>
      <c r="I19" s="229">
        <f>'Nacalculaties en correcties'!I38</f>
        <v>-947783.48302296712</v>
      </c>
      <c r="J19" s="229">
        <f>'Nacalculaties en correcties'!J38</f>
        <v>-913842.54957143182</v>
      </c>
      <c r="K19" s="229">
        <f>'Nacalculaties en correcties'!K38</f>
        <v>-37369.572488749931</v>
      </c>
      <c r="L19" s="229">
        <f>'Nacalculaties en correcties'!L38</f>
        <v>-730266.48578181502</v>
      </c>
      <c r="M19" s="229">
        <f>'Nacalculaties en correcties'!M38</f>
        <v>-29784.19731259394</v>
      </c>
      <c r="N19" s="229">
        <f>'Nacalculaties en correcties'!N38</f>
        <v>4670.1143488631869</v>
      </c>
    </row>
    <row r="20" spans="2:14" s="223" customFormat="1">
      <c r="B20" s="139" t="s">
        <v>142</v>
      </c>
      <c r="C20" s="232"/>
      <c r="D20" s="224" t="s">
        <v>124</v>
      </c>
      <c r="E20" s="224"/>
      <c r="G20" s="229">
        <f>'Nacalculaties en correcties'!G39</f>
        <v>-31460.826892601537</v>
      </c>
      <c r="H20" s="229">
        <f>'Nacalculaties en correcties'!H39</f>
        <v>-100341.97392870243</v>
      </c>
      <c r="I20" s="229">
        <f>'Nacalculaties en correcties'!I39</f>
        <v>-1195728.3151781922</v>
      </c>
      <c r="J20" s="229">
        <f>'Nacalculaties en correcties'!J39</f>
        <v>-1396364.3310435556</v>
      </c>
      <c r="K20" s="229">
        <f>'Nacalculaties en correcties'!K39</f>
        <v>-50332.502787354271</v>
      </c>
      <c r="L20" s="229">
        <f>'Nacalculaties en correcties'!L39</f>
        <v>-987795.98682577093</v>
      </c>
      <c r="M20" s="229">
        <f>'Nacalculaties en correcties'!M39</f>
        <v>-39888.120551627413</v>
      </c>
      <c r="N20" s="229">
        <f>'Nacalculaties en correcties'!N39</f>
        <v>5595.6640750751994</v>
      </c>
    </row>
    <row r="21" spans="2:14" s="225" customFormat="1">
      <c r="B21" s="225" t="s">
        <v>269</v>
      </c>
      <c r="D21" s="224" t="s">
        <v>124</v>
      </c>
      <c r="G21" s="229">
        <f>'Nacalculaties en correcties'!G40</f>
        <v>-228121.20436479067</v>
      </c>
      <c r="H21" s="229">
        <f>'Nacalculaties en correcties'!H40</f>
        <v>55967.693834272177</v>
      </c>
      <c r="I21" s="229">
        <f>'Nacalculaties en correcties'!I40</f>
        <v>65210.412569432498</v>
      </c>
      <c r="J21" s="229">
        <f>'Nacalculaties en correcties'!J40</f>
        <v>14412982.008842219</v>
      </c>
      <c r="K21" s="229">
        <f>'Nacalculaties en correcties'!K40</f>
        <v>-201111.07738069925</v>
      </c>
      <c r="L21" s="229">
        <f>'Nacalculaties en correcties'!L40</f>
        <v>-60813.886882132298</v>
      </c>
      <c r="M21" s="229">
        <f>'Nacalculaties en correcties'!M40</f>
        <v>22335.754511847088</v>
      </c>
      <c r="N21" s="229">
        <f>'Nacalculaties en correcties'!N40</f>
        <v>4672.5974089689516</v>
      </c>
    </row>
    <row r="22" spans="2:14" s="225" customFormat="1">
      <c r="B22" s="14" t="s">
        <v>270</v>
      </c>
      <c r="D22" s="224" t="s">
        <v>124</v>
      </c>
      <c r="G22" s="229">
        <f>'Nacalculaties en correcties'!G41</f>
        <v>7737.1692319999984</v>
      </c>
      <c r="H22" s="229">
        <f>'Nacalculaties en correcties'!H41</f>
        <v>23118.950399999987</v>
      </c>
      <c r="I22" s="229">
        <f>'Nacalculaties en correcties'!I41</f>
        <v>567345.78205066652</v>
      </c>
      <c r="J22" s="229">
        <f>'Nacalculaties en correcties'!J41</f>
        <v>-290125.73657599976</v>
      </c>
      <c r="K22" s="229">
        <f>'Nacalculaties en correcties'!K41</f>
        <v>30087.064799999989</v>
      </c>
      <c r="L22" s="229">
        <f>'Nacalculaties en correcties'!L41</f>
        <v>700352.14740399993</v>
      </c>
      <c r="M22" s="229">
        <f>'Nacalculaties en correcties'!M41</f>
        <v>3471.8215999999979</v>
      </c>
      <c r="N22" s="229">
        <f>'Nacalculaties en correcties'!N41</f>
        <v>0</v>
      </c>
    </row>
    <row r="23" spans="2:14" s="225" customFormat="1">
      <c r="B23" s="14" t="s">
        <v>271</v>
      </c>
      <c r="D23" s="224" t="s">
        <v>124</v>
      </c>
      <c r="G23" s="229">
        <f>'Nacalculaties en correcties'!G42</f>
        <v>29832.309363999993</v>
      </c>
      <c r="H23" s="229">
        <f>'Nacalculaties en correcties'!H42</f>
        <v>26995.831199999993</v>
      </c>
      <c r="I23" s="229">
        <f>'Nacalculaties en correcties'!I42</f>
        <v>536170.89832799998</v>
      </c>
      <c r="J23" s="229">
        <f>'Nacalculaties en correcties'!J42</f>
        <v>375666.40550399979</v>
      </c>
      <c r="K23" s="229">
        <f>'Nacalculaties en correcties'!K42</f>
        <v>33053.737599999986</v>
      </c>
      <c r="L23" s="229">
        <f>'Nacalculaties en correcties'!L42</f>
        <v>294348.2896349486</v>
      </c>
      <c r="M23" s="229">
        <f>'Nacalculaties en correcties'!M42</f>
        <v>7143.6923999999972</v>
      </c>
      <c r="N23" s="229">
        <f>'Nacalculaties en correcties'!N42</f>
        <v>0</v>
      </c>
    </row>
    <row r="24" spans="2:14" s="225" customFormat="1">
      <c r="B24" s="211" t="s">
        <v>245</v>
      </c>
      <c r="D24" s="224" t="s">
        <v>124</v>
      </c>
      <c r="G24" s="214"/>
      <c r="H24" s="214"/>
      <c r="I24" s="229">
        <f>'Nacalculaties en correcties'!I43</f>
        <v>1394309.6535488833</v>
      </c>
      <c r="J24" s="214"/>
      <c r="K24" s="214"/>
      <c r="L24" s="214"/>
      <c r="M24" s="214"/>
      <c r="N24" s="214"/>
    </row>
    <row r="25" spans="2:14" s="225" customFormat="1">
      <c r="B25" s="211" t="s">
        <v>246</v>
      </c>
      <c r="D25" s="224" t="s">
        <v>124</v>
      </c>
      <c r="G25" s="214"/>
      <c r="H25" s="214"/>
      <c r="I25" s="229">
        <f>'Nacalculaties en correcties'!I44</f>
        <v>2129443.168738781</v>
      </c>
      <c r="J25" s="214"/>
      <c r="K25" s="214"/>
      <c r="L25" s="214"/>
      <c r="M25" s="214"/>
      <c r="N25" s="214"/>
    </row>
    <row r="26" spans="2:14" s="225" customFormat="1"/>
    <row r="27" spans="2:14" s="225" customFormat="1">
      <c r="B27" s="225" t="s">
        <v>143</v>
      </c>
      <c r="D27" s="224" t="s">
        <v>124</v>
      </c>
      <c r="G27" s="234">
        <f t="shared" ref="G27:N27" si="1">SUM(G15:G25)</f>
        <v>-371255.08267320268</v>
      </c>
      <c r="H27" s="234">
        <f t="shared" si="1"/>
        <v>-315427.03851944156</v>
      </c>
      <c r="I27" s="234">
        <f t="shared" si="1"/>
        <v>-2642751.2784069027</v>
      </c>
      <c r="J27" s="234">
        <f t="shared" si="1"/>
        <v>7188741.2973484509</v>
      </c>
      <c r="K27" s="234">
        <f t="shared" si="1"/>
        <v>-373902.38599416538</v>
      </c>
      <c r="L27" s="234">
        <f t="shared" si="1"/>
        <v>-3172823.4302469958</v>
      </c>
      <c r="M27" s="234">
        <f t="shared" si="1"/>
        <v>-176052.90725547823</v>
      </c>
      <c r="N27" s="234">
        <f t="shared" si="1"/>
        <v>15662.582433362299</v>
      </c>
    </row>
    <row r="28" spans="2:14" s="27" customFormat="1"/>
    <row r="29" spans="2:14" s="16" customFormat="1">
      <c r="B29" s="30" t="s">
        <v>144</v>
      </c>
    </row>
    <row r="30" spans="2:14" s="27" customFormat="1"/>
    <row r="31" spans="2:14" s="225" customFormat="1">
      <c r="B31" s="225" t="s">
        <v>145</v>
      </c>
      <c r="D31" s="225" t="s">
        <v>124</v>
      </c>
      <c r="G31" s="20">
        <f t="shared" ref="G31:N31" si="2">G11+G27</f>
        <v>19553626.065356083</v>
      </c>
      <c r="H31" s="20">
        <f t="shared" si="2"/>
        <v>27534854.629629403</v>
      </c>
      <c r="I31" s="20">
        <f t="shared" si="2"/>
        <v>323044677.82105231</v>
      </c>
      <c r="J31" s="20">
        <f t="shared" si="2"/>
        <v>383207527.34413856</v>
      </c>
      <c r="K31" s="20">
        <f t="shared" si="2"/>
        <v>16488464.375941627</v>
      </c>
      <c r="L31" s="20">
        <f t="shared" si="2"/>
        <v>275811967.25979185</v>
      </c>
      <c r="M31" s="20">
        <f t="shared" si="2"/>
        <v>15697545.929714251</v>
      </c>
      <c r="N31" s="20">
        <f t="shared" si="2"/>
        <v>5427469.1790250568</v>
      </c>
    </row>
    <row r="32" spans="2:14" s="27" customFormat="1"/>
    <row r="33" s="27" customFormat="1"/>
    <row r="74" spans="7:14">
      <c r="G74" s="277"/>
      <c r="H74" s="277"/>
      <c r="I74" s="277"/>
      <c r="J74" s="277"/>
      <c r="K74" s="277"/>
      <c r="L74" s="277"/>
      <c r="M74" s="277"/>
      <c r="N74" s="277"/>
    </row>
  </sheetData>
  <pageMargins left="0.7" right="0.7" top="0.75" bottom="0.75" header="0.3" footer="0.3"/>
  <pageSetup paperSize="9" scale="4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B2:P56"/>
  <sheetViews>
    <sheetView showGridLines="0" zoomScale="85" zoomScaleNormal="85" workbookViewId="0"/>
  </sheetViews>
  <sheetFormatPr defaultRowHeight="12.75"/>
  <cols>
    <col min="1" max="1" width="3.5703125" style="225" customWidth="1"/>
    <col min="2" max="2" width="64.42578125" style="225" customWidth="1"/>
    <col min="3" max="3" width="8.5703125" style="225" customWidth="1"/>
    <col min="4" max="4" width="16" style="225" customWidth="1"/>
    <col min="5" max="5" width="3.5703125" style="225" customWidth="1"/>
    <col min="6" max="6" width="11.85546875" style="225" customWidth="1"/>
    <col min="7" max="14" width="15.7109375" style="225" customWidth="1"/>
    <col min="15" max="15" width="5.28515625" style="225" customWidth="1"/>
    <col min="16" max="16" width="13.5703125" style="225" customWidth="1"/>
    <col min="17" max="16384" width="9.140625" style="225"/>
  </cols>
  <sheetData>
    <row r="2" spans="2:16" s="42" customFormat="1" ht="36">
      <c r="B2" s="43" t="s">
        <v>14</v>
      </c>
      <c r="C2" s="44"/>
      <c r="F2" s="45"/>
      <c r="G2" s="46" t="s">
        <v>0</v>
      </c>
      <c r="H2" s="46" t="s">
        <v>189</v>
      </c>
      <c r="I2" s="46" t="s">
        <v>3</v>
      </c>
      <c r="J2" s="46" t="s">
        <v>4</v>
      </c>
      <c r="K2" s="46" t="s">
        <v>5</v>
      </c>
      <c r="L2" s="46" t="s">
        <v>6</v>
      </c>
      <c r="M2" s="46" t="s">
        <v>7</v>
      </c>
      <c r="N2" s="46" t="s">
        <v>8</v>
      </c>
      <c r="O2" s="45"/>
      <c r="P2" s="45"/>
    </row>
    <row r="4" spans="2:16">
      <c r="B4" s="225" t="s">
        <v>285</v>
      </c>
    </row>
    <row r="5" spans="2:16">
      <c r="B5" s="225" t="s">
        <v>286</v>
      </c>
    </row>
    <row r="6" spans="2:16">
      <c r="B6" s="213"/>
    </row>
    <row r="7" spans="2:16">
      <c r="B7" s="249"/>
    </row>
    <row r="8" spans="2:16" s="16" customFormat="1">
      <c r="B8" s="30" t="s">
        <v>14</v>
      </c>
    </row>
    <row r="9" spans="2:16" s="27" customFormat="1"/>
    <row r="10" spans="2:16" s="31" customFormat="1"/>
    <row r="11" spans="2:16">
      <c r="B11" s="225" t="s">
        <v>370</v>
      </c>
      <c r="G11" s="182">
        <v>532701.29699999734</v>
      </c>
      <c r="H11" s="182">
        <v>1029264.81</v>
      </c>
      <c r="I11" s="182">
        <v>10444121.318135591</v>
      </c>
      <c r="J11" s="182">
        <v>10870240.24</v>
      </c>
      <c r="K11" s="182">
        <v>368325.15</v>
      </c>
      <c r="L11" s="182">
        <v>8221051.6499999994</v>
      </c>
      <c r="M11" s="182">
        <v>623761.14999999991</v>
      </c>
      <c r="N11" s="182">
        <v>0</v>
      </c>
      <c r="P11" s="224" t="s">
        <v>376</v>
      </c>
    </row>
    <row r="12" spans="2:16">
      <c r="B12" s="225" t="s">
        <v>371</v>
      </c>
      <c r="G12" s="182">
        <v>572467.20999999903</v>
      </c>
      <c r="H12" s="182">
        <v>1063322.1499999999</v>
      </c>
      <c r="I12" s="182">
        <v>9617129.2651409041</v>
      </c>
      <c r="J12" s="182">
        <v>9841317</v>
      </c>
      <c r="K12" s="182">
        <v>395732.5</v>
      </c>
      <c r="L12" s="182">
        <v>8657261.8999999985</v>
      </c>
      <c r="M12" s="182">
        <v>430942.15</v>
      </c>
      <c r="N12" s="182">
        <v>0</v>
      </c>
      <c r="P12" s="224" t="s">
        <v>377</v>
      </c>
    </row>
    <row r="13" spans="2:16">
      <c r="B13" s="225" t="s">
        <v>369</v>
      </c>
      <c r="G13" s="182">
        <v>646173.90999999992</v>
      </c>
      <c r="H13" s="182">
        <v>973967.9</v>
      </c>
      <c r="I13" s="182">
        <v>9949851.6899997871</v>
      </c>
      <c r="J13" s="182">
        <v>12015294.780000001</v>
      </c>
      <c r="K13" s="182">
        <v>384793.25</v>
      </c>
      <c r="L13" s="182">
        <v>11334314.370000001</v>
      </c>
      <c r="M13" s="182">
        <v>480630.68</v>
      </c>
      <c r="N13" s="182">
        <v>0</v>
      </c>
      <c r="P13" s="224" t="s">
        <v>378</v>
      </c>
    </row>
    <row r="15" spans="2:16">
      <c r="B15" s="225" t="s">
        <v>374</v>
      </c>
      <c r="D15" s="279">
        <v>3.3007719701627636E-4</v>
      </c>
      <c r="P15" s="224" t="s">
        <v>379</v>
      </c>
    </row>
    <row r="16" spans="2:16">
      <c r="B16" s="225" t="s">
        <v>375</v>
      </c>
      <c r="D16" s="278">
        <v>1.2E-2</v>
      </c>
      <c r="P16" s="224" t="s">
        <v>380</v>
      </c>
    </row>
    <row r="18" spans="2:16">
      <c r="B18" s="225" t="s">
        <v>300</v>
      </c>
      <c r="G18" s="182">
        <v>4469797.0037227059</v>
      </c>
      <c r="H18" s="182">
        <v>6214723.0918605244</v>
      </c>
      <c r="I18" s="182">
        <v>72164106.861459926</v>
      </c>
      <c r="J18" s="182">
        <v>81197409.838007689</v>
      </c>
      <c r="K18" s="182">
        <v>3363222.481822182</v>
      </c>
      <c r="L18" s="182">
        <v>59847252.093036763</v>
      </c>
      <c r="M18" s="182">
        <v>2087895.8561172751</v>
      </c>
      <c r="N18" s="182">
        <v>0</v>
      </c>
      <c r="P18" s="224" t="s">
        <v>381</v>
      </c>
    </row>
    <row r="19" spans="2:16">
      <c r="B19" s="225" t="s">
        <v>304</v>
      </c>
      <c r="G19" s="182">
        <v>4862667.8971840777</v>
      </c>
      <c r="H19" s="182">
        <v>6760972.6012204299</v>
      </c>
      <c r="I19" s="182">
        <v>78506457.296749592</v>
      </c>
      <c r="J19" s="182">
        <v>88334340.096959665</v>
      </c>
      <c r="K19" s="182">
        <v>3658836.3979063458</v>
      </c>
      <c r="L19" s="182">
        <v>65107588.170629077</v>
      </c>
      <c r="M19" s="182">
        <v>2271413.6203266541</v>
      </c>
      <c r="N19" s="182">
        <v>0</v>
      </c>
      <c r="P19" s="224" t="s">
        <v>382</v>
      </c>
    </row>
    <row r="21" spans="2:16">
      <c r="B21" s="225" t="s">
        <v>372</v>
      </c>
      <c r="D21" s="182">
        <v>33573675.307985611</v>
      </c>
      <c r="P21" s="224" t="s">
        <v>383</v>
      </c>
    </row>
    <row r="22" spans="2:16">
      <c r="B22" s="225" t="s">
        <v>373</v>
      </c>
      <c r="D22" s="234">
        <f>D21*(1-D15)^5*(1+D16)^5</f>
        <v>35578249.527820371</v>
      </c>
    </row>
    <row r="25" spans="2:16">
      <c r="B25" s="225" t="s">
        <v>299</v>
      </c>
      <c r="G25" s="182">
        <v>15725703.855824513</v>
      </c>
      <c r="H25" s="182">
        <v>21302332.517037828</v>
      </c>
      <c r="I25" s="182">
        <v>257201929.79485595</v>
      </c>
      <c r="J25" s="182">
        <v>299464911.51838356</v>
      </c>
      <c r="K25" s="182">
        <v>13710862.93933597</v>
      </c>
      <c r="L25" s="182">
        <v>222697603.7810151</v>
      </c>
      <c r="M25" s="182">
        <v>14042171.044573437</v>
      </c>
      <c r="N25" s="182">
        <v>0</v>
      </c>
      <c r="P25" s="224" t="s">
        <v>384</v>
      </c>
    </row>
    <row r="26" spans="2:16">
      <c r="B26" s="225" t="s">
        <v>368</v>
      </c>
      <c r="G26" s="234">
        <f t="shared" ref="G26:N26" si="0">G18-G27</f>
        <v>3872565.8161509801</v>
      </c>
      <c r="H26" s="234">
        <f t="shared" si="0"/>
        <v>5168986.8708827561</v>
      </c>
      <c r="I26" s="234">
        <f t="shared" si="0"/>
        <v>61929919.602004454</v>
      </c>
      <c r="J26" s="234">
        <f t="shared" si="0"/>
        <v>70037115.593053773</v>
      </c>
      <c r="K26" s="234">
        <f t="shared" si="0"/>
        <v>2971448.9595859265</v>
      </c>
      <c r="L26" s="234">
        <f t="shared" si="0"/>
        <v>50226368.641790539</v>
      </c>
      <c r="M26" s="234">
        <f t="shared" si="0"/>
        <v>1564326.4345730096</v>
      </c>
      <c r="N26" s="234">
        <f t="shared" si="0"/>
        <v>0</v>
      </c>
    </row>
    <row r="27" spans="2:16">
      <c r="B27" s="225" t="s">
        <v>365</v>
      </c>
      <c r="G27" s="234">
        <f t="shared" ref="G27:N27" si="1">$D$21*SUM(G11:G13)/SUM($G$11:$N$13)</f>
        <v>597231.18757172558</v>
      </c>
      <c r="H27" s="234">
        <f t="shared" si="1"/>
        <v>1045736.2209777681</v>
      </c>
      <c r="I27" s="234">
        <f t="shared" si="1"/>
        <v>10234187.25945547</v>
      </c>
      <c r="J27" s="234">
        <f t="shared" si="1"/>
        <v>11160294.24495391</v>
      </c>
      <c r="K27" s="234">
        <f t="shared" si="1"/>
        <v>391773.52223625564</v>
      </c>
      <c r="L27" s="234">
        <f t="shared" si="1"/>
        <v>9620883.4512462206</v>
      </c>
      <c r="M27" s="234">
        <f t="shared" si="1"/>
        <v>523569.42154426547</v>
      </c>
      <c r="N27" s="234">
        <f t="shared" si="1"/>
        <v>0</v>
      </c>
    </row>
    <row r="28" spans="2:16">
      <c r="B28" s="225" t="s">
        <v>301</v>
      </c>
      <c r="G28" s="182">
        <v>0</v>
      </c>
      <c r="H28" s="182">
        <v>702907.57698557177</v>
      </c>
      <c r="I28" s="182">
        <v>744878.70903909963</v>
      </c>
      <c r="J28" s="182">
        <v>551.74220169272803</v>
      </c>
      <c r="K28" s="182">
        <v>0</v>
      </c>
      <c r="L28" s="182">
        <v>0</v>
      </c>
      <c r="M28" s="182">
        <v>0</v>
      </c>
      <c r="N28" s="182">
        <v>5521688.1916046264</v>
      </c>
      <c r="P28" s="224" t="s">
        <v>385</v>
      </c>
    </row>
    <row r="29" spans="2:16">
      <c r="B29" s="225" t="s">
        <v>302</v>
      </c>
      <c r="G29" s="234">
        <f t="shared" ref="G29:N29" si="2">SUM(G25:G28)</f>
        <v>20195500.85954722</v>
      </c>
      <c r="H29" s="234">
        <f t="shared" si="2"/>
        <v>28219963.185883924</v>
      </c>
      <c r="I29" s="234">
        <f t="shared" si="2"/>
        <v>330110915.36535496</v>
      </c>
      <c r="J29" s="234">
        <f t="shared" si="2"/>
        <v>380662873.09859294</v>
      </c>
      <c r="K29" s="234">
        <f t="shared" si="2"/>
        <v>17074085.42115815</v>
      </c>
      <c r="L29" s="234">
        <f t="shared" si="2"/>
        <v>282544855.87405187</v>
      </c>
      <c r="M29" s="234">
        <f t="shared" si="2"/>
        <v>16130066.900690712</v>
      </c>
      <c r="N29" s="234">
        <f t="shared" si="2"/>
        <v>5521688.1916046264</v>
      </c>
    </row>
    <row r="30" spans="2:16">
      <c r="G30" s="275"/>
      <c r="H30" s="275"/>
      <c r="I30" s="275"/>
      <c r="J30" s="275"/>
      <c r="K30" s="275"/>
      <c r="L30" s="275"/>
      <c r="M30" s="275"/>
      <c r="N30" s="275"/>
    </row>
    <row r="31" spans="2:16" s="31" customFormat="1">
      <c r="B31" s="225" t="s">
        <v>303</v>
      </c>
      <c r="G31" s="182">
        <v>14989824.571676228</v>
      </c>
      <c r="H31" s="182">
        <v>20354201.588207666</v>
      </c>
      <c r="I31" s="182">
        <v>245290315.43734559</v>
      </c>
      <c r="J31" s="182">
        <v>288144736.85341024</v>
      </c>
      <c r="K31" s="182">
        <v>13206603.872515034</v>
      </c>
      <c r="L31" s="182">
        <v>213723615.84802988</v>
      </c>
      <c r="M31" s="182">
        <v>13385339.145880563</v>
      </c>
      <c r="N31" s="182">
        <v>0</v>
      </c>
      <c r="P31" s="224" t="s">
        <v>386</v>
      </c>
    </row>
    <row r="32" spans="2:16" s="31" customFormat="1">
      <c r="B32" s="225" t="s">
        <v>367</v>
      </c>
      <c r="G32" s="234">
        <f t="shared" ref="G32:N32" si="3">G19-G33</f>
        <v>4229777.9909613496</v>
      </c>
      <c r="H32" s="234">
        <f t="shared" si="3"/>
        <v>5652798.8946206793</v>
      </c>
      <c r="I32" s="234">
        <f t="shared" si="3"/>
        <v>67661220.226599544</v>
      </c>
      <c r="J32" s="234">
        <f t="shared" si="3"/>
        <v>76507701.225628689</v>
      </c>
      <c r="K32" s="234">
        <f t="shared" si="3"/>
        <v>3243671.3614708134</v>
      </c>
      <c r="L32" s="234">
        <f t="shared" si="3"/>
        <v>54912273.270889759</v>
      </c>
      <c r="M32" s="234">
        <f t="shared" si="3"/>
        <v>1716583.5829846361</v>
      </c>
      <c r="N32" s="234">
        <f t="shared" si="3"/>
        <v>0</v>
      </c>
    </row>
    <row r="33" spans="2:16">
      <c r="B33" s="225" t="s">
        <v>366</v>
      </c>
      <c r="G33" s="234">
        <f t="shared" ref="G33:N33" si="4">$D$22*SUM(G11:G13)/SUM($G$11:$N$13)</f>
        <v>632889.90622272843</v>
      </c>
      <c r="H33" s="234">
        <f t="shared" si="4"/>
        <v>1108173.7065997508</v>
      </c>
      <c r="I33" s="234">
        <f t="shared" si="4"/>
        <v>10845237.070150046</v>
      </c>
      <c r="J33" s="234">
        <f t="shared" si="4"/>
        <v>11826638.871330982</v>
      </c>
      <c r="K33" s="234">
        <f t="shared" si="4"/>
        <v>415165.03643553256</v>
      </c>
      <c r="L33" s="234">
        <f t="shared" si="4"/>
        <v>10195314.899739316</v>
      </c>
      <c r="M33" s="234">
        <f t="shared" si="4"/>
        <v>554830.0373420181</v>
      </c>
      <c r="N33" s="234">
        <f t="shared" si="4"/>
        <v>0</v>
      </c>
    </row>
    <row r="34" spans="2:16" s="31" customFormat="1">
      <c r="B34" s="225" t="s">
        <v>305</v>
      </c>
      <c r="G34" s="182">
        <v>0</v>
      </c>
      <c r="H34" s="182">
        <v>668690.67181670386</v>
      </c>
      <c r="I34" s="182">
        <v>708618.68711871724</v>
      </c>
      <c r="J34" s="182">
        <v>524.88389028577899</v>
      </c>
      <c r="K34" s="182">
        <v>0</v>
      </c>
      <c r="L34" s="182">
        <v>0</v>
      </c>
      <c r="M34" s="182">
        <v>0</v>
      </c>
      <c r="N34" s="182">
        <v>5252897.4040099839</v>
      </c>
      <c r="P34" s="224" t="s">
        <v>387</v>
      </c>
    </row>
    <row r="35" spans="2:16" s="31" customFormat="1">
      <c r="B35" s="225" t="s">
        <v>306</v>
      </c>
      <c r="G35" s="234">
        <f t="shared" ref="G35:N35" si="5">SUM(G31:G34)</f>
        <v>19852492.468860306</v>
      </c>
      <c r="H35" s="234">
        <f t="shared" si="5"/>
        <v>27783864.861244798</v>
      </c>
      <c r="I35" s="234">
        <f t="shared" si="5"/>
        <v>324505391.42121387</v>
      </c>
      <c r="J35" s="234">
        <f t="shared" si="5"/>
        <v>376479601.83426017</v>
      </c>
      <c r="K35" s="234">
        <f t="shared" si="5"/>
        <v>16865440.270421378</v>
      </c>
      <c r="L35" s="234">
        <f t="shared" si="5"/>
        <v>278831204.01865894</v>
      </c>
      <c r="M35" s="234">
        <f t="shared" si="5"/>
        <v>15656752.766207216</v>
      </c>
      <c r="N35" s="234">
        <f t="shared" si="5"/>
        <v>5252897.4040099839</v>
      </c>
    </row>
    <row r="36" spans="2:16" s="31" customFormat="1">
      <c r="G36" s="225"/>
      <c r="H36" s="225"/>
      <c r="I36" s="225"/>
      <c r="J36" s="225"/>
      <c r="K36" s="225"/>
      <c r="L36" s="225"/>
      <c r="M36" s="225"/>
      <c r="N36" s="225"/>
    </row>
    <row r="37" spans="2:16">
      <c r="B37" s="225" t="s">
        <v>307</v>
      </c>
      <c r="G37" s="265">
        <f t="shared" ref="G37:N40" si="6">G25/G$29</f>
        <v>0.77867362464498346</v>
      </c>
      <c r="H37" s="265">
        <f t="shared" si="6"/>
        <v>0.75486748075183863</v>
      </c>
      <c r="I37" s="265">
        <f t="shared" si="6"/>
        <v>0.77913791341977912</v>
      </c>
      <c r="J37" s="265">
        <f t="shared" si="6"/>
        <v>0.78669324665350582</v>
      </c>
      <c r="K37" s="265">
        <f t="shared" si="6"/>
        <v>0.80302180767735376</v>
      </c>
      <c r="L37" s="265">
        <f t="shared" si="6"/>
        <v>0.78818495241083253</v>
      </c>
      <c r="M37" s="265">
        <f t="shared" si="6"/>
        <v>0.87055876029702839</v>
      </c>
      <c r="N37" s="265">
        <f t="shared" si="6"/>
        <v>0</v>
      </c>
    </row>
    <row r="38" spans="2:16">
      <c r="B38" s="225" t="s">
        <v>308</v>
      </c>
      <c r="G38" s="265">
        <f t="shared" si="6"/>
        <v>0.19175388830825968</v>
      </c>
      <c r="H38" s="265">
        <f t="shared" si="6"/>
        <v>0.18316773968962388</v>
      </c>
      <c r="I38" s="265">
        <f t="shared" si="6"/>
        <v>0.18760336819963264</v>
      </c>
      <c r="J38" s="265">
        <f t="shared" si="6"/>
        <v>0.18398725103646746</v>
      </c>
      <c r="K38" s="265">
        <f t="shared" si="6"/>
        <v>0.17403268674664804</v>
      </c>
      <c r="L38" s="265">
        <f t="shared" si="6"/>
        <v>0.17776422963502692</v>
      </c>
      <c r="M38" s="265">
        <f t="shared" si="6"/>
        <v>9.6982017756294794E-2</v>
      </c>
      <c r="N38" s="265">
        <f t="shared" si="6"/>
        <v>0</v>
      </c>
    </row>
    <row r="39" spans="2:16">
      <c r="G39" s="265">
        <f t="shared" si="6"/>
        <v>2.957248704675678E-2</v>
      </c>
      <c r="H39" s="265">
        <f t="shared" si="6"/>
        <v>3.7056611806668194E-2</v>
      </c>
      <c r="I39" s="265">
        <f t="shared" si="6"/>
        <v>3.1002268580330457E-2</v>
      </c>
      <c r="J39" s="265">
        <f t="shared" si="6"/>
        <v>2.9318052885245145E-2</v>
      </c>
      <c r="K39" s="265">
        <f t="shared" si="6"/>
        <v>2.2945505575998303E-2</v>
      </c>
      <c r="L39" s="265">
        <f t="shared" si="6"/>
        <v>3.4050817954140555E-2</v>
      </c>
      <c r="M39" s="265">
        <f t="shared" si="6"/>
        <v>3.2459221946676831E-2</v>
      </c>
      <c r="N39" s="265">
        <f t="shared" si="6"/>
        <v>0</v>
      </c>
    </row>
    <row r="40" spans="2:16">
      <c r="B40" s="225" t="s">
        <v>309</v>
      </c>
      <c r="G40" s="265">
        <f t="shared" si="6"/>
        <v>0</v>
      </c>
      <c r="H40" s="265">
        <f t="shared" si="6"/>
        <v>2.4908167751869263E-2</v>
      </c>
      <c r="I40" s="265">
        <f t="shared" si="6"/>
        <v>2.2564498002578754E-3</v>
      </c>
      <c r="J40" s="265">
        <f t="shared" si="6"/>
        <v>1.4494247815699772E-6</v>
      </c>
      <c r="K40" s="265">
        <f t="shared" si="6"/>
        <v>0</v>
      </c>
      <c r="L40" s="265">
        <f t="shared" si="6"/>
        <v>0</v>
      </c>
      <c r="M40" s="265">
        <f t="shared" si="6"/>
        <v>0</v>
      </c>
      <c r="N40" s="265">
        <f t="shared" si="6"/>
        <v>1</v>
      </c>
    </row>
    <row r="42" spans="2:16" s="31" customFormat="1">
      <c r="B42" s="31" t="s">
        <v>310</v>
      </c>
      <c r="G42" s="265">
        <f t="shared" ref="G42:N45" si="7">G31/G$35</f>
        <v>0.75506008100436595</v>
      </c>
      <c r="H42" s="265">
        <f t="shared" si="7"/>
        <v>0.73259072090432487</v>
      </c>
      <c r="I42" s="265">
        <f t="shared" si="7"/>
        <v>0.75588980005251849</v>
      </c>
      <c r="J42" s="265">
        <f t="shared" si="7"/>
        <v>0.76536613258601427</v>
      </c>
      <c r="K42" s="265">
        <f t="shared" si="7"/>
        <v>0.78305716665320535</v>
      </c>
      <c r="L42" s="265">
        <f t="shared" si="7"/>
        <v>0.76649819951187326</v>
      </c>
      <c r="M42" s="265">
        <f t="shared" si="7"/>
        <v>0.85492434770834713</v>
      </c>
      <c r="N42" s="265">
        <f t="shared" si="7"/>
        <v>0</v>
      </c>
    </row>
    <row r="43" spans="2:16" s="31" customFormat="1">
      <c r="B43" s="225" t="s">
        <v>311</v>
      </c>
      <c r="G43" s="265">
        <f t="shared" si="7"/>
        <v>0.21306029948612157</v>
      </c>
      <c r="H43" s="265">
        <f t="shared" si="7"/>
        <v>0.2034561758362734</v>
      </c>
      <c r="I43" s="265">
        <f t="shared" si="7"/>
        <v>0.20850568901264896</v>
      </c>
      <c r="J43" s="265">
        <f t="shared" si="7"/>
        <v>0.20321871584243262</v>
      </c>
      <c r="K43" s="265">
        <f t="shared" si="7"/>
        <v>0.19232651561190292</v>
      </c>
      <c r="L43" s="265">
        <f t="shared" si="7"/>
        <v>0.19693733154491244</v>
      </c>
      <c r="M43" s="265">
        <f t="shared" si="7"/>
        <v>0.10963854437873144</v>
      </c>
      <c r="N43" s="265">
        <f t="shared" si="7"/>
        <v>0</v>
      </c>
    </row>
    <row r="44" spans="2:16">
      <c r="G44" s="265">
        <f t="shared" si="7"/>
        <v>3.1879619509512472E-2</v>
      </c>
      <c r="H44" s="265">
        <f t="shared" si="7"/>
        <v>3.9885513125480318E-2</v>
      </c>
      <c r="I44" s="265">
        <f t="shared" si="7"/>
        <v>3.3420822448132249E-2</v>
      </c>
      <c r="J44" s="265">
        <f t="shared" si="7"/>
        <v>3.1413757382099797E-2</v>
      </c>
      <c r="K44" s="265">
        <f t="shared" si="7"/>
        <v>2.4616317734891827E-2</v>
      </c>
      <c r="L44" s="265">
        <f t="shared" si="7"/>
        <v>3.6564468943214336E-2</v>
      </c>
      <c r="M44" s="265">
        <f t="shared" si="7"/>
        <v>3.5437107912921546E-2</v>
      </c>
      <c r="N44" s="265">
        <f t="shared" si="7"/>
        <v>0</v>
      </c>
    </row>
    <row r="45" spans="2:16" s="31" customFormat="1">
      <c r="B45" s="225" t="s">
        <v>312</v>
      </c>
      <c r="G45" s="265">
        <f t="shared" si="7"/>
        <v>0</v>
      </c>
      <c r="H45" s="265">
        <f t="shared" si="7"/>
        <v>2.4067590133921513E-2</v>
      </c>
      <c r="I45" s="265">
        <f t="shared" si="7"/>
        <v>2.1836884867004179E-3</v>
      </c>
      <c r="J45" s="265">
        <f t="shared" si="7"/>
        <v>1.3941894533687159E-6</v>
      </c>
      <c r="K45" s="265">
        <f t="shared" si="7"/>
        <v>0</v>
      </c>
      <c r="L45" s="265">
        <f t="shared" si="7"/>
        <v>0</v>
      </c>
      <c r="M45" s="265">
        <f t="shared" si="7"/>
        <v>0</v>
      </c>
      <c r="N45" s="265">
        <f t="shared" si="7"/>
        <v>1</v>
      </c>
    </row>
    <row r="46" spans="2:16" s="31" customFormat="1">
      <c r="G46" s="225"/>
      <c r="H46" s="225"/>
      <c r="I46" s="225"/>
      <c r="J46" s="225"/>
      <c r="K46" s="225"/>
      <c r="L46" s="225"/>
      <c r="M46" s="225"/>
      <c r="N46" s="225"/>
    </row>
    <row r="47" spans="2:16" s="31" customFormat="1">
      <c r="B47" s="31" t="s">
        <v>313</v>
      </c>
      <c r="G47" s="265">
        <f t="shared" ref="G47:N50" si="8">(4/5)*G37+(1/5)*G42</f>
        <v>0.77395091591686005</v>
      </c>
      <c r="H47" s="265">
        <f t="shared" si="8"/>
        <v>0.75041212878233587</v>
      </c>
      <c r="I47" s="265">
        <f t="shared" si="8"/>
        <v>0.77448829074632708</v>
      </c>
      <c r="J47" s="265">
        <f t="shared" si="8"/>
        <v>0.78242782384000764</v>
      </c>
      <c r="K47" s="265">
        <f t="shared" si="8"/>
        <v>0.7990288794725241</v>
      </c>
      <c r="L47" s="265">
        <f t="shared" si="8"/>
        <v>0.78384760183104074</v>
      </c>
      <c r="M47" s="265">
        <f t="shared" si="8"/>
        <v>0.8674318777792922</v>
      </c>
      <c r="N47" s="265">
        <f t="shared" si="8"/>
        <v>0</v>
      </c>
    </row>
    <row r="48" spans="2:16" s="31" customFormat="1">
      <c r="B48" s="225" t="s">
        <v>315</v>
      </c>
      <c r="G48" s="265">
        <f t="shared" si="8"/>
        <v>0.19601517054383205</v>
      </c>
      <c r="H48" s="265">
        <f t="shared" si="8"/>
        <v>0.18722542691895377</v>
      </c>
      <c r="I48" s="265">
        <f t="shared" si="8"/>
        <v>0.19178383236223592</v>
      </c>
      <c r="J48" s="265">
        <f t="shared" si="8"/>
        <v>0.1878335439976605</v>
      </c>
      <c r="K48" s="265">
        <f t="shared" si="8"/>
        <v>0.17769145251969903</v>
      </c>
      <c r="L48" s="265">
        <f t="shared" si="8"/>
        <v>0.18159885001700402</v>
      </c>
      <c r="M48" s="265">
        <f t="shared" si="8"/>
        <v>9.9513323080782132E-2</v>
      </c>
      <c r="N48" s="265">
        <f t="shared" si="8"/>
        <v>0</v>
      </c>
    </row>
    <row r="49" spans="2:14">
      <c r="G49" s="265">
        <f t="shared" si="8"/>
        <v>3.003391353930792E-2</v>
      </c>
      <c r="H49" s="265">
        <f t="shared" si="8"/>
        <v>3.7622392070430617E-2</v>
      </c>
      <c r="I49" s="265">
        <f t="shared" si="8"/>
        <v>3.1485979353890817E-2</v>
      </c>
      <c r="J49" s="265">
        <f t="shared" si="8"/>
        <v>2.9737193784616076E-2</v>
      </c>
      <c r="K49" s="265">
        <f t="shared" si="8"/>
        <v>2.3279668007777008E-2</v>
      </c>
      <c r="L49" s="265">
        <f t="shared" si="8"/>
        <v>3.4553548151955313E-2</v>
      </c>
      <c r="M49" s="265">
        <f t="shared" si="8"/>
        <v>3.3054799139925775E-2</v>
      </c>
      <c r="N49" s="265">
        <f t="shared" si="8"/>
        <v>0</v>
      </c>
    </row>
    <row r="50" spans="2:14" s="31" customFormat="1">
      <c r="B50" s="225" t="s">
        <v>314</v>
      </c>
      <c r="G50" s="265">
        <f t="shared" si="8"/>
        <v>0</v>
      </c>
      <c r="H50" s="265">
        <f t="shared" si="8"/>
        <v>2.4740052228279717E-2</v>
      </c>
      <c r="I50" s="265">
        <f t="shared" si="8"/>
        <v>2.2418975375463838E-3</v>
      </c>
      <c r="J50" s="265">
        <f t="shared" si="8"/>
        <v>1.438377715929725E-6</v>
      </c>
      <c r="K50" s="265">
        <f t="shared" si="8"/>
        <v>0</v>
      </c>
      <c r="L50" s="265">
        <f t="shared" si="8"/>
        <v>0</v>
      </c>
      <c r="M50" s="265">
        <f t="shared" si="8"/>
        <v>0</v>
      </c>
      <c r="N50" s="265">
        <f t="shared" si="8"/>
        <v>1</v>
      </c>
    </row>
    <row r="51" spans="2:14" s="31" customFormat="1">
      <c r="G51" s="225"/>
      <c r="H51" s="225"/>
      <c r="I51" s="225"/>
      <c r="J51" s="225"/>
      <c r="K51" s="225"/>
      <c r="L51" s="225"/>
      <c r="M51" s="225"/>
      <c r="N51" s="225"/>
    </row>
    <row r="52" spans="2:14" s="31" customFormat="1">
      <c r="B52" s="31" t="s">
        <v>316</v>
      </c>
      <c r="G52" s="266">
        <f>'TI-berekening 2017'!G$31*G47</f>
        <v>15133546.802778129</v>
      </c>
      <c r="H52" s="266">
        <f>'TI-berekening 2017'!H$31*H47</f>
        <v>20662488.878332358</v>
      </c>
      <c r="I52" s="266">
        <f>'TI-berekening 2017'!I$31*I47</f>
        <v>250194320.36032471</v>
      </c>
      <c r="J52" s="266">
        <f>'TI-berekening 2017'!J$31*J47</f>
        <v>299832231.69898456</v>
      </c>
      <c r="K52" s="266">
        <f>'TI-berekening 2017'!K$31*K47</f>
        <v>13174759.214531269</v>
      </c>
      <c r="L52" s="266">
        <f>'TI-berekening 2017'!L$31*L47</f>
        <v>216194549.09288937</v>
      </c>
      <c r="M52" s="266">
        <f>'TI-berekening 2017'!M$31*M47</f>
        <v>13616551.742338719</v>
      </c>
      <c r="N52" s="266">
        <f>'TI-berekening 2017'!N$31*N47</f>
        <v>0</v>
      </c>
    </row>
    <row r="53" spans="2:14" s="31" customFormat="1">
      <c r="B53" s="225" t="s">
        <v>391</v>
      </c>
      <c r="G53" s="266">
        <f>'TI-berekening 2017'!G$31*G48</f>
        <v>3832807.3479510923</v>
      </c>
      <c r="H53" s="266">
        <f>'TI-berekening 2017'!H$31*H48</f>
        <v>5155224.9131836956</v>
      </c>
      <c r="I53" s="266">
        <f>'TI-berekening 2017'!I$31*I48</f>
        <v>61954746.33674521</v>
      </c>
      <c r="J53" s="266">
        <f>'TI-berekening 2017'!J$31*J48</f>
        <v>71979227.947629943</v>
      </c>
      <c r="K53" s="266">
        <f>'TI-berekening 2017'!K$31*K48</f>
        <v>2929859.1847803807</v>
      </c>
      <c r="L53" s="266">
        <f>'TI-berekening 2017'!L$31*L48</f>
        <v>50087136.07530576</v>
      </c>
      <c r="M53" s="266">
        <f>'TI-berekening 2017'!M$31*M48</f>
        <v>1562114.9596790709</v>
      </c>
      <c r="N53" s="266">
        <f>'TI-berekening 2017'!N$31*N48</f>
        <v>0</v>
      </c>
    </row>
    <row r="54" spans="2:14">
      <c r="B54" s="225" t="s">
        <v>390</v>
      </c>
      <c r="G54" s="266">
        <f>'TI-berekening 2017'!G$31*G49</f>
        <v>587271.91462686227</v>
      </c>
      <c r="H54" s="266">
        <f>'TI-berekening 2017'!H$31*H49</f>
        <v>1035927.096478229</v>
      </c>
      <c r="I54" s="266">
        <f>'TI-berekening 2017'!I$31*I49</f>
        <v>10171378.056257963</v>
      </c>
      <c r="J54" s="266">
        <f>'TI-berekening 2017'!J$31*J49</f>
        <v>11395516.500356212</v>
      </c>
      <c r="K54" s="266">
        <f>'TI-berekening 2017'!K$31*K49</f>
        <v>383845.97662997915</v>
      </c>
      <c r="L54" s="266">
        <f>'TI-berekening 2017'!L$31*L49</f>
        <v>9530282.0915967394</v>
      </c>
      <c r="M54" s="266">
        <f>'TI-berekening 2017'!M$31*M49</f>
        <v>518879.22769646399</v>
      </c>
      <c r="N54" s="266">
        <f>'TI-berekening 2017'!N$31*N49</f>
        <v>0</v>
      </c>
    </row>
    <row r="55" spans="2:14" s="31" customFormat="1">
      <c r="B55" s="225" t="s">
        <v>317</v>
      </c>
      <c r="G55" s="266">
        <f>'TI-berekening 2017'!G$31*G50</f>
        <v>0</v>
      </c>
      <c r="H55" s="266">
        <f>'TI-berekening 2017'!H$31*H50</f>
        <v>681213.74163512094</v>
      </c>
      <c r="I55" s="266">
        <f>'TI-berekening 2017'!I$31*I50</f>
        <v>724233.06772448204</v>
      </c>
      <c r="J55" s="266">
        <f>'TI-berekening 2017'!J$31*J50</f>
        <v>551.19716790833968</v>
      </c>
      <c r="K55" s="266">
        <f>'TI-berekening 2017'!K$31*K50</f>
        <v>0</v>
      </c>
      <c r="L55" s="266">
        <f>'TI-berekening 2017'!L$31*L50</f>
        <v>0</v>
      </c>
      <c r="M55" s="266">
        <f>'TI-berekening 2017'!M$31*M50</f>
        <v>0</v>
      </c>
      <c r="N55" s="266">
        <f>'TI-berekening 2017'!N$31*N50</f>
        <v>5427469.1790250568</v>
      </c>
    </row>
    <row r="56" spans="2:14" s="31" customFormat="1">
      <c r="B56" s="31" t="s">
        <v>318</v>
      </c>
      <c r="G56" s="234">
        <f t="shared" ref="G56:N56" si="9">SUM(G52:G55)</f>
        <v>19553626.065356083</v>
      </c>
      <c r="H56" s="234">
        <f t="shared" si="9"/>
        <v>27534854.629629403</v>
      </c>
      <c r="I56" s="234">
        <f t="shared" si="9"/>
        <v>323044677.82105237</v>
      </c>
      <c r="J56" s="234">
        <f t="shared" si="9"/>
        <v>383207527.34413862</v>
      </c>
      <c r="K56" s="234">
        <f t="shared" si="9"/>
        <v>16488464.37594163</v>
      </c>
      <c r="L56" s="234">
        <f t="shared" si="9"/>
        <v>275811967.25979185</v>
      </c>
      <c r="M56" s="234">
        <f t="shared" si="9"/>
        <v>15697545.929714253</v>
      </c>
      <c r="N56" s="234">
        <f t="shared" si="9"/>
        <v>5427469.1790250568</v>
      </c>
    </row>
  </sheetData>
  <pageMargins left="0.7" right="0.7" top="0.75" bottom="0.75" header="0.3" footer="0.3"/>
  <pageSetup paperSize="9"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B2:Q51"/>
  <sheetViews>
    <sheetView showGridLines="0" zoomScale="80" zoomScaleNormal="80" workbookViewId="0"/>
  </sheetViews>
  <sheetFormatPr defaultRowHeight="12.75"/>
  <cols>
    <col min="1" max="1" width="3.5703125" style="31" customWidth="1"/>
    <col min="2" max="2" width="64.42578125" style="31" customWidth="1"/>
    <col min="3" max="3" width="8.5703125" style="31" customWidth="1"/>
    <col min="4" max="4" width="12" style="31" customWidth="1"/>
    <col min="5" max="5" width="3.5703125" style="31" customWidth="1"/>
    <col min="6" max="6" width="11.85546875" style="31" customWidth="1"/>
    <col min="7" max="14" width="15.7109375" style="31" customWidth="1"/>
    <col min="15" max="15" width="5.28515625" style="31" customWidth="1"/>
    <col min="16" max="16" width="13.5703125" style="31" customWidth="1"/>
    <col min="17" max="16384" width="9.140625" style="31"/>
  </cols>
  <sheetData>
    <row r="2" spans="2:16" s="42" customFormat="1" ht="18">
      <c r="B2" s="43" t="s">
        <v>24</v>
      </c>
      <c r="C2" s="44"/>
      <c r="F2" s="45"/>
      <c r="G2" s="46" t="s">
        <v>0</v>
      </c>
      <c r="H2" s="46" t="s">
        <v>189</v>
      </c>
      <c r="I2" s="46" t="s">
        <v>3</v>
      </c>
      <c r="J2" s="46" t="s">
        <v>4</v>
      </c>
      <c r="K2" s="46" t="s">
        <v>5</v>
      </c>
      <c r="L2" s="46" t="s">
        <v>6</v>
      </c>
      <c r="M2" s="46" t="s">
        <v>7</v>
      </c>
      <c r="N2" s="46" t="s">
        <v>8</v>
      </c>
      <c r="O2" s="45"/>
      <c r="P2" s="45"/>
    </row>
    <row r="3" spans="2:16" s="225" customFormat="1"/>
    <row r="4" spans="2:16" s="225" customFormat="1">
      <c r="B4" s="225" t="s">
        <v>123</v>
      </c>
    </row>
    <row r="5" spans="2:16" s="225" customFormat="1">
      <c r="B5" s="232" t="s">
        <v>261</v>
      </c>
    </row>
    <row r="6" spans="2:16" s="225" customFormat="1">
      <c r="B6" s="213"/>
    </row>
    <row r="7" spans="2:16" s="225" customFormat="1">
      <c r="B7" s="247"/>
    </row>
    <row r="8" spans="2:16" s="225" customFormat="1">
      <c r="B8" s="249"/>
    </row>
    <row r="9" spans="2:16" s="16" customFormat="1">
      <c r="B9" s="30" t="s">
        <v>25</v>
      </c>
    </row>
    <row r="10" spans="2:16" s="225" customFormat="1"/>
    <row r="11" spans="2:16" s="248" customFormat="1">
      <c r="B11" s="139" t="s">
        <v>137</v>
      </c>
      <c r="C11" s="250"/>
      <c r="D11" s="232" t="s">
        <v>128</v>
      </c>
      <c r="E11" s="232"/>
      <c r="G11" s="258">
        <f>'TI2011-2013'!G31</f>
        <v>-20974.829891506582</v>
      </c>
      <c r="H11" s="258">
        <f>'TI2011-2013'!H31</f>
        <v>-28192.069927688688</v>
      </c>
      <c r="I11" s="259">
        <f>'TI2011-2013'!I31+'TI2011-2013'!J31</f>
        <v>-616386.94168389216</v>
      </c>
      <c r="J11" s="258">
        <f>'TI2011-2013'!L31</f>
        <v>-600202.89694595337</v>
      </c>
      <c r="K11" s="258">
        <f>'TI2011-2013'!M31</f>
        <v>-16801.729785554111</v>
      </c>
      <c r="L11" s="258">
        <f>'TI2011-2013'!N31</f>
        <v>-264252.44033926725</v>
      </c>
      <c r="M11" s="258">
        <f>'TI2011-2013'!O31</f>
        <v>-15550.762215681374</v>
      </c>
      <c r="N11" s="258">
        <f>'TI2011-2013'!P31</f>
        <v>-1.6145966947078705E-2</v>
      </c>
    </row>
    <row r="12" spans="2:16" s="248" customFormat="1">
      <c r="B12" s="139" t="s">
        <v>138</v>
      </c>
      <c r="C12" s="250"/>
      <c r="D12" s="232" t="s">
        <v>129</v>
      </c>
      <c r="E12" s="232"/>
      <c r="G12" s="258">
        <f>'TI2011-2013'!G32</f>
        <v>-42704.611076902598</v>
      </c>
      <c r="H12" s="258">
        <f>'TI2011-2013'!H32</f>
        <v>-57455.329181876034</v>
      </c>
      <c r="I12" s="259">
        <f>'TI2011-2013'!I32+'TI2011-2013'!J32</f>
        <v>-1285008.9848941155</v>
      </c>
      <c r="J12" s="258">
        <f>'TI2011-2013'!L32</f>
        <v>-1250222.8362193704</v>
      </c>
      <c r="K12" s="258">
        <f>'TI2011-2013'!M32</f>
        <v>-34913.72200390324</v>
      </c>
      <c r="L12" s="258">
        <f>'TI2011-2013'!N32</f>
        <v>-551758.80755025148</v>
      </c>
      <c r="M12" s="258">
        <f>'TI2011-2013'!O32</f>
        <v>-33246.989383853972</v>
      </c>
      <c r="N12" s="258">
        <f>'TI2011-2013'!P32</f>
        <v>-1.3223546557128429E-2</v>
      </c>
    </row>
    <row r="13" spans="2:16" s="248" customFormat="1">
      <c r="B13" s="139" t="s">
        <v>139</v>
      </c>
      <c r="C13" s="250"/>
      <c r="D13" s="232" t="s">
        <v>11</v>
      </c>
      <c r="E13" s="232"/>
      <c r="G13" s="258">
        <f>'TI2011-2013'!G33</f>
        <v>-65316.000038679689</v>
      </c>
      <c r="H13" s="258">
        <f>'TI2011-2013'!H33</f>
        <v>-87963.206910021603</v>
      </c>
      <c r="I13" s="259">
        <f>'TI2011-2013'!I33+'TI2011-2013'!J33</f>
        <v>-2012664.0646784008</v>
      </c>
      <c r="J13" s="258">
        <f>'TI2011-2013'!L33</f>
        <v>-1956268.733279407</v>
      </c>
      <c r="K13" s="258">
        <f>'TI2011-2013'!M33</f>
        <v>-54499.67293869704</v>
      </c>
      <c r="L13" s="258">
        <f>'TI2011-2013'!N33</f>
        <v>-865425.61021363735</v>
      </c>
      <c r="M13" s="258">
        <f>'TI2011-2013'!O33</f>
        <v>-53393.906701639295</v>
      </c>
      <c r="N13" s="258">
        <f>'TI2011-2013'!P33</f>
        <v>-1.0790414176881313E-2</v>
      </c>
    </row>
    <row r="14" spans="2:16" s="248" customFormat="1">
      <c r="B14" s="139" t="s">
        <v>140</v>
      </c>
      <c r="C14" s="250"/>
      <c r="D14" s="232" t="s">
        <v>26</v>
      </c>
      <c r="E14" s="232"/>
      <c r="G14" s="258">
        <f>'TI2014-2016'!G51</f>
        <v>12192.896842375398</v>
      </c>
      <c r="H14" s="258">
        <f>'TI2014-2016'!H51</f>
        <v>-36724.261612005532</v>
      </c>
      <c r="I14" s="259">
        <f>'TI2014-2016'!I51+'TI2014-2016'!J51</f>
        <v>-503631.80999782681</v>
      </c>
      <c r="J14" s="258">
        <f>'TI2014-2016'!K51</f>
        <v>-445551.21280813217</v>
      </c>
      <c r="K14" s="258">
        <f>'TI2014-2016'!L51</f>
        <v>-20189.705108609051</v>
      </c>
      <c r="L14" s="258">
        <f>'TI2014-2016'!M51</f>
        <v>-357158.40351372957</v>
      </c>
      <c r="M14" s="258">
        <f>'TI2014-2016'!N51</f>
        <v>-16550.533285800368</v>
      </c>
      <c r="N14" s="258">
        <f>'TI2014-2016'!O51</f>
        <v>643.85977670922875</v>
      </c>
    </row>
    <row r="15" spans="2:16" s="248" customFormat="1">
      <c r="B15" s="139" t="s">
        <v>141</v>
      </c>
      <c r="C15" s="250"/>
      <c r="D15" s="232" t="s">
        <v>12</v>
      </c>
      <c r="E15" s="232"/>
      <c r="G15" s="258">
        <f>'TI2014-2016'!G52</f>
        <v>-9682.1584767326713</v>
      </c>
      <c r="H15" s="258">
        <f>'TI2014-2016'!H52</f>
        <v>-69004.64262022078</v>
      </c>
      <c r="I15" s="259">
        <f>'TI2014-2016'!I52+'TI2014-2016'!J52</f>
        <v>-876279.10782448947</v>
      </c>
      <c r="J15" s="258">
        <f>'TI2014-2016'!K52</f>
        <v>-844898.80692625046</v>
      </c>
      <c r="K15" s="258">
        <f>'TI2014-2016'!L52</f>
        <v>-34550.270422291011</v>
      </c>
      <c r="L15" s="258">
        <f>'TI2014-2016'!M52</f>
        <v>-675172.41658821702</v>
      </c>
      <c r="M15" s="258">
        <f>'TI2014-2016'!N52</f>
        <v>-27537.164675105363</v>
      </c>
      <c r="N15" s="258">
        <f>'TI2014-2016'!O52</f>
        <v>4317.7832367448136</v>
      </c>
    </row>
    <row r="16" spans="2:16" s="248" customFormat="1">
      <c r="B16" s="139" t="s">
        <v>142</v>
      </c>
      <c r="C16" s="250"/>
      <c r="D16" s="232" t="s">
        <v>13</v>
      </c>
      <c r="E16" s="232"/>
      <c r="G16" s="258">
        <f>'TI2014-2016'!G53</f>
        <v>-30250.795089039952</v>
      </c>
      <c r="H16" s="258">
        <f>'TI2014-2016'!H53</f>
        <v>-96482.667239136994</v>
      </c>
      <c r="I16" s="259">
        <f>'TI2014-2016'!I53+'TI2014-2016'!J53</f>
        <v>-1149738.7645944161</v>
      </c>
      <c r="J16" s="258">
        <f>'TI2014-2016'!K53</f>
        <v>-1342658.010618804</v>
      </c>
      <c r="K16" s="258">
        <f>'TI2014-2016'!L53</f>
        <v>-48396.637295532972</v>
      </c>
      <c r="L16" s="258">
        <f>'TI2014-2016'!M53</f>
        <v>-949803.83348631859</v>
      </c>
      <c r="M16" s="258">
        <f>'TI2014-2016'!N53</f>
        <v>-38353.962068872526</v>
      </c>
      <c r="N16" s="258">
        <f>'TI2014-2016'!O53</f>
        <v>5380.4462260338478</v>
      </c>
    </row>
    <row r="17" spans="2:17" s="225" customFormat="1">
      <c r="B17" s="225" t="s">
        <v>125</v>
      </c>
      <c r="D17" s="225" t="s">
        <v>12</v>
      </c>
      <c r="G17" s="171">
        <f>'Lokale heffingen 2015'!G75</f>
        <v>-210910.87681655958</v>
      </c>
      <c r="H17" s="171">
        <f>'Lokale heffingen 2015'!H75</f>
        <v>51745.279062751681</v>
      </c>
      <c r="I17" s="257">
        <f>'Lokale heffingen 2015'!I75+'Lokale heffingen 2015'!J75</f>
        <v>60290.692094519734</v>
      </c>
      <c r="J17" s="171">
        <f>'Lokale heffingen 2015'!K75</f>
        <v>13325612.064388156</v>
      </c>
      <c r="K17" s="171">
        <f>'Lokale heffingen 2015'!L75</f>
        <v>-185938.49609901942</v>
      </c>
      <c r="L17" s="171">
        <f>'Lokale heffingen 2015'!M75</f>
        <v>-56225.85695463419</v>
      </c>
      <c r="M17" s="171">
        <f>'Lokale heffingen 2015'!N75</f>
        <v>20650.660606367514</v>
      </c>
      <c r="N17" s="171">
        <f>'Lokale heffingen 2015'!O75</f>
        <v>4320.078965392895</v>
      </c>
    </row>
    <row r="18" spans="2:17" s="225" customFormat="1">
      <c r="B18" s="14" t="s">
        <v>126</v>
      </c>
      <c r="D18" s="225" t="s">
        <v>13</v>
      </c>
      <c r="G18" s="171">
        <f>'VolVerschuiving Adm. 2016'!G57</f>
        <v>7439.5858000000017</v>
      </c>
      <c r="H18" s="171">
        <f>'VolVerschuiving Adm. 2016'!H57</f>
        <v>22229.759999999995</v>
      </c>
      <c r="I18" s="257">
        <f>'VolVerschuiving Adm. 2016'!I57+'VolVerschuiving Adm. 2016'!J57</f>
        <v>545524.79043333337</v>
      </c>
      <c r="J18" s="171">
        <f>'VolVerschuiving Adm. 2016'!K57</f>
        <v>-278967.05439999991</v>
      </c>
      <c r="K18" s="171">
        <f>'VolVerschuiving Adm. 2016'!L57</f>
        <v>28929.870000000003</v>
      </c>
      <c r="L18" s="171">
        <f>'VolVerschuiving Adm. 2016'!M57</f>
        <v>673415.52635000017</v>
      </c>
      <c r="M18" s="171">
        <f>'VolVerschuiving Adm. 2016'!N57</f>
        <v>3338.2899999999995</v>
      </c>
      <c r="N18" s="171">
        <f>'VolVerschuiving Adm. 2016'!O57</f>
        <v>0</v>
      </c>
    </row>
    <row r="19" spans="2:17" s="225" customFormat="1">
      <c r="B19" s="14" t="s">
        <v>127</v>
      </c>
      <c r="D19" s="225" t="s">
        <v>13</v>
      </c>
      <c r="G19" s="171">
        <f>'VolVerschuiving Codewijz. 2016'!G71</f>
        <v>28684.912850000004</v>
      </c>
      <c r="H19" s="171">
        <f>'VolVerschuiving Codewijz. 2016'!H71</f>
        <v>25957.530000000002</v>
      </c>
      <c r="I19" s="257">
        <f>'VolVerschuiving Codewijz. 2016'!J71+'VolVerschuiving Codewijz. 2016'!I71</f>
        <v>515548.94070000015</v>
      </c>
      <c r="J19" s="171">
        <f>'VolVerschuiving Codewijz. 2016'!K71</f>
        <v>361217.69759999996</v>
      </c>
      <c r="K19" s="171">
        <f>'VolVerschuiving Codewijz. 2016'!L71</f>
        <v>31782.44</v>
      </c>
      <c r="L19" s="171">
        <f>'VolVerschuiving Codewijz. 2016'!M71</f>
        <v>283027.20157206606</v>
      </c>
      <c r="M19" s="171">
        <f>'VolVerschuiving Codewijz. 2016'!N71</f>
        <v>6868.9350000000004</v>
      </c>
      <c r="N19" s="171">
        <f>'VolVerschuiving Codewijz. 2016'!O71</f>
        <v>0</v>
      </c>
    </row>
    <row r="20" spans="2:17" s="223" customFormat="1">
      <c r="B20" s="211" t="s">
        <v>245</v>
      </c>
      <c r="C20" s="212"/>
      <c r="D20" s="223" t="s">
        <v>129</v>
      </c>
      <c r="G20" s="260"/>
      <c r="H20" s="260"/>
      <c r="I20" s="171">
        <f>'Lagere tarieven Enexis'!E32</f>
        <v>1169115.8680842631</v>
      </c>
      <c r="J20" s="236"/>
      <c r="K20" s="260"/>
      <c r="L20" s="260"/>
      <c r="M20" s="260"/>
      <c r="N20" s="260"/>
      <c r="P20" s="235"/>
      <c r="Q20" s="248"/>
    </row>
    <row r="21" spans="2:17" s="223" customFormat="1">
      <c r="B21" s="211" t="s">
        <v>246</v>
      </c>
      <c r="C21" s="212"/>
      <c r="D21" s="232" t="s">
        <v>11</v>
      </c>
      <c r="G21" s="260"/>
      <c r="H21" s="260"/>
      <c r="I21" s="171">
        <f>'Lagere tarieven Enexis'!E53</f>
        <v>1833495.2227457985</v>
      </c>
      <c r="J21" s="236"/>
      <c r="K21" s="260"/>
      <c r="L21" s="260"/>
      <c r="M21" s="260"/>
      <c r="N21" s="260"/>
      <c r="P21" s="235"/>
    </row>
    <row r="22" spans="2:17" s="225" customFormat="1"/>
    <row r="23" spans="2:17" s="16" customFormat="1">
      <c r="B23" s="30" t="s">
        <v>27</v>
      </c>
    </row>
    <row r="24" spans="2:17" s="225" customFormat="1"/>
    <row r="25" spans="2:17" s="225" customFormat="1">
      <c r="B25" s="224" t="s">
        <v>190</v>
      </c>
      <c r="F25" s="173">
        <f>Heffingsrente!D14</f>
        <v>0.22511378158385109</v>
      </c>
    </row>
    <row r="26" spans="2:17" s="225" customFormat="1">
      <c r="B26" s="224" t="s">
        <v>191</v>
      </c>
      <c r="F26" s="173">
        <f>Heffingsrente!D15</f>
        <v>0.19261887688995905</v>
      </c>
    </row>
    <row r="27" spans="2:17" s="225" customFormat="1">
      <c r="B27" s="224" t="s">
        <v>192</v>
      </c>
      <c r="F27" s="173">
        <f>Heffingsrente!D16</f>
        <v>0.16141189915388909</v>
      </c>
    </row>
    <row r="28" spans="2:17" s="225" customFormat="1">
      <c r="B28" s="224" t="s">
        <v>193</v>
      </c>
      <c r="F28" s="173">
        <f>Heffingsrente!D17</f>
        <v>0.12486399999999875</v>
      </c>
    </row>
    <row r="29" spans="2:17" s="225" customFormat="1">
      <c r="B29" s="224" t="s">
        <v>194</v>
      </c>
      <c r="F29" s="173">
        <f>Heffingsrente!D18</f>
        <v>8.1599999999999229E-2</v>
      </c>
    </row>
    <row r="30" spans="2:17" s="225" customFormat="1">
      <c r="B30" s="224" t="s">
        <v>187</v>
      </c>
      <c r="F30" s="173">
        <f>Heffingsrente!D19</f>
        <v>3.9999999999999591E-2</v>
      </c>
    </row>
    <row r="31" spans="2:17" s="225" customFormat="1">
      <c r="B31" s="224"/>
      <c r="F31" s="175"/>
    </row>
    <row r="32" spans="2:17" s="16" customFormat="1">
      <c r="B32" s="30" t="s">
        <v>28</v>
      </c>
    </row>
    <row r="33" spans="2:17" s="225" customFormat="1"/>
    <row r="34" spans="2:17" s="248" customFormat="1">
      <c r="B34" s="139" t="s">
        <v>137</v>
      </c>
      <c r="C34" s="250"/>
      <c r="D34" s="224" t="s">
        <v>124</v>
      </c>
      <c r="E34" s="232"/>
      <c r="G34" s="234">
        <f>G11*(1+$F$25)</f>
        <v>-25696.553166461625</v>
      </c>
      <c r="H34" s="234">
        <f t="shared" ref="H34:N34" si="0">H11*(1+$F$25)</f>
        <v>-34538.493399787054</v>
      </c>
      <c r="I34" s="234">
        <f t="shared" si="0"/>
        <v>-755144.13704525784</v>
      </c>
      <c r="J34" s="234">
        <f t="shared" si="0"/>
        <v>-735316.84079503943</v>
      </c>
      <c r="K34" s="234">
        <f t="shared" si="0"/>
        <v>-20584.030714730223</v>
      </c>
      <c r="L34" s="234">
        <f t="shared" si="0"/>
        <v>-323739.3064768007</v>
      </c>
      <c r="M34" s="234">
        <f t="shared" si="0"/>
        <v>-19051.453104564676</v>
      </c>
      <c r="N34" s="234">
        <f t="shared" si="0"/>
        <v>-1.978064662386346E-2</v>
      </c>
    </row>
    <row r="35" spans="2:17" s="248" customFormat="1">
      <c r="B35" s="139" t="s">
        <v>138</v>
      </c>
      <c r="C35" s="250"/>
      <c r="D35" s="224" t="s">
        <v>124</v>
      </c>
      <c r="E35" s="232"/>
      <c r="G35" s="234">
        <f>G12*(1+$F$26)</f>
        <v>-50930.325300558085</v>
      </c>
      <c r="H35" s="234">
        <f t="shared" ref="H35:N35" si="1">H12*(1+$F$26)</f>
        <v>-68522.310160231878</v>
      </c>
      <c r="I35" s="234">
        <f t="shared" si="1"/>
        <v>-1532525.9723579264</v>
      </c>
      <c r="J35" s="234">
        <f t="shared" si="1"/>
        <v>-1491039.3547941246</v>
      </c>
      <c r="K35" s="234">
        <f t="shared" si="1"/>
        <v>-41638.76392434333</v>
      </c>
      <c r="L35" s="234">
        <f t="shared" si="1"/>
        <v>-658037.96937472397</v>
      </c>
      <c r="M35" s="234">
        <f t="shared" si="1"/>
        <v>-39650.987138944314</v>
      </c>
      <c r="N35" s="234">
        <f t="shared" si="1"/>
        <v>-1.5770651243464592E-2</v>
      </c>
    </row>
    <row r="36" spans="2:17" s="248" customFormat="1">
      <c r="B36" s="139" t="s">
        <v>139</v>
      </c>
      <c r="C36" s="250"/>
      <c r="D36" s="224" t="s">
        <v>124</v>
      </c>
      <c r="E36" s="232"/>
      <c r="G36" s="234">
        <f>G13*(1+$F$27)</f>
        <v>-75858.779650058466</v>
      </c>
      <c r="H36" s="234">
        <f t="shared" ref="H36:N36" si="2">H13*(1+$F$27)</f>
        <v>-102161.51519303469</v>
      </c>
      <c r="I36" s="234">
        <f t="shared" si="2"/>
        <v>-2337531.9937169272</v>
      </c>
      <c r="J36" s="234">
        <f t="shared" si="2"/>
        <v>-2272033.7847734089</v>
      </c>
      <c r="K36" s="234">
        <f t="shared" si="2"/>
        <v>-63296.568650997942</v>
      </c>
      <c r="L36" s="234">
        <f t="shared" si="2"/>
        <v>-1005115.6015346339</v>
      </c>
      <c r="M36" s="234">
        <f t="shared" si="2"/>
        <v>-62012.318585596462</v>
      </c>
      <c r="N36" s="234">
        <f t="shared" si="2"/>
        <v>-1.2532115421828775E-2</v>
      </c>
    </row>
    <row r="37" spans="2:17" s="248" customFormat="1">
      <c r="B37" s="139" t="s">
        <v>140</v>
      </c>
      <c r="C37" s="250"/>
      <c r="D37" s="224" t="s">
        <v>124</v>
      </c>
      <c r="E37" s="232"/>
      <c r="G37" s="234">
        <f>G14*(1+$F$28)</f>
        <v>13715.350713701744</v>
      </c>
      <c r="H37" s="234">
        <f t="shared" ref="H37:N37" si="3">H14*(1+$F$28)</f>
        <v>-41309.799813926948</v>
      </c>
      <c r="I37" s="234">
        <f t="shared" si="3"/>
        <v>-566517.29232139478</v>
      </c>
      <c r="J37" s="234">
        <f t="shared" si="3"/>
        <v>-501184.51944420621</v>
      </c>
      <c r="K37" s="234">
        <f t="shared" si="3"/>
        <v>-22710.672447290384</v>
      </c>
      <c r="L37" s="234">
        <f t="shared" si="3"/>
        <v>-401754.63041006745</v>
      </c>
      <c r="M37" s="234">
        <f t="shared" si="3"/>
        <v>-18617.099073998525</v>
      </c>
      <c r="N37" s="234">
        <f t="shared" si="3"/>
        <v>724.25468386824912</v>
      </c>
    </row>
    <row r="38" spans="2:17" s="248" customFormat="1">
      <c r="B38" s="139" t="s">
        <v>141</v>
      </c>
      <c r="C38" s="250"/>
      <c r="D38" s="224" t="s">
        <v>124</v>
      </c>
      <c r="E38" s="232"/>
      <c r="G38" s="234">
        <f>G15*(1+$F$29)</f>
        <v>-10472.222608434049</v>
      </c>
      <c r="H38" s="234">
        <f t="shared" ref="H38:N38" si="4">H15*(1+$F$29)</f>
        <v>-74635.421458030745</v>
      </c>
      <c r="I38" s="234">
        <f t="shared" si="4"/>
        <v>-947783.48302296712</v>
      </c>
      <c r="J38" s="234">
        <f t="shared" si="4"/>
        <v>-913842.54957143182</v>
      </c>
      <c r="K38" s="234">
        <f t="shared" si="4"/>
        <v>-37369.572488749931</v>
      </c>
      <c r="L38" s="234">
        <f t="shared" si="4"/>
        <v>-730266.48578181502</v>
      </c>
      <c r="M38" s="234">
        <f t="shared" si="4"/>
        <v>-29784.19731259394</v>
      </c>
      <c r="N38" s="234">
        <f t="shared" si="4"/>
        <v>4670.1143488631869</v>
      </c>
    </row>
    <row r="39" spans="2:17" s="248" customFormat="1">
      <c r="B39" s="139" t="s">
        <v>142</v>
      </c>
      <c r="C39" s="250"/>
      <c r="D39" s="224" t="s">
        <v>124</v>
      </c>
      <c r="E39" s="232"/>
      <c r="G39" s="234">
        <f>G16*(1+$F$30)</f>
        <v>-31460.826892601537</v>
      </c>
      <c r="H39" s="234">
        <f t="shared" ref="H39:N39" si="5">H16*(1+$F$30)</f>
        <v>-100341.97392870243</v>
      </c>
      <c r="I39" s="234">
        <f t="shared" si="5"/>
        <v>-1195728.3151781922</v>
      </c>
      <c r="J39" s="234">
        <f t="shared" si="5"/>
        <v>-1396364.3310435556</v>
      </c>
      <c r="K39" s="234">
        <f t="shared" si="5"/>
        <v>-50332.502787354271</v>
      </c>
      <c r="L39" s="234">
        <f t="shared" si="5"/>
        <v>-987795.98682577093</v>
      </c>
      <c r="M39" s="234">
        <f t="shared" si="5"/>
        <v>-39888.120551627413</v>
      </c>
      <c r="N39" s="234">
        <f t="shared" si="5"/>
        <v>5595.6640750751994</v>
      </c>
    </row>
    <row r="40" spans="2:17" s="225" customFormat="1">
      <c r="B40" s="225" t="s">
        <v>125</v>
      </c>
      <c r="D40" s="224" t="s">
        <v>124</v>
      </c>
      <c r="G40" s="234">
        <f>G17*(1+$F$29)</f>
        <v>-228121.20436479067</v>
      </c>
      <c r="H40" s="234">
        <f t="shared" ref="H40:N40" si="6">H17*(1+$F$29)</f>
        <v>55967.693834272177</v>
      </c>
      <c r="I40" s="234">
        <f t="shared" si="6"/>
        <v>65210.412569432498</v>
      </c>
      <c r="J40" s="234">
        <f t="shared" si="6"/>
        <v>14412982.008842219</v>
      </c>
      <c r="K40" s="234">
        <f t="shared" si="6"/>
        <v>-201111.07738069925</v>
      </c>
      <c r="L40" s="234">
        <f t="shared" si="6"/>
        <v>-60813.886882132298</v>
      </c>
      <c r="M40" s="234">
        <f t="shared" si="6"/>
        <v>22335.754511847088</v>
      </c>
      <c r="N40" s="234">
        <f t="shared" si="6"/>
        <v>4672.5974089689516</v>
      </c>
    </row>
    <row r="41" spans="2:17" s="225" customFormat="1">
      <c r="B41" s="14" t="s">
        <v>126</v>
      </c>
      <c r="D41" s="224" t="s">
        <v>124</v>
      </c>
      <c r="G41" s="234">
        <f>G18*(1+$F$30)</f>
        <v>7737.1692319999984</v>
      </c>
      <c r="H41" s="234">
        <f t="shared" ref="H41:N41" si="7">H18*(1+$F$30)</f>
        <v>23118.950399999987</v>
      </c>
      <c r="I41" s="234">
        <f t="shared" si="7"/>
        <v>567345.78205066652</v>
      </c>
      <c r="J41" s="234">
        <f t="shared" si="7"/>
        <v>-290125.73657599976</v>
      </c>
      <c r="K41" s="234">
        <f t="shared" si="7"/>
        <v>30087.064799999989</v>
      </c>
      <c r="L41" s="234">
        <f t="shared" si="7"/>
        <v>700352.14740399993</v>
      </c>
      <c r="M41" s="234">
        <f t="shared" si="7"/>
        <v>3471.8215999999979</v>
      </c>
      <c r="N41" s="234">
        <f t="shared" si="7"/>
        <v>0</v>
      </c>
    </row>
    <row r="42" spans="2:17" s="225" customFormat="1">
      <c r="B42" s="14" t="s">
        <v>127</v>
      </c>
      <c r="D42" s="224" t="s">
        <v>124</v>
      </c>
      <c r="G42" s="234">
        <f>G19*(1+$F$30)</f>
        <v>29832.309363999993</v>
      </c>
      <c r="H42" s="234">
        <f t="shared" ref="H42:N42" si="8">H19*(1+$F$30)</f>
        <v>26995.831199999993</v>
      </c>
      <c r="I42" s="234">
        <f t="shared" si="8"/>
        <v>536170.89832799998</v>
      </c>
      <c r="J42" s="234">
        <f t="shared" si="8"/>
        <v>375666.40550399979</v>
      </c>
      <c r="K42" s="234">
        <f t="shared" si="8"/>
        <v>33053.737599999986</v>
      </c>
      <c r="L42" s="234">
        <f t="shared" si="8"/>
        <v>294348.2896349486</v>
      </c>
      <c r="M42" s="234">
        <f t="shared" si="8"/>
        <v>7143.6923999999972</v>
      </c>
      <c r="N42" s="234">
        <f t="shared" si="8"/>
        <v>0</v>
      </c>
    </row>
    <row r="43" spans="2:17" s="223" customFormat="1">
      <c r="B43" s="211" t="s">
        <v>245</v>
      </c>
      <c r="C43" s="212"/>
      <c r="D43" s="224" t="s">
        <v>124</v>
      </c>
      <c r="G43" s="180"/>
      <c r="H43" s="180"/>
      <c r="I43" s="234">
        <f>I20*(1+$F$26)</f>
        <v>1394309.6535488833</v>
      </c>
      <c r="J43" s="248"/>
      <c r="K43" s="180"/>
      <c r="L43" s="180"/>
      <c r="M43" s="180"/>
      <c r="N43" s="180"/>
      <c r="P43" s="235"/>
      <c r="Q43" s="248"/>
    </row>
    <row r="44" spans="2:17" s="223" customFormat="1">
      <c r="B44" s="211" t="s">
        <v>246</v>
      </c>
      <c r="C44" s="212"/>
      <c r="D44" s="224" t="s">
        <v>124</v>
      </c>
      <c r="G44" s="180"/>
      <c r="H44" s="180"/>
      <c r="I44" s="234">
        <f>I21*(1+$F$27)</f>
        <v>2129443.168738781</v>
      </c>
      <c r="J44" s="248"/>
      <c r="K44" s="180"/>
      <c r="L44" s="180"/>
      <c r="M44" s="180"/>
      <c r="N44" s="180"/>
      <c r="P44" s="235"/>
    </row>
    <row r="45" spans="2:17" s="225" customFormat="1"/>
    <row r="46" spans="2:17" s="225" customFormat="1"/>
    <row r="47" spans="2:17" s="225" customFormat="1"/>
    <row r="48" spans="2:17" s="225" customFormat="1"/>
    <row r="49" s="225" customFormat="1"/>
    <row r="50" s="225" customFormat="1"/>
    <row r="51" s="225" customFormat="1"/>
  </sheetData>
  <pageMargins left="0.7" right="0.7" top="0.75" bottom="0.75" header="0.3" footer="0.3"/>
  <pageSetup paperSize="9" orientation="portrait" r:id="rId1"/>
  <ignoredErrors>
    <ignoredError sqref="G39:N39" formula="1"/>
    <ignoredError sqref="G40:N40" evalError="1"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2:AB39"/>
  <sheetViews>
    <sheetView showGridLines="0" zoomScale="85" zoomScaleNormal="85" workbookViewId="0"/>
  </sheetViews>
  <sheetFormatPr defaultRowHeight="12.75"/>
  <cols>
    <col min="1" max="1" width="4.85546875" style="197" customWidth="1"/>
    <col min="2" max="2" width="57.5703125" style="197" customWidth="1"/>
    <col min="3" max="3" width="4.42578125" style="197" customWidth="1"/>
    <col min="4" max="4" width="18.28515625" style="197" customWidth="1"/>
    <col min="5" max="5" width="6.5703125" style="197" customWidth="1"/>
    <col min="6" max="6" width="4.140625" style="197" customWidth="1"/>
    <col min="7" max="16" width="15.42578125" style="197" customWidth="1"/>
    <col min="17" max="17" width="5.28515625" style="197" customWidth="1"/>
    <col min="18" max="18" width="83" style="197" bestFit="1" customWidth="1"/>
    <col min="19" max="258" width="9.140625" style="197"/>
    <col min="259" max="259" width="4.85546875" style="197" customWidth="1"/>
    <col min="260" max="260" width="57.5703125" style="197" customWidth="1"/>
    <col min="261" max="261" width="4.42578125" style="197" customWidth="1"/>
    <col min="262" max="262" width="18.28515625" style="197" customWidth="1"/>
    <col min="263" max="263" width="5.85546875" style="197" customWidth="1"/>
    <col min="264" max="264" width="4.140625" style="197" customWidth="1"/>
    <col min="265" max="272" width="15.42578125" style="197" customWidth="1"/>
    <col min="273" max="273" width="5.28515625" style="197" customWidth="1"/>
    <col min="274" max="514" width="9.140625" style="197"/>
    <col min="515" max="515" width="4.85546875" style="197" customWidth="1"/>
    <col min="516" max="516" width="57.5703125" style="197" customWidth="1"/>
    <col min="517" max="517" width="4.42578125" style="197" customWidth="1"/>
    <col min="518" max="518" width="18.28515625" style="197" customWidth="1"/>
    <col min="519" max="519" width="5.85546875" style="197" customWidth="1"/>
    <col min="520" max="520" width="4.140625" style="197" customWidth="1"/>
    <col min="521" max="528" width="15.42578125" style="197" customWidth="1"/>
    <col min="529" max="529" width="5.28515625" style="197" customWidth="1"/>
    <col min="530" max="770" width="9.140625" style="197"/>
    <col min="771" max="771" width="4.85546875" style="197" customWidth="1"/>
    <col min="772" max="772" width="57.5703125" style="197" customWidth="1"/>
    <col min="773" max="773" width="4.42578125" style="197" customWidth="1"/>
    <col min="774" max="774" width="18.28515625" style="197" customWidth="1"/>
    <col min="775" max="775" width="5.85546875" style="197" customWidth="1"/>
    <col min="776" max="776" width="4.140625" style="197" customWidth="1"/>
    <col min="777" max="784" width="15.42578125" style="197" customWidth="1"/>
    <col min="785" max="785" width="5.28515625" style="197" customWidth="1"/>
    <col min="786" max="1026" width="9.140625" style="197"/>
    <col min="1027" max="1027" width="4.85546875" style="197" customWidth="1"/>
    <col min="1028" max="1028" width="57.5703125" style="197" customWidth="1"/>
    <col min="1029" max="1029" width="4.42578125" style="197" customWidth="1"/>
    <col min="1030" max="1030" width="18.28515625" style="197" customWidth="1"/>
    <col min="1031" max="1031" width="5.85546875" style="197" customWidth="1"/>
    <col min="1032" max="1032" width="4.140625" style="197" customWidth="1"/>
    <col min="1033" max="1040" width="15.42578125" style="197" customWidth="1"/>
    <col min="1041" max="1041" width="5.28515625" style="197" customWidth="1"/>
    <col min="1042" max="1282" width="9.140625" style="197"/>
    <col min="1283" max="1283" width="4.85546875" style="197" customWidth="1"/>
    <col min="1284" max="1284" width="57.5703125" style="197" customWidth="1"/>
    <col min="1285" max="1285" width="4.42578125" style="197" customWidth="1"/>
    <col min="1286" max="1286" width="18.28515625" style="197" customWidth="1"/>
    <col min="1287" max="1287" width="5.85546875" style="197" customWidth="1"/>
    <col min="1288" max="1288" width="4.140625" style="197" customWidth="1"/>
    <col min="1289" max="1296" width="15.42578125" style="197" customWidth="1"/>
    <col min="1297" max="1297" width="5.28515625" style="197" customWidth="1"/>
    <col min="1298" max="1538" width="9.140625" style="197"/>
    <col min="1539" max="1539" width="4.85546875" style="197" customWidth="1"/>
    <col min="1540" max="1540" width="57.5703125" style="197" customWidth="1"/>
    <col min="1541" max="1541" width="4.42578125" style="197" customWidth="1"/>
    <col min="1542" max="1542" width="18.28515625" style="197" customWidth="1"/>
    <col min="1543" max="1543" width="5.85546875" style="197" customWidth="1"/>
    <col min="1544" max="1544" width="4.140625" style="197" customWidth="1"/>
    <col min="1545" max="1552" width="15.42578125" style="197" customWidth="1"/>
    <col min="1553" max="1553" width="5.28515625" style="197" customWidth="1"/>
    <col min="1554" max="1794" width="9.140625" style="197"/>
    <col min="1795" max="1795" width="4.85546875" style="197" customWidth="1"/>
    <col min="1796" max="1796" width="57.5703125" style="197" customWidth="1"/>
    <col min="1797" max="1797" width="4.42578125" style="197" customWidth="1"/>
    <col min="1798" max="1798" width="18.28515625" style="197" customWidth="1"/>
    <col min="1799" max="1799" width="5.85546875" style="197" customWidth="1"/>
    <col min="1800" max="1800" width="4.140625" style="197" customWidth="1"/>
    <col min="1801" max="1808" width="15.42578125" style="197" customWidth="1"/>
    <col min="1809" max="1809" width="5.28515625" style="197" customWidth="1"/>
    <col min="1810" max="2050" width="9.140625" style="197"/>
    <col min="2051" max="2051" width="4.85546875" style="197" customWidth="1"/>
    <col min="2052" max="2052" width="57.5703125" style="197" customWidth="1"/>
    <col min="2053" max="2053" width="4.42578125" style="197" customWidth="1"/>
    <col min="2054" max="2054" width="18.28515625" style="197" customWidth="1"/>
    <col min="2055" max="2055" width="5.85546875" style="197" customWidth="1"/>
    <col min="2056" max="2056" width="4.140625" style="197" customWidth="1"/>
    <col min="2057" max="2064" width="15.42578125" style="197" customWidth="1"/>
    <col min="2065" max="2065" width="5.28515625" style="197" customWidth="1"/>
    <col min="2066" max="2306" width="9.140625" style="197"/>
    <col min="2307" max="2307" width="4.85546875" style="197" customWidth="1"/>
    <col min="2308" max="2308" width="57.5703125" style="197" customWidth="1"/>
    <col min="2309" max="2309" width="4.42578125" style="197" customWidth="1"/>
    <col min="2310" max="2310" width="18.28515625" style="197" customWidth="1"/>
    <col min="2311" max="2311" width="5.85546875" style="197" customWidth="1"/>
    <col min="2312" max="2312" width="4.140625" style="197" customWidth="1"/>
    <col min="2313" max="2320" width="15.42578125" style="197" customWidth="1"/>
    <col min="2321" max="2321" width="5.28515625" style="197" customWidth="1"/>
    <col min="2322" max="2562" width="9.140625" style="197"/>
    <col min="2563" max="2563" width="4.85546875" style="197" customWidth="1"/>
    <col min="2564" max="2564" width="57.5703125" style="197" customWidth="1"/>
    <col min="2565" max="2565" width="4.42578125" style="197" customWidth="1"/>
    <col min="2566" max="2566" width="18.28515625" style="197" customWidth="1"/>
    <col min="2567" max="2567" width="5.85546875" style="197" customWidth="1"/>
    <col min="2568" max="2568" width="4.140625" style="197" customWidth="1"/>
    <col min="2569" max="2576" width="15.42578125" style="197" customWidth="1"/>
    <col min="2577" max="2577" width="5.28515625" style="197" customWidth="1"/>
    <col min="2578" max="2818" width="9.140625" style="197"/>
    <col min="2819" max="2819" width="4.85546875" style="197" customWidth="1"/>
    <col min="2820" max="2820" width="57.5703125" style="197" customWidth="1"/>
    <col min="2821" max="2821" width="4.42578125" style="197" customWidth="1"/>
    <col min="2822" max="2822" width="18.28515625" style="197" customWidth="1"/>
    <col min="2823" max="2823" width="5.85546875" style="197" customWidth="1"/>
    <col min="2824" max="2824" width="4.140625" style="197" customWidth="1"/>
    <col min="2825" max="2832" width="15.42578125" style="197" customWidth="1"/>
    <col min="2833" max="2833" width="5.28515625" style="197" customWidth="1"/>
    <col min="2834" max="3074" width="9.140625" style="197"/>
    <col min="3075" max="3075" width="4.85546875" style="197" customWidth="1"/>
    <col min="3076" max="3076" width="57.5703125" style="197" customWidth="1"/>
    <col min="3077" max="3077" width="4.42578125" style="197" customWidth="1"/>
    <col min="3078" max="3078" width="18.28515625" style="197" customWidth="1"/>
    <col min="3079" max="3079" width="5.85546875" style="197" customWidth="1"/>
    <col min="3080" max="3080" width="4.140625" style="197" customWidth="1"/>
    <col min="3081" max="3088" width="15.42578125" style="197" customWidth="1"/>
    <col min="3089" max="3089" width="5.28515625" style="197" customWidth="1"/>
    <col min="3090" max="3330" width="9.140625" style="197"/>
    <col min="3331" max="3331" width="4.85546875" style="197" customWidth="1"/>
    <col min="3332" max="3332" width="57.5703125" style="197" customWidth="1"/>
    <col min="3333" max="3333" width="4.42578125" style="197" customWidth="1"/>
    <col min="3334" max="3334" width="18.28515625" style="197" customWidth="1"/>
    <col min="3335" max="3335" width="5.85546875" style="197" customWidth="1"/>
    <col min="3336" max="3336" width="4.140625" style="197" customWidth="1"/>
    <col min="3337" max="3344" width="15.42578125" style="197" customWidth="1"/>
    <col min="3345" max="3345" width="5.28515625" style="197" customWidth="1"/>
    <col min="3346" max="3586" width="9.140625" style="197"/>
    <col min="3587" max="3587" width="4.85546875" style="197" customWidth="1"/>
    <col min="3588" max="3588" width="57.5703125" style="197" customWidth="1"/>
    <col min="3589" max="3589" width="4.42578125" style="197" customWidth="1"/>
    <col min="3590" max="3590" width="18.28515625" style="197" customWidth="1"/>
    <col min="3591" max="3591" width="5.85546875" style="197" customWidth="1"/>
    <col min="3592" max="3592" width="4.140625" style="197" customWidth="1"/>
    <col min="3593" max="3600" width="15.42578125" style="197" customWidth="1"/>
    <col min="3601" max="3601" width="5.28515625" style="197" customWidth="1"/>
    <col min="3602" max="3842" width="9.140625" style="197"/>
    <col min="3843" max="3843" width="4.85546875" style="197" customWidth="1"/>
    <col min="3844" max="3844" width="57.5703125" style="197" customWidth="1"/>
    <col min="3845" max="3845" width="4.42578125" style="197" customWidth="1"/>
    <col min="3846" max="3846" width="18.28515625" style="197" customWidth="1"/>
    <col min="3847" max="3847" width="5.85546875" style="197" customWidth="1"/>
    <col min="3848" max="3848" width="4.140625" style="197" customWidth="1"/>
    <col min="3849" max="3856" width="15.42578125" style="197" customWidth="1"/>
    <col min="3857" max="3857" width="5.28515625" style="197" customWidth="1"/>
    <col min="3858" max="4098" width="9.140625" style="197"/>
    <col min="4099" max="4099" width="4.85546875" style="197" customWidth="1"/>
    <col min="4100" max="4100" width="57.5703125" style="197" customWidth="1"/>
    <col min="4101" max="4101" width="4.42578125" style="197" customWidth="1"/>
    <col min="4102" max="4102" width="18.28515625" style="197" customWidth="1"/>
    <col min="4103" max="4103" width="5.85546875" style="197" customWidth="1"/>
    <col min="4104" max="4104" width="4.140625" style="197" customWidth="1"/>
    <col min="4105" max="4112" width="15.42578125" style="197" customWidth="1"/>
    <col min="4113" max="4113" width="5.28515625" style="197" customWidth="1"/>
    <col min="4114" max="4354" width="9.140625" style="197"/>
    <col min="4355" max="4355" width="4.85546875" style="197" customWidth="1"/>
    <col min="4356" max="4356" width="57.5703125" style="197" customWidth="1"/>
    <col min="4357" max="4357" width="4.42578125" style="197" customWidth="1"/>
    <col min="4358" max="4358" width="18.28515625" style="197" customWidth="1"/>
    <col min="4359" max="4359" width="5.85546875" style="197" customWidth="1"/>
    <col min="4360" max="4360" width="4.140625" style="197" customWidth="1"/>
    <col min="4361" max="4368" width="15.42578125" style="197" customWidth="1"/>
    <col min="4369" max="4369" width="5.28515625" style="197" customWidth="1"/>
    <col min="4370" max="4610" width="9.140625" style="197"/>
    <col min="4611" max="4611" width="4.85546875" style="197" customWidth="1"/>
    <col min="4612" max="4612" width="57.5703125" style="197" customWidth="1"/>
    <col min="4613" max="4613" width="4.42578125" style="197" customWidth="1"/>
    <col min="4614" max="4614" width="18.28515625" style="197" customWidth="1"/>
    <col min="4615" max="4615" width="5.85546875" style="197" customWidth="1"/>
    <col min="4616" max="4616" width="4.140625" style="197" customWidth="1"/>
    <col min="4617" max="4624" width="15.42578125" style="197" customWidth="1"/>
    <col min="4625" max="4625" width="5.28515625" style="197" customWidth="1"/>
    <col min="4626" max="4866" width="9.140625" style="197"/>
    <col min="4867" max="4867" width="4.85546875" style="197" customWidth="1"/>
    <col min="4868" max="4868" width="57.5703125" style="197" customWidth="1"/>
    <col min="4869" max="4869" width="4.42578125" style="197" customWidth="1"/>
    <col min="4870" max="4870" width="18.28515625" style="197" customWidth="1"/>
    <col min="4871" max="4871" width="5.85546875" style="197" customWidth="1"/>
    <col min="4872" max="4872" width="4.140625" style="197" customWidth="1"/>
    <col min="4873" max="4880" width="15.42578125" style="197" customWidth="1"/>
    <col min="4881" max="4881" width="5.28515625" style="197" customWidth="1"/>
    <col min="4882" max="5122" width="9.140625" style="197"/>
    <col min="5123" max="5123" width="4.85546875" style="197" customWidth="1"/>
    <col min="5124" max="5124" width="57.5703125" style="197" customWidth="1"/>
    <col min="5125" max="5125" width="4.42578125" style="197" customWidth="1"/>
    <col min="5126" max="5126" width="18.28515625" style="197" customWidth="1"/>
    <col min="5127" max="5127" width="5.85546875" style="197" customWidth="1"/>
    <col min="5128" max="5128" width="4.140625" style="197" customWidth="1"/>
    <col min="5129" max="5136" width="15.42578125" style="197" customWidth="1"/>
    <col min="5137" max="5137" width="5.28515625" style="197" customWidth="1"/>
    <col min="5138" max="5378" width="9.140625" style="197"/>
    <col min="5379" max="5379" width="4.85546875" style="197" customWidth="1"/>
    <col min="5380" max="5380" width="57.5703125" style="197" customWidth="1"/>
    <col min="5381" max="5381" width="4.42578125" style="197" customWidth="1"/>
    <col min="5382" max="5382" width="18.28515625" style="197" customWidth="1"/>
    <col min="5383" max="5383" width="5.85546875" style="197" customWidth="1"/>
    <col min="5384" max="5384" width="4.140625" style="197" customWidth="1"/>
    <col min="5385" max="5392" width="15.42578125" style="197" customWidth="1"/>
    <col min="5393" max="5393" width="5.28515625" style="197" customWidth="1"/>
    <col min="5394" max="5634" width="9.140625" style="197"/>
    <col min="5635" max="5635" width="4.85546875" style="197" customWidth="1"/>
    <col min="5636" max="5636" width="57.5703125" style="197" customWidth="1"/>
    <col min="5637" max="5637" width="4.42578125" style="197" customWidth="1"/>
    <col min="5638" max="5638" width="18.28515625" style="197" customWidth="1"/>
    <col min="5639" max="5639" width="5.85546875" style="197" customWidth="1"/>
    <col min="5640" max="5640" width="4.140625" style="197" customWidth="1"/>
    <col min="5641" max="5648" width="15.42578125" style="197" customWidth="1"/>
    <col min="5649" max="5649" width="5.28515625" style="197" customWidth="1"/>
    <col min="5650" max="5890" width="9.140625" style="197"/>
    <col min="5891" max="5891" width="4.85546875" style="197" customWidth="1"/>
    <col min="5892" max="5892" width="57.5703125" style="197" customWidth="1"/>
    <col min="5893" max="5893" width="4.42578125" style="197" customWidth="1"/>
    <col min="5894" max="5894" width="18.28515625" style="197" customWidth="1"/>
    <col min="5895" max="5895" width="5.85546875" style="197" customWidth="1"/>
    <col min="5896" max="5896" width="4.140625" style="197" customWidth="1"/>
    <col min="5897" max="5904" width="15.42578125" style="197" customWidth="1"/>
    <col min="5905" max="5905" width="5.28515625" style="197" customWidth="1"/>
    <col min="5906" max="6146" width="9.140625" style="197"/>
    <col min="6147" max="6147" width="4.85546875" style="197" customWidth="1"/>
    <col min="6148" max="6148" width="57.5703125" style="197" customWidth="1"/>
    <col min="6149" max="6149" width="4.42578125" style="197" customWidth="1"/>
    <col min="6150" max="6150" width="18.28515625" style="197" customWidth="1"/>
    <col min="6151" max="6151" width="5.85546875" style="197" customWidth="1"/>
    <col min="6152" max="6152" width="4.140625" style="197" customWidth="1"/>
    <col min="6153" max="6160" width="15.42578125" style="197" customWidth="1"/>
    <col min="6161" max="6161" width="5.28515625" style="197" customWidth="1"/>
    <col min="6162" max="6402" width="9.140625" style="197"/>
    <col min="6403" max="6403" width="4.85546875" style="197" customWidth="1"/>
    <col min="6404" max="6404" width="57.5703125" style="197" customWidth="1"/>
    <col min="6405" max="6405" width="4.42578125" style="197" customWidth="1"/>
    <col min="6406" max="6406" width="18.28515625" style="197" customWidth="1"/>
    <col min="6407" max="6407" width="5.85546875" style="197" customWidth="1"/>
    <col min="6408" max="6408" width="4.140625" style="197" customWidth="1"/>
    <col min="6409" max="6416" width="15.42578125" style="197" customWidth="1"/>
    <col min="6417" max="6417" width="5.28515625" style="197" customWidth="1"/>
    <col min="6418" max="6658" width="9.140625" style="197"/>
    <col min="6659" max="6659" width="4.85546875" style="197" customWidth="1"/>
    <col min="6660" max="6660" width="57.5703125" style="197" customWidth="1"/>
    <col min="6661" max="6661" width="4.42578125" style="197" customWidth="1"/>
    <col min="6662" max="6662" width="18.28515625" style="197" customWidth="1"/>
    <col min="6663" max="6663" width="5.85546875" style="197" customWidth="1"/>
    <col min="6664" max="6664" width="4.140625" style="197" customWidth="1"/>
    <col min="6665" max="6672" width="15.42578125" style="197" customWidth="1"/>
    <col min="6673" max="6673" width="5.28515625" style="197" customWidth="1"/>
    <col min="6674" max="6914" width="9.140625" style="197"/>
    <col min="6915" max="6915" width="4.85546875" style="197" customWidth="1"/>
    <col min="6916" max="6916" width="57.5703125" style="197" customWidth="1"/>
    <col min="6917" max="6917" width="4.42578125" style="197" customWidth="1"/>
    <col min="6918" max="6918" width="18.28515625" style="197" customWidth="1"/>
    <col min="6919" max="6919" width="5.85546875" style="197" customWidth="1"/>
    <col min="6920" max="6920" width="4.140625" style="197" customWidth="1"/>
    <col min="6921" max="6928" width="15.42578125" style="197" customWidth="1"/>
    <col min="6929" max="6929" width="5.28515625" style="197" customWidth="1"/>
    <col min="6930" max="7170" width="9.140625" style="197"/>
    <col min="7171" max="7171" width="4.85546875" style="197" customWidth="1"/>
    <col min="7172" max="7172" width="57.5703125" style="197" customWidth="1"/>
    <col min="7173" max="7173" width="4.42578125" style="197" customWidth="1"/>
    <col min="7174" max="7174" width="18.28515625" style="197" customWidth="1"/>
    <col min="7175" max="7175" width="5.85546875" style="197" customWidth="1"/>
    <col min="7176" max="7176" width="4.140625" style="197" customWidth="1"/>
    <col min="7177" max="7184" width="15.42578125" style="197" customWidth="1"/>
    <col min="7185" max="7185" width="5.28515625" style="197" customWidth="1"/>
    <col min="7186" max="7426" width="9.140625" style="197"/>
    <col min="7427" max="7427" width="4.85546875" style="197" customWidth="1"/>
    <col min="7428" max="7428" width="57.5703125" style="197" customWidth="1"/>
    <col min="7429" max="7429" width="4.42578125" style="197" customWidth="1"/>
    <col min="7430" max="7430" width="18.28515625" style="197" customWidth="1"/>
    <col min="7431" max="7431" width="5.85546875" style="197" customWidth="1"/>
    <col min="7432" max="7432" width="4.140625" style="197" customWidth="1"/>
    <col min="7433" max="7440" width="15.42578125" style="197" customWidth="1"/>
    <col min="7441" max="7441" width="5.28515625" style="197" customWidth="1"/>
    <col min="7442" max="7682" width="9.140625" style="197"/>
    <col min="7683" max="7683" width="4.85546875" style="197" customWidth="1"/>
    <col min="7684" max="7684" width="57.5703125" style="197" customWidth="1"/>
    <col min="7685" max="7685" width="4.42578125" style="197" customWidth="1"/>
    <col min="7686" max="7686" width="18.28515625" style="197" customWidth="1"/>
    <col min="7687" max="7687" width="5.85546875" style="197" customWidth="1"/>
    <col min="7688" max="7688" width="4.140625" style="197" customWidth="1"/>
    <col min="7689" max="7696" width="15.42578125" style="197" customWidth="1"/>
    <col min="7697" max="7697" width="5.28515625" style="197" customWidth="1"/>
    <col min="7698" max="7938" width="9.140625" style="197"/>
    <col min="7939" max="7939" width="4.85546875" style="197" customWidth="1"/>
    <col min="7940" max="7940" width="57.5703125" style="197" customWidth="1"/>
    <col min="7941" max="7941" width="4.42578125" style="197" customWidth="1"/>
    <col min="7942" max="7942" width="18.28515625" style="197" customWidth="1"/>
    <col min="7943" max="7943" width="5.85546875" style="197" customWidth="1"/>
    <col min="7944" max="7944" width="4.140625" style="197" customWidth="1"/>
    <col min="7945" max="7952" width="15.42578125" style="197" customWidth="1"/>
    <col min="7953" max="7953" width="5.28515625" style="197" customWidth="1"/>
    <col min="7954" max="8194" width="9.140625" style="197"/>
    <col min="8195" max="8195" width="4.85546875" style="197" customWidth="1"/>
    <col min="8196" max="8196" width="57.5703125" style="197" customWidth="1"/>
    <col min="8197" max="8197" width="4.42578125" style="197" customWidth="1"/>
    <col min="8198" max="8198" width="18.28515625" style="197" customWidth="1"/>
    <col min="8199" max="8199" width="5.85546875" style="197" customWidth="1"/>
    <col min="8200" max="8200" width="4.140625" style="197" customWidth="1"/>
    <col min="8201" max="8208" width="15.42578125" style="197" customWidth="1"/>
    <col min="8209" max="8209" width="5.28515625" style="197" customWidth="1"/>
    <col min="8210" max="8450" width="9.140625" style="197"/>
    <col min="8451" max="8451" width="4.85546875" style="197" customWidth="1"/>
    <col min="8452" max="8452" width="57.5703125" style="197" customWidth="1"/>
    <col min="8453" max="8453" width="4.42578125" style="197" customWidth="1"/>
    <col min="8454" max="8454" width="18.28515625" style="197" customWidth="1"/>
    <col min="8455" max="8455" width="5.85546875" style="197" customWidth="1"/>
    <col min="8456" max="8456" width="4.140625" style="197" customWidth="1"/>
    <col min="8457" max="8464" width="15.42578125" style="197" customWidth="1"/>
    <col min="8465" max="8465" width="5.28515625" style="197" customWidth="1"/>
    <col min="8466" max="8706" width="9.140625" style="197"/>
    <col min="8707" max="8707" width="4.85546875" style="197" customWidth="1"/>
    <col min="8708" max="8708" width="57.5703125" style="197" customWidth="1"/>
    <col min="8709" max="8709" width="4.42578125" style="197" customWidth="1"/>
    <col min="8710" max="8710" width="18.28515625" style="197" customWidth="1"/>
    <col min="8711" max="8711" width="5.85546875" style="197" customWidth="1"/>
    <col min="8712" max="8712" width="4.140625" style="197" customWidth="1"/>
    <col min="8713" max="8720" width="15.42578125" style="197" customWidth="1"/>
    <col min="8721" max="8721" width="5.28515625" style="197" customWidth="1"/>
    <col min="8722" max="8962" width="9.140625" style="197"/>
    <col min="8963" max="8963" width="4.85546875" style="197" customWidth="1"/>
    <col min="8964" max="8964" width="57.5703125" style="197" customWidth="1"/>
    <col min="8965" max="8965" width="4.42578125" style="197" customWidth="1"/>
    <col min="8966" max="8966" width="18.28515625" style="197" customWidth="1"/>
    <col min="8967" max="8967" width="5.85546875" style="197" customWidth="1"/>
    <col min="8968" max="8968" width="4.140625" style="197" customWidth="1"/>
    <col min="8969" max="8976" width="15.42578125" style="197" customWidth="1"/>
    <col min="8977" max="8977" width="5.28515625" style="197" customWidth="1"/>
    <col min="8978" max="9218" width="9.140625" style="197"/>
    <col min="9219" max="9219" width="4.85546875" style="197" customWidth="1"/>
    <col min="9220" max="9220" width="57.5703125" style="197" customWidth="1"/>
    <col min="9221" max="9221" width="4.42578125" style="197" customWidth="1"/>
    <col min="9222" max="9222" width="18.28515625" style="197" customWidth="1"/>
    <col min="9223" max="9223" width="5.85546875" style="197" customWidth="1"/>
    <col min="9224" max="9224" width="4.140625" style="197" customWidth="1"/>
    <col min="9225" max="9232" width="15.42578125" style="197" customWidth="1"/>
    <col min="9233" max="9233" width="5.28515625" style="197" customWidth="1"/>
    <col min="9234" max="9474" width="9.140625" style="197"/>
    <col min="9475" max="9475" width="4.85546875" style="197" customWidth="1"/>
    <col min="9476" max="9476" width="57.5703125" style="197" customWidth="1"/>
    <col min="9477" max="9477" width="4.42578125" style="197" customWidth="1"/>
    <col min="9478" max="9478" width="18.28515625" style="197" customWidth="1"/>
    <col min="9479" max="9479" width="5.85546875" style="197" customWidth="1"/>
    <col min="9480" max="9480" width="4.140625" style="197" customWidth="1"/>
    <col min="9481" max="9488" width="15.42578125" style="197" customWidth="1"/>
    <col min="9489" max="9489" width="5.28515625" style="197" customWidth="1"/>
    <col min="9490" max="9730" width="9.140625" style="197"/>
    <col min="9731" max="9731" width="4.85546875" style="197" customWidth="1"/>
    <col min="9732" max="9732" width="57.5703125" style="197" customWidth="1"/>
    <col min="9733" max="9733" width="4.42578125" style="197" customWidth="1"/>
    <col min="9734" max="9734" width="18.28515625" style="197" customWidth="1"/>
    <col min="9735" max="9735" width="5.85546875" style="197" customWidth="1"/>
    <col min="9736" max="9736" width="4.140625" style="197" customWidth="1"/>
    <col min="9737" max="9744" width="15.42578125" style="197" customWidth="1"/>
    <col min="9745" max="9745" width="5.28515625" style="197" customWidth="1"/>
    <col min="9746" max="9986" width="9.140625" style="197"/>
    <col min="9987" max="9987" width="4.85546875" style="197" customWidth="1"/>
    <col min="9988" max="9988" width="57.5703125" style="197" customWidth="1"/>
    <col min="9989" max="9989" width="4.42578125" style="197" customWidth="1"/>
    <col min="9990" max="9990" width="18.28515625" style="197" customWidth="1"/>
    <col min="9991" max="9991" width="5.85546875" style="197" customWidth="1"/>
    <col min="9992" max="9992" width="4.140625" style="197" customWidth="1"/>
    <col min="9993" max="10000" width="15.42578125" style="197" customWidth="1"/>
    <col min="10001" max="10001" width="5.28515625" style="197" customWidth="1"/>
    <col min="10002" max="10242" width="9.140625" style="197"/>
    <col min="10243" max="10243" width="4.85546875" style="197" customWidth="1"/>
    <col min="10244" max="10244" width="57.5703125" style="197" customWidth="1"/>
    <col min="10245" max="10245" width="4.42578125" style="197" customWidth="1"/>
    <col min="10246" max="10246" width="18.28515625" style="197" customWidth="1"/>
    <col min="10247" max="10247" width="5.85546875" style="197" customWidth="1"/>
    <col min="10248" max="10248" width="4.140625" style="197" customWidth="1"/>
    <col min="10249" max="10256" width="15.42578125" style="197" customWidth="1"/>
    <col min="10257" max="10257" width="5.28515625" style="197" customWidth="1"/>
    <col min="10258" max="10498" width="9.140625" style="197"/>
    <col min="10499" max="10499" width="4.85546875" style="197" customWidth="1"/>
    <col min="10500" max="10500" width="57.5703125" style="197" customWidth="1"/>
    <col min="10501" max="10501" width="4.42578125" style="197" customWidth="1"/>
    <col min="10502" max="10502" width="18.28515625" style="197" customWidth="1"/>
    <col min="10503" max="10503" width="5.85546875" style="197" customWidth="1"/>
    <col min="10504" max="10504" width="4.140625" style="197" customWidth="1"/>
    <col min="10505" max="10512" width="15.42578125" style="197" customWidth="1"/>
    <col min="10513" max="10513" width="5.28515625" style="197" customWidth="1"/>
    <col min="10514" max="10754" width="9.140625" style="197"/>
    <col min="10755" max="10755" width="4.85546875" style="197" customWidth="1"/>
    <col min="10756" max="10756" width="57.5703125" style="197" customWidth="1"/>
    <col min="10757" max="10757" width="4.42578125" style="197" customWidth="1"/>
    <col min="10758" max="10758" width="18.28515625" style="197" customWidth="1"/>
    <col min="10759" max="10759" width="5.85546875" style="197" customWidth="1"/>
    <col min="10760" max="10760" width="4.140625" style="197" customWidth="1"/>
    <col min="10761" max="10768" width="15.42578125" style="197" customWidth="1"/>
    <col min="10769" max="10769" width="5.28515625" style="197" customWidth="1"/>
    <col min="10770" max="11010" width="9.140625" style="197"/>
    <col min="11011" max="11011" width="4.85546875" style="197" customWidth="1"/>
    <col min="11012" max="11012" width="57.5703125" style="197" customWidth="1"/>
    <col min="11013" max="11013" width="4.42578125" style="197" customWidth="1"/>
    <col min="11014" max="11014" width="18.28515625" style="197" customWidth="1"/>
    <col min="11015" max="11015" width="5.85546875" style="197" customWidth="1"/>
    <col min="11016" max="11016" width="4.140625" style="197" customWidth="1"/>
    <col min="11017" max="11024" width="15.42578125" style="197" customWidth="1"/>
    <col min="11025" max="11025" width="5.28515625" style="197" customWidth="1"/>
    <col min="11026" max="11266" width="9.140625" style="197"/>
    <col min="11267" max="11267" width="4.85546875" style="197" customWidth="1"/>
    <col min="11268" max="11268" width="57.5703125" style="197" customWidth="1"/>
    <col min="11269" max="11269" width="4.42578125" style="197" customWidth="1"/>
    <col min="11270" max="11270" width="18.28515625" style="197" customWidth="1"/>
    <col min="11271" max="11271" width="5.85546875" style="197" customWidth="1"/>
    <col min="11272" max="11272" width="4.140625" style="197" customWidth="1"/>
    <col min="11273" max="11280" width="15.42578125" style="197" customWidth="1"/>
    <col min="11281" max="11281" width="5.28515625" style="197" customWidth="1"/>
    <col min="11282" max="11522" width="9.140625" style="197"/>
    <col min="11523" max="11523" width="4.85546875" style="197" customWidth="1"/>
    <col min="11524" max="11524" width="57.5703125" style="197" customWidth="1"/>
    <col min="11525" max="11525" width="4.42578125" style="197" customWidth="1"/>
    <col min="11526" max="11526" width="18.28515625" style="197" customWidth="1"/>
    <col min="11527" max="11527" width="5.85546875" style="197" customWidth="1"/>
    <col min="11528" max="11528" width="4.140625" style="197" customWidth="1"/>
    <col min="11529" max="11536" width="15.42578125" style="197" customWidth="1"/>
    <col min="11537" max="11537" width="5.28515625" style="197" customWidth="1"/>
    <col min="11538" max="11778" width="9.140625" style="197"/>
    <col min="11779" max="11779" width="4.85546875" style="197" customWidth="1"/>
    <col min="11780" max="11780" width="57.5703125" style="197" customWidth="1"/>
    <col min="11781" max="11781" width="4.42578125" style="197" customWidth="1"/>
    <col min="11782" max="11782" width="18.28515625" style="197" customWidth="1"/>
    <col min="11783" max="11783" width="5.85546875" style="197" customWidth="1"/>
    <col min="11784" max="11784" width="4.140625" style="197" customWidth="1"/>
    <col min="11785" max="11792" width="15.42578125" style="197" customWidth="1"/>
    <col min="11793" max="11793" width="5.28515625" style="197" customWidth="1"/>
    <col min="11794" max="12034" width="9.140625" style="197"/>
    <col min="12035" max="12035" width="4.85546875" style="197" customWidth="1"/>
    <col min="12036" max="12036" width="57.5703125" style="197" customWidth="1"/>
    <col min="12037" max="12037" width="4.42578125" style="197" customWidth="1"/>
    <col min="12038" max="12038" width="18.28515625" style="197" customWidth="1"/>
    <col min="12039" max="12039" width="5.85546875" style="197" customWidth="1"/>
    <col min="12040" max="12040" width="4.140625" style="197" customWidth="1"/>
    <col min="12041" max="12048" width="15.42578125" style="197" customWidth="1"/>
    <col min="12049" max="12049" width="5.28515625" style="197" customWidth="1"/>
    <col min="12050" max="12290" width="9.140625" style="197"/>
    <col min="12291" max="12291" width="4.85546875" style="197" customWidth="1"/>
    <col min="12292" max="12292" width="57.5703125" style="197" customWidth="1"/>
    <col min="12293" max="12293" width="4.42578125" style="197" customWidth="1"/>
    <col min="12294" max="12294" width="18.28515625" style="197" customWidth="1"/>
    <col min="12295" max="12295" width="5.85546875" style="197" customWidth="1"/>
    <col min="12296" max="12296" width="4.140625" style="197" customWidth="1"/>
    <col min="12297" max="12304" width="15.42578125" style="197" customWidth="1"/>
    <col min="12305" max="12305" width="5.28515625" style="197" customWidth="1"/>
    <col min="12306" max="12546" width="9.140625" style="197"/>
    <col min="12547" max="12547" width="4.85546875" style="197" customWidth="1"/>
    <col min="12548" max="12548" width="57.5703125" style="197" customWidth="1"/>
    <col min="12549" max="12549" width="4.42578125" style="197" customWidth="1"/>
    <col min="12550" max="12550" width="18.28515625" style="197" customWidth="1"/>
    <col min="12551" max="12551" width="5.85546875" style="197" customWidth="1"/>
    <col min="12552" max="12552" width="4.140625" style="197" customWidth="1"/>
    <col min="12553" max="12560" width="15.42578125" style="197" customWidth="1"/>
    <col min="12561" max="12561" width="5.28515625" style="197" customWidth="1"/>
    <col min="12562" max="12802" width="9.140625" style="197"/>
    <col min="12803" max="12803" width="4.85546875" style="197" customWidth="1"/>
    <col min="12804" max="12804" width="57.5703125" style="197" customWidth="1"/>
    <col min="12805" max="12805" width="4.42578125" style="197" customWidth="1"/>
    <col min="12806" max="12806" width="18.28515625" style="197" customWidth="1"/>
    <col min="12807" max="12807" width="5.85546875" style="197" customWidth="1"/>
    <col min="12808" max="12808" width="4.140625" style="197" customWidth="1"/>
    <col min="12809" max="12816" width="15.42578125" style="197" customWidth="1"/>
    <col min="12817" max="12817" width="5.28515625" style="197" customWidth="1"/>
    <col min="12818" max="13058" width="9.140625" style="197"/>
    <col min="13059" max="13059" width="4.85546875" style="197" customWidth="1"/>
    <col min="13060" max="13060" width="57.5703125" style="197" customWidth="1"/>
    <col min="13061" max="13061" width="4.42578125" style="197" customWidth="1"/>
    <col min="13062" max="13062" width="18.28515625" style="197" customWidth="1"/>
    <col min="13063" max="13063" width="5.85546875" style="197" customWidth="1"/>
    <col min="13064" max="13064" width="4.140625" style="197" customWidth="1"/>
    <col min="13065" max="13072" width="15.42578125" style="197" customWidth="1"/>
    <col min="13073" max="13073" width="5.28515625" style="197" customWidth="1"/>
    <col min="13074" max="13314" width="9.140625" style="197"/>
    <col min="13315" max="13315" width="4.85546875" style="197" customWidth="1"/>
    <col min="13316" max="13316" width="57.5703125" style="197" customWidth="1"/>
    <col min="13317" max="13317" width="4.42578125" style="197" customWidth="1"/>
    <col min="13318" max="13318" width="18.28515625" style="197" customWidth="1"/>
    <col min="13319" max="13319" width="5.85546875" style="197" customWidth="1"/>
    <col min="13320" max="13320" width="4.140625" style="197" customWidth="1"/>
    <col min="13321" max="13328" width="15.42578125" style="197" customWidth="1"/>
    <col min="13329" max="13329" width="5.28515625" style="197" customWidth="1"/>
    <col min="13330" max="13570" width="9.140625" style="197"/>
    <col min="13571" max="13571" width="4.85546875" style="197" customWidth="1"/>
    <col min="13572" max="13572" width="57.5703125" style="197" customWidth="1"/>
    <col min="13573" max="13573" width="4.42578125" style="197" customWidth="1"/>
    <col min="13574" max="13574" width="18.28515625" style="197" customWidth="1"/>
    <col min="13575" max="13575" width="5.85546875" style="197" customWidth="1"/>
    <col min="13576" max="13576" width="4.140625" style="197" customWidth="1"/>
    <col min="13577" max="13584" width="15.42578125" style="197" customWidth="1"/>
    <col min="13585" max="13585" width="5.28515625" style="197" customWidth="1"/>
    <col min="13586" max="13826" width="9.140625" style="197"/>
    <col min="13827" max="13827" width="4.85546875" style="197" customWidth="1"/>
    <col min="13828" max="13828" width="57.5703125" style="197" customWidth="1"/>
    <col min="13829" max="13829" width="4.42578125" style="197" customWidth="1"/>
    <col min="13830" max="13830" width="18.28515625" style="197" customWidth="1"/>
    <col min="13831" max="13831" width="5.85546875" style="197" customWidth="1"/>
    <col min="13832" max="13832" width="4.140625" style="197" customWidth="1"/>
    <col min="13833" max="13840" width="15.42578125" style="197" customWidth="1"/>
    <col min="13841" max="13841" width="5.28515625" style="197" customWidth="1"/>
    <col min="13842" max="14082" width="9.140625" style="197"/>
    <col min="14083" max="14083" width="4.85546875" style="197" customWidth="1"/>
    <col min="14084" max="14084" width="57.5703125" style="197" customWidth="1"/>
    <col min="14085" max="14085" width="4.42578125" style="197" customWidth="1"/>
    <col min="14086" max="14086" width="18.28515625" style="197" customWidth="1"/>
    <col min="14087" max="14087" width="5.85546875" style="197" customWidth="1"/>
    <col min="14088" max="14088" width="4.140625" style="197" customWidth="1"/>
    <col min="14089" max="14096" width="15.42578125" style="197" customWidth="1"/>
    <col min="14097" max="14097" width="5.28515625" style="197" customWidth="1"/>
    <col min="14098" max="14338" width="9.140625" style="197"/>
    <col min="14339" max="14339" width="4.85546875" style="197" customWidth="1"/>
    <col min="14340" max="14340" width="57.5703125" style="197" customWidth="1"/>
    <col min="14341" max="14341" width="4.42578125" style="197" customWidth="1"/>
    <col min="14342" max="14342" width="18.28515625" style="197" customWidth="1"/>
    <col min="14343" max="14343" width="5.85546875" style="197" customWidth="1"/>
    <col min="14344" max="14344" width="4.140625" style="197" customWidth="1"/>
    <col min="14345" max="14352" width="15.42578125" style="197" customWidth="1"/>
    <col min="14353" max="14353" width="5.28515625" style="197" customWidth="1"/>
    <col min="14354" max="14594" width="9.140625" style="197"/>
    <col min="14595" max="14595" width="4.85546875" style="197" customWidth="1"/>
    <col min="14596" max="14596" width="57.5703125" style="197" customWidth="1"/>
    <col min="14597" max="14597" width="4.42578125" style="197" customWidth="1"/>
    <col min="14598" max="14598" width="18.28515625" style="197" customWidth="1"/>
    <col min="14599" max="14599" width="5.85546875" style="197" customWidth="1"/>
    <col min="14600" max="14600" width="4.140625" style="197" customWidth="1"/>
    <col min="14601" max="14608" width="15.42578125" style="197" customWidth="1"/>
    <col min="14609" max="14609" width="5.28515625" style="197" customWidth="1"/>
    <col min="14610" max="14850" width="9.140625" style="197"/>
    <col min="14851" max="14851" width="4.85546875" style="197" customWidth="1"/>
    <col min="14852" max="14852" width="57.5703125" style="197" customWidth="1"/>
    <col min="14853" max="14853" width="4.42578125" style="197" customWidth="1"/>
    <col min="14854" max="14854" width="18.28515625" style="197" customWidth="1"/>
    <col min="14855" max="14855" width="5.85546875" style="197" customWidth="1"/>
    <col min="14856" max="14856" width="4.140625" style="197" customWidth="1"/>
    <col min="14857" max="14864" width="15.42578125" style="197" customWidth="1"/>
    <col min="14865" max="14865" width="5.28515625" style="197" customWidth="1"/>
    <col min="14866" max="15106" width="9.140625" style="197"/>
    <col min="15107" max="15107" width="4.85546875" style="197" customWidth="1"/>
    <col min="15108" max="15108" width="57.5703125" style="197" customWidth="1"/>
    <col min="15109" max="15109" width="4.42578125" style="197" customWidth="1"/>
    <col min="15110" max="15110" width="18.28515625" style="197" customWidth="1"/>
    <col min="15111" max="15111" width="5.85546875" style="197" customWidth="1"/>
    <col min="15112" max="15112" width="4.140625" style="197" customWidth="1"/>
    <col min="15113" max="15120" width="15.42578125" style="197" customWidth="1"/>
    <col min="15121" max="15121" width="5.28515625" style="197" customWidth="1"/>
    <col min="15122" max="15362" width="9.140625" style="197"/>
    <col min="15363" max="15363" width="4.85546875" style="197" customWidth="1"/>
    <col min="15364" max="15364" width="57.5703125" style="197" customWidth="1"/>
    <col min="15365" max="15365" width="4.42578125" style="197" customWidth="1"/>
    <col min="15366" max="15366" width="18.28515625" style="197" customWidth="1"/>
    <col min="15367" max="15367" width="5.85546875" style="197" customWidth="1"/>
    <col min="15368" max="15368" width="4.140625" style="197" customWidth="1"/>
    <col min="15369" max="15376" width="15.42578125" style="197" customWidth="1"/>
    <col min="15377" max="15377" width="5.28515625" style="197" customWidth="1"/>
    <col min="15378" max="15618" width="9.140625" style="197"/>
    <col min="15619" max="15619" width="4.85546875" style="197" customWidth="1"/>
    <col min="15620" max="15620" width="57.5703125" style="197" customWidth="1"/>
    <col min="15621" max="15621" width="4.42578125" style="197" customWidth="1"/>
    <col min="15622" max="15622" width="18.28515625" style="197" customWidth="1"/>
    <col min="15623" max="15623" width="5.85546875" style="197" customWidth="1"/>
    <col min="15624" max="15624" width="4.140625" style="197" customWidth="1"/>
    <col min="15625" max="15632" width="15.42578125" style="197" customWidth="1"/>
    <col min="15633" max="15633" width="5.28515625" style="197" customWidth="1"/>
    <col min="15634" max="15874" width="9.140625" style="197"/>
    <col min="15875" max="15875" width="4.85546875" style="197" customWidth="1"/>
    <col min="15876" max="15876" width="57.5703125" style="197" customWidth="1"/>
    <col min="15877" max="15877" width="4.42578125" style="197" customWidth="1"/>
    <col min="15878" max="15878" width="18.28515625" style="197" customWidth="1"/>
    <col min="15879" max="15879" width="5.85546875" style="197" customWidth="1"/>
    <col min="15880" max="15880" width="4.140625" style="197" customWidth="1"/>
    <col min="15881" max="15888" width="15.42578125" style="197" customWidth="1"/>
    <col min="15889" max="15889" width="5.28515625" style="197" customWidth="1"/>
    <col min="15890" max="16130" width="9.140625" style="197"/>
    <col min="16131" max="16131" width="4.85546875" style="197" customWidth="1"/>
    <col min="16132" max="16132" width="57.5703125" style="197" customWidth="1"/>
    <col min="16133" max="16133" width="4.42578125" style="197" customWidth="1"/>
    <col min="16134" max="16134" width="18.28515625" style="197" customWidth="1"/>
    <col min="16135" max="16135" width="5.85546875" style="197" customWidth="1"/>
    <col min="16136" max="16136" width="4.140625" style="197" customWidth="1"/>
    <col min="16137" max="16144" width="15.42578125" style="197" customWidth="1"/>
    <col min="16145" max="16145" width="5.28515625" style="197" customWidth="1"/>
    <col min="16146" max="16384" width="9.140625" style="197"/>
  </cols>
  <sheetData>
    <row r="2" spans="1:28" s="140" customFormat="1" ht="15.75">
      <c r="B2" s="184" t="s">
        <v>209</v>
      </c>
    </row>
    <row r="4" spans="1:28" s="189" customFormat="1">
      <c r="B4" s="187" t="s">
        <v>16</v>
      </c>
    </row>
    <row r="5" spans="1:28">
      <c r="B5" s="190"/>
    </row>
    <row r="6" spans="1:28">
      <c r="B6" s="185" t="s">
        <v>199</v>
      </c>
    </row>
    <row r="7" spans="1:28">
      <c r="B7" s="185" t="s">
        <v>200</v>
      </c>
    </row>
    <row r="8" spans="1:28">
      <c r="B8" s="190"/>
    </row>
    <row r="9" spans="1:28">
      <c r="B9" s="185"/>
    </row>
    <row r="10" spans="1:28">
      <c r="B10" s="190"/>
    </row>
    <row r="11" spans="1:28" s="189" customFormat="1">
      <c r="B11" s="187" t="s">
        <v>146</v>
      </c>
    </row>
    <row r="13" spans="1:28" s="146" customFormat="1" ht="12" customHeight="1">
      <c r="A13" s="178"/>
      <c r="B13" s="142"/>
      <c r="C13" s="143"/>
      <c r="D13" s="178"/>
      <c r="E13" s="178"/>
      <c r="F13" s="144"/>
      <c r="G13" s="145" t="s">
        <v>0</v>
      </c>
      <c r="H13" s="145" t="s">
        <v>1</v>
      </c>
      <c r="I13" s="145" t="s">
        <v>2</v>
      </c>
      <c r="J13" s="145" t="s">
        <v>3</v>
      </c>
      <c r="K13" s="145" t="s">
        <v>147</v>
      </c>
      <c r="L13" s="145" t="s">
        <v>4</v>
      </c>
      <c r="M13" s="145" t="s">
        <v>5</v>
      </c>
      <c r="N13" s="145" t="s">
        <v>6</v>
      </c>
      <c r="O13" s="145" t="s">
        <v>7</v>
      </c>
      <c r="P13" s="145" t="s">
        <v>8</v>
      </c>
      <c r="Q13" s="144"/>
      <c r="R13" s="144"/>
      <c r="S13" s="144"/>
      <c r="T13" s="144"/>
      <c r="U13" s="178"/>
      <c r="V13" s="178"/>
      <c r="W13" s="178"/>
      <c r="X13" s="178"/>
      <c r="Y13" s="178"/>
      <c r="Z13" s="178"/>
      <c r="AA13" s="178"/>
      <c r="AB13" s="178"/>
    </row>
    <row r="14" spans="1:28" s="147" customFormat="1">
      <c r="A14" s="178"/>
      <c r="B14" s="252" t="s">
        <v>272</v>
      </c>
      <c r="C14" s="148"/>
      <c r="F14" s="149"/>
      <c r="G14" s="149"/>
      <c r="H14" s="149"/>
      <c r="I14" s="149"/>
      <c r="J14" s="149"/>
      <c r="K14" s="149"/>
      <c r="L14" s="149"/>
      <c r="M14" s="149"/>
      <c r="N14" s="149"/>
      <c r="O14" s="149"/>
      <c r="P14" s="149"/>
      <c r="Q14" s="149"/>
      <c r="R14" s="149"/>
      <c r="S14" s="149"/>
      <c r="T14" s="149"/>
    </row>
    <row r="15" spans="1:28" s="147" customFormat="1">
      <c r="B15" s="186" t="s">
        <v>148</v>
      </c>
      <c r="C15" s="197"/>
      <c r="D15" s="197" t="s">
        <v>128</v>
      </c>
      <c r="E15" s="190"/>
      <c r="F15" s="197"/>
      <c r="G15" s="150">
        <v>21247360.097891506</v>
      </c>
      <c r="H15" s="150">
        <v>28586649.575927686</v>
      </c>
      <c r="I15" s="150">
        <v>57664771.499184407</v>
      </c>
      <c r="J15" s="150">
        <v>266384544.1256566</v>
      </c>
      <c r="K15" s="150">
        <v>24634122.018842854</v>
      </c>
      <c r="L15" s="150">
        <v>311205303.00694591</v>
      </c>
      <c r="M15" s="150">
        <v>17372716.107785553</v>
      </c>
      <c r="N15" s="150">
        <v>274557997.63433921</v>
      </c>
      <c r="O15" s="150">
        <v>16545470.76421568</v>
      </c>
      <c r="P15" s="150">
        <v>7816435.2641459676</v>
      </c>
      <c r="Q15" s="151"/>
      <c r="R15" s="196" t="s">
        <v>205</v>
      </c>
      <c r="S15" s="151"/>
      <c r="T15" s="151"/>
    </row>
    <row r="16" spans="1:28" s="147" customFormat="1">
      <c r="B16" s="186" t="s">
        <v>149</v>
      </c>
      <c r="C16" s="197"/>
      <c r="D16" s="197" t="s">
        <v>129</v>
      </c>
      <c r="E16" s="190"/>
      <c r="F16" s="197"/>
      <c r="G16" s="150">
        <v>21757296.740240902</v>
      </c>
      <c r="H16" s="150">
        <v>29301315.815325875</v>
      </c>
      <c r="I16" s="150">
        <v>59683038.501655854</v>
      </c>
      <c r="J16" s="150">
        <v>280769309.5084421</v>
      </c>
      <c r="K16" s="150">
        <v>24905097.361050121</v>
      </c>
      <c r="L16" s="150">
        <v>326143157.55127931</v>
      </c>
      <c r="M16" s="150">
        <v>18154488.332635902</v>
      </c>
      <c r="N16" s="150">
        <v>288285897.51605618</v>
      </c>
      <c r="O16" s="150">
        <v>17786381.071531855</v>
      </c>
      <c r="P16" s="150">
        <v>6401660.4813355478</v>
      </c>
      <c r="Q16" s="151"/>
      <c r="R16" s="196" t="s">
        <v>206</v>
      </c>
      <c r="S16" s="151"/>
      <c r="T16" s="151"/>
    </row>
    <row r="17" spans="2:28" s="147" customFormat="1">
      <c r="B17" s="186" t="s">
        <v>150</v>
      </c>
      <c r="C17" s="197"/>
      <c r="D17" s="186" t="s">
        <v>11</v>
      </c>
      <c r="E17" s="190"/>
      <c r="F17" s="197"/>
      <c r="G17" s="150">
        <v>22214199.971785959</v>
      </c>
      <c r="H17" s="150">
        <v>29945944.763263043</v>
      </c>
      <c r="I17" s="150">
        <v>61592895.733708829</v>
      </c>
      <c r="J17" s="150">
        <v>295088544.29337263</v>
      </c>
      <c r="K17" s="150">
        <v>25104338.139938522</v>
      </c>
      <c r="L17" s="150">
        <v>340819599.64108688</v>
      </c>
      <c r="M17" s="150">
        <v>18916976.842606608</v>
      </c>
      <c r="N17" s="150">
        <v>301835334.69931078</v>
      </c>
      <c r="O17" s="150">
        <v>19067000.508682147</v>
      </c>
      <c r="P17" s="150">
        <v>5223754.9527698075</v>
      </c>
      <c r="Q17" s="151"/>
      <c r="R17" s="196" t="s">
        <v>204</v>
      </c>
      <c r="S17" s="151"/>
      <c r="T17" s="151"/>
    </row>
    <row r="18" spans="2:28" s="147" customFormat="1" ht="15">
      <c r="B18" s="185"/>
      <c r="C18" s="190"/>
      <c r="D18" s="185"/>
      <c r="E18" s="190"/>
      <c r="F18" s="190"/>
      <c r="G18" s="152"/>
      <c r="H18" s="152"/>
      <c r="I18" s="152"/>
      <c r="J18" s="152"/>
      <c r="K18" s="152"/>
      <c r="L18" s="152"/>
      <c r="M18" s="152"/>
      <c r="N18" s="152"/>
      <c r="O18" s="152"/>
      <c r="P18" s="152"/>
      <c r="Q18" s="151"/>
      <c r="R18" s="196"/>
      <c r="S18" s="151"/>
      <c r="T18" s="151"/>
    </row>
    <row r="19" spans="2:28" s="147" customFormat="1" ht="15">
      <c r="B19" s="253" t="s">
        <v>273</v>
      </c>
      <c r="C19" s="190"/>
      <c r="D19" s="185"/>
      <c r="E19" s="190"/>
      <c r="F19" s="190"/>
      <c r="G19" s="152"/>
      <c r="H19" s="152"/>
      <c r="I19" s="152"/>
      <c r="J19" s="152"/>
      <c r="K19" s="152"/>
      <c r="L19" s="152"/>
      <c r="M19" s="152"/>
      <c r="N19" s="152"/>
      <c r="O19" s="152"/>
      <c r="P19" s="152"/>
      <c r="Q19" s="151"/>
      <c r="R19" s="196"/>
      <c r="S19" s="151"/>
      <c r="T19" s="151"/>
    </row>
    <row r="20" spans="2:28">
      <c r="B20" s="197" t="s">
        <v>151</v>
      </c>
      <c r="C20" s="190"/>
      <c r="D20" s="197" t="s">
        <v>152</v>
      </c>
      <c r="F20" s="153"/>
      <c r="G20" s="154">
        <v>20974689</v>
      </c>
      <c r="H20" s="154">
        <v>28191962</v>
      </c>
      <c r="I20" s="154">
        <v>56313253</v>
      </c>
      <c r="J20" s="154">
        <v>255402247</v>
      </c>
      <c r="K20" s="154">
        <v>24634122</v>
      </c>
      <c r="L20" s="154">
        <v>300101546</v>
      </c>
      <c r="M20" s="154">
        <v>16801466</v>
      </c>
      <c r="N20" s="154">
        <v>264252163</v>
      </c>
      <c r="O20" s="154">
        <v>15550254</v>
      </c>
      <c r="P20" s="154">
        <v>9673806</v>
      </c>
      <c r="Q20" s="153"/>
      <c r="R20" s="185" t="s">
        <v>207</v>
      </c>
      <c r="S20" s="153"/>
      <c r="T20" s="153"/>
    </row>
    <row r="21" spans="2:28">
      <c r="B21" s="197" t="s">
        <v>153</v>
      </c>
      <c r="F21" s="155"/>
      <c r="G21" s="156">
        <v>0.3</v>
      </c>
      <c r="H21" s="156">
        <v>0.2</v>
      </c>
      <c r="I21" s="156">
        <v>-0.8</v>
      </c>
      <c r="J21" s="156">
        <v>-2.6</v>
      </c>
      <c r="K21" s="156">
        <v>1.7</v>
      </c>
      <c r="L21" s="156">
        <v>-2</v>
      </c>
      <c r="M21" s="156">
        <v>-1.8</v>
      </c>
      <c r="N21" s="156">
        <v>-2.2999999999999998</v>
      </c>
      <c r="O21" s="156">
        <v>-4.8</v>
      </c>
      <c r="P21" s="156">
        <v>20.7</v>
      </c>
      <c r="Q21" s="155"/>
      <c r="R21" s="185" t="s">
        <v>208</v>
      </c>
      <c r="S21" s="155"/>
      <c r="T21" s="155"/>
    </row>
    <row r="22" spans="2:28">
      <c r="B22" s="188"/>
      <c r="R22" s="185"/>
    </row>
    <row r="23" spans="2:28" ht="15">
      <c r="B23" s="197" t="s">
        <v>154</v>
      </c>
      <c r="E23" s="166">
        <f>CPI!C14</f>
        <v>1.4999999999999999E-2</v>
      </c>
    </row>
    <row r="24" spans="2:28" ht="15">
      <c r="B24" s="197" t="s">
        <v>155</v>
      </c>
      <c r="E24" s="166">
        <f>CPI!C15</f>
        <v>2.5999999999999999E-2</v>
      </c>
    </row>
    <row r="25" spans="2:28" ht="15">
      <c r="B25" s="197" t="s">
        <v>156</v>
      </c>
      <c r="C25" s="190"/>
      <c r="E25" s="166">
        <f>CPI!C16</f>
        <v>2.3E-2</v>
      </c>
    </row>
    <row r="26" spans="2:28">
      <c r="F26" s="190"/>
      <c r="Q26" s="190"/>
      <c r="R26" s="190"/>
      <c r="S26" s="190"/>
      <c r="T26" s="190"/>
    </row>
    <row r="27" spans="2:28">
      <c r="B27" s="157" t="s">
        <v>157</v>
      </c>
      <c r="D27" s="197" t="s">
        <v>128</v>
      </c>
      <c r="F27" s="158"/>
      <c r="G27" s="159">
        <f t="shared" ref="G27:P27" si="0">G20*(1-G21/100+$E$23)</f>
        <v>21226385.267999999</v>
      </c>
      <c r="H27" s="159">
        <f t="shared" si="0"/>
        <v>28558457.505999997</v>
      </c>
      <c r="I27" s="159">
        <f t="shared" si="0"/>
        <v>57608457.818999998</v>
      </c>
      <c r="J27" s="159">
        <f t="shared" si="0"/>
        <v>265873739.12699997</v>
      </c>
      <c r="K27" s="159">
        <f t="shared" si="0"/>
        <v>24584853.756000001</v>
      </c>
      <c r="L27" s="159">
        <f t="shared" si="0"/>
        <v>310605100.10999995</v>
      </c>
      <c r="M27" s="159">
        <f t="shared" si="0"/>
        <v>17355914.377999999</v>
      </c>
      <c r="N27" s="159">
        <f t="shared" si="0"/>
        <v>274293745.19399995</v>
      </c>
      <c r="O27" s="159">
        <f t="shared" si="0"/>
        <v>16529920.001999998</v>
      </c>
      <c r="P27" s="159">
        <f t="shared" si="0"/>
        <v>7816435.2480000006</v>
      </c>
      <c r="Q27" s="153"/>
      <c r="R27" s="153"/>
      <c r="S27" s="153"/>
      <c r="T27" s="153"/>
    </row>
    <row r="28" spans="2:28">
      <c r="B28" s="157" t="s">
        <v>158</v>
      </c>
      <c r="C28" s="190"/>
      <c r="D28" s="197" t="s">
        <v>129</v>
      </c>
      <c r="F28" s="158"/>
      <c r="G28" s="159">
        <f>G27*(1-G21/100+$E$24)</f>
        <v>21714592.129163999</v>
      </c>
      <c r="H28" s="159">
        <f t="shared" ref="H28:P28" si="1">H27*(1-H21/100+$E$24)</f>
        <v>29243860.486143999</v>
      </c>
      <c r="I28" s="159">
        <f t="shared" si="1"/>
        <v>59567145.384846002</v>
      </c>
      <c r="J28" s="159">
        <f t="shared" si="1"/>
        <v>279699173.56160396</v>
      </c>
      <c r="K28" s="159">
        <f t="shared" si="1"/>
        <v>24806117.439803999</v>
      </c>
      <c r="L28" s="159">
        <f t="shared" si="1"/>
        <v>324892934.71505994</v>
      </c>
      <c r="M28" s="159">
        <f t="shared" si="1"/>
        <v>18119574.610631999</v>
      </c>
      <c r="N28" s="159">
        <f t="shared" si="1"/>
        <v>287734138.70850593</v>
      </c>
      <c r="O28" s="159">
        <f t="shared" si="1"/>
        <v>17753134.082148001</v>
      </c>
      <c r="P28" s="159">
        <f t="shared" si="1"/>
        <v>6401660.4681120012</v>
      </c>
      <c r="Q28" s="153"/>
      <c r="R28" s="153"/>
      <c r="S28" s="153"/>
      <c r="T28" s="153"/>
    </row>
    <row r="29" spans="2:28">
      <c r="B29" s="157" t="s">
        <v>159</v>
      </c>
      <c r="C29" s="190"/>
      <c r="D29" s="197" t="s">
        <v>11</v>
      </c>
      <c r="F29" s="158"/>
      <c r="G29" s="159">
        <f>G28*(1-G21/100+$E$25)</f>
        <v>22148883.971747279</v>
      </c>
      <c r="H29" s="159">
        <f t="shared" ref="H29:P29" si="2">H28*(1-H21/100+$E$25)</f>
        <v>29857981.556353021</v>
      </c>
      <c r="I29" s="159">
        <f t="shared" si="2"/>
        <v>61413726.891776226</v>
      </c>
      <c r="J29" s="159">
        <f t="shared" si="2"/>
        <v>293404433.06612253</v>
      </c>
      <c r="K29" s="159">
        <f t="shared" si="2"/>
        <v>24954954.144442823</v>
      </c>
      <c r="L29" s="159">
        <f t="shared" si="2"/>
        <v>338863330.90780747</v>
      </c>
      <c r="M29" s="159">
        <f t="shared" si="2"/>
        <v>18862477.169667911</v>
      </c>
      <c r="N29" s="159">
        <f t="shared" si="2"/>
        <v>300969909.08909714</v>
      </c>
      <c r="O29" s="159">
        <f t="shared" si="2"/>
        <v>19013606.601980507</v>
      </c>
      <c r="P29" s="159">
        <f t="shared" si="2"/>
        <v>5223754.9419793934</v>
      </c>
      <c r="Q29" s="153"/>
      <c r="R29" s="153"/>
      <c r="S29" s="153"/>
      <c r="T29" s="153"/>
    </row>
    <row r="30" spans="2:28" s="190" customFormat="1">
      <c r="F30" s="158"/>
      <c r="G30" s="192"/>
      <c r="H30" s="192"/>
      <c r="I30" s="192"/>
      <c r="J30" s="192"/>
      <c r="K30" s="192"/>
      <c r="L30" s="192"/>
      <c r="M30" s="192"/>
      <c r="N30" s="192"/>
      <c r="O30" s="192"/>
      <c r="P30" s="192"/>
      <c r="Q30" s="153"/>
      <c r="R30" s="153"/>
      <c r="S30" s="153"/>
      <c r="T30" s="153"/>
    </row>
    <row r="31" spans="2:28">
      <c r="B31" s="188" t="s">
        <v>160</v>
      </c>
      <c r="D31" s="197" t="s">
        <v>128</v>
      </c>
      <c r="E31" s="190"/>
      <c r="G31" s="160">
        <f>G27-G15</f>
        <v>-20974.829891506582</v>
      </c>
      <c r="H31" s="160">
        <f t="shared" ref="G31:I33" si="3">H27-H15</f>
        <v>-28192.069927688688</v>
      </c>
      <c r="I31" s="160">
        <f t="shared" si="3"/>
        <v>-56313.680184409022</v>
      </c>
      <c r="J31" s="251">
        <f>(J27-J15)+(K27-K15)</f>
        <v>-560073.26149948314</v>
      </c>
      <c r="L31" s="160">
        <f t="shared" ref="L31:P33" si="4">L27-L15</f>
        <v>-600202.89694595337</v>
      </c>
      <c r="M31" s="160">
        <f t="shared" si="4"/>
        <v>-16801.729785554111</v>
      </c>
      <c r="N31" s="160">
        <f t="shared" si="4"/>
        <v>-264252.44033926725</v>
      </c>
      <c r="O31" s="160">
        <f t="shared" si="4"/>
        <v>-15550.762215681374</v>
      </c>
      <c r="P31" s="160">
        <f t="shared" si="4"/>
        <v>-1.6145966947078705E-2</v>
      </c>
      <c r="Q31" s="161"/>
      <c r="R31" s="161"/>
      <c r="S31" s="161"/>
      <c r="T31" s="161"/>
      <c r="U31" s="162"/>
      <c r="V31" s="162"/>
      <c r="W31" s="162"/>
      <c r="X31" s="162"/>
      <c r="Y31" s="162"/>
      <c r="Z31" s="162"/>
      <c r="AA31" s="162"/>
      <c r="AB31" s="162"/>
    </row>
    <row r="32" spans="2:28">
      <c r="B32" s="188" t="s">
        <v>161</v>
      </c>
      <c r="D32" s="197" t="s">
        <v>129</v>
      </c>
      <c r="E32" s="190"/>
      <c r="G32" s="160">
        <f t="shared" si="3"/>
        <v>-42704.611076902598</v>
      </c>
      <c r="H32" s="160">
        <f t="shared" si="3"/>
        <v>-57455.329181876034</v>
      </c>
      <c r="I32" s="160">
        <f t="shared" si="3"/>
        <v>-115893.11680985242</v>
      </c>
      <c r="J32" s="251">
        <f>(J28-J16)+(K28-K16)</f>
        <v>-1169115.8680842631</v>
      </c>
      <c r="L32" s="160">
        <f t="shared" si="4"/>
        <v>-1250222.8362193704</v>
      </c>
      <c r="M32" s="160">
        <f t="shared" si="4"/>
        <v>-34913.72200390324</v>
      </c>
      <c r="N32" s="160">
        <f t="shared" si="4"/>
        <v>-551758.80755025148</v>
      </c>
      <c r="O32" s="160">
        <f t="shared" si="4"/>
        <v>-33246.989383853972</v>
      </c>
      <c r="P32" s="160">
        <f t="shared" si="4"/>
        <v>-1.3223546557128429E-2</v>
      </c>
      <c r="Q32" s="161"/>
      <c r="R32" s="161"/>
      <c r="S32" s="161"/>
      <c r="T32" s="161"/>
      <c r="U32" s="162"/>
      <c r="V32" s="162"/>
      <c r="W32" s="162"/>
      <c r="X32" s="162"/>
      <c r="Y32" s="162"/>
      <c r="Z32" s="162"/>
      <c r="AA32" s="162"/>
      <c r="AB32" s="162"/>
    </row>
    <row r="33" spans="2:28">
      <c r="B33" s="188" t="s">
        <v>162</v>
      </c>
      <c r="D33" s="186" t="s">
        <v>11</v>
      </c>
      <c r="E33" s="190"/>
      <c r="G33" s="160">
        <f t="shared" si="3"/>
        <v>-65316.000038679689</v>
      </c>
      <c r="H33" s="160">
        <f t="shared" si="3"/>
        <v>-87963.206910021603</v>
      </c>
      <c r="I33" s="160">
        <f t="shared" si="3"/>
        <v>-179168.84193260223</v>
      </c>
      <c r="J33" s="251">
        <f>(J29-J17)+(K29-K17)</f>
        <v>-1833495.2227457985</v>
      </c>
      <c r="L33" s="160">
        <f t="shared" si="4"/>
        <v>-1956268.733279407</v>
      </c>
      <c r="M33" s="160">
        <f t="shared" si="4"/>
        <v>-54499.67293869704</v>
      </c>
      <c r="N33" s="160">
        <f t="shared" si="4"/>
        <v>-865425.61021363735</v>
      </c>
      <c r="O33" s="160">
        <f t="shared" si="4"/>
        <v>-53393.906701639295</v>
      </c>
      <c r="P33" s="160">
        <f t="shared" si="4"/>
        <v>-1.0790414176881313E-2</v>
      </c>
      <c r="Q33" s="161"/>
      <c r="R33" s="161"/>
      <c r="S33" s="161"/>
      <c r="T33" s="161"/>
      <c r="U33" s="162"/>
      <c r="V33" s="162"/>
      <c r="W33" s="162"/>
      <c r="X33" s="162"/>
      <c r="Y33" s="162"/>
      <c r="Z33" s="162"/>
      <c r="AA33" s="162"/>
      <c r="AB33" s="162"/>
    </row>
    <row r="37" spans="2:28">
      <c r="G37" s="254"/>
      <c r="H37" s="254"/>
      <c r="I37" s="254"/>
      <c r="J37" s="254"/>
      <c r="K37" s="254"/>
      <c r="L37" s="254"/>
      <c r="M37" s="254"/>
      <c r="N37" s="254"/>
      <c r="O37" s="254"/>
      <c r="P37" s="254"/>
    </row>
    <row r="38" spans="2:28">
      <c r="G38" s="254"/>
      <c r="H38" s="254"/>
      <c r="I38" s="254"/>
      <c r="J38" s="254"/>
      <c r="K38" s="254"/>
      <c r="L38" s="254"/>
      <c r="M38" s="254"/>
      <c r="N38" s="254"/>
      <c r="O38" s="254"/>
      <c r="P38" s="254"/>
    </row>
    <row r="39" spans="2:28">
      <c r="G39" s="254"/>
      <c r="H39" s="254"/>
      <c r="I39" s="254"/>
      <c r="J39" s="254"/>
      <c r="K39" s="254"/>
      <c r="L39" s="254"/>
      <c r="M39" s="254"/>
      <c r="N39" s="254"/>
      <c r="O39" s="254"/>
      <c r="P39" s="254"/>
    </row>
  </sheetData>
  <pageMargins left="0.75" right="0.75" top="1" bottom="1" header="0.5" footer="0.5"/>
  <pageSetup paperSize="9" scale="3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2:AA56"/>
  <sheetViews>
    <sheetView showGridLines="0" topLeftCell="A4" zoomScale="85" zoomScaleNormal="85" workbookViewId="0">
      <selection activeCell="B46" sqref="B46"/>
    </sheetView>
  </sheetViews>
  <sheetFormatPr defaultRowHeight="12.75"/>
  <cols>
    <col min="1" max="1" width="4.85546875" style="84" customWidth="1"/>
    <col min="2" max="2" width="71.85546875" style="84" customWidth="1"/>
    <col min="3" max="3" width="4.42578125" style="84" customWidth="1"/>
    <col min="4" max="4" width="18.28515625" style="84" customWidth="1"/>
    <col min="5" max="5" width="6.5703125" style="84" customWidth="1"/>
    <col min="6" max="6" width="4.140625" style="84" customWidth="1"/>
    <col min="7" max="15" width="15.42578125" style="84" customWidth="1"/>
    <col min="16" max="16" width="3" style="84" customWidth="1"/>
    <col min="17" max="17" width="5.28515625" style="84" customWidth="1"/>
    <col min="18" max="18" width="83" style="84" bestFit="1" customWidth="1"/>
    <col min="19" max="258" width="9.140625" style="84"/>
    <col min="259" max="259" width="4.85546875" style="84" customWidth="1"/>
    <col min="260" max="260" width="57.5703125" style="84" customWidth="1"/>
    <col min="261" max="261" width="4.42578125" style="84" customWidth="1"/>
    <col min="262" max="262" width="18.28515625" style="84" customWidth="1"/>
    <col min="263" max="263" width="5.85546875" style="84" customWidth="1"/>
    <col min="264" max="264" width="4.140625" style="84" customWidth="1"/>
    <col min="265" max="272" width="15.42578125" style="84" customWidth="1"/>
    <col min="273" max="273" width="5.28515625" style="84" customWidth="1"/>
    <col min="274" max="514" width="9.140625" style="84"/>
    <col min="515" max="515" width="4.85546875" style="84" customWidth="1"/>
    <col min="516" max="516" width="57.5703125" style="84" customWidth="1"/>
    <col min="517" max="517" width="4.42578125" style="84" customWidth="1"/>
    <col min="518" max="518" width="18.28515625" style="84" customWidth="1"/>
    <col min="519" max="519" width="5.85546875" style="84" customWidth="1"/>
    <col min="520" max="520" width="4.140625" style="84" customWidth="1"/>
    <col min="521" max="528" width="15.42578125" style="84" customWidth="1"/>
    <col min="529" max="529" width="5.28515625" style="84" customWidth="1"/>
    <col min="530" max="770" width="9.140625" style="84"/>
    <col min="771" max="771" width="4.85546875" style="84" customWidth="1"/>
    <col min="772" max="772" width="57.5703125" style="84" customWidth="1"/>
    <col min="773" max="773" width="4.42578125" style="84" customWidth="1"/>
    <col min="774" max="774" width="18.28515625" style="84" customWidth="1"/>
    <col min="775" max="775" width="5.85546875" style="84" customWidth="1"/>
    <col min="776" max="776" width="4.140625" style="84" customWidth="1"/>
    <col min="777" max="784" width="15.42578125" style="84" customWidth="1"/>
    <col min="785" max="785" width="5.28515625" style="84" customWidth="1"/>
    <col min="786" max="1026" width="9.140625" style="84"/>
    <col min="1027" max="1027" width="4.85546875" style="84" customWidth="1"/>
    <col min="1028" max="1028" width="57.5703125" style="84" customWidth="1"/>
    <col min="1029" max="1029" width="4.42578125" style="84" customWidth="1"/>
    <col min="1030" max="1030" width="18.28515625" style="84" customWidth="1"/>
    <col min="1031" max="1031" width="5.85546875" style="84" customWidth="1"/>
    <col min="1032" max="1032" width="4.140625" style="84" customWidth="1"/>
    <col min="1033" max="1040" width="15.42578125" style="84" customWidth="1"/>
    <col min="1041" max="1041" width="5.28515625" style="84" customWidth="1"/>
    <col min="1042" max="1282" width="9.140625" style="84"/>
    <col min="1283" max="1283" width="4.85546875" style="84" customWidth="1"/>
    <col min="1284" max="1284" width="57.5703125" style="84" customWidth="1"/>
    <col min="1285" max="1285" width="4.42578125" style="84" customWidth="1"/>
    <col min="1286" max="1286" width="18.28515625" style="84" customWidth="1"/>
    <col min="1287" max="1287" width="5.85546875" style="84" customWidth="1"/>
    <col min="1288" max="1288" width="4.140625" style="84" customWidth="1"/>
    <col min="1289" max="1296" width="15.42578125" style="84" customWidth="1"/>
    <col min="1297" max="1297" width="5.28515625" style="84" customWidth="1"/>
    <col min="1298" max="1538" width="9.140625" style="84"/>
    <col min="1539" max="1539" width="4.85546875" style="84" customWidth="1"/>
    <col min="1540" max="1540" width="57.5703125" style="84" customWidth="1"/>
    <col min="1541" max="1541" width="4.42578125" style="84" customWidth="1"/>
    <col min="1542" max="1542" width="18.28515625" style="84" customWidth="1"/>
    <col min="1543" max="1543" width="5.85546875" style="84" customWidth="1"/>
    <col min="1544" max="1544" width="4.140625" style="84" customWidth="1"/>
    <col min="1545" max="1552" width="15.42578125" style="84" customWidth="1"/>
    <col min="1553" max="1553" width="5.28515625" style="84" customWidth="1"/>
    <col min="1554" max="1794" width="9.140625" style="84"/>
    <col min="1795" max="1795" width="4.85546875" style="84" customWidth="1"/>
    <col min="1796" max="1796" width="57.5703125" style="84" customWidth="1"/>
    <col min="1797" max="1797" width="4.42578125" style="84" customWidth="1"/>
    <col min="1798" max="1798" width="18.28515625" style="84" customWidth="1"/>
    <col min="1799" max="1799" width="5.85546875" style="84" customWidth="1"/>
    <col min="1800" max="1800" width="4.140625" style="84" customWidth="1"/>
    <col min="1801" max="1808" width="15.42578125" style="84" customWidth="1"/>
    <col min="1809" max="1809" width="5.28515625" style="84" customWidth="1"/>
    <col min="1810" max="2050" width="9.140625" style="84"/>
    <col min="2051" max="2051" width="4.85546875" style="84" customWidth="1"/>
    <col min="2052" max="2052" width="57.5703125" style="84" customWidth="1"/>
    <col min="2053" max="2053" width="4.42578125" style="84" customWidth="1"/>
    <col min="2054" max="2054" width="18.28515625" style="84" customWidth="1"/>
    <col min="2055" max="2055" width="5.85546875" style="84" customWidth="1"/>
    <col min="2056" max="2056" width="4.140625" style="84" customWidth="1"/>
    <col min="2057" max="2064" width="15.42578125" style="84" customWidth="1"/>
    <col min="2065" max="2065" width="5.28515625" style="84" customWidth="1"/>
    <col min="2066" max="2306" width="9.140625" style="84"/>
    <col min="2307" max="2307" width="4.85546875" style="84" customWidth="1"/>
    <col min="2308" max="2308" width="57.5703125" style="84" customWidth="1"/>
    <col min="2309" max="2309" width="4.42578125" style="84" customWidth="1"/>
    <col min="2310" max="2310" width="18.28515625" style="84" customWidth="1"/>
    <col min="2311" max="2311" width="5.85546875" style="84" customWidth="1"/>
    <col min="2312" max="2312" width="4.140625" style="84" customWidth="1"/>
    <col min="2313" max="2320" width="15.42578125" style="84" customWidth="1"/>
    <col min="2321" max="2321" width="5.28515625" style="84" customWidth="1"/>
    <col min="2322" max="2562" width="9.140625" style="84"/>
    <col min="2563" max="2563" width="4.85546875" style="84" customWidth="1"/>
    <col min="2564" max="2564" width="57.5703125" style="84" customWidth="1"/>
    <col min="2565" max="2565" width="4.42578125" style="84" customWidth="1"/>
    <col min="2566" max="2566" width="18.28515625" style="84" customWidth="1"/>
    <col min="2567" max="2567" width="5.85546875" style="84" customWidth="1"/>
    <col min="2568" max="2568" width="4.140625" style="84" customWidth="1"/>
    <col min="2569" max="2576" width="15.42578125" style="84" customWidth="1"/>
    <col min="2577" max="2577" width="5.28515625" style="84" customWidth="1"/>
    <col min="2578" max="2818" width="9.140625" style="84"/>
    <col min="2819" max="2819" width="4.85546875" style="84" customWidth="1"/>
    <col min="2820" max="2820" width="57.5703125" style="84" customWidth="1"/>
    <col min="2821" max="2821" width="4.42578125" style="84" customWidth="1"/>
    <col min="2822" max="2822" width="18.28515625" style="84" customWidth="1"/>
    <col min="2823" max="2823" width="5.85546875" style="84" customWidth="1"/>
    <col min="2824" max="2824" width="4.140625" style="84" customWidth="1"/>
    <col min="2825" max="2832" width="15.42578125" style="84" customWidth="1"/>
    <col min="2833" max="2833" width="5.28515625" style="84" customWidth="1"/>
    <col min="2834" max="3074" width="9.140625" style="84"/>
    <col min="3075" max="3075" width="4.85546875" style="84" customWidth="1"/>
    <col min="3076" max="3076" width="57.5703125" style="84" customWidth="1"/>
    <col min="3077" max="3077" width="4.42578125" style="84" customWidth="1"/>
    <col min="3078" max="3078" width="18.28515625" style="84" customWidth="1"/>
    <col min="3079" max="3079" width="5.85546875" style="84" customWidth="1"/>
    <col min="3080" max="3080" width="4.140625" style="84" customWidth="1"/>
    <col min="3081" max="3088" width="15.42578125" style="84" customWidth="1"/>
    <col min="3089" max="3089" width="5.28515625" style="84" customWidth="1"/>
    <col min="3090" max="3330" width="9.140625" style="84"/>
    <col min="3331" max="3331" width="4.85546875" style="84" customWidth="1"/>
    <col min="3332" max="3332" width="57.5703125" style="84" customWidth="1"/>
    <col min="3333" max="3333" width="4.42578125" style="84" customWidth="1"/>
    <col min="3334" max="3334" width="18.28515625" style="84" customWidth="1"/>
    <col min="3335" max="3335" width="5.85546875" style="84" customWidth="1"/>
    <col min="3336" max="3336" width="4.140625" style="84" customWidth="1"/>
    <col min="3337" max="3344" width="15.42578125" style="84" customWidth="1"/>
    <col min="3345" max="3345" width="5.28515625" style="84" customWidth="1"/>
    <col min="3346" max="3586" width="9.140625" style="84"/>
    <col min="3587" max="3587" width="4.85546875" style="84" customWidth="1"/>
    <col min="3588" max="3588" width="57.5703125" style="84" customWidth="1"/>
    <col min="3589" max="3589" width="4.42578125" style="84" customWidth="1"/>
    <col min="3590" max="3590" width="18.28515625" style="84" customWidth="1"/>
    <col min="3591" max="3591" width="5.85546875" style="84" customWidth="1"/>
    <col min="3592" max="3592" width="4.140625" style="84" customWidth="1"/>
    <col min="3593" max="3600" width="15.42578125" style="84" customWidth="1"/>
    <col min="3601" max="3601" width="5.28515625" style="84" customWidth="1"/>
    <col min="3602" max="3842" width="9.140625" style="84"/>
    <col min="3843" max="3843" width="4.85546875" style="84" customWidth="1"/>
    <col min="3844" max="3844" width="57.5703125" style="84" customWidth="1"/>
    <col min="3845" max="3845" width="4.42578125" style="84" customWidth="1"/>
    <col min="3846" max="3846" width="18.28515625" style="84" customWidth="1"/>
    <col min="3847" max="3847" width="5.85546875" style="84" customWidth="1"/>
    <col min="3848" max="3848" width="4.140625" style="84" customWidth="1"/>
    <col min="3849" max="3856" width="15.42578125" style="84" customWidth="1"/>
    <col min="3857" max="3857" width="5.28515625" style="84" customWidth="1"/>
    <col min="3858" max="4098" width="9.140625" style="84"/>
    <col min="4099" max="4099" width="4.85546875" style="84" customWidth="1"/>
    <col min="4100" max="4100" width="57.5703125" style="84" customWidth="1"/>
    <col min="4101" max="4101" width="4.42578125" style="84" customWidth="1"/>
    <col min="4102" max="4102" width="18.28515625" style="84" customWidth="1"/>
    <col min="4103" max="4103" width="5.85546875" style="84" customWidth="1"/>
    <col min="4104" max="4104" width="4.140625" style="84" customWidth="1"/>
    <col min="4105" max="4112" width="15.42578125" style="84" customWidth="1"/>
    <col min="4113" max="4113" width="5.28515625" style="84" customWidth="1"/>
    <col min="4114" max="4354" width="9.140625" style="84"/>
    <col min="4355" max="4355" width="4.85546875" style="84" customWidth="1"/>
    <col min="4356" max="4356" width="57.5703125" style="84" customWidth="1"/>
    <col min="4357" max="4357" width="4.42578125" style="84" customWidth="1"/>
    <col min="4358" max="4358" width="18.28515625" style="84" customWidth="1"/>
    <col min="4359" max="4359" width="5.85546875" style="84" customWidth="1"/>
    <col min="4360" max="4360" width="4.140625" style="84" customWidth="1"/>
    <col min="4361" max="4368" width="15.42578125" style="84" customWidth="1"/>
    <col min="4369" max="4369" width="5.28515625" style="84" customWidth="1"/>
    <col min="4370" max="4610" width="9.140625" style="84"/>
    <col min="4611" max="4611" width="4.85546875" style="84" customWidth="1"/>
    <col min="4612" max="4612" width="57.5703125" style="84" customWidth="1"/>
    <col min="4613" max="4613" width="4.42578125" style="84" customWidth="1"/>
    <col min="4614" max="4614" width="18.28515625" style="84" customWidth="1"/>
    <col min="4615" max="4615" width="5.85546875" style="84" customWidth="1"/>
    <col min="4616" max="4616" width="4.140625" style="84" customWidth="1"/>
    <col min="4617" max="4624" width="15.42578125" style="84" customWidth="1"/>
    <col min="4625" max="4625" width="5.28515625" style="84" customWidth="1"/>
    <col min="4626" max="4866" width="9.140625" style="84"/>
    <col min="4867" max="4867" width="4.85546875" style="84" customWidth="1"/>
    <col min="4868" max="4868" width="57.5703125" style="84" customWidth="1"/>
    <col min="4869" max="4869" width="4.42578125" style="84" customWidth="1"/>
    <col min="4870" max="4870" width="18.28515625" style="84" customWidth="1"/>
    <col min="4871" max="4871" width="5.85546875" style="84" customWidth="1"/>
    <col min="4872" max="4872" width="4.140625" style="84" customWidth="1"/>
    <col min="4873" max="4880" width="15.42578125" style="84" customWidth="1"/>
    <col min="4881" max="4881" width="5.28515625" style="84" customWidth="1"/>
    <col min="4882" max="5122" width="9.140625" style="84"/>
    <col min="5123" max="5123" width="4.85546875" style="84" customWidth="1"/>
    <col min="5124" max="5124" width="57.5703125" style="84" customWidth="1"/>
    <col min="5125" max="5125" width="4.42578125" style="84" customWidth="1"/>
    <col min="5126" max="5126" width="18.28515625" style="84" customWidth="1"/>
    <col min="5127" max="5127" width="5.85546875" style="84" customWidth="1"/>
    <col min="5128" max="5128" width="4.140625" style="84" customWidth="1"/>
    <col min="5129" max="5136" width="15.42578125" style="84" customWidth="1"/>
    <col min="5137" max="5137" width="5.28515625" style="84" customWidth="1"/>
    <col min="5138" max="5378" width="9.140625" style="84"/>
    <col min="5379" max="5379" width="4.85546875" style="84" customWidth="1"/>
    <col min="5380" max="5380" width="57.5703125" style="84" customWidth="1"/>
    <col min="5381" max="5381" width="4.42578125" style="84" customWidth="1"/>
    <col min="5382" max="5382" width="18.28515625" style="84" customWidth="1"/>
    <col min="5383" max="5383" width="5.85546875" style="84" customWidth="1"/>
    <col min="5384" max="5384" width="4.140625" style="84" customWidth="1"/>
    <col min="5385" max="5392" width="15.42578125" style="84" customWidth="1"/>
    <col min="5393" max="5393" width="5.28515625" style="84" customWidth="1"/>
    <col min="5394" max="5634" width="9.140625" style="84"/>
    <col min="5635" max="5635" width="4.85546875" style="84" customWidth="1"/>
    <col min="5636" max="5636" width="57.5703125" style="84" customWidth="1"/>
    <col min="5637" max="5637" width="4.42578125" style="84" customWidth="1"/>
    <col min="5638" max="5638" width="18.28515625" style="84" customWidth="1"/>
    <col min="5639" max="5639" width="5.85546875" style="84" customWidth="1"/>
    <col min="5640" max="5640" width="4.140625" style="84" customWidth="1"/>
    <col min="5641" max="5648" width="15.42578125" style="84" customWidth="1"/>
    <col min="5649" max="5649" width="5.28515625" style="84" customWidth="1"/>
    <col min="5650" max="5890" width="9.140625" style="84"/>
    <col min="5891" max="5891" width="4.85546875" style="84" customWidth="1"/>
    <col min="5892" max="5892" width="57.5703125" style="84" customWidth="1"/>
    <col min="5893" max="5893" width="4.42578125" style="84" customWidth="1"/>
    <col min="5894" max="5894" width="18.28515625" style="84" customWidth="1"/>
    <col min="5895" max="5895" width="5.85546875" style="84" customWidth="1"/>
    <col min="5896" max="5896" width="4.140625" style="84" customWidth="1"/>
    <col min="5897" max="5904" width="15.42578125" style="84" customWidth="1"/>
    <col min="5905" max="5905" width="5.28515625" style="84" customWidth="1"/>
    <col min="5906" max="6146" width="9.140625" style="84"/>
    <col min="6147" max="6147" width="4.85546875" style="84" customWidth="1"/>
    <col min="6148" max="6148" width="57.5703125" style="84" customWidth="1"/>
    <col min="6149" max="6149" width="4.42578125" style="84" customWidth="1"/>
    <col min="6150" max="6150" width="18.28515625" style="84" customWidth="1"/>
    <col min="6151" max="6151" width="5.85546875" style="84" customWidth="1"/>
    <col min="6152" max="6152" width="4.140625" style="84" customWidth="1"/>
    <col min="6153" max="6160" width="15.42578125" style="84" customWidth="1"/>
    <col min="6161" max="6161" width="5.28515625" style="84" customWidth="1"/>
    <col min="6162" max="6402" width="9.140625" style="84"/>
    <col min="6403" max="6403" width="4.85546875" style="84" customWidth="1"/>
    <col min="6404" max="6404" width="57.5703125" style="84" customWidth="1"/>
    <col min="6405" max="6405" width="4.42578125" style="84" customWidth="1"/>
    <col min="6406" max="6406" width="18.28515625" style="84" customWidth="1"/>
    <col min="6407" max="6407" width="5.85546875" style="84" customWidth="1"/>
    <col min="6408" max="6408" width="4.140625" style="84" customWidth="1"/>
    <col min="6409" max="6416" width="15.42578125" style="84" customWidth="1"/>
    <col min="6417" max="6417" width="5.28515625" style="84" customWidth="1"/>
    <col min="6418" max="6658" width="9.140625" style="84"/>
    <col min="6659" max="6659" width="4.85546875" style="84" customWidth="1"/>
    <col min="6660" max="6660" width="57.5703125" style="84" customWidth="1"/>
    <col min="6661" max="6661" width="4.42578125" style="84" customWidth="1"/>
    <col min="6662" max="6662" width="18.28515625" style="84" customWidth="1"/>
    <col min="6663" max="6663" width="5.85546875" style="84" customWidth="1"/>
    <col min="6664" max="6664" width="4.140625" style="84" customWidth="1"/>
    <col min="6665" max="6672" width="15.42578125" style="84" customWidth="1"/>
    <col min="6673" max="6673" width="5.28515625" style="84" customWidth="1"/>
    <col min="6674" max="6914" width="9.140625" style="84"/>
    <col min="6915" max="6915" width="4.85546875" style="84" customWidth="1"/>
    <col min="6916" max="6916" width="57.5703125" style="84" customWidth="1"/>
    <col min="6917" max="6917" width="4.42578125" style="84" customWidth="1"/>
    <col min="6918" max="6918" width="18.28515625" style="84" customWidth="1"/>
    <col min="6919" max="6919" width="5.85546875" style="84" customWidth="1"/>
    <col min="6920" max="6920" width="4.140625" style="84" customWidth="1"/>
    <col min="6921" max="6928" width="15.42578125" style="84" customWidth="1"/>
    <col min="6929" max="6929" width="5.28515625" style="84" customWidth="1"/>
    <col min="6930" max="7170" width="9.140625" style="84"/>
    <col min="7171" max="7171" width="4.85546875" style="84" customWidth="1"/>
    <col min="7172" max="7172" width="57.5703125" style="84" customWidth="1"/>
    <col min="7173" max="7173" width="4.42578125" style="84" customWidth="1"/>
    <col min="7174" max="7174" width="18.28515625" style="84" customWidth="1"/>
    <col min="7175" max="7175" width="5.85546875" style="84" customWidth="1"/>
    <col min="7176" max="7176" width="4.140625" style="84" customWidth="1"/>
    <col min="7177" max="7184" width="15.42578125" style="84" customWidth="1"/>
    <col min="7185" max="7185" width="5.28515625" style="84" customWidth="1"/>
    <col min="7186" max="7426" width="9.140625" style="84"/>
    <col min="7427" max="7427" width="4.85546875" style="84" customWidth="1"/>
    <col min="7428" max="7428" width="57.5703125" style="84" customWidth="1"/>
    <col min="7429" max="7429" width="4.42578125" style="84" customWidth="1"/>
    <col min="7430" max="7430" width="18.28515625" style="84" customWidth="1"/>
    <col min="7431" max="7431" width="5.85546875" style="84" customWidth="1"/>
    <col min="7432" max="7432" width="4.140625" style="84" customWidth="1"/>
    <col min="7433" max="7440" width="15.42578125" style="84" customWidth="1"/>
    <col min="7441" max="7441" width="5.28515625" style="84" customWidth="1"/>
    <col min="7442" max="7682" width="9.140625" style="84"/>
    <col min="7683" max="7683" width="4.85546875" style="84" customWidth="1"/>
    <col min="7684" max="7684" width="57.5703125" style="84" customWidth="1"/>
    <col min="7685" max="7685" width="4.42578125" style="84" customWidth="1"/>
    <col min="7686" max="7686" width="18.28515625" style="84" customWidth="1"/>
    <col min="7687" max="7687" width="5.85546875" style="84" customWidth="1"/>
    <col min="7688" max="7688" width="4.140625" style="84" customWidth="1"/>
    <col min="7689" max="7696" width="15.42578125" style="84" customWidth="1"/>
    <col min="7697" max="7697" width="5.28515625" style="84" customWidth="1"/>
    <col min="7698" max="7938" width="9.140625" style="84"/>
    <col min="7939" max="7939" width="4.85546875" style="84" customWidth="1"/>
    <col min="7940" max="7940" width="57.5703125" style="84" customWidth="1"/>
    <col min="7941" max="7941" width="4.42578125" style="84" customWidth="1"/>
    <col min="7942" max="7942" width="18.28515625" style="84" customWidth="1"/>
    <col min="7943" max="7943" width="5.85546875" style="84" customWidth="1"/>
    <col min="7944" max="7944" width="4.140625" style="84" customWidth="1"/>
    <col min="7945" max="7952" width="15.42578125" style="84" customWidth="1"/>
    <col min="7953" max="7953" width="5.28515625" style="84" customWidth="1"/>
    <col min="7954" max="8194" width="9.140625" style="84"/>
    <col min="8195" max="8195" width="4.85546875" style="84" customWidth="1"/>
    <col min="8196" max="8196" width="57.5703125" style="84" customWidth="1"/>
    <col min="8197" max="8197" width="4.42578125" style="84" customWidth="1"/>
    <col min="8198" max="8198" width="18.28515625" style="84" customWidth="1"/>
    <col min="8199" max="8199" width="5.85546875" style="84" customWidth="1"/>
    <col min="8200" max="8200" width="4.140625" style="84" customWidth="1"/>
    <col min="8201" max="8208" width="15.42578125" style="84" customWidth="1"/>
    <col min="8209" max="8209" width="5.28515625" style="84" customWidth="1"/>
    <col min="8210" max="8450" width="9.140625" style="84"/>
    <col min="8451" max="8451" width="4.85546875" style="84" customWidth="1"/>
    <col min="8452" max="8452" width="57.5703125" style="84" customWidth="1"/>
    <col min="8453" max="8453" width="4.42578125" style="84" customWidth="1"/>
    <col min="8454" max="8454" width="18.28515625" style="84" customWidth="1"/>
    <col min="8455" max="8455" width="5.85546875" style="84" customWidth="1"/>
    <col min="8456" max="8456" width="4.140625" style="84" customWidth="1"/>
    <col min="8457" max="8464" width="15.42578125" style="84" customWidth="1"/>
    <col min="8465" max="8465" width="5.28515625" style="84" customWidth="1"/>
    <col min="8466" max="8706" width="9.140625" style="84"/>
    <col min="8707" max="8707" width="4.85546875" style="84" customWidth="1"/>
    <col min="8708" max="8708" width="57.5703125" style="84" customWidth="1"/>
    <col min="8709" max="8709" width="4.42578125" style="84" customWidth="1"/>
    <col min="8710" max="8710" width="18.28515625" style="84" customWidth="1"/>
    <col min="8711" max="8711" width="5.85546875" style="84" customWidth="1"/>
    <col min="8712" max="8712" width="4.140625" style="84" customWidth="1"/>
    <col min="8713" max="8720" width="15.42578125" style="84" customWidth="1"/>
    <col min="8721" max="8721" width="5.28515625" style="84" customWidth="1"/>
    <col min="8722" max="8962" width="9.140625" style="84"/>
    <col min="8963" max="8963" width="4.85546875" style="84" customWidth="1"/>
    <col min="8964" max="8964" width="57.5703125" style="84" customWidth="1"/>
    <col min="8965" max="8965" width="4.42578125" style="84" customWidth="1"/>
    <col min="8966" max="8966" width="18.28515625" style="84" customWidth="1"/>
    <col min="8967" max="8967" width="5.85546875" style="84" customWidth="1"/>
    <col min="8968" max="8968" width="4.140625" style="84" customWidth="1"/>
    <col min="8969" max="8976" width="15.42578125" style="84" customWidth="1"/>
    <col min="8977" max="8977" width="5.28515625" style="84" customWidth="1"/>
    <col min="8978" max="9218" width="9.140625" style="84"/>
    <col min="9219" max="9219" width="4.85546875" style="84" customWidth="1"/>
    <col min="9220" max="9220" width="57.5703125" style="84" customWidth="1"/>
    <col min="9221" max="9221" width="4.42578125" style="84" customWidth="1"/>
    <col min="9222" max="9222" width="18.28515625" style="84" customWidth="1"/>
    <col min="9223" max="9223" width="5.85546875" style="84" customWidth="1"/>
    <col min="9224" max="9224" width="4.140625" style="84" customWidth="1"/>
    <col min="9225" max="9232" width="15.42578125" style="84" customWidth="1"/>
    <col min="9233" max="9233" width="5.28515625" style="84" customWidth="1"/>
    <col min="9234" max="9474" width="9.140625" style="84"/>
    <col min="9475" max="9475" width="4.85546875" style="84" customWidth="1"/>
    <col min="9476" max="9476" width="57.5703125" style="84" customWidth="1"/>
    <col min="9477" max="9477" width="4.42578125" style="84" customWidth="1"/>
    <col min="9478" max="9478" width="18.28515625" style="84" customWidth="1"/>
    <col min="9479" max="9479" width="5.85546875" style="84" customWidth="1"/>
    <col min="9480" max="9480" width="4.140625" style="84" customWidth="1"/>
    <col min="9481" max="9488" width="15.42578125" style="84" customWidth="1"/>
    <col min="9489" max="9489" width="5.28515625" style="84" customWidth="1"/>
    <col min="9490" max="9730" width="9.140625" style="84"/>
    <col min="9731" max="9731" width="4.85546875" style="84" customWidth="1"/>
    <col min="9732" max="9732" width="57.5703125" style="84" customWidth="1"/>
    <col min="9733" max="9733" width="4.42578125" style="84" customWidth="1"/>
    <col min="9734" max="9734" width="18.28515625" style="84" customWidth="1"/>
    <col min="9735" max="9735" width="5.85546875" style="84" customWidth="1"/>
    <col min="9736" max="9736" width="4.140625" style="84" customWidth="1"/>
    <col min="9737" max="9744" width="15.42578125" style="84" customWidth="1"/>
    <col min="9745" max="9745" width="5.28515625" style="84" customWidth="1"/>
    <col min="9746" max="9986" width="9.140625" style="84"/>
    <col min="9987" max="9987" width="4.85546875" style="84" customWidth="1"/>
    <col min="9988" max="9988" width="57.5703125" style="84" customWidth="1"/>
    <col min="9989" max="9989" width="4.42578125" style="84" customWidth="1"/>
    <col min="9990" max="9990" width="18.28515625" style="84" customWidth="1"/>
    <col min="9991" max="9991" width="5.85546875" style="84" customWidth="1"/>
    <col min="9992" max="9992" width="4.140625" style="84" customWidth="1"/>
    <col min="9993" max="10000" width="15.42578125" style="84" customWidth="1"/>
    <col min="10001" max="10001" width="5.28515625" style="84" customWidth="1"/>
    <col min="10002" max="10242" width="9.140625" style="84"/>
    <col min="10243" max="10243" width="4.85546875" style="84" customWidth="1"/>
    <col min="10244" max="10244" width="57.5703125" style="84" customWidth="1"/>
    <col min="10245" max="10245" width="4.42578125" style="84" customWidth="1"/>
    <col min="10246" max="10246" width="18.28515625" style="84" customWidth="1"/>
    <col min="10247" max="10247" width="5.85546875" style="84" customWidth="1"/>
    <col min="10248" max="10248" width="4.140625" style="84" customWidth="1"/>
    <col min="10249" max="10256" width="15.42578125" style="84" customWidth="1"/>
    <col min="10257" max="10257" width="5.28515625" style="84" customWidth="1"/>
    <col min="10258" max="10498" width="9.140625" style="84"/>
    <col min="10499" max="10499" width="4.85546875" style="84" customWidth="1"/>
    <col min="10500" max="10500" width="57.5703125" style="84" customWidth="1"/>
    <col min="10501" max="10501" width="4.42578125" style="84" customWidth="1"/>
    <col min="10502" max="10502" width="18.28515625" style="84" customWidth="1"/>
    <col min="10503" max="10503" width="5.85546875" style="84" customWidth="1"/>
    <col min="10504" max="10504" width="4.140625" style="84" customWidth="1"/>
    <col min="10505" max="10512" width="15.42578125" style="84" customWidth="1"/>
    <col min="10513" max="10513" width="5.28515625" style="84" customWidth="1"/>
    <col min="10514" max="10754" width="9.140625" style="84"/>
    <col min="10755" max="10755" width="4.85546875" style="84" customWidth="1"/>
    <col min="10756" max="10756" width="57.5703125" style="84" customWidth="1"/>
    <col min="10757" max="10757" width="4.42578125" style="84" customWidth="1"/>
    <col min="10758" max="10758" width="18.28515625" style="84" customWidth="1"/>
    <col min="10759" max="10759" width="5.85546875" style="84" customWidth="1"/>
    <col min="10760" max="10760" width="4.140625" style="84" customWidth="1"/>
    <col min="10761" max="10768" width="15.42578125" style="84" customWidth="1"/>
    <col min="10769" max="10769" width="5.28515625" style="84" customWidth="1"/>
    <col min="10770" max="11010" width="9.140625" style="84"/>
    <col min="11011" max="11011" width="4.85546875" style="84" customWidth="1"/>
    <col min="11012" max="11012" width="57.5703125" style="84" customWidth="1"/>
    <col min="11013" max="11013" width="4.42578125" style="84" customWidth="1"/>
    <col min="11014" max="11014" width="18.28515625" style="84" customWidth="1"/>
    <col min="11015" max="11015" width="5.85546875" style="84" customWidth="1"/>
    <col min="11016" max="11016" width="4.140625" style="84" customWidth="1"/>
    <col min="11017" max="11024" width="15.42578125" style="84" customWidth="1"/>
    <col min="11025" max="11025" width="5.28515625" style="84" customWidth="1"/>
    <col min="11026" max="11266" width="9.140625" style="84"/>
    <col min="11267" max="11267" width="4.85546875" style="84" customWidth="1"/>
    <col min="11268" max="11268" width="57.5703125" style="84" customWidth="1"/>
    <col min="11269" max="11269" width="4.42578125" style="84" customWidth="1"/>
    <col min="11270" max="11270" width="18.28515625" style="84" customWidth="1"/>
    <col min="11271" max="11271" width="5.85546875" style="84" customWidth="1"/>
    <col min="11272" max="11272" width="4.140625" style="84" customWidth="1"/>
    <col min="11273" max="11280" width="15.42578125" style="84" customWidth="1"/>
    <col min="11281" max="11281" width="5.28515625" style="84" customWidth="1"/>
    <col min="11282" max="11522" width="9.140625" style="84"/>
    <col min="11523" max="11523" width="4.85546875" style="84" customWidth="1"/>
    <col min="11524" max="11524" width="57.5703125" style="84" customWidth="1"/>
    <col min="11525" max="11525" width="4.42578125" style="84" customWidth="1"/>
    <col min="11526" max="11526" width="18.28515625" style="84" customWidth="1"/>
    <col min="11527" max="11527" width="5.85546875" style="84" customWidth="1"/>
    <col min="11528" max="11528" width="4.140625" style="84" customWidth="1"/>
    <col min="11529" max="11536" width="15.42578125" style="84" customWidth="1"/>
    <col min="11537" max="11537" width="5.28515625" style="84" customWidth="1"/>
    <col min="11538" max="11778" width="9.140625" style="84"/>
    <col min="11779" max="11779" width="4.85546875" style="84" customWidth="1"/>
    <col min="11780" max="11780" width="57.5703125" style="84" customWidth="1"/>
    <col min="11781" max="11781" width="4.42578125" style="84" customWidth="1"/>
    <col min="11782" max="11782" width="18.28515625" style="84" customWidth="1"/>
    <col min="11783" max="11783" width="5.85546875" style="84" customWidth="1"/>
    <col min="11784" max="11784" width="4.140625" style="84" customWidth="1"/>
    <col min="11785" max="11792" width="15.42578125" style="84" customWidth="1"/>
    <col min="11793" max="11793" width="5.28515625" style="84" customWidth="1"/>
    <col min="11794" max="12034" width="9.140625" style="84"/>
    <col min="12035" max="12035" width="4.85546875" style="84" customWidth="1"/>
    <col min="12036" max="12036" width="57.5703125" style="84" customWidth="1"/>
    <col min="12037" max="12037" width="4.42578125" style="84" customWidth="1"/>
    <col min="12038" max="12038" width="18.28515625" style="84" customWidth="1"/>
    <col min="12039" max="12039" width="5.85546875" style="84" customWidth="1"/>
    <col min="12040" max="12040" width="4.140625" style="84" customWidth="1"/>
    <col min="12041" max="12048" width="15.42578125" style="84" customWidth="1"/>
    <col min="12049" max="12049" width="5.28515625" style="84" customWidth="1"/>
    <col min="12050" max="12290" width="9.140625" style="84"/>
    <col min="12291" max="12291" width="4.85546875" style="84" customWidth="1"/>
    <col min="12292" max="12292" width="57.5703125" style="84" customWidth="1"/>
    <col min="12293" max="12293" width="4.42578125" style="84" customWidth="1"/>
    <col min="12294" max="12294" width="18.28515625" style="84" customWidth="1"/>
    <col min="12295" max="12295" width="5.85546875" style="84" customWidth="1"/>
    <col min="12296" max="12296" width="4.140625" style="84" customWidth="1"/>
    <col min="12297" max="12304" width="15.42578125" style="84" customWidth="1"/>
    <col min="12305" max="12305" width="5.28515625" style="84" customWidth="1"/>
    <col min="12306" max="12546" width="9.140625" style="84"/>
    <col min="12547" max="12547" width="4.85546875" style="84" customWidth="1"/>
    <col min="12548" max="12548" width="57.5703125" style="84" customWidth="1"/>
    <col min="12549" max="12549" width="4.42578125" style="84" customWidth="1"/>
    <col min="12550" max="12550" width="18.28515625" style="84" customWidth="1"/>
    <col min="12551" max="12551" width="5.85546875" style="84" customWidth="1"/>
    <col min="12552" max="12552" width="4.140625" style="84" customWidth="1"/>
    <col min="12553" max="12560" width="15.42578125" style="84" customWidth="1"/>
    <col min="12561" max="12561" width="5.28515625" style="84" customWidth="1"/>
    <col min="12562" max="12802" width="9.140625" style="84"/>
    <col min="12803" max="12803" width="4.85546875" style="84" customWidth="1"/>
    <col min="12804" max="12804" width="57.5703125" style="84" customWidth="1"/>
    <col min="12805" max="12805" width="4.42578125" style="84" customWidth="1"/>
    <col min="12806" max="12806" width="18.28515625" style="84" customWidth="1"/>
    <col min="12807" max="12807" width="5.85546875" style="84" customWidth="1"/>
    <col min="12808" max="12808" width="4.140625" style="84" customWidth="1"/>
    <col min="12809" max="12816" width="15.42578125" style="84" customWidth="1"/>
    <col min="12817" max="12817" width="5.28515625" style="84" customWidth="1"/>
    <col min="12818" max="13058" width="9.140625" style="84"/>
    <col min="13059" max="13059" width="4.85546875" style="84" customWidth="1"/>
    <col min="13060" max="13060" width="57.5703125" style="84" customWidth="1"/>
    <col min="13061" max="13061" width="4.42578125" style="84" customWidth="1"/>
    <col min="13062" max="13062" width="18.28515625" style="84" customWidth="1"/>
    <col min="13063" max="13063" width="5.85546875" style="84" customWidth="1"/>
    <col min="13064" max="13064" width="4.140625" style="84" customWidth="1"/>
    <col min="13065" max="13072" width="15.42578125" style="84" customWidth="1"/>
    <col min="13073" max="13073" width="5.28515625" style="84" customWidth="1"/>
    <col min="13074" max="13314" width="9.140625" style="84"/>
    <col min="13315" max="13315" width="4.85546875" style="84" customWidth="1"/>
    <col min="13316" max="13316" width="57.5703125" style="84" customWidth="1"/>
    <col min="13317" max="13317" width="4.42578125" style="84" customWidth="1"/>
    <col min="13318" max="13318" width="18.28515625" style="84" customWidth="1"/>
    <col min="13319" max="13319" width="5.85546875" style="84" customWidth="1"/>
    <col min="13320" max="13320" width="4.140625" style="84" customWidth="1"/>
    <col min="13321" max="13328" width="15.42578125" style="84" customWidth="1"/>
    <col min="13329" max="13329" width="5.28515625" style="84" customWidth="1"/>
    <col min="13330" max="13570" width="9.140625" style="84"/>
    <col min="13571" max="13571" width="4.85546875" style="84" customWidth="1"/>
    <col min="13572" max="13572" width="57.5703125" style="84" customWidth="1"/>
    <col min="13573" max="13573" width="4.42578125" style="84" customWidth="1"/>
    <col min="13574" max="13574" width="18.28515625" style="84" customWidth="1"/>
    <col min="13575" max="13575" width="5.85546875" style="84" customWidth="1"/>
    <col min="13576" max="13576" width="4.140625" style="84" customWidth="1"/>
    <col min="13577" max="13584" width="15.42578125" style="84" customWidth="1"/>
    <col min="13585" max="13585" width="5.28515625" style="84" customWidth="1"/>
    <col min="13586" max="13826" width="9.140625" style="84"/>
    <col min="13827" max="13827" width="4.85546875" style="84" customWidth="1"/>
    <col min="13828" max="13828" width="57.5703125" style="84" customWidth="1"/>
    <col min="13829" max="13829" width="4.42578125" style="84" customWidth="1"/>
    <col min="13830" max="13830" width="18.28515625" style="84" customWidth="1"/>
    <col min="13831" max="13831" width="5.85546875" style="84" customWidth="1"/>
    <col min="13832" max="13832" width="4.140625" style="84" customWidth="1"/>
    <col min="13833" max="13840" width="15.42578125" style="84" customWidth="1"/>
    <col min="13841" max="13841" width="5.28515625" style="84" customWidth="1"/>
    <col min="13842" max="14082" width="9.140625" style="84"/>
    <col min="14083" max="14083" width="4.85546875" style="84" customWidth="1"/>
    <col min="14084" max="14084" width="57.5703125" style="84" customWidth="1"/>
    <col min="14085" max="14085" width="4.42578125" style="84" customWidth="1"/>
    <col min="14086" max="14086" width="18.28515625" style="84" customWidth="1"/>
    <col min="14087" max="14087" width="5.85546875" style="84" customWidth="1"/>
    <col min="14088" max="14088" width="4.140625" style="84" customWidth="1"/>
    <col min="14089" max="14096" width="15.42578125" style="84" customWidth="1"/>
    <col min="14097" max="14097" width="5.28515625" style="84" customWidth="1"/>
    <col min="14098" max="14338" width="9.140625" style="84"/>
    <col min="14339" max="14339" width="4.85546875" style="84" customWidth="1"/>
    <col min="14340" max="14340" width="57.5703125" style="84" customWidth="1"/>
    <col min="14341" max="14341" width="4.42578125" style="84" customWidth="1"/>
    <col min="14342" max="14342" width="18.28515625" style="84" customWidth="1"/>
    <col min="14343" max="14343" width="5.85546875" style="84" customWidth="1"/>
    <col min="14344" max="14344" width="4.140625" style="84" customWidth="1"/>
    <col min="14345" max="14352" width="15.42578125" style="84" customWidth="1"/>
    <col min="14353" max="14353" width="5.28515625" style="84" customWidth="1"/>
    <col min="14354" max="14594" width="9.140625" style="84"/>
    <col min="14595" max="14595" width="4.85546875" style="84" customWidth="1"/>
    <col min="14596" max="14596" width="57.5703125" style="84" customWidth="1"/>
    <col min="14597" max="14597" width="4.42578125" style="84" customWidth="1"/>
    <col min="14598" max="14598" width="18.28515625" style="84" customWidth="1"/>
    <col min="14599" max="14599" width="5.85546875" style="84" customWidth="1"/>
    <col min="14600" max="14600" width="4.140625" style="84" customWidth="1"/>
    <col min="14601" max="14608" width="15.42578125" style="84" customWidth="1"/>
    <col min="14609" max="14609" width="5.28515625" style="84" customWidth="1"/>
    <col min="14610" max="14850" width="9.140625" style="84"/>
    <col min="14851" max="14851" width="4.85546875" style="84" customWidth="1"/>
    <col min="14852" max="14852" width="57.5703125" style="84" customWidth="1"/>
    <col min="14853" max="14853" width="4.42578125" style="84" customWidth="1"/>
    <col min="14854" max="14854" width="18.28515625" style="84" customWidth="1"/>
    <col min="14855" max="14855" width="5.85546875" style="84" customWidth="1"/>
    <col min="14856" max="14856" width="4.140625" style="84" customWidth="1"/>
    <col min="14857" max="14864" width="15.42578125" style="84" customWidth="1"/>
    <col min="14865" max="14865" width="5.28515625" style="84" customWidth="1"/>
    <col min="14866" max="15106" width="9.140625" style="84"/>
    <col min="15107" max="15107" width="4.85546875" style="84" customWidth="1"/>
    <col min="15108" max="15108" width="57.5703125" style="84" customWidth="1"/>
    <col min="15109" max="15109" width="4.42578125" style="84" customWidth="1"/>
    <col min="15110" max="15110" width="18.28515625" style="84" customWidth="1"/>
    <col min="15111" max="15111" width="5.85546875" style="84" customWidth="1"/>
    <col min="15112" max="15112" width="4.140625" style="84" customWidth="1"/>
    <col min="15113" max="15120" width="15.42578125" style="84" customWidth="1"/>
    <col min="15121" max="15121" width="5.28515625" style="84" customWidth="1"/>
    <col min="15122" max="15362" width="9.140625" style="84"/>
    <col min="15363" max="15363" width="4.85546875" style="84" customWidth="1"/>
    <col min="15364" max="15364" width="57.5703125" style="84" customWidth="1"/>
    <col min="15365" max="15365" width="4.42578125" style="84" customWidth="1"/>
    <col min="15366" max="15366" width="18.28515625" style="84" customWidth="1"/>
    <col min="15367" max="15367" width="5.85546875" style="84" customWidth="1"/>
    <col min="15368" max="15368" width="4.140625" style="84" customWidth="1"/>
    <col min="15369" max="15376" width="15.42578125" style="84" customWidth="1"/>
    <col min="15377" max="15377" width="5.28515625" style="84" customWidth="1"/>
    <col min="15378" max="15618" width="9.140625" style="84"/>
    <col min="15619" max="15619" width="4.85546875" style="84" customWidth="1"/>
    <col min="15620" max="15620" width="57.5703125" style="84" customWidth="1"/>
    <col min="15621" max="15621" width="4.42578125" style="84" customWidth="1"/>
    <col min="15622" max="15622" width="18.28515625" style="84" customWidth="1"/>
    <col min="15623" max="15623" width="5.85546875" style="84" customWidth="1"/>
    <col min="15624" max="15624" width="4.140625" style="84" customWidth="1"/>
    <col min="15625" max="15632" width="15.42578125" style="84" customWidth="1"/>
    <col min="15633" max="15633" width="5.28515625" style="84" customWidth="1"/>
    <col min="15634" max="15874" width="9.140625" style="84"/>
    <col min="15875" max="15875" width="4.85546875" style="84" customWidth="1"/>
    <col min="15876" max="15876" width="57.5703125" style="84" customWidth="1"/>
    <col min="15877" max="15877" width="4.42578125" style="84" customWidth="1"/>
    <col min="15878" max="15878" width="18.28515625" style="84" customWidth="1"/>
    <col min="15879" max="15879" width="5.85546875" style="84" customWidth="1"/>
    <col min="15880" max="15880" width="4.140625" style="84" customWidth="1"/>
    <col min="15881" max="15888" width="15.42578125" style="84" customWidth="1"/>
    <col min="15889" max="15889" width="5.28515625" style="84" customWidth="1"/>
    <col min="15890" max="16130" width="9.140625" style="84"/>
    <col min="16131" max="16131" width="4.85546875" style="84" customWidth="1"/>
    <col min="16132" max="16132" width="57.5703125" style="84" customWidth="1"/>
    <col min="16133" max="16133" width="4.42578125" style="84" customWidth="1"/>
    <col min="16134" max="16134" width="18.28515625" style="84" customWidth="1"/>
    <col min="16135" max="16135" width="5.85546875" style="84" customWidth="1"/>
    <col min="16136" max="16136" width="4.140625" style="84" customWidth="1"/>
    <col min="16137" max="16144" width="15.42578125" style="84" customWidth="1"/>
    <col min="16145" max="16145" width="5.28515625" style="84" customWidth="1"/>
    <col min="16146" max="16384" width="9.140625" style="84"/>
  </cols>
  <sheetData>
    <row r="2" spans="1:27" s="140" customFormat="1" ht="15.75">
      <c r="B2" s="52" t="s">
        <v>210</v>
      </c>
    </row>
    <row r="4" spans="1:27" s="83" customFormat="1">
      <c r="B4" s="55" t="s">
        <v>16</v>
      </c>
    </row>
    <row r="5" spans="1:27">
      <c r="B5" s="86"/>
    </row>
    <row r="6" spans="1:27">
      <c r="B6" s="53" t="s">
        <v>201</v>
      </c>
    </row>
    <row r="7" spans="1:27">
      <c r="B7" s="53" t="s">
        <v>202</v>
      </c>
    </row>
    <row r="8" spans="1:27">
      <c r="B8" s="186" t="s">
        <v>262</v>
      </c>
    </row>
    <row r="9" spans="1:27">
      <c r="B9" s="186" t="s">
        <v>274</v>
      </c>
    </row>
    <row r="10" spans="1:27">
      <c r="B10" s="86"/>
    </row>
    <row r="11" spans="1:27" s="83" customFormat="1">
      <c r="B11" s="169" t="s">
        <v>166</v>
      </c>
    </row>
    <row r="13" spans="1:27" s="146" customFormat="1" ht="12" customHeight="1">
      <c r="A13" s="141"/>
      <c r="B13" s="142"/>
      <c r="C13" s="143"/>
      <c r="D13" s="141"/>
      <c r="E13" s="141"/>
      <c r="F13" s="144"/>
      <c r="G13" s="145" t="s">
        <v>0</v>
      </c>
      <c r="H13" s="145" t="s">
        <v>1</v>
      </c>
      <c r="I13" s="145" t="s">
        <v>2</v>
      </c>
      <c r="J13" s="145" t="s">
        <v>3</v>
      </c>
      <c r="K13" s="145" t="s">
        <v>4</v>
      </c>
      <c r="L13" s="145" t="s">
        <v>5</v>
      </c>
      <c r="M13" s="145" t="s">
        <v>6</v>
      </c>
      <c r="N13" s="145" t="s">
        <v>7</v>
      </c>
      <c r="O13" s="145" t="s">
        <v>8</v>
      </c>
      <c r="P13" s="144"/>
      <c r="Q13" s="144"/>
      <c r="R13" s="144"/>
      <c r="S13" s="144"/>
      <c r="T13" s="141"/>
      <c r="U13" s="141"/>
      <c r="V13" s="141"/>
      <c r="W13" s="141"/>
      <c r="X13" s="141"/>
      <c r="Y13" s="141"/>
      <c r="Z13" s="141"/>
      <c r="AA13" s="141"/>
    </row>
    <row r="14" spans="1:27" s="147" customFormat="1">
      <c r="A14" s="178"/>
      <c r="B14" s="252" t="s">
        <v>275</v>
      </c>
      <c r="C14" s="148"/>
      <c r="F14" s="149"/>
      <c r="G14" s="236"/>
      <c r="H14" s="236"/>
      <c r="I14" s="236"/>
      <c r="J14" s="236"/>
      <c r="K14" s="236"/>
      <c r="L14" s="236"/>
      <c r="M14" s="236"/>
      <c r="N14" s="236"/>
      <c r="O14" s="236"/>
      <c r="P14" s="149"/>
      <c r="Q14" s="149"/>
      <c r="R14" s="149"/>
      <c r="S14" s="149"/>
    </row>
    <row r="15" spans="1:27" s="147" customFormat="1">
      <c r="B15" s="54" t="s">
        <v>163</v>
      </c>
      <c r="C15" s="84"/>
      <c r="D15" s="170" t="s">
        <v>26</v>
      </c>
      <c r="E15" s="86"/>
      <c r="F15" s="84"/>
      <c r="G15" s="150">
        <v>21101167.217304036</v>
      </c>
      <c r="H15" s="150">
        <v>29394504.489515889</v>
      </c>
      <c r="I15" s="150">
        <v>59791602.501701988</v>
      </c>
      <c r="J15" s="150">
        <v>307681547.80996424</v>
      </c>
      <c r="K15" s="150">
        <v>331181676.45241779</v>
      </c>
      <c r="L15" s="150">
        <v>17589103.702498358</v>
      </c>
      <c r="M15" s="150">
        <v>286768578.27148372</v>
      </c>
      <c r="N15" s="150">
        <v>17859893.055859499</v>
      </c>
      <c r="O15" s="150">
        <v>5933185.0522103133</v>
      </c>
      <c r="P15" s="151"/>
      <c r="R15" s="196" t="s">
        <v>211</v>
      </c>
      <c r="S15" s="151"/>
    </row>
    <row r="16" spans="1:27" s="147" customFormat="1">
      <c r="B16" s="54" t="s">
        <v>167</v>
      </c>
      <c r="C16" s="84"/>
      <c r="D16" s="170" t="s">
        <v>12</v>
      </c>
      <c r="E16" s="86"/>
      <c r="F16" s="84"/>
      <c r="G16" s="150">
        <v>19716930.647848893</v>
      </c>
      <c r="H16" s="150">
        <v>27704320.481368724</v>
      </c>
      <c r="I16" s="150">
        <v>56323689.556603268</v>
      </c>
      <c r="J16" s="150">
        <v>289989858.81089127</v>
      </c>
      <c r="K16" s="150">
        <v>314059583.77982777</v>
      </c>
      <c r="L16" s="150">
        <v>16539034.211459206</v>
      </c>
      <c r="M16" s="150">
        <v>271139690.75568783</v>
      </c>
      <c r="N16" s="150">
        <v>17024050.060845274</v>
      </c>
      <c r="O16" s="150">
        <v>5359446.0576615762</v>
      </c>
      <c r="P16" s="151"/>
      <c r="R16" s="196" t="s">
        <v>212</v>
      </c>
      <c r="S16" s="151"/>
    </row>
    <row r="17" spans="2:19" s="147" customFormat="1">
      <c r="B17" s="54" t="s">
        <v>168</v>
      </c>
      <c r="C17" s="84"/>
      <c r="D17" s="170" t="s">
        <v>13</v>
      </c>
      <c r="E17" s="86"/>
      <c r="F17" s="84"/>
      <c r="G17" s="150">
        <v>18384066.136054307</v>
      </c>
      <c r="H17" s="150">
        <v>26055913.412727285</v>
      </c>
      <c r="I17" s="150">
        <v>52944268.183207072</v>
      </c>
      <c r="J17" s="150">
        <v>272735462.21164322</v>
      </c>
      <c r="K17" s="150">
        <v>297194584.13085103</v>
      </c>
      <c r="L17" s="150">
        <v>15518575.800612174</v>
      </c>
      <c r="M17" s="150">
        <v>255820298.22799146</v>
      </c>
      <c r="N17" s="150">
        <v>16193276.417876026</v>
      </c>
      <c r="O17" s="150">
        <v>4830468.7317703785</v>
      </c>
      <c r="P17" s="151"/>
      <c r="R17" s="185" t="s">
        <v>213</v>
      </c>
      <c r="S17" s="151"/>
    </row>
    <row r="18" spans="2:19" s="147" customFormat="1">
      <c r="B18" s="148"/>
      <c r="C18" s="148"/>
      <c r="F18" s="149"/>
      <c r="G18" s="236"/>
      <c r="H18" s="236"/>
      <c r="I18" s="236"/>
      <c r="J18" s="236"/>
      <c r="K18" s="236"/>
      <c r="L18" s="236"/>
      <c r="M18" s="236"/>
      <c r="N18" s="236"/>
      <c r="O18" s="236"/>
      <c r="P18" s="149"/>
      <c r="R18" s="149"/>
      <c r="S18" s="149"/>
    </row>
    <row r="19" spans="2:19" s="147" customFormat="1">
      <c r="B19" s="253" t="s">
        <v>276</v>
      </c>
      <c r="C19" s="148"/>
      <c r="F19" s="149"/>
      <c r="G19" s="163"/>
      <c r="H19" s="163"/>
      <c r="I19" s="163"/>
      <c r="J19" s="163"/>
      <c r="K19" s="163"/>
      <c r="L19" s="163"/>
      <c r="M19" s="163"/>
      <c r="N19" s="163"/>
      <c r="O19" s="163"/>
      <c r="P19" s="149"/>
      <c r="R19" s="149"/>
      <c r="S19" s="149"/>
    </row>
    <row r="20" spans="2:19">
      <c r="B20" s="54" t="s">
        <v>31</v>
      </c>
      <c r="C20" s="86"/>
      <c r="D20" s="84" t="s">
        <v>11</v>
      </c>
      <c r="G20" s="150">
        <v>22196902</v>
      </c>
      <c r="H20" s="150">
        <v>30603336</v>
      </c>
      <c r="I20" s="150">
        <v>62282919</v>
      </c>
      <c r="J20" s="150">
        <v>320334771</v>
      </c>
      <c r="K20" s="150">
        <v>342731736</v>
      </c>
      <c r="L20" s="150">
        <v>18354486</v>
      </c>
      <c r="M20" s="150">
        <v>297632152</v>
      </c>
      <c r="N20" s="150">
        <v>18389511</v>
      </c>
      <c r="O20" s="150">
        <v>6440014</v>
      </c>
      <c r="P20" s="153"/>
      <c r="R20" s="53" t="s">
        <v>203</v>
      </c>
      <c r="S20" s="153"/>
    </row>
    <row r="21" spans="2:19">
      <c r="B21" s="84" t="s">
        <v>10</v>
      </c>
      <c r="E21" s="86"/>
      <c r="F21" s="155"/>
      <c r="G21" s="164">
        <v>8.49</v>
      </c>
      <c r="H21" s="164">
        <v>8.01</v>
      </c>
      <c r="I21" s="164">
        <v>7.87</v>
      </c>
      <c r="J21" s="164">
        <v>7.8</v>
      </c>
      <c r="K21" s="164">
        <v>7.15</v>
      </c>
      <c r="L21" s="164">
        <v>7.83</v>
      </c>
      <c r="M21" s="164">
        <v>7.44</v>
      </c>
      <c r="N21" s="164">
        <v>8.35</v>
      </c>
      <c r="O21" s="164">
        <v>18.07</v>
      </c>
      <c r="P21" s="155"/>
      <c r="R21" s="185" t="s">
        <v>203</v>
      </c>
      <c r="S21" s="155"/>
    </row>
    <row r="22" spans="2:19">
      <c r="E22" s="86"/>
      <c r="F22" s="155"/>
      <c r="P22" s="155"/>
      <c r="Q22" s="165"/>
      <c r="R22" s="155"/>
      <c r="S22" s="155"/>
    </row>
    <row r="23" spans="2:19" ht="15">
      <c r="B23" s="84" t="s">
        <v>108</v>
      </c>
      <c r="E23" s="166">
        <f>CPI!C17</f>
        <v>2.8000000000000001E-2</v>
      </c>
      <c r="F23" s="167"/>
      <c r="P23" s="86"/>
      <c r="Q23" s="86"/>
      <c r="R23" s="86"/>
      <c r="S23" s="86"/>
    </row>
    <row r="24" spans="2:19" ht="15">
      <c r="B24" s="84" t="s">
        <v>30</v>
      </c>
      <c r="E24" s="166">
        <f>CPI!C18</f>
        <v>0.01</v>
      </c>
      <c r="F24" s="167"/>
      <c r="P24" s="86"/>
      <c r="Q24" s="86"/>
      <c r="R24" s="86"/>
      <c r="S24" s="86"/>
    </row>
    <row r="25" spans="2:19" ht="15">
      <c r="B25" s="84" t="s">
        <v>109</v>
      </c>
      <c r="E25" s="166">
        <f>CPI!C19</f>
        <v>8.0000000000000002E-3</v>
      </c>
      <c r="F25" s="167"/>
      <c r="P25" s="86"/>
      <c r="Q25" s="86"/>
      <c r="R25" s="86"/>
      <c r="S25" s="86"/>
    </row>
    <row r="26" spans="2:19">
      <c r="B26" s="54"/>
      <c r="F26" s="168"/>
      <c r="Q26" s="54"/>
    </row>
    <row r="27" spans="2:19">
      <c r="B27" s="157" t="s">
        <v>164</v>
      </c>
      <c r="C27" s="86"/>
      <c r="D27" s="84" t="s">
        <v>26</v>
      </c>
      <c r="E27" s="158"/>
      <c r="F27" s="158"/>
      <c r="G27" s="159">
        <f>G20*(1-G21/100+$E$23)</f>
        <v>20933898.2762</v>
      </c>
      <c r="H27" s="159">
        <f t="shared" ref="H27:O27" si="0">H20*(1-H21/100+$E$23)</f>
        <v>29008902.194399998</v>
      </c>
      <c r="I27" s="159">
        <f t="shared" si="0"/>
        <v>59125175.006700002</v>
      </c>
      <c r="J27" s="159">
        <f t="shared" si="0"/>
        <v>304318032.45000005</v>
      </c>
      <c r="K27" s="159">
        <f t="shared" si="0"/>
        <v>327822905.48400003</v>
      </c>
      <c r="L27" s="159">
        <f t="shared" si="0"/>
        <v>17431255.354199998</v>
      </c>
      <c r="M27" s="159">
        <f t="shared" si="0"/>
        <v>283822020.14719999</v>
      </c>
      <c r="N27" s="159">
        <f t="shared" si="0"/>
        <v>17368893.1395</v>
      </c>
      <c r="O27" s="159">
        <f t="shared" si="0"/>
        <v>5456623.8622000003</v>
      </c>
      <c r="P27" s="153"/>
      <c r="Q27" s="153"/>
      <c r="R27" s="153"/>
      <c r="S27" s="153"/>
    </row>
    <row r="28" spans="2:19">
      <c r="B28" s="157" t="s">
        <v>169</v>
      </c>
      <c r="C28" s="86"/>
      <c r="D28" s="84" t="s">
        <v>12</v>
      </c>
      <c r="E28" s="158"/>
      <c r="F28" s="158"/>
      <c r="G28" s="159">
        <f>G27*(1-G21/100+$E$24)</f>
        <v>19365949.295312621</v>
      </c>
      <c r="H28" s="159">
        <f t="shared" ref="H28:O28" si="1">H27*(1-H21/100+$E$24)</f>
        <v>26975378.150572557</v>
      </c>
      <c r="I28" s="159">
        <f t="shared" si="1"/>
        <v>55063275.483739711</v>
      </c>
      <c r="J28" s="159">
        <f t="shared" si="1"/>
        <v>283624406.24340004</v>
      </c>
      <c r="K28" s="159">
        <f t="shared" si="1"/>
        <v>307661796.79673404</v>
      </c>
      <c r="L28" s="159">
        <f t="shared" si="1"/>
        <v>16240700.613508137</v>
      </c>
      <c r="M28" s="159">
        <f t="shared" si="1"/>
        <v>265543882.04972032</v>
      </c>
      <c r="N28" s="159">
        <f t="shared" si="1"/>
        <v>16092279.49374675</v>
      </c>
      <c r="O28" s="159">
        <f t="shared" si="1"/>
        <v>4525178.1689224606</v>
      </c>
      <c r="P28" s="153"/>
      <c r="Q28" s="153"/>
      <c r="R28" s="153"/>
      <c r="S28" s="153"/>
    </row>
    <row r="29" spans="2:19">
      <c r="B29" s="157" t="s">
        <v>170</v>
      </c>
      <c r="C29" s="86"/>
      <c r="D29" s="84" t="s">
        <v>13</v>
      </c>
      <c r="E29" s="158"/>
      <c r="F29" s="158"/>
      <c r="G29" s="159">
        <f>G28*(1-G$21/100+$E$25)</f>
        <v>17876707.794503082</v>
      </c>
      <c r="H29" s="159">
        <f t="shared" ref="H29:O29" si="2">H28*(1-H$21/100+$E$25)</f>
        <v>25030453.385916274</v>
      </c>
      <c r="I29" s="159">
        <f t="shared" si="2"/>
        <v>51170301.907039315</v>
      </c>
      <c r="J29" s="159">
        <f t="shared" si="2"/>
        <v>263770697.80636206</v>
      </c>
      <c r="K29" s="159">
        <f t="shared" si="2"/>
        <v>288125272.70014143</v>
      </c>
      <c r="L29" s="159">
        <f t="shared" si="2"/>
        <v>15098979.360378515</v>
      </c>
      <c r="M29" s="159">
        <f t="shared" si="2"/>
        <v>247911768.28161889</v>
      </c>
      <c r="N29" s="159">
        <f t="shared" si="2"/>
        <v>14877312.391968871</v>
      </c>
      <c r="O29" s="159">
        <f t="shared" si="2"/>
        <v>3743679.899149552</v>
      </c>
      <c r="P29" s="153"/>
      <c r="Q29" s="153"/>
      <c r="R29" s="153"/>
      <c r="S29" s="153"/>
    </row>
    <row r="30" spans="2:19" s="190" customFormat="1">
      <c r="B30" s="27"/>
      <c r="E30" s="158"/>
      <c r="F30" s="158"/>
      <c r="G30" s="233"/>
      <c r="H30" s="233"/>
      <c r="I30" s="233"/>
      <c r="J30" s="233"/>
      <c r="K30" s="233"/>
      <c r="L30" s="233"/>
      <c r="M30" s="233"/>
      <c r="N30" s="233"/>
      <c r="O30" s="233"/>
      <c r="P30" s="153"/>
      <c r="Q30" s="153"/>
      <c r="R30" s="153"/>
      <c r="S30" s="153"/>
    </row>
    <row r="31" spans="2:19" s="190" customFormat="1">
      <c r="B31" s="244" t="s">
        <v>266</v>
      </c>
      <c r="E31" s="158"/>
      <c r="F31" s="158"/>
      <c r="G31" s="233"/>
      <c r="H31" s="233"/>
      <c r="I31" s="233"/>
      <c r="J31" s="233"/>
      <c r="K31" s="233"/>
      <c r="L31" s="233"/>
      <c r="M31" s="233"/>
      <c r="N31" s="233"/>
      <c r="O31" s="233"/>
      <c r="P31" s="153"/>
      <c r="Q31" s="153"/>
      <c r="S31" s="153"/>
    </row>
    <row r="32" spans="2:19" s="58" customFormat="1">
      <c r="B32" s="58" t="s">
        <v>263</v>
      </c>
      <c r="D32" s="197" t="s">
        <v>13</v>
      </c>
      <c r="H32" s="59"/>
      <c r="I32" s="59"/>
      <c r="J32" s="255">
        <f>J17</f>
        <v>272735462.21164322</v>
      </c>
      <c r="K32" s="233"/>
      <c r="L32" s="59"/>
      <c r="M32" s="59"/>
      <c r="N32" s="59"/>
      <c r="O32" s="59"/>
      <c r="P32" s="60"/>
      <c r="R32" s="196"/>
    </row>
    <row r="33" spans="2:27" s="186" customFormat="1">
      <c r="B33" s="186" t="s">
        <v>264</v>
      </c>
      <c r="D33" s="197" t="s">
        <v>13</v>
      </c>
      <c r="H33" s="59"/>
      <c r="J33" s="243">
        <v>-27993825.921959668</v>
      </c>
      <c r="K33" s="233"/>
      <c r="R33" s="196" t="s">
        <v>267</v>
      </c>
    </row>
    <row r="34" spans="2:27" s="186" customFormat="1">
      <c r="B34" s="186" t="s">
        <v>265</v>
      </c>
      <c r="D34" s="58"/>
      <c r="H34" s="96"/>
      <c r="J34" s="256">
        <f>J33/J32</f>
        <v>-0.10264094626695962</v>
      </c>
      <c r="K34" s="233"/>
    </row>
    <row r="35" spans="2:27" s="186" customFormat="1">
      <c r="D35" s="58"/>
      <c r="H35" s="96"/>
      <c r="J35" s="245"/>
      <c r="K35" s="233"/>
    </row>
    <row r="36" spans="2:27" s="190" customFormat="1">
      <c r="B36" s="27" t="s">
        <v>268</v>
      </c>
      <c r="E36" s="158"/>
      <c r="F36" s="158"/>
      <c r="G36" s="233"/>
      <c r="H36" s="233"/>
      <c r="I36" s="233"/>
      <c r="J36" s="159">
        <f>(J29-J17)*J34</f>
        <v>920151.90161841537</v>
      </c>
      <c r="K36" s="159">
        <f>(J29-J17)*-J34</f>
        <v>-920151.90161841537</v>
      </c>
      <c r="L36" s="233"/>
      <c r="M36" s="233"/>
      <c r="N36" s="233"/>
      <c r="O36" s="233"/>
      <c r="P36" s="153"/>
      <c r="Q36" s="153"/>
      <c r="R36" s="153"/>
      <c r="S36" s="153"/>
    </row>
    <row r="37" spans="2:27" s="190" customFormat="1">
      <c r="B37" s="27"/>
      <c r="E37" s="158"/>
      <c r="F37" s="158"/>
      <c r="G37" s="233"/>
      <c r="H37" s="233"/>
      <c r="I37" s="233"/>
      <c r="J37" s="233"/>
      <c r="K37" s="233"/>
      <c r="L37" s="233"/>
      <c r="M37" s="233"/>
      <c r="N37" s="233"/>
      <c r="O37" s="233"/>
      <c r="P37" s="153"/>
      <c r="Q37" s="153"/>
      <c r="R37" s="153"/>
      <c r="S37" s="153"/>
    </row>
    <row r="38" spans="2:27" s="190" customFormat="1">
      <c r="B38" s="27" t="s">
        <v>293</v>
      </c>
      <c r="D38" s="197" t="s">
        <v>13</v>
      </c>
      <c r="E38" s="158"/>
      <c r="F38" s="158"/>
      <c r="G38" s="233"/>
      <c r="H38" s="233"/>
      <c r="I38" s="280"/>
      <c r="J38" s="154">
        <v>842059.43950647116</v>
      </c>
      <c r="K38" s="154">
        <v>-769800.32797080278</v>
      </c>
      <c r="L38" s="233"/>
      <c r="M38" s="233"/>
      <c r="N38" s="233"/>
      <c r="O38" s="233"/>
      <c r="P38" s="153"/>
      <c r="Q38" s="153"/>
      <c r="R38" s="196" t="s">
        <v>267</v>
      </c>
      <c r="S38" s="153"/>
    </row>
    <row r="39" spans="2:27" s="190" customFormat="1">
      <c r="B39" s="27"/>
      <c r="E39" s="158"/>
      <c r="F39" s="158"/>
      <c r="G39" s="233"/>
      <c r="H39" s="233"/>
      <c r="I39" s="233"/>
      <c r="J39" s="233"/>
      <c r="K39" s="233"/>
      <c r="L39" s="233"/>
      <c r="M39" s="233"/>
      <c r="N39" s="233"/>
      <c r="O39" s="233"/>
      <c r="P39" s="153"/>
      <c r="Q39" s="153"/>
      <c r="R39" s="153"/>
      <c r="S39" s="153"/>
    </row>
    <row r="40" spans="2:27">
      <c r="E40" s="86"/>
    </row>
    <row r="41" spans="2:27">
      <c r="B41" s="186" t="s">
        <v>287</v>
      </c>
      <c r="D41" s="54" t="s">
        <v>26</v>
      </c>
      <c r="E41" s="86"/>
      <c r="G41" s="262">
        <f>G27-G15</f>
        <v>-167268.94110403582</v>
      </c>
      <c r="H41" s="262">
        <f t="shared" ref="H41:O41" si="3">H27-H15</f>
        <v>-385602.29511589184</v>
      </c>
      <c r="I41" s="262">
        <f t="shared" si="3"/>
        <v>-666427.49500198662</v>
      </c>
      <c r="J41" s="262">
        <f t="shared" si="3"/>
        <v>-3363515.3599641919</v>
      </c>
      <c r="K41" s="262">
        <f t="shared" si="3"/>
        <v>-3358770.9684177637</v>
      </c>
      <c r="L41" s="262">
        <f t="shared" si="3"/>
        <v>-157848.34829835966</v>
      </c>
      <c r="M41" s="262">
        <f t="shared" si="3"/>
        <v>-2946558.124283731</v>
      </c>
      <c r="N41" s="262">
        <f t="shared" si="3"/>
        <v>-490999.9163594991</v>
      </c>
      <c r="O41" s="262">
        <f t="shared" si="3"/>
        <v>-476561.19001031294</v>
      </c>
      <c r="P41" s="161"/>
      <c r="Q41" s="161"/>
      <c r="R41" s="161"/>
      <c r="S41" s="161"/>
      <c r="T41" s="162"/>
      <c r="U41" s="162"/>
      <c r="V41" s="162"/>
      <c r="W41" s="162"/>
      <c r="X41" s="162"/>
      <c r="Y41" s="162"/>
      <c r="Z41" s="162"/>
      <c r="AA41" s="162"/>
    </row>
    <row r="42" spans="2:27">
      <c r="B42" s="186" t="s">
        <v>288</v>
      </c>
      <c r="D42" s="54" t="s">
        <v>12</v>
      </c>
      <c r="E42" s="86"/>
      <c r="G42" s="262">
        <f t="shared" ref="G42:O42" si="4">G28-G16</f>
        <v>-350981.35253627226</v>
      </c>
      <c r="H42" s="262">
        <f t="shared" si="4"/>
        <v>-728942.33079616725</v>
      </c>
      <c r="I42" s="262">
        <f t="shared" si="4"/>
        <v>-1260414.0728635564</v>
      </c>
      <c r="J42" s="262">
        <f t="shared" si="4"/>
        <v>-6365452.5674912333</v>
      </c>
      <c r="K42" s="262">
        <f t="shared" si="4"/>
        <v>-6397786.9830937386</v>
      </c>
      <c r="L42" s="262">
        <f t="shared" si="4"/>
        <v>-298333.59795106947</v>
      </c>
      <c r="M42" s="262">
        <f t="shared" si="4"/>
        <v>-5595808.7059675157</v>
      </c>
      <c r="N42" s="262">
        <f t="shared" si="4"/>
        <v>-931770.56709852442</v>
      </c>
      <c r="O42" s="262">
        <f t="shared" si="4"/>
        <v>-834267.88873911556</v>
      </c>
      <c r="P42" s="161"/>
      <c r="Q42" s="161"/>
      <c r="R42" s="161"/>
      <c r="S42" s="161"/>
      <c r="T42" s="162"/>
      <c r="U42" s="162"/>
      <c r="V42" s="162"/>
      <c r="W42" s="162"/>
      <c r="X42" s="162"/>
      <c r="Y42" s="162"/>
      <c r="Z42" s="162"/>
      <c r="AA42" s="162"/>
    </row>
    <row r="43" spans="2:27">
      <c r="B43" s="186" t="s">
        <v>289</v>
      </c>
      <c r="D43" s="54" t="s">
        <v>13</v>
      </c>
      <c r="E43" s="86"/>
      <c r="G43" s="262">
        <f>G29-G17</f>
        <v>-507358.34155122563</v>
      </c>
      <c r="H43" s="262">
        <f>H29-H17</f>
        <v>-1025460.0268110111</v>
      </c>
      <c r="I43" s="262">
        <f>I29-I17</f>
        <v>-1773966.2761677578</v>
      </c>
      <c r="J43" s="251">
        <f>(J29-J17)+J36</f>
        <v>-8044612.5036627408</v>
      </c>
      <c r="K43" s="251">
        <f>(K29-K17)+K36</f>
        <v>-9989463.3323280159</v>
      </c>
      <c r="L43" s="262">
        <f>L29-L17</f>
        <v>-419596.440233659</v>
      </c>
      <c r="M43" s="262">
        <f>M29-M17</f>
        <v>-7908529.9463725686</v>
      </c>
      <c r="N43" s="262">
        <f>N29-N17</f>
        <v>-1315964.0259071551</v>
      </c>
      <c r="O43" s="262">
        <f>O29-O17</f>
        <v>-1086788.8326208265</v>
      </c>
      <c r="P43" s="161"/>
      <c r="Q43" s="161"/>
      <c r="R43" s="161"/>
      <c r="S43" s="161"/>
      <c r="T43" s="162"/>
      <c r="U43" s="162"/>
      <c r="V43" s="162"/>
      <c r="W43" s="162"/>
      <c r="X43" s="162"/>
      <c r="Y43" s="162"/>
      <c r="Z43" s="162"/>
      <c r="AA43" s="162"/>
    </row>
    <row r="45" spans="2:27">
      <c r="J45" s="236"/>
    </row>
    <row r="46" spans="2:27">
      <c r="B46" s="84" t="s">
        <v>290</v>
      </c>
      <c r="D46" s="186" t="s">
        <v>26</v>
      </c>
      <c r="G46" s="181">
        <v>-179461.83794641122</v>
      </c>
      <c r="H46" s="181">
        <v>-348878.03350388631</v>
      </c>
      <c r="I46" s="181">
        <v>-579231.14923523366</v>
      </c>
      <c r="J46" s="181">
        <v>-2947079.8957331181</v>
      </c>
      <c r="K46" s="181">
        <v>-2913219.7556096315</v>
      </c>
      <c r="L46" s="181">
        <v>-137658.64318975061</v>
      </c>
      <c r="M46" s="181">
        <v>-2589399.7207700014</v>
      </c>
      <c r="N46" s="181">
        <v>-474449.38307369873</v>
      </c>
      <c r="O46" s="181">
        <v>-477205.04978702217</v>
      </c>
      <c r="R46" s="197" t="s">
        <v>296</v>
      </c>
    </row>
    <row r="47" spans="2:27">
      <c r="B47" s="197" t="s">
        <v>291</v>
      </c>
      <c r="D47" s="186" t="s">
        <v>12</v>
      </c>
      <c r="G47" s="181">
        <v>-341299.19405953959</v>
      </c>
      <c r="H47" s="181">
        <v>-659937.68817594647</v>
      </c>
      <c r="I47" s="181">
        <v>-1108040.5383441374</v>
      </c>
      <c r="J47" s="181">
        <v>-5641546.9941861629</v>
      </c>
      <c r="K47" s="181">
        <v>-5552888.1761674881</v>
      </c>
      <c r="L47" s="181">
        <v>-263783.32752877846</v>
      </c>
      <c r="M47" s="181">
        <v>-4920636.2893792987</v>
      </c>
      <c r="N47" s="181">
        <v>-904233.40242341906</v>
      </c>
      <c r="O47" s="181">
        <v>-838585.67197586037</v>
      </c>
      <c r="R47" s="197" t="s">
        <v>295</v>
      </c>
    </row>
    <row r="48" spans="2:27">
      <c r="B48" s="197" t="s">
        <v>292</v>
      </c>
      <c r="D48" s="186" t="s">
        <v>13</v>
      </c>
      <c r="G48" s="181">
        <v>-477107.54646218568</v>
      </c>
      <c r="H48" s="181">
        <v>-928977.35957187414</v>
      </c>
      <c r="I48" s="181">
        <v>-1560585.2068151236</v>
      </c>
      <c r="J48" s="259">
        <f>-7950314.24792743+J38</f>
        <v>-7108254.8084209589</v>
      </c>
      <c r="K48" s="259">
        <f>-7877004.99373841+K38</f>
        <v>-8646805.3217092119</v>
      </c>
      <c r="L48" s="181">
        <v>-371199.80293812603</v>
      </c>
      <c r="M48" s="181">
        <v>-6958726.11288625</v>
      </c>
      <c r="N48" s="181">
        <v>-1277610.0638382826</v>
      </c>
      <c r="O48" s="181">
        <v>-1092169.2788468604</v>
      </c>
      <c r="R48" s="197" t="s">
        <v>294</v>
      </c>
    </row>
    <row r="51" spans="2:15">
      <c r="B51" s="188" t="s">
        <v>165</v>
      </c>
      <c r="D51" s="186" t="s">
        <v>26</v>
      </c>
      <c r="G51" s="160">
        <f>G41-G46</f>
        <v>12192.896842375398</v>
      </c>
      <c r="H51" s="160">
        <f t="shared" ref="H51:O51" si="5">H41-H46</f>
        <v>-36724.261612005532</v>
      </c>
      <c r="I51" s="160">
        <f t="shared" si="5"/>
        <v>-87196.345766752958</v>
      </c>
      <c r="J51" s="160">
        <f t="shared" si="5"/>
        <v>-416435.46423107386</v>
      </c>
      <c r="K51" s="160">
        <f t="shared" si="5"/>
        <v>-445551.21280813217</v>
      </c>
      <c r="L51" s="160">
        <f t="shared" si="5"/>
        <v>-20189.705108609051</v>
      </c>
      <c r="M51" s="160">
        <f t="shared" si="5"/>
        <v>-357158.40351372957</v>
      </c>
      <c r="N51" s="160">
        <f t="shared" si="5"/>
        <v>-16550.533285800368</v>
      </c>
      <c r="O51" s="160">
        <f t="shared" si="5"/>
        <v>643.85977670922875</v>
      </c>
    </row>
    <row r="52" spans="2:15">
      <c r="B52" s="188" t="s">
        <v>171</v>
      </c>
      <c r="D52" s="186" t="s">
        <v>12</v>
      </c>
      <c r="G52" s="160">
        <f t="shared" ref="G52:O52" si="6">G42-G47</f>
        <v>-9682.1584767326713</v>
      </c>
      <c r="H52" s="160">
        <f t="shared" si="6"/>
        <v>-69004.64262022078</v>
      </c>
      <c r="I52" s="160">
        <f t="shared" si="6"/>
        <v>-152373.53451941907</v>
      </c>
      <c r="J52" s="160">
        <f t="shared" si="6"/>
        <v>-723905.5733050704</v>
      </c>
      <c r="K52" s="160">
        <f t="shared" si="6"/>
        <v>-844898.80692625046</v>
      </c>
      <c r="L52" s="160">
        <f t="shared" si="6"/>
        <v>-34550.270422291011</v>
      </c>
      <c r="M52" s="160">
        <f t="shared" si="6"/>
        <v>-675172.41658821702</v>
      </c>
      <c r="N52" s="160">
        <f t="shared" si="6"/>
        <v>-27537.164675105363</v>
      </c>
      <c r="O52" s="160">
        <f t="shared" si="6"/>
        <v>4317.7832367448136</v>
      </c>
    </row>
    <row r="53" spans="2:15">
      <c r="B53" s="188" t="s">
        <v>172</v>
      </c>
      <c r="D53" s="186" t="s">
        <v>13</v>
      </c>
      <c r="G53" s="160">
        <f t="shared" ref="G53:O53" si="7">G43-G48</f>
        <v>-30250.795089039952</v>
      </c>
      <c r="H53" s="160">
        <f t="shared" si="7"/>
        <v>-96482.667239136994</v>
      </c>
      <c r="I53" s="160">
        <f t="shared" si="7"/>
        <v>-213381.06935263425</v>
      </c>
      <c r="J53" s="160">
        <f t="shared" si="7"/>
        <v>-936357.69524178188</v>
      </c>
      <c r="K53" s="160">
        <f t="shared" si="7"/>
        <v>-1342658.010618804</v>
      </c>
      <c r="L53" s="160">
        <f t="shared" si="7"/>
        <v>-48396.637295532972</v>
      </c>
      <c r="M53" s="160">
        <f t="shared" si="7"/>
        <v>-949803.83348631859</v>
      </c>
      <c r="N53" s="160">
        <f t="shared" si="7"/>
        <v>-38353.962068872526</v>
      </c>
      <c r="O53" s="160">
        <f t="shared" si="7"/>
        <v>5380.4462260338478</v>
      </c>
    </row>
    <row r="54" spans="2:15">
      <c r="G54" s="199"/>
      <c r="H54" s="199"/>
      <c r="I54" s="199"/>
      <c r="J54" s="199"/>
      <c r="K54" s="199"/>
      <c r="L54" s="199"/>
      <c r="M54" s="199"/>
      <c r="N54" s="199"/>
      <c r="O54" s="199"/>
    </row>
    <row r="55" spans="2:15">
      <c r="G55" s="199"/>
      <c r="H55" s="199"/>
      <c r="I55" s="199"/>
      <c r="J55" s="199"/>
      <c r="K55" s="199"/>
      <c r="L55" s="199"/>
      <c r="M55" s="199"/>
      <c r="N55" s="199"/>
      <c r="O55" s="199"/>
    </row>
    <row r="56" spans="2:15">
      <c r="G56" s="199"/>
      <c r="H56" s="199"/>
      <c r="I56" s="199"/>
      <c r="J56" s="199"/>
      <c r="K56" s="199"/>
      <c r="L56" s="199"/>
      <c r="M56" s="199"/>
      <c r="N56" s="199"/>
      <c r="O56" s="199"/>
    </row>
  </sheetData>
  <pageMargins left="0.75" right="0.75" top="1" bottom="1" header="0.5" footer="0.5"/>
  <pageSetup paperSize="9" scale="3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R79"/>
  <sheetViews>
    <sheetView showGridLines="0" zoomScale="80" zoomScaleNormal="80" workbookViewId="0">
      <pane xSplit="2" ySplit="2" topLeftCell="C3" activePane="bottomRight" state="frozen"/>
      <selection pane="topRight" activeCell="C1" sqref="C1"/>
      <selection pane="bottomLeft" activeCell="A3" sqref="A3"/>
      <selection pane="bottomRight" activeCell="C3" sqref="C3"/>
    </sheetView>
  </sheetViews>
  <sheetFormatPr defaultRowHeight="15"/>
  <cols>
    <col min="1" max="1" width="4.28515625" style="98" customWidth="1"/>
    <col min="2" max="2" width="65.85546875" style="98" customWidth="1"/>
    <col min="3" max="3" width="4.42578125" style="98" customWidth="1"/>
    <col min="4" max="4" width="13" style="98" customWidth="1"/>
    <col min="5" max="5" width="11.140625" style="98" customWidth="1"/>
    <col min="6" max="6" width="3.28515625" style="98" customWidth="1"/>
    <col min="7" max="14" width="17.28515625" style="98" customWidth="1"/>
    <col min="15" max="15" width="17.140625" style="98" customWidth="1"/>
    <col min="16" max="16" width="5.7109375" style="98" customWidth="1"/>
    <col min="17" max="20" width="17.140625" style="98" customWidth="1"/>
    <col min="21" max="16384" width="9.140625" style="98"/>
  </cols>
  <sheetData>
    <row r="2" spans="2:15" s="103" customFormat="1" ht="15.75">
      <c r="B2" s="104" t="s">
        <v>131</v>
      </c>
      <c r="C2" s="104"/>
      <c r="D2" s="105"/>
      <c r="G2" s="49" t="s">
        <v>0</v>
      </c>
      <c r="H2" s="49" t="s">
        <v>1</v>
      </c>
      <c r="I2" s="49" t="s">
        <v>2</v>
      </c>
      <c r="J2" s="49" t="s">
        <v>3</v>
      </c>
      <c r="K2" s="49" t="s">
        <v>4</v>
      </c>
      <c r="L2" s="49" t="s">
        <v>5</v>
      </c>
      <c r="M2" s="49" t="s">
        <v>6</v>
      </c>
      <c r="N2" s="49" t="s">
        <v>7</v>
      </c>
      <c r="O2" s="49" t="s">
        <v>8</v>
      </c>
    </row>
    <row r="4" spans="2:15" s="16" customFormat="1" ht="12.75">
      <c r="B4" s="30" t="s">
        <v>16</v>
      </c>
    </row>
    <row r="5" spans="2:15" s="53" customFormat="1" ht="12.75"/>
    <row r="6" spans="2:15" s="53" customFormat="1" ht="12.75">
      <c r="B6" s="53" t="s">
        <v>173</v>
      </c>
    </row>
    <row r="7" spans="2:15" s="53" customFormat="1" ht="12.75">
      <c r="B7" s="53" t="s">
        <v>174</v>
      </c>
    </row>
    <row r="8" spans="2:15" s="53" customFormat="1" ht="12.75">
      <c r="B8" s="53" t="s">
        <v>82</v>
      </c>
    </row>
    <row r="9" spans="2:15" s="53" customFormat="1" ht="12.75">
      <c r="B9" s="53" t="s">
        <v>255</v>
      </c>
    </row>
    <row r="10" spans="2:15" s="53" customFormat="1" ht="12.75">
      <c r="B10" s="53" t="s">
        <v>247</v>
      </c>
    </row>
    <row r="11" spans="2:15" s="53" customFormat="1" ht="12.75"/>
    <row r="12" spans="2:15" s="53" customFormat="1" ht="12.75">
      <c r="B12" s="53" t="s">
        <v>175</v>
      </c>
    </row>
    <row r="13" spans="2:15" s="53" customFormat="1" ht="12.75">
      <c r="B13" s="53" t="s">
        <v>256</v>
      </c>
    </row>
    <row r="14" spans="2:15" s="53" customFormat="1" ht="12.75"/>
    <row r="15" spans="2:15" s="231" customFormat="1" ht="12.75">
      <c r="B15" s="231" t="s">
        <v>257</v>
      </c>
    </row>
    <row r="16" spans="2:15" s="231" customFormat="1" ht="12.75"/>
    <row r="17" spans="2:17" s="231" customFormat="1" ht="12.75">
      <c r="B17" s="231" t="s">
        <v>81</v>
      </c>
    </row>
    <row r="18" spans="2:17" s="231" customFormat="1" ht="12.75">
      <c r="B18" s="231" t="s">
        <v>215</v>
      </c>
    </row>
    <row r="19" spans="2:17" s="231" customFormat="1" ht="12.75">
      <c r="B19" s="231" t="s">
        <v>248</v>
      </c>
    </row>
    <row r="20" spans="2:17" s="231" customFormat="1" ht="12.75">
      <c r="B20" s="231" t="s">
        <v>83</v>
      </c>
    </row>
    <row r="21" spans="2:17" s="231" customFormat="1" ht="12.75">
      <c r="B21" s="231" t="s">
        <v>111</v>
      </c>
    </row>
    <row r="22" spans="2:17" s="53" customFormat="1" ht="12.75"/>
    <row r="23" spans="2:17" s="53" customFormat="1" ht="12.75">
      <c r="B23" s="53" t="s">
        <v>110</v>
      </c>
    </row>
    <row r="24" spans="2:17" s="53" customFormat="1" ht="12.75">
      <c r="B24" s="186" t="s">
        <v>258</v>
      </c>
    </row>
    <row r="25" spans="2:17" s="53" customFormat="1" ht="12.75"/>
    <row r="26" spans="2:17" s="53" customFormat="1" ht="12.75">
      <c r="B26" s="99"/>
    </row>
    <row r="27" spans="2:17" s="53" customFormat="1" ht="12.75"/>
    <row r="28" spans="2:17" s="16" customFormat="1" ht="12.75">
      <c r="B28" s="30" t="s">
        <v>176</v>
      </c>
    </row>
    <row r="29" spans="2:17" s="58" customFormat="1" ht="12.75">
      <c r="G29" s="59"/>
      <c r="H29" s="59"/>
      <c r="I29" s="59"/>
      <c r="J29" s="59"/>
      <c r="K29" s="59"/>
      <c r="L29" s="59"/>
      <c r="M29" s="59"/>
      <c r="N29" s="59"/>
      <c r="O29" s="60"/>
      <c r="Q29" s="61"/>
    </row>
    <row r="30" spans="2:17" s="53" customFormat="1" ht="12.75">
      <c r="B30" s="95" t="s">
        <v>177</v>
      </c>
      <c r="G30" s="100"/>
      <c r="H30" s="100"/>
      <c r="I30" s="100"/>
      <c r="J30" s="100"/>
      <c r="K30" s="100"/>
      <c r="L30" s="100"/>
      <c r="M30" s="100"/>
      <c r="N30" s="100"/>
    </row>
    <row r="31" spans="2:17" s="53" customFormat="1" ht="12.75">
      <c r="B31" s="101" t="s">
        <v>198</v>
      </c>
      <c r="G31" s="100"/>
      <c r="H31" s="100"/>
      <c r="I31" s="100"/>
      <c r="J31" s="100"/>
      <c r="K31" s="100"/>
      <c r="L31" s="100"/>
      <c r="M31" s="100"/>
      <c r="N31" s="100"/>
    </row>
    <row r="32" spans="2:17" s="53" customFormat="1" ht="12.75">
      <c r="B32" s="101"/>
      <c r="G32" s="100"/>
      <c r="H32" s="100"/>
      <c r="I32" s="100"/>
      <c r="J32" s="100"/>
      <c r="K32" s="100"/>
      <c r="L32" s="100"/>
      <c r="M32" s="100"/>
      <c r="N32" s="100"/>
    </row>
    <row r="33" spans="2:17" s="53" customFormat="1" ht="12.75">
      <c r="B33" s="102" t="s">
        <v>178</v>
      </c>
      <c r="D33" s="53" t="s">
        <v>99</v>
      </c>
      <c r="G33" s="172">
        <f>'TI2014-2016'!G28</f>
        <v>19365949.295312621</v>
      </c>
      <c r="H33" s="172">
        <f>'TI2014-2016'!H28</f>
        <v>26975378.150572557</v>
      </c>
      <c r="I33" s="172">
        <f>'TI2014-2016'!I28</f>
        <v>55063275.483739711</v>
      </c>
      <c r="J33" s="172">
        <f>'TI2014-2016'!J28</f>
        <v>283624406.24340004</v>
      </c>
      <c r="K33" s="172">
        <f>'TI2014-2016'!K28</f>
        <v>307661796.79673404</v>
      </c>
      <c r="L33" s="172">
        <f>'TI2014-2016'!L28</f>
        <v>16240700.613508137</v>
      </c>
      <c r="M33" s="172">
        <f>'TI2014-2016'!M28</f>
        <v>265543882.04972032</v>
      </c>
      <c r="N33" s="172">
        <f>'TI2014-2016'!N28</f>
        <v>16092279.49374675</v>
      </c>
      <c r="O33" s="172">
        <f>'TI2014-2016'!O28</f>
        <v>4525178.1689224606</v>
      </c>
      <c r="Q33" s="21"/>
    </row>
    <row r="34" spans="2:17" s="53" customFormat="1" ht="12.75">
      <c r="B34" s="95"/>
      <c r="G34" s="100"/>
      <c r="H34" s="100"/>
      <c r="I34" s="100"/>
      <c r="J34" s="100"/>
      <c r="K34" s="100"/>
      <c r="L34" s="100"/>
      <c r="M34" s="100"/>
      <c r="N34" s="100"/>
    </row>
    <row r="35" spans="2:17" s="53" customFormat="1" ht="12.75">
      <c r="B35" s="95"/>
      <c r="G35" s="100"/>
      <c r="H35" s="100"/>
      <c r="I35" s="100"/>
      <c r="J35" s="100"/>
      <c r="K35" s="100"/>
      <c r="L35" s="100"/>
      <c r="M35" s="100"/>
      <c r="N35" s="100"/>
    </row>
    <row r="36" spans="2:17" s="16" customFormat="1" ht="12.75">
      <c r="B36" s="30" t="s">
        <v>179</v>
      </c>
    </row>
    <row r="37" spans="2:17" s="58" customFormat="1" ht="12.75">
      <c r="G37" s="60"/>
      <c r="H37" s="60"/>
      <c r="I37" s="60"/>
      <c r="J37" s="60"/>
      <c r="K37" s="60"/>
      <c r="L37" s="60"/>
      <c r="M37" s="60"/>
      <c r="N37" s="60"/>
      <c r="O37" s="60"/>
      <c r="Q37" s="61"/>
    </row>
    <row r="38" spans="2:17" s="58" customFormat="1" ht="12.75">
      <c r="B38" s="95" t="s">
        <v>91</v>
      </c>
      <c r="G38" s="96"/>
      <c r="H38" s="96"/>
      <c r="I38" s="96"/>
      <c r="J38" s="96"/>
      <c r="K38" s="96"/>
      <c r="L38" s="96"/>
      <c r="M38" s="96"/>
      <c r="N38" s="96"/>
      <c r="O38" s="60"/>
      <c r="Q38" s="61"/>
    </row>
    <row r="39" spans="2:17" s="58" customFormat="1" ht="12.75">
      <c r="G39" s="96"/>
      <c r="H39" s="96"/>
      <c r="I39" s="96"/>
      <c r="J39" s="96"/>
      <c r="K39" s="96"/>
      <c r="L39" s="96"/>
      <c r="M39" s="96"/>
      <c r="N39" s="96"/>
      <c r="O39" s="60"/>
      <c r="Q39" s="61"/>
    </row>
    <row r="40" spans="2:17" s="53" customFormat="1" ht="12.75">
      <c r="B40" s="95" t="s">
        <v>180</v>
      </c>
      <c r="G40" s="63"/>
      <c r="H40" s="58"/>
      <c r="I40" s="58"/>
      <c r="J40" s="58"/>
      <c r="K40" s="58"/>
      <c r="L40" s="58"/>
      <c r="M40" s="58"/>
      <c r="N40" s="58"/>
    </row>
    <row r="41" spans="2:17" s="112" customFormat="1" ht="12.75">
      <c r="B41" s="50" t="s">
        <v>80</v>
      </c>
      <c r="G41" s="63"/>
      <c r="H41" s="101"/>
      <c r="I41" s="101"/>
      <c r="J41" s="101"/>
      <c r="K41" s="101"/>
      <c r="L41" s="101"/>
      <c r="M41" s="101"/>
      <c r="N41" s="101"/>
      <c r="O41" s="101"/>
    </row>
    <row r="42" spans="2:17" s="53" customFormat="1" ht="12.75">
      <c r="B42" s="31" t="s">
        <v>78</v>
      </c>
      <c r="D42" s="53" t="s">
        <v>99</v>
      </c>
      <c r="G42" s="107">
        <v>0</v>
      </c>
      <c r="H42" s="107">
        <v>441340</v>
      </c>
      <c r="I42" s="107">
        <v>0</v>
      </c>
      <c r="J42" s="107">
        <v>0</v>
      </c>
      <c r="K42" s="107">
        <v>30543455.629999999</v>
      </c>
      <c r="L42" s="107">
        <v>97396.56</v>
      </c>
      <c r="M42" s="107">
        <v>13776110.821081214</v>
      </c>
      <c r="N42" s="107">
        <v>6935.05</v>
      </c>
      <c r="O42" s="107"/>
      <c r="Q42" s="15" t="s">
        <v>197</v>
      </c>
    </row>
    <row r="43" spans="2:17" s="53" customFormat="1" ht="12.75">
      <c r="B43" s="31" t="s">
        <v>79</v>
      </c>
      <c r="D43" s="53" t="s">
        <v>99</v>
      </c>
      <c r="G43" s="107">
        <v>935.7297297297298</v>
      </c>
      <c r="H43" s="107">
        <v>0</v>
      </c>
      <c r="I43" s="107">
        <v>0</v>
      </c>
      <c r="J43" s="107">
        <v>931341.0367863914</v>
      </c>
      <c r="K43" s="107">
        <v>0</v>
      </c>
      <c r="L43" s="107">
        <v>0</v>
      </c>
      <c r="M43" s="107">
        <v>0</v>
      </c>
      <c r="N43" s="107">
        <v>0</v>
      </c>
      <c r="O43" s="107"/>
    </row>
    <row r="44" spans="2:17" s="112" customFormat="1" ht="12.75">
      <c r="B44" s="50" t="s">
        <v>86</v>
      </c>
      <c r="G44" s="63"/>
      <c r="H44" s="101"/>
      <c r="I44" s="101"/>
      <c r="J44" s="101"/>
      <c r="K44" s="101"/>
      <c r="L44" s="101"/>
      <c r="M44" s="101"/>
      <c r="N44" s="101"/>
      <c r="O44" s="101"/>
    </row>
    <row r="45" spans="2:17" s="53" customFormat="1" ht="12.75">
      <c r="B45" s="31" t="s">
        <v>78</v>
      </c>
      <c r="D45" s="53" t="s">
        <v>99</v>
      </c>
      <c r="G45" s="107"/>
      <c r="H45" s="107"/>
      <c r="I45" s="107"/>
      <c r="J45" s="107"/>
      <c r="K45" s="107"/>
      <c r="L45" s="107"/>
      <c r="M45" s="107"/>
      <c r="N45" s="107"/>
      <c r="O45" s="107"/>
      <c r="Q45" s="15" t="s">
        <v>197</v>
      </c>
    </row>
    <row r="46" spans="2:17" s="53" customFormat="1" ht="12.75">
      <c r="B46" s="31" t="s">
        <v>79</v>
      </c>
      <c r="D46" s="53" t="s">
        <v>99</v>
      </c>
      <c r="G46" s="107">
        <v>193</v>
      </c>
      <c r="H46" s="107"/>
      <c r="I46" s="107"/>
      <c r="J46" s="107">
        <v>58431</v>
      </c>
      <c r="K46" s="107"/>
      <c r="L46" s="107"/>
      <c r="M46" s="107"/>
      <c r="N46" s="107"/>
      <c r="O46" s="107"/>
    </row>
    <row r="47" spans="2:17" s="112" customFormat="1" ht="12.75">
      <c r="B47" s="50" t="s">
        <v>87</v>
      </c>
      <c r="G47" s="63"/>
      <c r="H47" s="101"/>
      <c r="I47" s="101"/>
      <c r="J47" s="101"/>
      <c r="K47" s="101"/>
      <c r="L47" s="101"/>
      <c r="M47" s="101"/>
      <c r="N47" s="101"/>
      <c r="O47" s="101"/>
    </row>
    <row r="48" spans="2:17" s="53" customFormat="1" ht="12.75">
      <c r="B48" s="31" t="s">
        <v>78</v>
      </c>
      <c r="D48" s="53" t="s">
        <v>99</v>
      </c>
      <c r="G48" s="107"/>
      <c r="H48" s="107"/>
      <c r="I48" s="107"/>
      <c r="J48" s="107"/>
      <c r="K48" s="107"/>
      <c r="L48" s="107"/>
      <c r="M48" s="107"/>
      <c r="N48" s="107"/>
      <c r="O48" s="107"/>
      <c r="Q48" s="15" t="s">
        <v>197</v>
      </c>
    </row>
    <row r="49" spans="1:18" s="53" customFormat="1" ht="12.75">
      <c r="B49" s="31" t="s">
        <v>79</v>
      </c>
      <c r="D49" s="53" t="s">
        <v>99</v>
      </c>
      <c r="G49" s="107"/>
      <c r="H49" s="107"/>
      <c r="I49" s="107"/>
      <c r="J49" s="107">
        <v>7796</v>
      </c>
      <c r="K49" s="107"/>
      <c r="L49" s="107"/>
      <c r="M49" s="107"/>
      <c r="N49" s="107"/>
      <c r="O49" s="107"/>
    </row>
    <row r="50" spans="1:18" s="53" customFormat="1" ht="12.75">
      <c r="B50" s="95"/>
      <c r="G50" s="63"/>
      <c r="H50" s="58"/>
      <c r="I50" s="58"/>
      <c r="J50" s="58"/>
      <c r="K50" s="58"/>
      <c r="L50" s="58"/>
      <c r="M50" s="58"/>
      <c r="N50" s="58"/>
      <c r="O50" s="58"/>
    </row>
    <row r="51" spans="1:18" s="53" customFormat="1" ht="12.75">
      <c r="B51" s="95" t="s">
        <v>181</v>
      </c>
      <c r="G51" s="63"/>
      <c r="H51" s="58"/>
      <c r="I51" s="58"/>
      <c r="J51" s="58"/>
      <c r="K51" s="58"/>
      <c r="L51" s="58"/>
      <c r="M51" s="58"/>
      <c r="N51" s="58"/>
      <c r="O51" s="58"/>
    </row>
    <row r="52" spans="1:18" s="53" customFormat="1" ht="12.75">
      <c r="B52" s="95"/>
      <c r="G52" s="63"/>
      <c r="H52" s="58"/>
      <c r="I52" s="58"/>
      <c r="J52" s="58"/>
      <c r="K52" s="58"/>
      <c r="L52" s="58"/>
      <c r="M52" s="58"/>
      <c r="N52" s="58"/>
      <c r="O52" s="58"/>
    </row>
    <row r="53" spans="1:18" s="53" customFormat="1" ht="12.75">
      <c r="B53" s="109" t="s">
        <v>279</v>
      </c>
      <c r="G53" s="263"/>
      <c r="J53" s="106" t="s">
        <v>84</v>
      </c>
      <c r="K53" s="231"/>
      <c r="L53" s="106" t="s">
        <v>5</v>
      </c>
    </row>
    <row r="54" spans="1:18" s="53" customFormat="1" ht="12.75">
      <c r="B54" s="110" t="s">
        <v>88</v>
      </c>
      <c r="D54" s="53" t="s">
        <v>99</v>
      </c>
      <c r="G54" s="264"/>
      <c r="J54" s="111">
        <v>0</v>
      </c>
      <c r="K54" s="231"/>
      <c r="L54" s="111">
        <v>0</v>
      </c>
      <c r="Q54" s="53" t="s">
        <v>278</v>
      </c>
    </row>
    <row r="55" spans="1:18" s="53" customFormat="1" ht="12.75">
      <c r="B55" s="110" t="s">
        <v>89</v>
      </c>
      <c r="D55" s="53" t="s">
        <v>99</v>
      </c>
      <c r="G55" s="264"/>
      <c r="J55" s="111">
        <v>883440.18444674916</v>
      </c>
      <c r="K55" s="231"/>
      <c r="L55" s="111">
        <v>1752152.682434378</v>
      </c>
      <c r="Q55" s="231" t="s">
        <v>278</v>
      </c>
    </row>
    <row r="56" spans="1:18" s="53" customFormat="1" ht="12.75">
      <c r="B56" s="110" t="s">
        <v>90</v>
      </c>
      <c r="D56" s="53" t="s">
        <v>99</v>
      </c>
      <c r="G56" s="264"/>
      <c r="J56" s="111">
        <v>6184081.291127257</v>
      </c>
      <c r="K56" s="231"/>
      <c r="L56" s="111">
        <v>5256458.0473031439</v>
      </c>
      <c r="Q56" s="231" t="s">
        <v>278</v>
      </c>
    </row>
    <row r="57" spans="1:18" s="53" customFormat="1" ht="12.75">
      <c r="B57" s="110"/>
      <c r="G57" s="63"/>
      <c r="H57" s="58"/>
      <c r="I57" s="58"/>
      <c r="J57" s="58"/>
      <c r="K57" s="58"/>
      <c r="L57" s="58"/>
      <c r="M57" s="58"/>
      <c r="N57" s="58"/>
      <c r="O57" s="58"/>
    </row>
    <row r="58" spans="1:18" s="53" customFormat="1" ht="12.75">
      <c r="B58" s="95" t="s">
        <v>92</v>
      </c>
      <c r="G58" s="63"/>
      <c r="H58" s="58"/>
      <c r="I58" s="58"/>
      <c r="J58" s="58"/>
      <c r="K58" s="58"/>
      <c r="L58" s="58"/>
      <c r="M58" s="58"/>
      <c r="N58" s="58"/>
      <c r="O58" s="58"/>
    </row>
    <row r="59" spans="1:18" s="53" customFormat="1" ht="12.75">
      <c r="B59" s="110"/>
      <c r="G59" s="63"/>
      <c r="H59" s="58"/>
      <c r="I59" s="58"/>
      <c r="J59" s="58"/>
      <c r="K59" s="58"/>
      <c r="L59" s="58"/>
      <c r="M59" s="58"/>
      <c r="N59" s="58"/>
      <c r="O59" s="58"/>
    </row>
    <row r="60" spans="1:18" s="186" customFormat="1" ht="12.75">
      <c r="B60" s="95" t="s">
        <v>85</v>
      </c>
      <c r="G60" s="97"/>
      <c r="H60" s="97"/>
      <c r="I60" s="97"/>
      <c r="J60" s="97"/>
      <c r="K60" s="97"/>
      <c r="L60" s="97"/>
      <c r="M60" s="97"/>
      <c r="N60" s="97"/>
      <c r="O60" s="97"/>
    </row>
    <row r="61" spans="1:18" s="186" customFormat="1" ht="12.75">
      <c r="B61" s="191" t="s">
        <v>277</v>
      </c>
      <c r="G61" s="97"/>
      <c r="H61" s="97"/>
      <c r="I61" s="97"/>
      <c r="J61" s="97"/>
      <c r="K61" s="97"/>
      <c r="L61" s="97"/>
      <c r="M61" s="97"/>
      <c r="N61" s="97"/>
      <c r="O61" s="97"/>
    </row>
    <row r="62" spans="1:18" s="186" customFormat="1" ht="12.75">
      <c r="B62" s="95"/>
      <c r="G62" s="236"/>
      <c r="H62" s="236"/>
      <c r="I62" s="236"/>
      <c r="J62" s="236"/>
      <c r="K62" s="236"/>
      <c r="L62" s="236"/>
      <c r="M62" s="236"/>
      <c r="N62" s="236"/>
      <c r="O62" s="97"/>
    </row>
    <row r="63" spans="1:18" s="170" customFormat="1" ht="12.75">
      <c r="A63" s="196"/>
      <c r="B63" s="170" t="s">
        <v>249</v>
      </c>
      <c r="C63" s="196"/>
      <c r="D63" s="170" t="s">
        <v>11</v>
      </c>
      <c r="G63" s="150">
        <v>22196901.84770564</v>
      </c>
      <c r="H63" s="150">
        <v>30603336.272270575</v>
      </c>
      <c r="I63" s="150">
        <v>62282919.272606239</v>
      </c>
      <c r="J63" s="150">
        <v>320334771.2753402</v>
      </c>
      <c r="K63" s="150">
        <v>342731735.95406991</v>
      </c>
      <c r="L63" s="150">
        <v>18354485.758633368</v>
      </c>
      <c r="M63" s="150">
        <v>297632151.81264526</v>
      </c>
      <c r="N63" s="150">
        <v>18389510.971848741</v>
      </c>
      <c r="O63" s="150">
        <v>6440014.167166301</v>
      </c>
      <c r="Q63" s="186" t="s">
        <v>253</v>
      </c>
      <c r="R63" s="233"/>
    </row>
    <row r="64" spans="1:18" s="170" customFormat="1" ht="12.75">
      <c r="A64" s="196"/>
      <c r="B64" s="170" t="s">
        <v>250</v>
      </c>
      <c r="E64" s="238"/>
      <c r="F64" s="238"/>
      <c r="G64" s="194">
        <v>9</v>
      </c>
      <c r="H64" s="194">
        <v>7.92</v>
      </c>
      <c r="I64" s="194">
        <v>7.87</v>
      </c>
      <c r="J64" s="194">
        <v>7.79</v>
      </c>
      <c r="K64" s="194">
        <v>5.12</v>
      </c>
      <c r="L64" s="194">
        <v>8.3699999999999992</v>
      </c>
      <c r="M64" s="194">
        <v>7.45</v>
      </c>
      <c r="N64" s="194">
        <v>8.2899999999999991</v>
      </c>
      <c r="O64" s="150">
        <v>18.03</v>
      </c>
      <c r="Q64" s="186" t="s">
        <v>254</v>
      </c>
      <c r="R64" s="238"/>
    </row>
    <row r="65" spans="1:18" s="170" customFormat="1" ht="12.75">
      <c r="A65" s="196"/>
      <c r="E65" s="196"/>
      <c r="F65" s="196"/>
      <c r="G65" s="132"/>
      <c r="H65" s="132"/>
      <c r="I65" s="132"/>
      <c r="J65" s="132"/>
      <c r="K65" s="132"/>
      <c r="L65" s="132"/>
      <c r="M65" s="132"/>
      <c r="N65" s="132"/>
    </row>
    <row r="66" spans="1:18" s="170" customFormat="1" ht="12.75">
      <c r="A66" s="196"/>
      <c r="B66" s="93" t="s">
        <v>108</v>
      </c>
      <c r="E66" s="239">
        <f>CPI!C17</f>
        <v>2.8000000000000001E-2</v>
      </c>
      <c r="F66" s="196"/>
      <c r="O66" s="196"/>
      <c r="P66" s="196"/>
      <c r="Q66" s="196"/>
      <c r="R66" s="196"/>
    </row>
    <row r="67" spans="1:18" s="170" customFormat="1" ht="12.75">
      <c r="A67" s="196"/>
      <c r="B67" s="93" t="s">
        <v>30</v>
      </c>
      <c r="E67" s="239">
        <f>CPI!C18</f>
        <v>0.01</v>
      </c>
      <c r="F67" s="196"/>
      <c r="O67" s="196"/>
      <c r="P67" s="196"/>
      <c r="Q67" s="196"/>
      <c r="R67" s="196"/>
    </row>
    <row r="68" spans="1:18" s="170" customFormat="1" ht="12.75">
      <c r="A68" s="196"/>
      <c r="B68" s="93"/>
      <c r="E68" s="240"/>
      <c r="F68" s="240"/>
      <c r="O68" s="196"/>
      <c r="P68" s="196"/>
      <c r="Q68" s="196"/>
      <c r="R68" s="196"/>
    </row>
    <row r="69" spans="1:18" s="196" customFormat="1" ht="12.75">
      <c r="B69" s="186" t="s">
        <v>251</v>
      </c>
      <c r="C69" s="186"/>
      <c r="D69" s="170" t="s">
        <v>26</v>
      </c>
      <c r="E69" s="96"/>
      <c r="F69" s="96"/>
      <c r="G69" s="237">
        <f>G63*(1-G64/100+$E$66)</f>
        <v>20820693.933147892</v>
      </c>
      <c r="H69" s="237">
        <f t="shared" ref="H69:O69" si="0">H63*(1-H64/100+$E$66)</f>
        <v>29036445.455130324</v>
      </c>
      <c r="I69" s="237">
        <f t="shared" si="0"/>
        <v>59125175.265485108</v>
      </c>
      <c r="J69" s="237">
        <f t="shared" si="0"/>
        <v>304350066.18870074</v>
      </c>
      <c r="K69" s="237">
        <f t="shared" si="0"/>
        <v>334780359.67993551</v>
      </c>
      <c r="L69" s="237">
        <f t="shared" si="0"/>
        <v>17332140.901877489</v>
      </c>
      <c r="M69" s="237">
        <f t="shared" si="0"/>
        <v>283792256.75335723</v>
      </c>
      <c r="N69" s="237">
        <f t="shared" si="0"/>
        <v>17379926.819494247</v>
      </c>
      <c r="O69" s="237">
        <f t="shared" si="0"/>
        <v>5459200.0095068738</v>
      </c>
      <c r="P69" s="231"/>
    </row>
    <row r="70" spans="1:18" s="196" customFormat="1" ht="12.75">
      <c r="B70" s="186" t="s">
        <v>252</v>
      </c>
      <c r="C70" s="186"/>
      <c r="D70" s="170" t="s">
        <v>12</v>
      </c>
      <c r="E70" s="96"/>
      <c r="F70" s="96"/>
      <c r="G70" s="237">
        <f>G69*(1-G$64/100+$E67)</f>
        <v>19155038.418496061</v>
      </c>
      <c r="H70" s="237">
        <f t="shared" ref="H70:O70" si="1">H69*(1-H$64/100+$E67)</f>
        <v>27027123.429635309</v>
      </c>
      <c r="I70" s="237">
        <f t="shared" si="1"/>
        <v>55063275.724746279</v>
      </c>
      <c r="J70" s="237">
        <f t="shared" si="1"/>
        <v>283684696.69448799</v>
      </c>
      <c r="K70" s="237">
        <f t="shared" si="1"/>
        <v>320987408.86112219</v>
      </c>
      <c r="L70" s="237">
        <f t="shared" si="1"/>
        <v>16054762.117409118</v>
      </c>
      <c r="M70" s="237">
        <f t="shared" si="1"/>
        <v>265487656.19276568</v>
      </c>
      <c r="N70" s="237">
        <f t="shared" si="1"/>
        <v>16112930.154353118</v>
      </c>
      <c r="O70" s="237">
        <f t="shared" si="1"/>
        <v>4529498.2478878535</v>
      </c>
      <c r="P70" s="231"/>
    </row>
    <row r="71" spans="1:18" s="54" customFormat="1" ht="12.75">
      <c r="B71" s="58"/>
      <c r="G71" s="236"/>
      <c r="H71" s="236"/>
      <c r="I71" s="236"/>
      <c r="J71" s="236"/>
      <c r="K71" s="236"/>
      <c r="L71" s="236"/>
      <c r="M71" s="236"/>
      <c r="N71" s="236"/>
      <c r="O71" s="236"/>
    </row>
    <row r="72" spans="1:18" s="53" customFormat="1" ht="12.75">
      <c r="B72" s="95"/>
      <c r="G72" s="63"/>
      <c r="H72" s="58"/>
      <c r="I72" s="58"/>
      <c r="J72" s="58"/>
      <c r="K72" s="58"/>
      <c r="L72" s="58"/>
      <c r="M72" s="58"/>
      <c r="N72" s="58"/>
      <c r="O72" s="58"/>
    </row>
    <row r="73" spans="1:18" s="9" customFormat="1" ht="12.75">
      <c r="B73" s="8" t="s">
        <v>93</v>
      </c>
    </row>
    <row r="74" spans="1:18" s="58" customFormat="1" ht="12.75">
      <c r="G74" s="60"/>
      <c r="H74" s="60"/>
      <c r="I74" s="60"/>
      <c r="J74" s="60"/>
      <c r="K74" s="60"/>
      <c r="L74" s="60"/>
      <c r="M74" s="60"/>
      <c r="N74" s="60"/>
      <c r="O74" s="60"/>
      <c r="Q74" s="61"/>
    </row>
    <row r="75" spans="1:18" s="54" customFormat="1" ht="12.75">
      <c r="A75" s="53"/>
      <c r="B75" s="54" t="s">
        <v>182</v>
      </c>
      <c r="D75" s="53" t="s">
        <v>99</v>
      </c>
      <c r="G75" s="10">
        <f>G70-G33</f>
        <v>-210910.87681655958</v>
      </c>
      <c r="H75" s="10">
        <f t="shared" ref="H75:O75" si="2">H70-H33</f>
        <v>51745.279062751681</v>
      </c>
      <c r="I75" s="10">
        <f t="shared" si="2"/>
        <v>0.24100656807422638</v>
      </c>
      <c r="J75" s="10">
        <f t="shared" si="2"/>
        <v>60290.45108795166</v>
      </c>
      <c r="K75" s="10">
        <f t="shared" si="2"/>
        <v>13325612.064388156</v>
      </c>
      <c r="L75" s="10">
        <f t="shared" si="2"/>
        <v>-185938.49609901942</v>
      </c>
      <c r="M75" s="10">
        <f t="shared" si="2"/>
        <v>-56225.85695463419</v>
      </c>
      <c r="N75" s="10">
        <f t="shared" si="2"/>
        <v>20650.660606367514</v>
      </c>
      <c r="O75" s="10">
        <f t="shared" si="2"/>
        <v>4320.078965392895</v>
      </c>
    </row>
    <row r="76" spans="1:18" s="54" customFormat="1" ht="12.75">
      <c r="B76" s="91"/>
      <c r="G76" s="92"/>
      <c r="H76" s="92"/>
      <c r="I76" s="92"/>
      <c r="J76" s="92"/>
      <c r="K76" s="92"/>
      <c r="L76" s="92"/>
      <c r="M76" s="92"/>
      <c r="N76" s="92"/>
    </row>
    <row r="77" spans="1:18" s="53" customFormat="1" ht="12.75">
      <c r="B77" s="95"/>
      <c r="G77" s="63"/>
      <c r="H77" s="58"/>
      <c r="I77" s="58"/>
      <c r="J77" s="58"/>
      <c r="K77" s="58"/>
      <c r="L77" s="58"/>
      <c r="M77" s="58"/>
      <c r="N77" s="58"/>
      <c r="O77" s="58"/>
    </row>
    <row r="78" spans="1:18" s="53" customFormat="1" ht="12.75">
      <c r="B78" s="95"/>
      <c r="G78" s="63"/>
      <c r="H78" s="58"/>
      <c r="I78" s="58"/>
      <c r="J78" s="58"/>
      <c r="K78" s="58"/>
      <c r="L78" s="58"/>
      <c r="M78" s="58"/>
      <c r="N78" s="58"/>
      <c r="O78" s="58"/>
    </row>
    <row r="79" spans="1:18" s="53" customFormat="1" ht="12.75">
      <c r="B79" s="95"/>
      <c r="G79" s="63"/>
      <c r="H79" s="58"/>
      <c r="I79" s="58"/>
      <c r="J79" s="58"/>
      <c r="K79" s="58"/>
      <c r="L79" s="58"/>
      <c r="M79" s="58"/>
      <c r="N79" s="58"/>
      <c r="O79" s="58"/>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Q126"/>
  <sheetViews>
    <sheetView showGridLines="0" zoomScale="80" zoomScaleNormal="80" workbookViewId="0">
      <pane xSplit="4" ySplit="2" topLeftCell="E3" activePane="bottomRight" state="frozen"/>
      <selection pane="topRight" activeCell="E1" sqref="E1"/>
      <selection pane="bottomLeft" activeCell="A3" sqref="A3"/>
      <selection pane="bottomRight" activeCell="E3" sqref="E3"/>
    </sheetView>
  </sheetViews>
  <sheetFormatPr defaultRowHeight="15"/>
  <cols>
    <col min="1" max="1" width="4.85546875" style="98" customWidth="1"/>
    <col min="2" max="2" width="62.140625" style="98" customWidth="1"/>
    <col min="3" max="3" width="4.5703125" style="98" customWidth="1"/>
    <col min="4" max="4" width="21.140625" style="98" customWidth="1"/>
    <col min="5" max="5" width="16.140625" style="98" customWidth="1"/>
    <col min="6" max="6" width="2.7109375" style="98" customWidth="1"/>
    <col min="7" max="15" width="17.140625" style="98" customWidth="1"/>
    <col min="16" max="16384" width="9.140625" style="98"/>
  </cols>
  <sheetData>
    <row r="2" spans="1:15" s="48" customFormat="1" ht="15.75">
      <c r="B2" s="123" t="s">
        <v>183</v>
      </c>
      <c r="C2" s="123"/>
      <c r="D2" s="123"/>
      <c r="E2" s="123"/>
      <c r="G2" s="11" t="s">
        <v>0</v>
      </c>
      <c r="H2" s="11" t="s">
        <v>1</v>
      </c>
      <c r="I2" s="11" t="s">
        <v>2</v>
      </c>
      <c r="J2" s="11" t="s">
        <v>3</v>
      </c>
      <c r="K2" s="11" t="s">
        <v>4</v>
      </c>
      <c r="L2" s="11" t="s">
        <v>5</v>
      </c>
      <c r="M2" s="11" t="s">
        <v>6</v>
      </c>
      <c r="N2" s="11" t="s">
        <v>7</v>
      </c>
      <c r="O2" s="11" t="s">
        <v>8</v>
      </c>
    </row>
    <row r="4" spans="1:15" s="16" customFormat="1" ht="12.75">
      <c r="B4" s="30" t="s">
        <v>16</v>
      </c>
    </row>
    <row r="5" spans="1:15" s="31" customFormat="1" ht="12.75"/>
    <row r="6" spans="1:15" s="31" customFormat="1" ht="30.75" customHeight="1">
      <c r="B6" s="283" t="s">
        <v>120</v>
      </c>
      <c r="C6" s="283"/>
      <c r="D6" s="283"/>
      <c r="E6" s="283"/>
      <c r="F6" s="283"/>
      <c r="G6" s="283"/>
      <c r="H6" s="283"/>
      <c r="I6" s="283"/>
      <c r="J6" s="283"/>
      <c r="K6" s="283"/>
      <c r="L6" s="283"/>
    </row>
    <row r="7" spans="1:15" s="31" customFormat="1" ht="12.75">
      <c r="B7" s="137"/>
      <c r="C7" s="113"/>
      <c r="D7" s="113"/>
      <c r="E7" s="113"/>
      <c r="F7" s="138"/>
      <c r="G7" s="138"/>
      <c r="H7" s="138"/>
      <c r="I7" s="138"/>
      <c r="J7" s="138"/>
      <c r="K7" s="138"/>
      <c r="L7" s="138"/>
    </row>
    <row r="8" spans="1:15" s="31" customFormat="1" ht="12.75">
      <c r="B8" s="283" t="s">
        <v>117</v>
      </c>
      <c r="C8" s="283"/>
      <c r="D8" s="283"/>
      <c r="E8" s="283"/>
      <c r="F8" s="283"/>
      <c r="G8" s="283"/>
      <c r="H8" s="283"/>
      <c r="I8" s="283"/>
      <c r="J8" s="283"/>
      <c r="K8" s="283"/>
      <c r="L8" s="283"/>
    </row>
    <row r="9" spans="1:15" s="31" customFormat="1" ht="12.75">
      <c r="B9" s="137"/>
      <c r="C9" s="113"/>
      <c r="D9" s="113"/>
      <c r="E9" s="113"/>
      <c r="F9" s="138"/>
      <c r="G9" s="138"/>
      <c r="H9" s="138"/>
      <c r="I9" s="138"/>
      <c r="J9" s="138"/>
      <c r="K9" s="138"/>
      <c r="L9" s="138"/>
    </row>
    <row r="10" spans="1:15" s="31" customFormat="1" ht="42.75" customHeight="1">
      <c r="B10" s="284" t="s">
        <v>184</v>
      </c>
      <c r="C10" s="284"/>
      <c r="D10" s="284"/>
      <c r="E10" s="284"/>
      <c r="F10" s="284"/>
      <c r="G10" s="284"/>
      <c r="H10" s="284"/>
      <c r="I10" s="284"/>
      <c r="J10" s="284"/>
      <c r="K10" s="284"/>
      <c r="L10" s="284"/>
    </row>
    <row r="11" spans="1:15" s="31" customFormat="1" ht="12.75">
      <c r="B11" s="116"/>
      <c r="C11" s="117"/>
    </row>
    <row r="12" spans="1:15" s="16" customFormat="1" ht="12.75">
      <c r="B12" s="30" t="s">
        <v>32</v>
      </c>
    </row>
    <row r="13" spans="1:15" s="31" customFormat="1" ht="12.75">
      <c r="B13" s="118"/>
      <c r="C13" s="119"/>
    </row>
    <row r="14" spans="1:15" s="31" customFormat="1" ht="12.75">
      <c r="B14" s="120" t="s">
        <v>94</v>
      </c>
    </row>
    <row r="15" spans="1:15" s="31" customFormat="1" ht="12.75">
      <c r="B15" s="120"/>
    </row>
    <row r="16" spans="1:15" s="31" customFormat="1" ht="12.75">
      <c r="A16" s="225"/>
      <c r="B16" s="120" t="s">
        <v>95</v>
      </c>
    </row>
    <row r="17" spans="2:17" s="31" customFormat="1" ht="12.75">
      <c r="B17" s="120"/>
    </row>
    <row r="18" spans="2:17" s="31" customFormat="1" ht="12.75">
      <c r="B18" s="124" t="s">
        <v>33</v>
      </c>
      <c r="D18" s="121"/>
      <c r="E18" s="121"/>
    </row>
    <row r="19" spans="2:17" s="31" customFormat="1" ht="12.75">
      <c r="B19" s="15" t="s">
        <v>34</v>
      </c>
      <c r="D19" s="31" t="s">
        <v>74</v>
      </c>
      <c r="G19" s="181">
        <v>0</v>
      </c>
      <c r="H19" s="181">
        <v>7.333333333333333</v>
      </c>
      <c r="I19" s="181">
        <v>28.666666666666668</v>
      </c>
      <c r="J19" s="181">
        <v>18</v>
      </c>
      <c r="K19" s="181">
        <v>51.333333333333336</v>
      </c>
      <c r="L19" s="181">
        <v>1</v>
      </c>
      <c r="M19" s="181">
        <v>54.333333333333336</v>
      </c>
      <c r="N19" s="181">
        <v>0</v>
      </c>
      <c r="O19" s="181">
        <v>0</v>
      </c>
      <c r="Q19" s="31" t="s">
        <v>116</v>
      </c>
    </row>
    <row r="20" spans="2:17" s="31" customFormat="1" ht="12.75">
      <c r="B20" s="15" t="s">
        <v>35</v>
      </c>
      <c r="D20" s="31" t="s">
        <v>74</v>
      </c>
      <c r="G20" s="181">
        <v>0</v>
      </c>
      <c r="H20" s="181">
        <v>31.666666666666668</v>
      </c>
      <c r="I20" s="181">
        <v>509.66666666666669</v>
      </c>
      <c r="J20" s="181">
        <v>578.33333333333337</v>
      </c>
      <c r="K20" s="181">
        <v>926.33333333333337</v>
      </c>
      <c r="L20" s="181">
        <v>23</v>
      </c>
      <c r="M20" s="181">
        <v>901.66666666666663</v>
      </c>
      <c r="N20" s="181">
        <v>21.333333333333332</v>
      </c>
      <c r="O20" s="181">
        <v>0</v>
      </c>
    </row>
    <row r="21" spans="2:17" s="31" customFormat="1" ht="12.75">
      <c r="B21" s="15" t="s">
        <v>36</v>
      </c>
      <c r="D21" s="31" t="s">
        <v>74</v>
      </c>
      <c r="G21" s="181">
        <v>22.666666666666668</v>
      </c>
      <c r="H21" s="181">
        <v>22</v>
      </c>
      <c r="I21" s="181">
        <v>248.33333333333334</v>
      </c>
      <c r="J21" s="181">
        <v>475.33333333333331</v>
      </c>
      <c r="K21" s="181">
        <v>-2022.6666666666667</v>
      </c>
      <c r="L21" s="181">
        <v>39</v>
      </c>
      <c r="M21" s="181">
        <v>1163</v>
      </c>
      <c r="N21" s="181">
        <v>0</v>
      </c>
      <c r="O21" s="181">
        <v>0</v>
      </c>
    </row>
    <row r="22" spans="2:17" s="31" customFormat="1" ht="12.75">
      <c r="B22" s="15" t="s">
        <v>37</v>
      </c>
      <c r="D22" s="31" t="s">
        <v>74</v>
      </c>
      <c r="G22" s="181">
        <v>13.666666666666666</v>
      </c>
      <c r="H22" s="181">
        <v>12.666666666666666</v>
      </c>
      <c r="I22" s="181">
        <v>-88.666666666666671</v>
      </c>
      <c r="J22" s="181">
        <v>-7.333333333333333</v>
      </c>
      <c r="K22" s="181">
        <v>872.66666666666663</v>
      </c>
      <c r="L22" s="181">
        <v>5</v>
      </c>
      <c r="M22" s="181">
        <v>-90.666666666666671</v>
      </c>
      <c r="N22" s="181">
        <v>-17.333333333333332</v>
      </c>
      <c r="O22" s="181">
        <v>0</v>
      </c>
    </row>
    <row r="23" spans="2:17" s="31" customFormat="1" ht="12.75">
      <c r="B23" s="15" t="s">
        <v>38</v>
      </c>
      <c r="D23" s="31" t="s">
        <v>74</v>
      </c>
      <c r="G23" s="181">
        <v>-36.333333333333336</v>
      </c>
      <c r="H23" s="181">
        <v>-63</v>
      </c>
      <c r="I23" s="181">
        <v>-541.33333333333337</v>
      </c>
      <c r="J23" s="181">
        <v>-1050</v>
      </c>
      <c r="K23" s="181">
        <v>-732.66666666666663</v>
      </c>
      <c r="L23" s="181">
        <v>-44</v>
      </c>
      <c r="M23" s="181">
        <v>-1529.6666666666667</v>
      </c>
      <c r="N23" s="181">
        <v>-3.3333333333333335</v>
      </c>
      <c r="O23" s="181">
        <v>0</v>
      </c>
    </row>
    <row r="24" spans="2:17" s="31" customFormat="1" ht="12.75">
      <c r="B24" s="15" t="s">
        <v>39</v>
      </c>
      <c r="D24" s="31" t="s">
        <v>74</v>
      </c>
      <c r="G24" s="181">
        <v>0</v>
      </c>
      <c r="H24" s="181">
        <v>-10.666666666666666</v>
      </c>
      <c r="I24" s="181">
        <v>-156.66666666666666</v>
      </c>
      <c r="J24" s="181">
        <v>-14.333333333333334</v>
      </c>
      <c r="K24" s="181">
        <v>905</v>
      </c>
      <c r="L24" s="181">
        <v>-24</v>
      </c>
      <c r="M24" s="181">
        <v>-498.66666666666669</v>
      </c>
      <c r="N24" s="181">
        <v>-0.66666666666666663</v>
      </c>
      <c r="O24" s="181">
        <v>0</v>
      </c>
    </row>
    <row r="25" spans="2:17" s="31" customFormat="1" ht="12.75">
      <c r="B25" s="15"/>
      <c r="G25" s="180"/>
      <c r="H25" s="180"/>
      <c r="I25" s="180"/>
      <c r="J25" s="180"/>
      <c r="K25" s="180"/>
      <c r="L25" s="180"/>
      <c r="M25" s="180"/>
      <c r="N25" s="180"/>
      <c r="O25" s="180"/>
    </row>
    <row r="26" spans="2:17" s="31" customFormat="1" ht="12.75">
      <c r="B26" s="124" t="s">
        <v>40</v>
      </c>
      <c r="G26" s="179"/>
      <c r="H26" s="179"/>
      <c r="I26" s="179"/>
      <c r="J26" s="179"/>
      <c r="K26" s="179"/>
      <c r="L26" s="179"/>
      <c r="M26" s="179"/>
      <c r="N26" s="179"/>
      <c r="O26" s="179"/>
    </row>
    <row r="27" spans="2:17" s="31" customFormat="1" ht="12.75">
      <c r="B27" s="15" t="s">
        <v>41</v>
      </c>
      <c r="D27" s="31" t="s">
        <v>74</v>
      </c>
      <c r="G27" s="182">
        <v>0</v>
      </c>
      <c r="H27" s="182">
        <v>0</v>
      </c>
      <c r="I27" s="182">
        <v>0</v>
      </c>
      <c r="J27" s="182">
        <v>0</v>
      </c>
      <c r="K27" s="182">
        <v>0</v>
      </c>
      <c r="L27" s="182">
        <v>0</v>
      </c>
      <c r="M27" s="182">
        <v>0</v>
      </c>
      <c r="N27" s="182">
        <v>0</v>
      </c>
      <c r="O27" s="182">
        <v>0</v>
      </c>
    </row>
    <row r="28" spans="2:17" s="31" customFormat="1" ht="12.75">
      <c r="B28" s="15"/>
      <c r="G28" s="179"/>
      <c r="H28" s="179"/>
      <c r="I28" s="179"/>
      <c r="J28" s="179"/>
      <c r="K28" s="179"/>
      <c r="L28" s="179"/>
      <c r="M28" s="179"/>
      <c r="N28" s="179"/>
      <c r="O28" s="179"/>
    </row>
    <row r="29" spans="2:17" s="31" customFormat="1" ht="12.75">
      <c r="B29" s="124" t="s">
        <v>96</v>
      </c>
      <c r="D29" s="121"/>
      <c r="E29" s="121"/>
      <c r="G29" s="179"/>
      <c r="H29" s="179"/>
      <c r="I29" s="179"/>
      <c r="J29" s="179"/>
      <c r="K29" s="179"/>
      <c r="L29" s="179"/>
      <c r="M29" s="179"/>
      <c r="N29" s="179"/>
      <c r="O29" s="179"/>
    </row>
    <row r="30" spans="2:17" s="31" customFormat="1" ht="12.75">
      <c r="B30" s="15" t="s">
        <v>42</v>
      </c>
      <c r="D30" s="31" t="s">
        <v>74</v>
      </c>
      <c r="G30" s="181">
        <v>22.666666666666668</v>
      </c>
      <c r="H30" s="181">
        <v>61</v>
      </c>
      <c r="I30" s="181">
        <v>786.66666666666663</v>
      </c>
      <c r="J30" s="181">
        <v>906.33333333333337</v>
      </c>
      <c r="K30" s="181">
        <v>-1045</v>
      </c>
      <c r="L30" s="181">
        <v>63</v>
      </c>
      <c r="M30" s="181">
        <v>2119</v>
      </c>
      <c r="N30" s="181">
        <v>21.333333333333332</v>
      </c>
      <c r="O30" s="181">
        <v>0</v>
      </c>
    </row>
    <row r="31" spans="2:17" s="31" customFormat="1" ht="12.75">
      <c r="B31" s="15" t="s">
        <v>43</v>
      </c>
      <c r="D31" s="31" t="s">
        <v>74</v>
      </c>
      <c r="G31" s="182">
        <v>13.666666666666666</v>
      </c>
      <c r="H31" s="182">
        <v>12.666666666666666</v>
      </c>
      <c r="I31" s="182">
        <v>-88.666666666666671</v>
      </c>
      <c r="J31" s="182">
        <v>-7.333333333333333</v>
      </c>
      <c r="K31" s="182">
        <v>872.66666666666663</v>
      </c>
      <c r="L31" s="182">
        <v>5</v>
      </c>
      <c r="M31" s="182">
        <v>-90.666666666666671</v>
      </c>
      <c r="N31" s="182">
        <v>-17.333333333333332</v>
      </c>
      <c r="O31" s="182">
        <v>0</v>
      </c>
    </row>
    <row r="32" spans="2:17" s="31" customFormat="1" ht="12.75">
      <c r="B32" s="15" t="s">
        <v>44</v>
      </c>
      <c r="D32" s="31" t="s">
        <v>74</v>
      </c>
      <c r="G32" s="181">
        <v>-36.333333333333336</v>
      </c>
      <c r="H32" s="181">
        <v>-63</v>
      </c>
      <c r="I32" s="181">
        <v>-541.33333333333337</v>
      </c>
      <c r="J32" s="181">
        <v>-1050</v>
      </c>
      <c r="K32" s="181">
        <v>-732.66666666666663</v>
      </c>
      <c r="L32" s="181">
        <v>-44</v>
      </c>
      <c r="M32" s="181">
        <v>-1529.6666666666667</v>
      </c>
      <c r="N32" s="181">
        <v>-3.3333333333333335</v>
      </c>
      <c r="O32" s="181">
        <v>0</v>
      </c>
    </row>
    <row r="33" spans="2:17" s="31" customFormat="1" ht="12.75">
      <c r="B33" s="15" t="s">
        <v>45</v>
      </c>
      <c r="D33" s="31" t="s">
        <v>74</v>
      </c>
      <c r="G33" s="181">
        <v>0</v>
      </c>
      <c r="H33" s="181">
        <v>-10.666666666666666</v>
      </c>
      <c r="I33" s="181">
        <v>-156.66666666666666</v>
      </c>
      <c r="J33" s="181">
        <v>-14.333333333333334</v>
      </c>
      <c r="K33" s="181">
        <v>905</v>
      </c>
      <c r="L33" s="181">
        <v>-24</v>
      </c>
      <c r="M33" s="181">
        <v>-498.66666666666669</v>
      </c>
      <c r="N33" s="181">
        <v>-0.66666666666666663</v>
      </c>
      <c r="O33" s="181">
        <v>0</v>
      </c>
    </row>
    <row r="34" spans="2:17" s="31" customFormat="1" ht="12.75"/>
    <row r="35" spans="2:17" s="31" customFormat="1" ht="12.75">
      <c r="B35" s="121" t="s">
        <v>185</v>
      </c>
    </row>
    <row r="36" spans="2:17" s="31" customFormat="1" ht="12.75"/>
    <row r="37" spans="2:17" s="31" customFormat="1" ht="12.75">
      <c r="B37" s="124" t="s">
        <v>33</v>
      </c>
      <c r="D37" s="121"/>
      <c r="E37" s="126" t="s">
        <v>46</v>
      </c>
    </row>
    <row r="38" spans="2:17" s="31" customFormat="1" ht="12.75">
      <c r="B38" s="94" t="s">
        <v>97</v>
      </c>
      <c r="D38" s="121"/>
      <c r="E38" s="126"/>
      <c r="G38" s="193">
        <v>22.559899999999999</v>
      </c>
      <c r="H38" s="193">
        <v>22.86</v>
      </c>
      <c r="I38" s="193">
        <v>21.447600000000001</v>
      </c>
      <c r="J38" s="193">
        <v>22.726500000000001</v>
      </c>
      <c r="K38" s="193">
        <v>22.6554</v>
      </c>
      <c r="L38" s="193">
        <v>28.88</v>
      </c>
      <c r="M38" s="193">
        <v>21.8081</v>
      </c>
      <c r="N38" s="193">
        <v>18.614999999999998</v>
      </c>
      <c r="O38" s="108"/>
      <c r="Q38" s="31" t="s">
        <v>214</v>
      </c>
    </row>
    <row r="39" spans="2:17" s="31" customFormat="1" ht="12.75">
      <c r="B39" s="15" t="s">
        <v>34</v>
      </c>
      <c r="D39" s="31" t="s">
        <v>75</v>
      </c>
      <c r="E39" s="194">
        <v>1.5</v>
      </c>
      <c r="G39" s="127">
        <f>$E39*G$38</f>
        <v>33.839849999999998</v>
      </c>
      <c r="H39" s="127">
        <f t="shared" ref="H39:O39" si="0">$E39*H$38</f>
        <v>34.29</v>
      </c>
      <c r="I39" s="127">
        <f t="shared" si="0"/>
        <v>32.171400000000006</v>
      </c>
      <c r="J39" s="127">
        <f t="shared" si="0"/>
        <v>34.089750000000002</v>
      </c>
      <c r="K39" s="127">
        <f t="shared" si="0"/>
        <v>33.9831</v>
      </c>
      <c r="L39" s="127">
        <f t="shared" si="0"/>
        <v>43.32</v>
      </c>
      <c r="M39" s="127">
        <f t="shared" si="0"/>
        <v>32.712150000000001</v>
      </c>
      <c r="N39" s="127">
        <f t="shared" si="0"/>
        <v>27.922499999999999</v>
      </c>
      <c r="O39" s="127">
        <f t="shared" si="0"/>
        <v>0</v>
      </c>
    </row>
    <row r="40" spans="2:17" s="31" customFormat="1" ht="12.75">
      <c r="B40" s="15" t="s">
        <v>35</v>
      </c>
      <c r="D40" s="31" t="s">
        <v>75</v>
      </c>
      <c r="E40" s="194">
        <v>3</v>
      </c>
      <c r="G40" s="127">
        <f t="shared" ref="G40:O44" si="1">$E40*G$38</f>
        <v>67.679699999999997</v>
      </c>
      <c r="H40" s="127">
        <f t="shared" si="1"/>
        <v>68.58</v>
      </c>
      <c r="I40" s="127">
        <f t="shared" si="1"/>
        <v>64.342800000000011</v>
      </c>
      <c r="J40" s="127">
        <f t="shared" si="1"/>
        <v>68.179500000000004</v>
      </c>
      <c r="K40" s="127">
        <f t="shared" si="1"/>
        <v>67.966200000000001</v>
      </c>
      <c r="L40" s="127">
        <f t="shared" si="1"/>
        <v>86.64</v>
      </c>
      <c r="M40" s="127">
        <f t="shared" si="1"/>
        <v>65.424300000000002</v>
      </c>
      <c r="N40" s="127">
        <f t="shared" si="1"/>
        <v>55.844999999999999</v>
      </c>
      <c r="O40" s="127">
        <f t="shared" si="1"/>
        <v>0</v>
      </c>
    </row>
    <row r="41" spans="2:17" s="31" customFormat="1" ht="12.75">
      <c r="B41" s="15" t="s">
        <v>36</v>
      </c>
      <c r="D41" s="31" t="s">
        <v>75</v>
      </c>
      <c r="E41" s="194">
        <v>6</v>
      </c>
      <c r="G41" s="127">
        <f t="shared" si="1"/>
        <v>135.35939999999999</v>
      </c>
      <c r="H41" s="127">
        <f t="shared" si="1"/>
        <v>137.16</v>
      </c>
      <c r="I41" s="127">
        <f t="shared" si="1"/>
        <v>128.68560000000002</v>
      </c>
      <c r="J41" s="127">
        <f t="shared" si="1"/>
        <v>136.35900000000001</v>
      </c>
      <c r="K41" s="127">
        <f t="shared" si="1"/>
        <v>135.9324</v>
      </c>
      <c r="L41" s="127">
        <f t="shared" si="1"/>
        <v>173.28</v>
      </c>
      <c r="M41" s="127">
        <f t="shared" si="1"/>
        <v>130.8486</v>
      </c>
      <c r="N41" s="127">
        <f t="shared" si="1"/>
        <v>111.69</v>
      </c>
      <c r="O41" s="127">
        <f t="shared" si="1"/>
        <v>0</v>
      </c>
    </row>
    <row r="42" spans="2:17" s="31" customFormat="1" ht="12.75">
      <c r="B42" s="15" t="s">
        <v>37</v>
      </c>
      <c r="D42" s="31" t="s">
        <v>75</v>
      </c>
      <c r="E42" s="194">
        <v>10</v>
      </c>
      <c r="G42" s="127">
        <f t="shared" si="1"/>
        <v>225.59899999999999</v>
      </c>
      <c r="H42" s="127">
        <f t="shared" si="1"/>
        <v>228.6</v>
      </c>
      <c r="I42" s="127">
        <f t="shared" si="1"/>
        <v>214.476</v>
      </c>
      <c r="J42" s="127">
        <f t="shared" si="1"/>
        <v>227.26500000000001</v>
      </c>
      <c r="K42" s="127">
        <f t="shared" si="1"/>
        <v>226.554</v>
      </c>
      <c r="L42" s="127">
        <f t="shared" si="1"/>
        <v>288.8</v>
      </c>
      <c r="M42" s="127">
        <f t="shared" si="1"/>
        <v>218.08099999999999</v>
      </c>
      <c r="N42" s="127">
        <f t="shared" si="1"/>
        <v>186.14999999999998</v>
      </c>
      <c r="O42" s="127">
        <f t="shared" si="1"/>
        <v>0</v>
      </c>
    </row>
    <row r="43" spans="2:17" s="31" customFormat="1" ht="12.75">
      <c r="B43" s="15" t="s">
        <v>38</v>
      </c>
      <c r="D43" s="31" t="s">
        <v>75</v>
      </c>
      <c r="E43" s="194">
        <v>16</v>
      </c>
      <c r="G43" s="127">
        <f t="shared" si="1"/>
        <v>360.95839999999998</v>
      </c>
      <c r="H43" s="127">
        <f t="shared" si="1"/>
        <v>365.76</v>
      </c>
      <c r="I43" s="127">
        <f t="shared" si="1"/>
        <v>343.16160000000002</v>
      </c>
      <c r="J43" s="127">
        <f t="shared" si="1"/>
        <v>363.62400000000002</v>
      </c>
      <c r="K43" s="127">
        <f t="shared" si="1"/>
        <v>362.4864</v>
      </c>
      <c r="L43" s="127">
        <f t="shared" si="1"/>
        <v>462.08</v>
      </c>
      <c r="M43" s="127">
        <f t="shared" si="1"/>
        <v>348.92959999999999</v>
      </c>
      <c r="N43" s="127">
        <f t="shared" si="1"/>
        <v>297.83999999999997</v>
      </c>
      <c r="O43" s="127">
        <f t="shared" si="1"/>
        <v>0</v>
      </c>
    </row>
    <row r="44" spans="2:17" s="31" customFormat="1" ht="12.75">
      <c r="B44" s="15" t="s">
        <v>39</v>
      </c>
      <c r="D44" s="31" t="s">
        <v>75</v>
      </c>
      <c r="E44" s="194">
        <v>25</v>
      </c>
      <c r="G44" s="127">
        <f t="shared" si="1"/>
        <v>563.99749999999995</v>
      </c>
      <c r="H44" s="127">
        <f t="shared" si="1"/>
        <v>571.5</v>
      </c>
      <c r="I44" s="127">
        <f t="shared" si="1"/>
        <v>536.19000000000005</v>
      </c>
      <c r="J44" s="127">
        <f t="shared" si="1"/>
        <v>568.16250000000002</v>
      </c>
      <c r="K44" s="127">
        <f t="shared" si="1"/>
        <v>566.38499999999999</v>
      </c>
      <c r="L44" s="127">
        <f t="shared" si="1"/>
        <v>722</v>
      </c>
      <c r="M44" s="127">
        <f t="shared" si="1"/>
        <v>545.20249999999999</v>
      </c>
      <c r="N44" s="127">
        <f t="shared" si="1"/>
        <v>465.37499999999994</v>
      </c>
      <c r="O44" s="127">
        <f t="shared" si="1"/>
        <v>0</v>
      </c>
    </row>
    <row r="45" spans="2:17" s="31" customFormat="1" ht="12.75">
      <c r="B45" s="15"/>
      <c r="G45" s="125"/>
      <c r="H45" s="125"/>
      <c r="I45" s="125"/>
      <c r="J45" s="125"/>
      <c r="K45" s="125"/>
      <c r="L45" s="125"/>
      <c r="M45" s="125"/>
      <c r="N45" s="125"/>
      <c r="O45" s="125"/>
    </row>
    <row r="46" spans="2:17" s="31" customFormat="1" ht="12.75">
      <c r="B46" s="124" t="s">
        <v>40</v>
      </c>
      <c r="G46" s="128"/>
      <c r="H46" s="128"/>
      <c r="I46" s="128"/>
      <c r="J46" s="128"/>
      <c r="K46" s="128"/>
      <c r="L46" s="128"/>
      <c r="M46" s="128"/>
      <c r="N46" s="128"/>
      <c r="O46" s="128"/>
    </row>
    <row r="47" spans="2:17" s="31" customFormat="1" ht="12.75">
      <c r="B47" s="15" t="s">
        <v>41</v>
      </c>
      <c r="D47" s="31" t="s">
        <v>75</v>
      </c>
      <c r="G47" s="195">
        <v>18</v>
      </c>
      <c r="H47" s="195">
        <v>18</v>
      </c>
      <c r="I47" s="195">
        <v>18.007200000000001</v>
      </c>
      <c r="J47" s="195">
        <v>18</v>
      </c>
      <c r="K47" s="195">
        <v>18.007200000000001</v>
      </c>
      <c r="L47" s="195">
        <v>18</v>
      </c>
      <c r="M47" s="195">
        <v>18</v>
      </c>
      <c r="N47" s="195">
        <v>18</v>
      </c>
      <c r="O47" s="129"/>
      <c r="Q47" s="31" t="s">
        <v>214</v>
      </c>
    </row>
    <row r="48" spans="2:17" s="31" customFormat="1" ht="12.75">
      <c r="B48" s="15"/>
      <c r="G48" s="128"/>
      <c r="H48" s="128"/>
      <c r="I48" s="128"/>
      <c r="J48" s="128"/>
      <c r="K48" s="128"/>
      <c r="L48" s="128"/>
      <c r="M48" s="128"/>
      <c r="N48" s="128"/>
      <c r="O48" s="128"/>
    </row>
    <row r="49" spans="2:17" s="31" customFormat="1" ht="12.75">
      <c r="B49" s="124" t="s">
        <v>96</v>
      </c>
      <c r="D49" s="121"/>
      <c r="E49" s="121"/>
      <c r="G49" s="128"/>
      <c r="H49" s="128"/>
      <c r="I49" s="128"/>
      <c r="J49" s="128"/>
      <c r="K49" s="128"/>
      <c r="L49" s="128"/>
      <c r="M49" s="128"/>
      <c r="N49" s="128"/>
      <c r="O49" s="128"/>
    </row>
    <row r="50" spans="2:17" s="31" customFormat="1" ht="12.75">
      <c r="B50" s="15" t="s">
        <v>42</v>
      </c>
      <c r="D50" s="31" t="s">
        <v>75</v>
      </c>
      <c r="G50" s="193">
        <v>16.55</v>
      </c>
      <c r="H50" s="193">
        <v>16.079999999999998</v>
      </c>
      <c r="I50" s="193">
        <v>19.3614</v>
      </c>
      <c r="J50" s="193">
        <v>15.28</v>
      </c>
      <c r="K50" s="193">
        <v>20.861999999999998</v>
      </c>
      <c r="L50" s="193">
        <v>14.63</v>
      </c>
      <c r="M50" s="193">
        <v>20.891200000000001</v>
      </c>
      <c r="N50" s="193">
        <v>9.6</v>
      </c>
      <c r="O50" s="108"/>
      <c r="Q50" s="31" t="s">
        <v>214</v>
      </c>
    </row>
    <row r="51" spans="2:17" s="31" customFormat="1" ht="12.75">
      <c r="B51" s="15" t="s">
        <v>43</v>
      </c>
      <c r="D51" s="31" t="s">
        <v>75</v>
      </c>
      <c r="G51" s="195">
        <v>37.409999999999997</v>
      </c>
      <c r="H51" s="195">
        <v>32.28</v>
      </c>
      <c r="I51" s="195">
        <v>43.480800000000002</v>
      </c>
      <c r="J51" s="195">
        <v>26.31</v>
      </c>
      <c r="K51" s="195">
        <v>38.978999999999999</v>
      </c>
      <c r="L51" s="195">
        <v>34</v>
      </c>
      <c r="M51" s="195">
        <v>41.678800000000003</v>
      </c>
      <c r="N51" s="195">
        <v>9.6</v>
      </c>
      <c r="O51" s="129"/>
    </row>
    <row r="52" spans="2:17" s="31" customFormat="1" ht="12.75">
      <c r="B52" s="15" t="s">
        <v>44</v>
      </c>
      <c r="D52" s="31" t="s">
        <v>75</v>
      </c>
      <c r="G52" s="193">
        <v>37.5</v>
      </c>
      <c r="H52" s="193">
        <v>34.92</v>
      </c>
      <c r="I52" s="193">
        <v>43.480800000000002</v>
      </c>
      <c r="J52" s="193">
        <v>26.31</v>
      </c>
      <c r="K52" s="193">
        <v>40.150199999999998</v>
      </c>
      <c r="L52" s="193">
        <v>34</v>
      </c>
      <c r="M52" s="193">
        <v>43.339599999999997</v>
      </c>
      <c r="N52" s="193">
        <v>9.6</v>
      </c>
      <c r="O52" s="108"/>
    </row>
    <row r="53" spans="2:17" s="31" customFormat="1" ht="12.75">
      <c r="B53" s="15" t="s">
        <v>45</v>
      </c>
      <c r="D53" s="31" t="s">
        <v>75</v>
      </c>
      <c r="G53" s="193">
        <v>46.81</v>
      </c>
      <c r="H53" s="193">
        <v>57.84</v>
      </c>
      <c r="I53" s="193">
        <v>57.791400000000003</v>
      </c>
      <c r="J53" s="193">
        <v>32.9</v>
      </c>
      <c r="K53" s="193">
        <v>68.1858</v>
      </c>
      <c r="L53" s="193">
        <v>46</v>
      </c>
      <c r="M53" s="193">
        <v>70.5124</v>
      </c>
      <c r="N53" s="193">
        <v>9.6</v>
      </c>
      <c r="O53" s="108"/>
    </row>
    <row r="54" spans="2:17" s="31" customFormat="1" ht="12.75"/>
    <row r="55" spans="2:17" s="31" customFormat="1" ht="12.75">
      <c r="B55" s="121" t="s">
        <v>98</v>
      </c>
      <c r="D55" s="31" t="s">
        <v>75</v>
      </c>
      <c r="G55" s="115">
        <f>SUMPRODUCT(G19:G33,G39:G53)</f>
        <v>-7439.5858000000017</v>
      </c>
      <c r="H55" s="115">
        <f>SUMPRODUCT(H19:H33,H39:H53)</f>
        <v>-22229.759999999995</v>
      </c>
      <c r="I55" s="115">
        <f t="shared" ref="I55:O55" si="2">SUMPRODUCT(I19:I33,I39:I53)</f>
        <v>-244328.15560000003</v>
      </c>
      <c r="J55" s="115">
        <f t="shared" si="2"/>
        <v>-301196.63483333332</v>
      </c>
      <c r="K55" s="115">
        <f t="shared" si="2"/>
        <v>278967.05439999991</v>
      </c>
      <c r="L55" s="115">
        <f t="shared" si="2"/>
        <v>-28929.870000000003</v>
      </c>
      <c r="M55" s="115">
        <f t="shared" si="2"/>
        <v>-673415.52635000017</v>
      </c>
      <c r="N55" s="115">
        <f t="shared" si="2"/>
        <v>-3338.2899999999995</v>
      </c>
      <c r="O55" s="114">
        <f t="shared" si="2"/>
        <v>0</v>
      </c>
    </row>
    <row r="56" spans="2:17" s="31" customFormat="1" ht="12.75"/>
    <row r="57" spans="2:17" s="31" customFormat="1" ht="12.75">
      <c r="B57" s="37" t="s">
        <v>186</v>
      </c>
      <c r="D57" s="31" t="s">
        <v>75</v>
      </c>
      <c r="G57" s="130">
        <f>-1*G55</f>
        <v>7439.5858000000017</v>
      </c>
      <c r="H57" s="130">
        <f t="shared" ref="H57:O57" si="3">-1*H55</f>
        <v>22229.759999999995</v>
      </c>
      <c r="I57" s="130">
        <f t="shared" si="3"/>
        <v>244328.15560000003</v>
      </c>
      <c r="J57" s="130">
        <f t="shared" si="3"/>
        <v>301196.63483333332</v>
      </c>
      <c r="K57" s="130">
        <f t="shared" si="3"/>
        <v>-278967.05439999991</v>
      </c>
      <c r="L57" s="130">
        <f t="shared" si="3"/>
        <v>28929.870000000003</v>
      </c>
      <c r="M57" s="130">
        <f t="shared" si="3"/>
        <v>673415.52635000017</v>
      </c>
      <c r="N57" s="130">
        <f t="shared" si="3"/>
        <v>3338.2899999999995</v>
      </c>
      <c r="O57" s="130">
        <f t="shared" si="3"/>
        <v>0</v>
      </c>
    </row>
    <row r="58" spans="2:17" s="31" customFormat="1" ht="12.75"/>
    <row r="59" spans="2:17" s="31" customFormat="1" ht="12.75"/>
    <row r="60" spans="2:17" s="31" customFormat="1" ht="12.75"/>
    <row r="61" spans="2:17" s="31" customFormat="1" ht="12.75"/>
    <row r="62" spans="2:17" s="31" customFormat="1" ht="12.75"/>
    <row r="63" spans="2:17" s="31" customFormat="1" ht="12.75"/>
    <row r="64" spans="2:17" s="31" customFormat="1" ht="12.75"/>
    <row r="65" s="31" customFormat="1" ht="12.75"/>
    <row r="66" s="31" customFormat="1" ht="12.75"/>
    <row r="67" s="31" customFormat="1" ht="12.75"/>
    <row r="68" s="31" customFormat="1" ht="12.75"/>
    <row r="69" s="31" customFormat="1" ht="12.75"/>
    <row r="70" s="31" customFormat="1" ht="12.75"/>
    <row r="71" s="31" customFormat="1" ht="12.75"/>
    <row r="72" s="31" customFormat="1" ht="12.75"/>
    <row r="73" s="31" customFormat="1" ht="12.75"/>
    <row r="74" s="31" customFormat="1" ht="12.75"/>
    <row r="75" s="31" customFormat="1" ht="12.75"/>
    <row r="76" s="31" customFormat="1" ht="12.75"/>
    <row r="77" s="31" customFormat="1" ht="12.75"/>
    <row r="78" s="31" customFormat="1" ht="12.75"/>
    <row r="79" s="31" customFormat="1" ht="12.75"/>
    <row r="80" s="31" customFormat="1" ht="12.75"/>
    <row r="81" s="31" customFormat="1" ht="12.75"/>
    <row r="82" s="31" customFormat="1" ht="12.75"/>
    <row r="83" s="31" customFormat="1" ht="12.75"/>
    <row r="84" s="31" customFormat="1" ht="12.75"/>
    <row r="85" s="31" customFormat="1" ht="12.75"/>
    <row r="86" s="31" customFormat="1" ht="12.75"/>
    <row r="87" s="31" customFormat="1" ht="12.75"/>
    <row r="88" s="31" customFormat="1" ht="12.75"/>
    <row r="89" s="31" customFormat="1" ht="12.75"/>
    <row r="90" s="31" customFormat="1" ht="12.75"/>
    <row r="91" s="31" customFormat="1" ht="12.75"/>
    <row r="92" s="31" customFormat="1" ht="12.75"/>
    <row r="93" s="31" customFormat="1" ht="12.75"/>
    <row r="94" s="31" customFormat="1" ht="12.75"/>
    <row r="95" s="31" customFormat="1" ht="12.75"/>
    <row r="96" s="31" customFormat="1" ht="12.75"/>
    <row r="97" s="31" customFormat="1" ht="12.75"/>
    <row r="98" s="31" customFormat="1" ht="12.75"/>
    <row r="99" s="31" customFormat="1" ht="12.75"/>
    <row r="100" s="31" customFormat="1" ht="12.75"/>
    <row r="101" s="31" customFormat="1" ht="12.75"/>
    <row r="102" s="31" customFormat="1" ht="12.75"/>
    <row r="103" s="31" customFormat="1" ht="12.75"/>
    <row r="104" s="31" customFormat="1" ht="12.75"/>
    <row r="105" s="31" customFormat="1" ht="12.75"/>
    <row r="106" s="31" customFormat="1" ht="12.75"/>
    <row r="107" s="31" customFormat="1" ht="12.75"/>
    <row r="108" s="31" customFormat="1" ht="12.75"/>
    <row r="109" s="31" customFormat="1" ht="12.75"/>
    <row r="110" s="31" customFormat="1" ht="12.75"/>
    <row r="111" s="31" customFormat="1" ht="12.75"/>
    <row r="112" s="31" customFormat="1" ht="12.75"/>
    <row r="113" s="31" customFormat="1" ht="12.75"/>
    <row r="114" s="31" customFormat="1" ht="12.75"/>
    <row r="115" s="31" customFormat="1" ht="12.75"/>
    <row r="116" s="31" customFormat="1" ht="12.75"/>
    <row r="117" s="31" customFormat="1" ht="12.75"/>
    <row r="118" s="31" customFormat="1" ht="12.75"/>
    <row r="119" s="31" customFormat="1" ht="12.75"/>
    <row r="120" s="31" customFormat="1" ht="12.75"/>
    <row r="121" s="31" customFormat="1" ht="12.75"/>
    <row r="122" s="31" customFormat="1" ht="12.75"/>
    <row r="123" s="31" customFormat="1" ht="12.75"/>
    <row r="124" s="31" customFormat="1" ht="12.75"/>
    <row r="125" s="31" customFormat="1" ht="12.75"/>
    <row r="126" s="31" customFormat="1" ht="12.75"/>
  </sheetData>
  <mergeCells count="3">
    <mergeCell ref="B6:L6"/>
    <mergeCell ref="B10:L10"/>
    <mergeCell ref="B8:L8"/>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ABB480DF6FB4ABD1770F8FB022F2C" ma:contentTypeVersion="0" ma:contentTypeDescription="Een nieuw document maken." ma:contentTypeScope="" ma:versionID="4a26478f55417a2aefbdc1a7ce105181">
  <xsd:schema xmlns:xsd="http://www.w3.org/2001/XMLSchema" xmlns:xs="http://www.w3.org/2001/XMLSchema" xmlns:p="http://schemas.microsoft.com/office/2006/metadata/properties" targetNamespace="http://schemas.microsoft.com/office/2006/metadata/properties" ma:root="true" ma:fieldsID="ad5eb0301eb10bde77930f821fe2e8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B8BA02-AA6F-43E5-A4CC-9DE980DB9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69D9771-50D6-4D41-A67E-AA0AE461A426}">
  <ds:schemaRefs>
    <ds:schemaRef ds:uri="http://schemas.microsoft.com/sharepoint/v3/contenttype/forms"/>
  </ds:schemaRefs>
</ds:datastoreItem>
</file>

<file path=customXml/itemProps3.xml><?xml version="1.0" encoding="utf-8"?>
<ds:datastoreItem xmlns:ds="http://schemas.openxmlformats.org/officeDocument/2006/customXml" ds:itemID="{6CCE6A78-65D5-406A-8A2B-1DE2AE5FE626}">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Toelichting</vt:lpstr>
      <vt:lpstr>TI-berekening 2017</vt:lpstr>
      <vt:lpstr>Berekening richtbedragen</vt:lpstr>
      <vt:lpstr>Nacalculaties en correcties</vt:lpstr>
      <vt:lpstr>Nacalculaties --&gt;</vt:lpstr>
      <vt:lpstr>TI2011-2013</vt:lpstr>
      <vt:lpstr>TI2014-2016</vt:lpstr>
      <vt:lpstr>Lokale heffingen 2015</vt:lpstr>
      <vt:lpstr>VolVerschuiving Adm. 2016</vt:lpstr>
      <vt:lpstr>VolVerschuiving Codewijz. 2016</vt:lpstr>
      <vt:lpstr>Lagere tarieven Enexis</vt:lpstr>
      <vt:lpstr>Parameters --&gt;</vt:lpstr>
      <vt:lpstr>Heffingsrente</vt:lpstr>
      <vt:lpstr>CPI</vt:lpstr>
      <vt:lpstr>TI2016 obv RV2017-2021</vt:lpstr>
      <vt:lpstr>'VolVerschuiving Codewijz. 2016'!_ftn1</vt:lpstr>
      <vt:lpstr>'VolVerschuiving Codewijz. 2016'!_ftn2</vt:lpstr>
      <vt:lpstr>'TI2011-2013'!Afdrukbereik</vt:lpstr>
      <vt:lpstr>'TI2014-2016'!Afdrukbereik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gas 2016</dc:title>
  <dc:subject>energie</dc:subject>
  <dc:creator>Autoriteit Consument &amp; Markt</dc:creator>
  <cp:keywords>gas, tarieven, regulering</cp:keywords>
  <cp:lastModifiedBy>Hoogdorp, Sergio</cp:lastModifiedBy>
  <cp:lastPrinted>2016-09-16T11:38:07Z</cp:lastPrinted>
  <dcterms:created xsi:type="dcterms:W3CDTF">2015-07-01T09:55:51Z</dcterms:created>
  <dcterms:modified xsi:type="dcterms:W3CDTF">2016-11-29T09:33:00Z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0x01010030FABB480DF6FB4ABD1770F8FB022F2C</vt:lpwstr>
  </property>
</Properties>
</file>