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35" windowWidth="24600" windowHeight="13215"/>
  </bookViews>
  <sheets>
    <sheet name="1 Introductie" sheetId="1" r:id="rId1"/>
    <sheet name="2 Parameters" sheetId="2" r:id="rId2"/>
    <sheet name="3 Mobiele gesprekken" sheetId="3" r:id="rId3"/>
    <sheet name="4 Vaste gesprekken" sheetId="4" r:id="rId4"/>
    <sheet name="5 Abonnementen" sheetId="5" r:id="rId5"/>
    <sheet name="6 Samenvatting effecten" sheetId="6" r:id="rId6"/>
  </sheets>
  <definedNames>
    <definedName name="aam_1">'5 Abonnementen'!$D$43</definedName>
    <definedName name="aam_2">'5 Abonnementen'!$G$43</definedName>
    <definedName name="aam_3">'5 Abonnementen'!$J$43</definedName>
    <definedName name="aav_1">'5 Abonnementen'!$D$50</definedName>
    <definedName name="aav_2">'5 Abonnementen'!$G$50</definedName>
    <definedName name="aav_3">'5 Abonnementen'!$J$50</definedName>
    <definedName name="agm_1">'3 Mobiele gesprekken'!$D$41</definedName>
    <definedName name="agm_2">'3 Mobiele gesprekken'!$G$41</definedName>
    <definedName name="agm_3">'3 Mobiele gesprekken'!$J$41</definedName>
    <definedName name="agvm_1">'4 Vaste gesprekken'!$E$56</definedName>
    <definedName name="agvm_2">'4 Vaste gesprekken'!$H$56</definedName>
    <definedName name="agvm_3">'4 Vaste gesprekken'!$K$56</definedName>
    <definedName name="agvv_1">'4 Vaste gesprekken'!$E$48</definedName>
    <definedName name="agvv_2">'4 Vaste gesprekken'!$H$48</definedName>
    <definedName name="agvv_3">'4 Vaste gesprekken'!$K$48</definedName>
    <definedName name="bam_1">'5 Abonnementen'!$D$42</definedName>
    <definedName name="bam_2">'5 Abonnementen'!$G$42</definedName>
    <definedName name="bam_3">'5 Abonnementen'!$J$42</definedName>
    <definedName name="bav_1">'5 Abonnementen'!$D$49</definedName>
    <definedName name="bav_2">'5 Abonnementen'!$G$49</definedName>
    <definedName name="bav_3">'5 Abonnementen'!$J$49</definedName>
    <definedName name="bgm_1">'3 Mobiele gesprekken'!$D$40</definedName>
    <definedName name="bgm_2">'3 Mobiele gesprekken'!$G$40</definedName>
    <definedName name="bgm_3">'3 Mobiele gesprekken'!$J$40</definedName>
    <definedName name="bgvm_1">'4 Vaste gesprekken'!$E$55</definedName>
    <definedName name="bgvm_2">'4 Vaste gesprekken'!$H$55</definedName>
    <definedName name="bgvm_3">'4 Vaste gesprekken'!$K$55</definedName>
    <definedName name="bgvv_1">'4 Vaste gesprekken'!$E$47</definedName>
    <definedName name="bgvv_2">'4 Vaste gesprekken'!$H$47</definedName>
    <definedName name="bgvv_3">'4 Vaste gesprekken'!$K$47</definedName>
    <definedName name="btw_1">'2 Parameters'!$C$21</definedName>
    <definedName name="btw_2">'2 Parameters'!$D$21</definedName>
    <definedName name="btw_3">'2 Parameters'!$E$21</definedName>
    <definedName name="cmo_1">'2 Parameters'!$C$7</definedName>
    <definedName name="cmo_2">'2 Parameters'!$D$7</definedName>
    <definedName name="cmo_3">'2 Parameters'!$E$7</definedName>
    <definedName name="cmt_1">'2 Parameters'!$C$8</definedName>
    <definedName name="cmt_2">'2 Parameters'!$D$8</definedName>
    <definedName name="cmt_3">'2 Parameters'!$E$8</definedName>
    <definedName name="cvo_1">'2 Parameters'!$C$9</definedName>
    <definedName name="cvo_2">'2 Parameters'!$D$9</definedName>
    <definedName name="cvo_3">'2 Parameters'!$E$9</definedName>
    <definedName name="cvt_1">'2 Parameters'!$C$10</definedName>
    <definedName name="cvt_2">'2 Parameters'!$D$10</definedName>
    <definedName name="cvt_3">'2 Parameters'!$E$10</definedName>
    <definedName name="eam_1">'2 Parameters'!$C$57</definedName>
    <definedName name="eam_2">'2 Parameters'!$D$57</definedName>
    <definedName name="eam_3">'2 Parameters'!$E$57</definedName>
    <definedName name="eav_1">'2 Parameters'!$C$58</definedName>
    <definedName name="eav_2">'2 Parameters'!$D$58</definedName>
    <definedName name="eav_3">'2 Parameters'!$E$58</definedName>
    <definedName name="egm_1">'2 Parameters'!$C$54</definedName>
    <definedName name="egm_2">'2 Parameters'!$D$54</definedName>
    <definedName name="egm_3">'2 Parameters'!$E$54</definedName>
    <definedName name="egvm_1">'2 Parameters'!$C$56</definedName>
    <definedName name="egvm_2">'2 Parameters'!$D$56</definedName>
    <definedName name="egvm_3">'2 Parameters'!$E$56</definedName>
    <definedName name="egvv_1">'2 Parameters'!$C$55</definedName>
    <definedName name="egvv_2">'2 Parameters'!$D$55</definedName>
    <definedName name="egvv_3">'2 Parameters'!$E$55</definedName>
    <definedName name="fm_1">'2 Parameters'!$C$11</definedName>
    <definedName name="fm_2">'2 Parameters'!$D$11</definedName>
    <definedName name="fm_3">'2 Parameters'!$E$11</definedName>
    <definedName name="ftr0_1">'2 Parameters'!$C$27</definedName>
    <definedName name="ftr0_2">'2 Parameters'!$D$27</definedName>
    <definedName name="ftr0_3">'2 Parameters'!$E$27</definedName>
    <definedName name="ftr1_1">'2 Parameters'!$C$28</definedName>
    <definedName name="ftr1_2">'2 Parameters'!$D$28</definedName>
    <definedName name="ftr1_3">'2 Parameters'!$E$28</definedName>
    <definedName name="fv_1">'2 Parameters'!$C$12</definedName>
    <definedName name="fv_2">'2 Parameters'!$D$12</definedName>
    <definedName name="fv_3">'2 Parameters'!$E$12</definedName>
    <definedName name="gcsgm0_1">'3 Mobiele gesprekken'!$D$20</definedName>
    <definedName name="gcsgm0_2">'3 Mobiele gesprekken'!$G$20</definedName>
    <definedName name="gcsgm0_3">'3 Mobiele gesprekken'!$J$20</definedName>
    <definedName name="gcsgm1_1">'3 Mobiele gesprekken'!$E$20</definedName>
    <definedName name="gcsgm1_2">'3 Mobiele gesprekken'!$H$20</definedName>
    <definedName name="gcsgm1_3">'3 Mobiele gesprekken'!$K$20</definedName>
    <definedName name="gcsgv0_1">'4 Vaste gesprekken'!$E$29</definedName>
    <definedName name="gcsgv0_2">'4 Vaste gesprekken'!$H$29</definedName>
    <definedName name="gcsgv0_3">'4 Vaste gesprekken'!$K$29</definedName>
    <definedName name="gcsgv1_1">'4 Vaste gesprekken'!$F$29</definedName>
    <definedName name="gcsgv1_2">'4 Vaste gesprekken'!$I$29</definedName>
    <definedName name="gcsgv1_3">'4 Vaste gesprekken'!$L$29</definedName>
    <definedName name="mtr0_1">'2 Parameters'!$C$25</definedName>
    <definedName name="mtr0_2">'2 Parameters'!$D$25</definedName>
    <definedName name="mtr0_3">'2 Parameters'!$E$25</definedName>
    <definedName name="mtr1_1">'2 Parameters'!$C$26</definedName>
    <definedName name="mtr1_2">'2 Parameters'!$D$26</definedName>
    <definedName name="mtr1_3">'2 Parameters'!$E$26</definedName>
    <definedName name="nm0_1">'2 Parameters'!$C$42</definedName>
    <definedName name="nm0_2">'2 Parameters'!$D$42</definedName>
    <definedName name="nm0_3">'2 Parameters'!$E$42</definedName>
    <definedName name="nv0_1">'2 Parameters'!$C$43</definedName>
    <definedName name="nv0_2">'2 Parameters'!$D$43</definedName>
    <definedName name="nv0_3">'2 Parameters'!$E$43</definedName>
    <definedName name="pam0_1">'2 Parameters'!$C$18</definedName>
    <definedName name="pam0_2">'2 Parameters'!$D$18</definedName>
    <definedName name="pam0_3">'2 Parameters'!$F$18</definedName>
    <definedName name="pav0_1">'2 Parameters'!$C$19</definedName>
    <definedName name="pav0_2">'2 Parameters'!$D$19</definedName>
    <definedName name="pav0_3">'2 Parameters'!$F$19</definedName>
    <definedName name="pgm0_1">'2 Parameters'!$C$15</definedName>
    <definedName name="pgm0_2">'2 Parameters'!$D$15</definedName>
    <definedName name="pgm0_3">'2 Parameters'!$E$15</definedName>
    <definedName name="pgvm0_1">'2 Parameters'!$C$17</definedName>
    <definedName name="pgvm0_2">'2 Parameters'!$D$17</definedName>
    <definedName name="pgvm0_3">'2 Parameters'!$E$17</definedName>
    <definedName name="pgvv0_1">'2 Parameters'!$C$16</definedName>
    <definedName name="pgvv0_2">'2 Parameters'!$D$16</definedName>
    <definedName name="pgvv0_3">'2 Parameters'!$E$16</definedName>
    <definedName name="smoff_1">'3 Mobiele gesprekken'!$D$46</definedName>
    <definedName name="smoff_2">'3 Mobiele gesprekken'!$G$46</definedName>
    <definedName name="smoff_3">'3 Mobiele gesprekken'!$J$46</definedName>
    <definedName name="smon_1">'3 Mobiele gesprekken'!$D$45</definedName>
    <definedName name="smon_2">'3 Mobiele gesprekken'!$G$45</definedName>
    <definedName name="smon_3">'3 Mobiele gesprekken'!$J$45</definedName>
    <definedName name="smv_1">'3 Mobiele gesprekken'!$D$47</definedName>
    <definedName name="smv_2">'3 Mobiele gesprekken'!$G$47</definedName>
    <definedName name="smv_3">'3 Mobiele gesprekken'!$J$47</definedName>
    <definedName name="svoff_1">'4 Vaste gesprekken'!$E$60</definedName>
    <definedName name="svoff_2">'4 Vaste gesprekken'!$H$60</definedName>
    <definedName name="svoff_3">'4 Vaste gesprekken'!$K$60</definedName>
    <definedName name="svon_1">'4 Vaste gesprekken'!$E$59</definedName>
    <definedName name="svon_2">'4 Vaste gesprekken'!$H$59</definedName>
    <definedName name="svon_3">'4 Vaste gesprekken'!$K$59</definedName>
    <definedName name="tm_1">'2 Parameters'!$C$46</definedName>
    <definedName name="tm_2">'2 Parameters'!$D$46</definedName>
    <definedName name="tm_3">'2 Parameters'!$E$46</definedName>
    <definedName name="tv_1">'2 Parameters'!$C$47</definedName>
    <definedName name="tv_2">'2 Parameters'!$D$47</definedName>
    <definedName name="tv_3">'2 Parameters'!$E$47</definedName>
    <definedName name="vm0_1">'2 Parameters'!$C$32</definedName>
    <definedName name="vm0_2">'2 Parameters'!$D$32</definedName>
    <definedName name="vm0_3">'2 Parameters'!$E$32</definedName>
    <definedName name="vmoff0_1">'2 Parameters'!$C$34</definedName>
    <definedName name="vmoff0_2">'2 Parameters'!$D$34</definedName>
    <definedName name="vmoff0_3">'2 Parameters'!$E$34</definedName>
    <definedName name="vmon0_1">'2 Parameters'!$C$33</definedName>
    <definedName name="vmon0_2">'2 Parameters'!$D$33</definedName>
    <definedName name="vmon0_3">'2 Parameters'!$E$33</definedName>
    <definedName name="vmv0_1">'2 Parameters'!$C$35</definedName>
    <definedName name="vmv0_2">'2 Parameters'!$D$35</definedName>
    <definedName name="vmv0_3">'2 Parameters'!$E$35</definedName>
    <definedName name="vvm0_1">'2 Parameters'!$C$40</definedName>
    <definedName name="vvm0_2">'2 Parameters'!$D$40</definedName>
    <definedName name="vvm0_3">'2 Parameters'!$E$40</definedName>
    <definedName name="vvoff0_1">'2 Parameters'!$C$39</definedName>
    <definedName name="vvoff0_2">'2 Parameters'!$D$39</definedName>
    <definedName name="vvoff0_3">'2 Parameters'!$E$39</definedName>
    <definedName name="vvon0_1">'2 Parameters'!$C$38</definedName>
    <definedName name="vvon0_2">'2 Parameters'!$D$38</definedName>
    <definedName name="vvon0_3">'2 Parameters'!$E$38</definedName>
    <definedName name="vvv0_1">'2 Parameters'!$C$37</definedName>
    <definedName name="vvv0_2">'2 Parameters'!$D$37</definedName>
    <definedName name="vvv0_3">'2 Parameters'!$E$37</definedName>
    <definedName name="xmv_1">'2 Parameters'!$C$66</definedName>
    <definedName name="xmv_2">'2 Parameters'!$D$66</definedName>
    <definedName name="xmv_3">'2 Parameters'!$E$66</definedName>
    <definedName name="xvm_1">'2 Parameters'!$C$65</definedName>
    <definedName name="xvm_2">'2 Parameters'!$D$65</definedName>
    <definedName name="xvm_3">'2 Parameters'!$E$65</definedName>
    <definedName name="ym_1">'2 Parameters'!$C$48</definedName>
    <definedName name="ym_2">'2 Parameters'!$D$48</definedName>
    <definedName name="ym_3">'2 Parameters'!$E$48</definedName>
    <definedName name="yv_1">'2 Parameters'!$C$49</definedName>
    <definedName name="yv_2">'2 Parameters'!$D$49</definedName>
    <definedName name="yv_3">'2 Parameters'!$E$49</definedName>
    <definedName name="zm_1">'2 Parameters'!$C$62</definedName>
    <definedName name="zm_2">'2 Parameters'!$D$62</definedName>
    <definedName name="zm_3">'2 Parameters'!$E$62</definedName>
    <definedName name="zv_1">'2 Parameters'!$C$63</definedName>
    <definedName name="zv_2">'2 Parameters'!$D$63</definedName>
    <definedName name="zv_3">'2 Parameters'!$E$63</definedName>
  </definedNames>
  <calcPr calcId="145621"/>
</workbook>
</file>

<file path=xl/calcChain.xml><?xml version="1.0" encoding="utf-8"?>
<calcChain xmlns="http://schemas.openxmlformats.org/spreadsheetml/2006/main">
  <c r="D7" i="3" l="1"/>
  <c r="D8" i="3" s="1"/>
  <c r="D40" i="3" s="1"/>
  <c r="D41" i="3" s="1"/>
  <c r="C32" i="2"/>
  <c r="D45" i="3"/>
  <c r="D46" i="3"/>
  <c r="E20" i="4"/>
  <c r="E21" i="4"/>
  <c r="E55" i="4"/>
  <c r="E56" i="4"/>
  <c r="E23" i="4"/>
  <c r="D47" i="3"/>
  <c r="G7" i="3"/>
  <c r="G8" i="3" s="1"/>
  <c r="G40" i="3" s="1"/>
  <c r="G41" i="3" s="1"/>
  <c r="D33" i="2"/>
  <c r="D34" i="2"/>
  <c r="D35" i="2"/>
  <c r="D32" i="2"/>
  <c r="G45" i="3"/>
  <c r="G46" i="3"/>
  <c r="H20" i="4"/>
  <c r="H21" i="4"/>
  <c r="H55" i="4"/>
  <c r="H56" i="4"/>
  <c r="H23" i="4"/>
  <c r="G47" i="3"/>
  <c r="D42" i="2"/>
  <c r="D43" i="2"/>
  <c r="E8" i="4"/>
  <c r="E9" i="4"/>
  <c r="E47" i="4"/>
  <c r="E48" i="4"/>
  <c r="E12" i="4"/>
  <c r="C38" i="2"/>
  <c r="E59" i="4"/>
  <c r="E13" i="4"/>
  <c r="C39" i="2"/>
  <c r="E60" i="4"/>
  <c r="E14" i="4"/>
  <c r="D37" i="2"/>
  <c r="H8" i="4"/>
  <c r="H9" i="4"/>
  <c r="H47" i="4"/>
  <c r="H48" i="4"/>
  <c r="H12" i="4"/>
  <c r="D38" i="2"/>
  <c r="H59" i="4"/>
  <c r="H13" i="4"/>
  <c r="D39" i="2"/>
  <c r="H60" i="4"/>
  <c r="H14" i="4"/>
  <c r="G7" i="5"/>
  <c r="G8" i="5" s="1"/>
  <c r="G42" i="5" s="1"/>
  <c r="H5" i="3"/>
  <c r="G5" i="3"/>
  <c r="G9" i="5"/>
  <c r="G10" i="5"/>
  <c r="G49" i="5" s="1"/>
  <c r="G50" i="5" s="1"/>
  <c r="H27" i="4"/>
  <c r="H30" i="4"/>
  <c r="I6" i="4"/>
  <c r="H6" i="4"/>
  <c r="I8" i="4"/>
  <c r="I9" i="4" s="1"/>
  <c r="I12" i="4" s="1"/>
  <c r="I18" i="4"/>
  <c r="H18" i="4"/>
  <c r="H34" i="4" s="1"/>
  <c r="H40" i="4"/>
  <c r="D7" i="5"/>
  <c r="D8" i="5" s="1"/>
  <c r="D42" i="5" s="1"/>
  <c r="E5" i="3"/>
  <c r="D5" i="3"/>
  <c r="D9" i="5"/>
  <c r="D10" i="5"/>
  <c r="D49" i="5" s="1"/>
  <c r="D50" i="5" s="1"/>
  <c r="E27" i="4"/>
  <c r="E30" i="4"/>
  <c r="F6" i="4"/>
  <c r="E6" i="4"/>
  <c r="F18" i="4"/>
  <c r="E18" i="4"/>
  <c r="F20" i="4" s="1"/>
  <c r="F21" i="4" s="1"/>
  <c r="F23" i="4" s="1"/>
  <c r="E34" i="4"/>
  <c r="E40" i="4"/>
  <c r="C33" i="6"/>
  <c r="C28" i="6"/>
  <c r="C27" i="6"/>
  <c r="C26" i="6"/>
  <c r="C25" i="6"/>
  <c r="C24" i="6"/>
  <c r="C23" i="6"/>
  <c r="E22" i="6"/>
  <c r="D22" i="6"/>
  <c r="E67" i="5"/>
  <c r="I20" i="4" l="1"/>
  <c r="I14" i="4"/>
  <c r="I13" i="4"/>
  <c r="F8" i="4"/>
  <c r="F9" i="4" s="1"/>
  <c r="F12" i="4" s="1"/>
  <c r="F14" i="4" s="1"/>
  <c r="H7" i="3"/>
  <c r="H8" i="3" s="1"/>
  <c r="H11" i="3" s="1"/>
  <c r="E7" i="3"/>
  <c r="E8" i="3" s="1"/>
  <c r="E11" i="3" s="1"/>
  <c r="F13" i="4"/>
  <c r="F27" i="4"/>
  <c r="F30" i="4" s="1"/>
  <c r="I21" i="4"/>
  <c r="D63" i="5"/>
  <c r="G11" i="3"/>
  <c r="G18" i="3" s="1"/>
  <c r="D61" i="5"/>
  <c r="D11" i="3"/>
  <c r="E61" i="5" l="1"/>
  <c r="F34" i="4"/>
  <c r="F40" i="4"/>
  <c r="I23" i="4"/>
  <c r="I27" i="4" s="1"/>
  <c r="I30" i="4" s="1"/>
  <c r="G21" i="3"/>
  <c r="G43" i="5" s="1"/>
  <c r="G14" i="3"/>
  <c r="G12" i="3"/>
  <c r="G19" i="3" s="1"/>
  <c r="G22" i="3" s="1"/>
  <c r="G13" i="3"/>
  <c r="G26" i="3" s="1"/>
  <c r="G25" i="3"/>
  <c r="G29" i="3"/>
  <c r="H14" i="3"/>
  <c r="H13" i="3"/>
  <c r="H26" i="3" s="1"/>
  <c r="H25" i="3"/>
  <c r="H29" i="3"/>
  <c r="H12" i="3"/>
  <c r="H18" i="3"/>
  <c r="E14" i="3"/>
  <c r="E13" i="3"/>
  <c r="E26" i="3" s="1"/>
  <c r="E25" i="3"/>
  <c r="E29" i="3"/>
  <c r="E12" i="3"/>
  <c r="E60" i="5"/>
  <c r="E18" i="3"/>
  <c r="D12" i="3"/>
  <c r="D13" i="3"/>
  <c r="D26" i="3" s="1"/>
  <c r="D14" i="3"/>
  <c r="D25" i="3"/>
  <c r="D29" i="3"/>
  <c r="D60" i="5"/>
  <c r="D18" i="3"/>
  <c r="H19" i="3" l="1"/>
  <c r="H22" i="3" s="1"/>
  <c r="I34" i="4"/>
  <c r="I40" i="4"/>
  <c r="I28" i="4"/>
  <c r="I35" i="4"/>
  <c r="H21" i="3"/>
  <c r="H17" i="3"/>
  <c r="H20" i="3" s="1"/>
  <c r="H24" i="3"/>
  <c r="H27" i="3" s="1"/>
  <c r="H4" i="5" s="1"/>
  <c r="G24" i="3"/>
  <c r="G27" i="3" s="1"/>
  <c r="G4" i="5" s="1"/>
  <c r="H28" i="4"/>
  <c r="H35" i="4"/>
  <c r="H33" i="4" s="1"/>
  <c r="H38" i="4" s="1"/>
  <c r="G5" i="5" s="1"/>
  <c r="G13" i="5"/>
  <c r="G12" i="5"/>
  <c r="G17" i="3"/>
  <c r="G20" i="3" s="1"/>
  <c r="G52" i="3"/>
  <c r="G53" i="3" s="1"/>
  <c r="D19" i="3"/>
  <c r="D22" i="3" s="1"/>
  <c r="E24" i="3"/>
  <c r="E27" i="3" s="1"/>
  <c r="E4" i="5" s="1"/>
  <c r="E28" i="4"/>
  <c r="E35" i="4"/>
  <c r="E33" i="4" s="1"/>
  <c r="E38" i="4" s="1"/>
  <c r="D5" i="5" s="1"/>
  <c r="D52" i="3"/>
  <c r="D53" i="3" s="1"/>
  <c r="D21" i="3"/>
  <c r="D43" i="5" s="1"/>
  <c r="D17" i="3"/>
  <c r="D20" i="3" s="1"/>
  <c r="D24" i="3"/>
  <c r="D27" i="3" s="1"/>
  <c r="D4" i="5" s="1"/>
  <c r="E7" i="5" s="1"/>
  <c r="E21" i="3"/>
  <c r="E19" i="3"/>
  <c r="E22" i="3" s="1"/>
  <c r="F28" i="4"/>
  <c r="F35" i="4"/>
  <c r="F33" i="4" s="1"/>
  <c r="F38" i="4" s="1"/>
  <c r="E5" i="5" s="1"/>
  <c r="E9" i="5" s="1"/>
  <c r="I33" i="4" l="1"/>
  <c r="I38" i="4" s="1"/>
  <c r="H5" i="5" s="1"/>
  <c r="G30" i="5"/>
  <c r="G29" i="5"/>
  <c r="G14" i="5"/>
  <c r="G27" i="5"/>
  <c r="G25" i="5"/>
  <c r="H7" i="5"/>
  <c r="H9" i="5"/>
  <c r="G21" i="5"/>
  <c r="H65" i="4"/>
  <c r="H66" i="4" s="1"/>
  <c r="H31" i="4"/>
  <c r="G23" i="5" s="1"/>
  <c r="H26" i="4"/>
  <c r="H29" i="4" s="1"/>
  <c r="I31" i="4"/>
  <c r="I26" i="4"/>
  <c r="I29" i="4" s="1"/>
  <c r="E8" i="5"/>
  <c r="E63" i="5"/>
  <c r="E10" i="5"/>
  <c r="E13" i="5" s="1"/>
  <c r="E27" i="5" s="1"/>
  <c r="D13" i="5"/>
  <c r="D12" i="5"/>
  <c r="D25" i="5" s="1"/>
  <c r="E65" i="4"/>
  <c r="E66" i="4" s="1"/>
  <c r="E31" i="4"/>
  <c r="E26" i="4"/>
  <c r="E29" i="4" s="1"/>
  <c r="F31" i="4"/>
  <c r="F26" i="4"/>
  <c r="F29" i="4" s="1"/>
  <c r="E17" i="3"/>
  <c r="D27" i="5"/>
  <c r="G31" i="5" l="1"/>
  <c r="G33" i="5"/>
  <c r="H8" i="5"/>
  <c r="H10" i="5"/>
  <c r="D15" i="6"/>
  <c r="D27" i="6" s="1"/>
  <c r="D39" i="6" s="1"/>
  <c r="D29" i="5"/>
  <c r="D23" i="5"/>
  <c r="D62" i="5"/>
  <c r="D65" i="5" s="1"/>
  <c r="D64" i="5" s="1"/>
  <c r="D66" i="5" s="1"/>
  <c r="D30" i="5"/>
  <c r="D21" i="5"/>
  <c r="E12" i="5"/>
  <c r="E20" i="3" s="1"/>
  <c r="H13" i="5" l="1"/>
  <c r="H27" i="5" s="1"/>
  <c r="E15" i="6" s="1"/>
  <c r="E27" i="6" s="1"/>
  <c r="E39" i="6" s="1"/>
  <c r="H12" i="5"/>
  <c r="E23" i="5"/>
  <c r="D11" i="6" s="1"/>
  <c r="D25" i="6" s="1"/>
  <c r="D37" i="6" s="1"/>
  <c r="E62" i="5"/>
  <c r="E65" i="5" s="1"/>
  <c r="E30" i="5"/>
  <c r="E29" i="5"/>
  <c r="E25" i="5"/>
  <c r="D13" i="6" s="1"/>
  <c r="D26" i="6" s="1"/>
  <c r="D33" i="5"/>
  <c r="E21" i="5"/>
  <c r="D31" i="5"/>
  <c r="H21" i="5" l="1"/>
  <c r="E9" i="6" s="1"/>
  <c r="E24" i="6" s="1"/>
  <c r="E36" i="6" s="1"/>
  <c r="H23" i="5"/>
  <c r="E11" i="6" s="1"/>
  <c r="E25" i="6" s="1"/>
  <c r="E37" i="6" s="1"/>
  <c r="H14" i="5"/>
  <c r="I14" i="5" s="1"/>
  <c r="H30" i="5"/>
  <c r="H29" i="5"/>
  <c r="H25" i="5"/>
  <c r="E13" i="6" s="1"/>
  <c r="E26" i="6" s="1"/>
  <c r="E33" i="5"/>
  <c r="D9" i="6"/>
  <c r="D24" i="6" s="1"/>
  <c r="D36" i="6" s="1"/>
  <c r="D31" i="6"/>
  <c r="D43" i="6" s="1"/>
  <c r="D38" i="6"/>
  <c r="E31" i="5"/>
  <c r="D17" i="6" s="1"/>
  <c r="D28" i="6" s="1"/>
  <c r="E64" i="5"/>
  <c r="E66" i="5" s="1"/>
  <c r="F66" i="5" s="1"/>
  <c r="E68" i="5" s="1"/>
  <c r="F65" i="5"/>
  <c r="E31" i="6" l="1"/>
  <c r="E43" i="6" s="1"/>
  <c r="E38" i="6"/>
  <c r="H31" i="5"/>
  <c r="E17" i="6" s="1"/>
  <c r="E28" i="6" s="1"/>
  <c r="H33" i="5"/>
  <c r="D40" i="6"/>
  <c r="D30" i="6"/>
  <c r="D42" i="6" s="1"/>
  <c r="D19" i="6"/>
  <c r="D33" i="6" s="1"/>
  <c r="D45" i="6" s="1"/>
  <c r="D35" i="5"/>
  <c r="E30" i="6" l="1"/>
  <c r="E42" i="6" s="1"/>
  <c r="E40" i="6"/>
  <c r="E19" i="6"/>
  <c r="E33" i="6" s="1"/>
  <c r="E45" i="6" s="1"/>
  <c r="G35" i="5"/>
</calcChain>
</file>

<file path=xl/sharedStrings.xml><?xml version="1.0" encoding="utf-8"?>
<sst xmlns="http://schemas.openxmlformats.org/spreadsheetml/2006/main" count="446" uniqueCount="366">
  <si>
    <t xml:space="preserve">Dit model berekent welvaartseffecten (in euro's) per jaar. </t>
  </si>
  <si>
    <t xml:space="preserve">Gespreksvolumes zijn in minuten per jaar, abonnementen in aantallen. </t>
  </si>
  <si>
    <t>0 bij een symbool betekent de oorspronkelijke waarde, 1 de nieuwe waarde</t>
  </si>
  <si>
    <t>Inhoud</t>
  </si>
  <si>
    <t>1. Introductie</t>
  </si>
  <si>
    <t>2. Parameters</t>
  </si>
  <si>
    <t xml:space="preserve">3. Mobiele gesprekken </t>
  </si>
  <si>
    <t xml:space="preserve">4. Vaste gesprekken </t>
  </si>
  <si>
    <t xml:space="preserve">5. Abonnementen </t>
  </si>
  <si>
    <t xml:space="preserve">6. Samenvatting effecten </t>
  </si>
  <si>
    <t xml:space="preserve">Input  </t>
  </si>
  <si>
    <t>Symbool</t>
  </si>
  <si>
    <t xml:space="preserve">Waarde </t>
  </si>
  <si>
    <t>Alle bedragen in euro's</t>
  </si>
  <si>
    <t xml:space="preserve">Scenario 1 </t>
  </si>
  <si>
    <t>Scenario 2</t>
  </si>
  <si>
    <t xml:space="preserve">Pure </t>
  </si>
  <si>
    <t>Plus</t>
  </si>
  <si>
    <t>KOSTEN (€)</t>
  </si>
  <si>
    <t xml:space="preserve">Marginale kosten mobiele gespreksopbouw </t>
  </si>
  <si>
    <t>cmo</t>
  </si>
  <si>
    <t>Marginale kosten per minuut mobiele gespreksafgifte</t>
  </si>
  <si>
    <t>cmt</t>
  </si>
  <si>
    <t>Marginale kosten per minuut vaste gespreksopbouw</t>
  </si>
  <si>
    <t>cvo</t>
  </si>
  <si>
    <t>Marginale kosten per minuut vaste gespreksafgifte</t>
  </si>
  <si>
    <t>cvt</t>
  </si>
  <si>
    <t>Marginale kosten mobiel abonnement (per jaar)</t>
  </si>
  <si>
    <t>fm</t>
  </si>
  <si>
    <t>Marginale kosten vast abonnement (per jaar)</t>
  </si>
  <si>
    <t>fv</t>
  </si>
  <si>
    <t>OORSPRONKELIJKE RETAILPRIJZEN Exclusief BTW (€)</t>
  </si>
  <si>
    <t xml:space="preserve">Minuutprijs mobiel </t>
  </si>
  <si>
    <t>Pgm0</t>
  </si>
  <si>
    <t>Minuutprijs vast-vast</t>
  </si>
  <si>
    <t>Pgvv0</t>
  </si>
  <si>
    <t xml:space="preserve">Minuutprijs vast-mobiel </t>
  </si>
  <si>
    <t>Pgvm0</t>
  </si>
  <si>
    <t>Abonnementsprijs mobiel (per jaar)</t>
  </si>
  <si>
    <t>Pam0</t>
  </si>
  <si>
    <t>Abonnementsprijs vast (per jaar)</t>
  </si>
  <si>
    <t>Pav0</t>
  </si>
  <si>
    <t>BTW op de retailprijs (%)</t>
  </si>
  <si>
    <t>btw</t>
  </si>
  <si>
    <t>AFGIFTETARIEVEN (€)</t>
  </si>
  <si>
    <t xml:space="preserve">Mobiel gespreksafgiftetarief oorspronkelijk </t>
  </si>
  <si>
    <t>MTR0</t>
  </si>
  <si>
    <t>Mobiel gespreksafgiftetarief nieuw</t>
  </si>
  <si>
    <t>MTR1</t>
  </si>
  <si>
    <t>Vast gespreksafgiftetarief oorspronkelijk</t>
  </si>
  <si>
    <t>FTR0</t>
  </si>
  <si>
    <t>Vast gesprekafgiftetarief nieuw</t>
  </si>
  <si>
    <t>FTR1</t>
  </si>
  <si>
    <t>OORSPRONKELIJKE HOEVEELHEDEN</t>
  </si>
  <si>
    <t xml:space="preserve">Volume van gesprekken vanuit mobiel </t>
  </si>
  <si>
    <t>Vm0</t>
  </si>
  <si>
    <t>On-net</t>
  </si>
  <si>
    <t>Vmon0</t>
  </si>
  <si>
    <t xml:space="preserve">Off-net </t>
  </si>
  <si>
    <t>Vmoff0</t>
  </si>
  <si>
    <t>Mobiel-vast</t>
  </si>
  <si>
    <t>Vmv0</t>
  </si>
  <si>
    <t xml:space="preserve">Volume van gesprekken vanuit vast naar vast </t>
  </si>
  <si>
    <t>Vvv0</t>
  </si>
  <si>
    <t>Vvon0</t>
  </si>
  <si>
    <t>Vvoff0</t>
  </si>
  <si>
    <t xml:space="preserve">Volume van gesprekken van vast naar mobiel </t>
  </si>
  <si>
    <t>Vvm0</t>
  </si>
  <si>
    <t>Aantal mobiele abonnementen</t>
  </si>
  <si>
    <t>Nm0</t>
  </si>
  <si>
    <t>Aantal vaste abonnementen</t>
  </si>
  <si>
    <t>Nv0</t>
  </si>
  <si>
    <t>PASSTHROUGH EN WATERBED</t>
  </si>
  <si>
    <t xml:space="preserve">Cost pass-through mobiel </t>
  </si>
  <si>
    <t>tm</t>
  </si>
  <si>
    <t>Cost pass-through vast</t>
  </si>
  <si>
    <t>tv</t>
  </si>
  <si>
    <t xml:space="preserve">Waterbed mobiel </t>
  </si>
  <si>
    <t>ym</t>
  </si>
  <si>
    <t>Waterbed vast</t>
  </si>
  <si>
    <t>yv</t>
  </si>
  <si>
    <t xml:space="preserve">ELASTICITEITEN </t>
  </si>
  <si>
    <t xml:space="preserve">Vraag naar mobiele gesprekken </t>
  </si>
  <si>
    <t>εgm</t>
  </si>
  <si>
    <t>Vraag naar gesprekken van vast naar vast</t>
  </si>
  <si>
    <t>εgvv</t>
  </si>
  <si>
    <t>Vraag naar gesprekken van vast naar mobiel</t>
  </si>
  <si>
    <t>εgvm</t>
  </si>
  <si>
    <t xml:space="preserve">Vraag naar mobiele abonnementen </t>
  </si>
  <si>
    <t>εam</t>
  </si>
  <si>
    <t xml:space="preserve">Vraag naar vaste abonnementen </t>
  </si>
  <si>
    <t>εav</t>
  </si>
  <si>
    <t xml:space="preserve">EXTERNALITEITEN </t>
  </si>
  <si>
    <t>Belexternaliteiten (waardering voor gebeld worden als fractie van waardering voor bellen)</t>
  </si>
  <si>
    <t xml:space="preserve">Belexternaliteiten in de mobiele markt </t>
  </si>
  <si>
    <t>zm</t>
  </si>
  <si>
    <t>Belexternaliteiten in de vaste markt</t>
  </si>
  <si>
    <t>zv</t>
  </si>
  <si>
    <t xml:space="preserve">Netwerkexternaliteiten (cross-market) (€): </t>
  </si>
  <si>
    <t xml:space="preserve">Netwerkexternaliteit vanuit vast naar mobiel (extra surplus mobiele beller per additionele vaste beller) </t>
  </si>
  <si>
    <t>xvm</t>
  </si>
  <si>
    <t>Vanuit mobiel naar vast (extra surplus vaste beller per additionele mobiele beller)</t>
  </si>
  <si>
    <t>xmv</t>
  </si>
  <si>
    <t>Oorspronkelijke prijzen en volumes</t>
  </si>
  <si>
    <t xml:space="preserve">Oorspronkelijke volumes en aantallen abonnementen </t>
  </si>
  <si>
    <t>Scenario 1</t>
  </si>
  <si>
    <t xml:space="preserve">MOBIELE GESPREKKEN </t>
  </si>
  <si>
    <t>Formule</t>
  </si>
  <si>
    <t xml:space="preserve">Oorspronkelijke waarde </t>
  </si>
  <si>
    <t>Nieuwe waarde</t>
  </si>
  <si>
    <r>
      <t>Gemiddeld</t>
    </r>
    <r>
      <rPr>
        <b/>
        <i/>
        <sz val="10"/>
        <color rgb="FF000000"/>
        <rFont val="Arial"/>
        <family val="2"/>
      </rPr>
      <t xml:space="preserve"> perceived marginal cost</t>
    </r>
    <r>
      <rPr>
        <b/>
        <sz val="10"/>
        <color rgb="FF000000"/>
        <rFont val="Arial"/>
        <family val="2"/>
      </rPr>
      <t xml:space="preserve"> per minuut mobiel gesprek</t>
    </r>
  </si>
  <si>
    <t xml:space="preserve">PMCm </t>
  </si>
  <si>
    <t>PMCm=cmo + cmt*smon+MTR*smoff +FTR*smv</t>
  </si>
  <si>
    <t>Mobiel minuuttarief exclusief BTW</t>
  </si>
  <si>
    <t>Pgm</t>
  </si>
  <si>
    <t>Pgm1 = Pgm0+tm*(PMCm1-PMCm0)</t>
  </si>
  <si>
    <t>Mobiel minuuttarief inclusief BTW</t>
  </si>
  <si>
    <t>Pgm_BTW</t>
  </si>
  <si>
    <t>Pgm_BTW=Pgm*(1+btw)</t>
  </si>
  <si>
    <t>Gespreksvolume per jaar</t>
  </si>
  <si>
    <t xml:space="preserve">Totaal </t>
  </si>
  <si>
    <t>Vm</t>
  </si>
  <si>
    <t>Vm = Agm - bgm*PgmBTW</t>
  </si>
  <si>
    <t>On net</t>
  </si>
  <si>
    <t>Vmon</t>
  </si>
  <si>
    <t>Vmon = Vm*smon</t>
  </si>
  <si>
    <t>Off-net</t>
  </si>
  <si>
    <t>Vmoff</t>
  </si>
  <si>
    <t>Vmoff = Vm*smoff</t>
  </si>
  <si>
    <t>Mobiel - vast</t>
  </si>
  <si>
    <t>Vmv</t>
  </si>
  <si>
    <t>vmv = Vm*smv</t>
  </si>
  <si>
    <t xml:space="preserve">CONSUMENTENSURPLUS  UIT BELLEN EN GEBELD WORDEN </t>
  </si>
  <si>
    <t>CSgm</t>
  </si>
  <si>
    <t xml:space="preserve">Bellen </t>
  </si>
  <si>
    <t>CSgm'</t>
  </si>
  <si>
    <t xml:space="preserve">CSgm' = 0,5* (Agm/bgm-PgmBTW)*Vm </t>
  </si>
  <si>
    <t xml:space="preserve">Gebeld worden </t>
  </si>
  <si>
    <t>CSgm''</t>
  </si>
  <si>
    <t>CSgm'' = zm*(Vmon+Vmoff+Vvm)*((Agm-0,5*(Vmon+Vmoff+Vvm))/bgm</t>
  </si>
  <si>
    <t>Gemiddeld consumentensurplus (per klant) uit bellen en gebeld worden</t>
  </si>
  <si>
    <t>GCSgm</t>
  </si>
  <si>
    <t>GCSgm=CSgm/Nm0</t>
  </si>
  <si>
    <t>GCSgm'</t>
  </si>
  <si>
    <t>GCSgm'=CSgm'/Nm0</t>
  </si>
  <si>
    <t>GCSgm''</t>
  </si>
  <si>
    <t>GCSgm'' = CSgm''/Nm0</t>
  </si>
  <si>
    <t>WINSTEN OP GESPREKKEN EN AFGIFTE</t>
  </si>
  <si>
    <t>Wgafm</t>
  </si>
  <si>
    <t>Wgafm=Wgm+Wafm</t>
  </si>
  <si>
    <t xml:space="preserve">Winsten op gesprekken </t>
  </si>
  <si>
    <t>Wgm</t>
  </si>
  <si>
    <t>Wgm = (Pgm-PMCm)*Vm</t>
  </si>
  <si>
    <t>Winsten op afgifte</t>
  </si>
  <si>
    <t>Wafm</t>
  </si>
  <si>
    <t>Wafm = (MTR-cmt)*(Vmoff+Vvm)</t>
  </si>
  <si>
    <t>Gemiddelde winsten (per klant) op gesprekken en afgifte</t>
  </si>
  <si>
    <t>GWafm</t>
  </si>
  <si>
    <t>Gwafm = Wafm/Nm0</t>
  </si>
  <si>
    <t xml:space="preserve">Gemiddelde BTW-inkomsten van de belastingdienst (per klant) op mobiele gesprekken </t>
  </si>
  <si>
    <t>GBTWgm</t>
  </si>
  <si>
    <t>Pgm*btw*Vm/Nm0</t>
  </si>
  <si>
    <t>VRAAGFUNCTIE</t>
  </si>
  <si>
    <t xml:space="preserve">Lineaire vraagfunctie:  </t>
  </si>
  <si>
    <t>Vm = Agm - bgm*Pgm_BTW</t>
  </si>
  <si>
    <t>Verondersteld dat elasticiteit gelijk aan εgm bij Pgm0 en Vgm0</t>
  </si>
  <si>
    <t xml:space="preserve">Functieparameters: </t>
  </si>
  <si>
    <t xml:space="preserve">bgm </t>
  </si>
  <si>
    <t>bgm=εgm*Vm0/Pgm0_BTW</t>
  </si>
  <si>
    <t xml:space="preserve">Agm </t>
  </si>
  <si>
    <t>Agm=Vm0+bgm*Pgm0_BTW</t>
  </si>
  <si>
    <t>AANDELEN VERSCHILLENDE SOORTEN GESPREKKEN  IN TOTAAL</t>
  </si>
  <si>
    <t>Gesprekken on-net</t>
  </si>
  <si>
    <t>smon</t>
  </si>
  <si>
    <t>Vmon0/Vm0</t>
  </si>
  <si>
    <t>Gesprekken off-net naar mobiel</t>
  </si>
  <si>
    <t>smoff</t>
  </si>
  <si>
    <t>Vmoff0/Vm0</t>
  </si>
  <si>
    <t>Gesprekken mobiel-vast</t>
  </si>
  <si>
    <t>smv</t>
  </si>
  <si>
    <t>Vmv0/Vm0</t>
  </si>
  <si>
    <t xml:space="preserve">NETWERKEXTERNALITEIT VAN VAST NAAR MOBIEL </t>
  </si>
  <si>
    <t xml:space="preserve">Gemiddeld consumentensurplus uit bellen naar en gebeld worden vanuit vast </t>
  </si>
  <si>
    <t>GCSgm(v)</t>
  </si>
  <si>
    <t xml:space="preserve">GCSgm(v) = smv*CSgm0'/Nm0 + GCSgm0''*Vvm0/(Vmon0+Vm0ff0+Vvm0)/Nm0 </t>
  </si>
  <si>
    <t>Gemiddeld consumentensurplus veroorzaakt door een extra vaste abonnee</t>
  </si>
  <si>
    <t>xvm=GCSgm(v)/Nv</t>
  </si>
  <si>
    <t>GESPREKKEN VAN VAST NAAR VAST</t>
  </si>
  <si>
    <r>
      <t>Gemiddeld</t>
    </r>
    <r>
      <rPr>
        <b/>
        <i/>
        <sz val="10"/>
        <color rgb="FF000000"/>
        <rFont val="Arial"/>
        <family val="2"/>
      </rPr>
      <t xml:space="preserve"> perceived marginal cost</t>
    </r>
    <r>
      <rPr>
        <b/>
        <sz val="10"/>
        <color rgb="FF000000"/>
        <rFont val="Arial"/>
        <family val="2"/>
      </rPr>
      <t xml:space="preserve"> per minuut gesprek vast-vast</t>
    </r>
  </si>
  <si>
    <t xml:space="preserve">PMCvv </t>
  </si>
  <si>
    <t>PMCvv</t>
  </si>
  <si>
    <t>PMCvv=cvo + cvt*svon+FTR*svoff</t>
  </si>
  <si>
    <t>Minuuttarief vast-vast exclusief BTW</t>
  </si>
  <si>
    <t>Pgvv</t>
  </si>
  <si>
    <t>Pgvv1 = Pgvv0+tv*(PMCvv1-PMCvv0)</t>
  </si>
  <si>
    <t>Minuuttarief vast-vast inclusief BTW</t>
  </si>
  <si>
    <t>Pgvv_BTW</t>
  </si>
  <si>
    <t>Pgvv_BTW=Pgvv*(1+btw)</t>
  </si>
  <si>
    <t>Gespreksvolume vast-vast per jaar</t>
  </si>
  <si>
    <t>Vvv</t>
  </si>
  <si>
    <t>Vvv = Agvv - bgvv*Pgvv</t>
  </si>
  <si>
    <t>Vvon</t>
  </si>
  <si>
    <t xml:space="preserve">Vvon </t>
  </si>
  <si>
    <t>Vvon = Vvv*svon</t>
  </si>
  <si>
    <t>Vvoff</t>
  </si>
  <si>
    <t>Vvoff = Vvv*svoff</t>
  </si>
  <si>
    <t xml:space="preserve">GESPREKKEN VAN VAST NAAR MOBIEL </t>
  </si>
  <si>
    <r>
      <t>Perceived marginal cost</t>
    </r>
    <r>
      <rPr>
        <b/>
        <sz val="10"/>
        <color rgb="FF000000"/>
        <rFont val="Arial"/>
        <family val="2"/>
      </rPr>
      <t xml:space="preserve"> per minuut gesprek vast-mobiel </t>
    </r>
  </si>
  <si>
    <t xml:space="preserve">PMCvm </t>
  </si>
  <si>
    <t>PMCvm</t>
  </si>
  <si>
    <t>cvo + MTR</t>
  </si>
  <si>
    <t>Minuuttarief vast-mobiel exclusief BTW</t>
  </si>
  <si>
    <t>Pgvm</t>
  </si>
  <si>
    <t>Pgvm1 = Pgvm0+tv*(PMCvm1-PMCvm0)</t>
  </si>
  <si>
    <t>Minuuttarief vast-mobiel inclusief BTW</t>
  </si>
  <si>
    <t>Pgvm_BTW</t>
  </si>
  <si>
    <t>Pgvm_BTW=Pgvm*(1+btw)</t>
  </si>
  <si>
    <t xml:space="preserve">Gespreksvolume vast-mobiel </t>
  </si>
  <si>
    <t>Vvm</t>
  </si>
  <si>
    <t>Vvm = Agvm - bgvm*Pgvm_BTW</t>
  </si>
  <si>
    <t xml:space="preserve">CONSUMENTENSURPLUS UIT BELLEN EN GEBELD WORDEN </t>
  </si>
  <si>
    <t>CSgv</t>
  </si>
  <si>
    <t>CSgv = CSgv' + CSgv"</t>
  </si>
  <si>
    <t xml:space="preserve">CSgv' </t>
  </si>
  <si>
    <t>CSgv' = 0,5* (Agvv/bgvv-Pgvv)*Vvv + 0,5*(Agvm/bgvm-Pgvm)*Vvm</t>
  </si>
  <si>
    <t>CSgv''</t>
  </si>
  <si>
    <t>CSgv'' = zv*(Vvon+Vvoff+Vmv)*((Agvv+Agvm-0.5(Vvon+Vvoff+Vmv))/(bgvv+bgvm)</t>
  </si>
  <si>
    <t>Gemiddeld consumentensurplus uit bellen en gebeld worden</t>
  </si>
  <si>
    <t>GCSgv</t>
  </si>
  <si>
    <t>GCSgv=CSgv/Nv</t>
  </si>
  <si>
    <t>GCSgv'</t>
  </si>
  <si>
    <t>GCSgv'=CSgv'/Nm</t>
  </si>
  <si>
    <t>GCSgv''</t>
  </si>
  <si>
    <t>GCSgv'' = CSgv''/Nm</t>
  </si>
  <si>
    <t>WINSTEN VASTE AANBIEDERS OP GESPREKKEN EN AFGIFTE</t>
  </si>
  <si>
    <t>Wgafv</t>
  </si>
  <si>
    <t>Wgafv=Wgv+Wafv</t>
  </si>
  <si>
    <t>Wgv</t>
  </si>
  <si>
    <t>Wgv = (Pgvv-PMCvv)*Vvv+(Pgvm-PMCvm)*Vvm</t>
  </si>
  <si>
    <t>Wafv</t>
  </si>
  <si>
    <t>Wafv = (FTR-cvt)*(Vvoff+Vmv)</t>
  </si>
  <si>
    <t>Gemiddelde winsten op gesprekken en afgifte</t>
  </si>
  <si>
    <t xml:space="preserve">GWgafv </t>
  </si>
  <si>
    <t>GWgafv</t>
  </si>
  <si>
    <t>GWgafv = Wgafv/Nv</t>
  </si>
  <si>
    <t xml:space="preserve">Gemiddelde BTW-inkomsten van de belastingdienst (per klant) op vaste gesprekken </t>
  </si>
  <si>
    <t>GBTWgv</t>
  </si>
  <si>
    <t>(Pgvv*btw*Vvv+Pgvm*btw*Vvm)/Nv0</t>
  </si>
  <si>
    <t>VRAAGFUNCTIES</t>
  </si>
  <si>
    <t xml:space="preserve">Vraag naar gesprekken vast-vast </t>
  </si>
  <si>
    <t xml:space="preserve">Vm </t>
  </si>
  <si>
    <t>Vvv = Agvv - bgvv*Pgvv_BTW</t>
  </si>
  <si>
    <t>Verondersteld dat elasticiteit gelijk aan εgvv bij Pgvv0 en Vgvv0</t>
  </si>
  <si>
    <t>bgvv</t>
  </si>
  <si>
    <t>bgvv=εgvv*Vvv0/Pgvv0_BTW</t>
  </si>
  <si>
    <t xml:space="preserve">Agvv </t>
  </si>
  <si>
    <t>Agvv</t>
  </si>
  <si>
    <t>Agvv=Vvv0+bgvv*Pgvv0_BTW</t>
  </si>
  <si>
    <t xml:space="preserve">Vraag naar gesprekken vast-mobiel </t>
  </si>
  <si>
    <t>Verondersteld dat elasticiteit gelijk aan εgvm bij Pgvm0 en Vgvm0</t>
  </si>
  <si>
    <t>bgvm</t>
  </si>
  <si>
    <t>bgvm=εgvm*Vvm0/Pgvm0_BTW</t>
  </si>
  <si>
    <t>Agvm</t>
  </si>
  <si>
    <t>Agvm=Vvm0+bgvm*Pgvm0_BTW</t>
  </si>
  <si>
    <t>AANDEEL VERSCHILLENDE SOORTEN GESPREKKEN IN TOTAAL VAST-VAST</t>
  </si>
  <si>
    <t>svon</t>
  </si>
  <si>
    <t>Vvon0/Vvv0</t>
  </si>
  <si>
    <t>Gesprekken off-net vast-vast</t>
  </si>
  <si>
    <t>svoff</t>
  </si>
  <si>
    <t>Vvoff0/Vvv0</t>
  </si>
  <si>
    <t xml:space="preserve">NETWERKEXTERNALITEIT VAN MOBIEL NAAR VAST </t>
  </si>
  <si>
    <t xml:space="preserve">Gemiddeld consumentensurplus uit bellen naar en gebeld worden vanuit mobiel  </t>
  </si>
  <si>
    <t xml:space="preserve">GCSgv(m) =  0,5*(Agvm/bgvm-Pgvm)*Vvm/Nv + zv*CSgv' * (Vmv/(Vmv+Vvon+Vvoff))/Nv  </t>
  </si>
  <si>
    <t>Gemiddeld consumentensurplus veroorzaakt door een extra mobiele abonnee</t>
  </si>
  <si>
    <t>xmv = GCSgv(m)/Nm</t>
  </si>
  <si>
    <t xml:space="preserve">ABONNAMENTENMARKTEN </t>
  </si>
  <si>
    <t xml:space="preserve">Nieuwe waarde </t>
  </si>
  <si>
    <t xml:space="preserve">Netto kosten van een mobiel abonnement </t>
  </si>
  <si>
    <t>NKma</t>
  </si>
  <si>
    <t>NKma=fm-GWgafm</t>
  </si>
  <si>
    <t>Netto kosten van een vast abonnement</t>
  </si>
  <si>
    <t>NKva</t>
  </si>
  <si>
    <t>NKva=fv-Gwgafv</t>
  </si>
  <si>
    <t>Abonnementsprijs mobiel exclusief BTW</t>
  </si>
  <si>
    <t>Pam</t>
  </si>
  <si>
    <t>Pam1=Pam0+ym*(NKma1-NKma0)</t>
  </si>
  <si>
    <t>Abonnementsprijs mobiel inclusief BTW</t>
  </si>
  <si>
    <t>Pam_BTW</t>
  </si>
  <si>
    <t>Pam_BTW = Pam*(1+btw)</t>
  </si>
  <si>
    <t>Abonnementsprijs vast exclusief BTW</t>
  </si>
  <si>
    <t>Pav</t>
  </si>
  <si>
    <t>Pav1=Pav0+yv*(NKva1-NKva0)</t>
  </si>
  <si>
    <t>Abonnementsprijs vast inclusief BTW</t>
  </si>
  <si>
    <t>Pav_BTW</t>
  </si>
  <si>
    <t>Pav_BTW = Pav*(1+btw)</t>
  </si>
  <si>
    <t xml:space="preserve">Aantal abonnementen mobiel </t>
  </si>
  <si>
    <t>Nm</t>
  </si>
  <si>
    <t>Zie cel A14</t>
  </si>
  <si>
    <t>Aantal abonnementen vast</t>
  </si>
  <si>
    <t>Nv</t>
  </si>
  <si>
    <t>Zie cel A15</t>
  </si>
  <si>
    <t xml:space="preserve">Formules: </t>
  </si>
  <si>
    <t>Nm = (Aam-bam*(Pam_BTW-GCSgm')+bam*xvm(Aav-bav(Pav_BTW-GCSgv')))/(1-bam*bav*xvm*xmv)</t>
  </si>
  <si>
    <t>Nv = (Aav-bav(Pav_BTW-GCSgv')+bav*xmv(Aam-bam(Pam_BTW-GCSgm')))/(1-bam*bav*xvm*xmv)</t>
  </si>
  <si>
    <t xml:space="preserve">Consumentensurplus mobiel </t>
  </si>
  <si>
    <t>CSm</t>
  </si>
  <si>
    <t>0,5*(Aam/bam+GCSgm'+xvm*Nv-Pam_BTW)*Nm + GCSgm''Nm</t>
  </si>
  <si>
    <t>Consumentensurplus vast</t>
  </si>
  <si>
    <t>CSv</t>
  </si>
  <si>
    <t>0,5*(Aav/bav+GCSgv'+xmv*Nm-Pav_BTW)*Nv + GCSgv''Nv</t>
  </si>
  <si>
    <t xml:space="preserve">Winsten mobiel </t>
  </si>
  <si>
    <t>Wm</t>
  </si>
  <si>
    <t>Wm = (Pam-NKma)*Nm</t>
  </si>
  <si>
    <t>Winsten vast</t>
  </si>
  <si>
    <t>Wv</t>
  </si>
  <si>
    <t>Wv = (Pav-Nkva)*Nv</t>
  </si>
  <si>
    <t>BTW-inkomsten belastingdienst op abonnementen</t>
  </si>
  <si>
    <t>BTWam</t>
  </si>
  <si>
    <t>Pam*btw*Nm+Pav*btw*Nv</t>
  </si>
  <si>
    <t xml:space="preserve">BTW-inkomsten belastingdienst op gesprekken </t>
  </si>
  <si>
    <t>BTWg</t>
  </si>
  <si>
    <t>GBTWgm*Nm+GBTWgv*Nv</t>
  </si>
  <si>
    <t>BTW-inkomsten totaal</t>
  </si>
  <si>
    <t>BTW</t>
  </si>
  <si>
    <t>BTW=BTWam+BTWg</t>
  </si>
  <si>
    <t xml:space="preserve">Totale welvaart </t>
  </si>
  <si>
    <t>SW</t>
  </si>
  <si>
    <t>SW=CSm+CSV+Wm+Wv+BTW</t>
  </si>
  <si>
    <t xml:space="preserve">Welvaartsverandering </t>
  </si>
  <si>
    <t>VRAAG NAAR ABONNEMENTEN</t>
  </si>
  <si>
    <t>Nm = Aam + bam*(GCSgm'-xvm*Nv)-bam*Pam_BTW</t>
  </si>
  <si>
    <t xml:space="preserve"> </t>
  </si>
  <si>
    <t>Verondersteld dat elasticiteit gelijk aan εam bij Pam0, Nm0, GCSgm0 en Nv0</t>
  </si>
  <si>
    <t>bam</t>
  </si>
  <si>
    <t>bam=εam*Nm0/Pam0_BTW</t>
  </si>
  <si>
    <t>Aam</t>
  </si>
  <si>
    <t>Aam= Nm0-bam*(GCSgm0'+xvm*Nv0)+bam*Pam0_BTW</t>
  </si>
  <si>
    <t>Nv = Aav + bav*(GCSgv0'-xmv*Nm0)-bav*Pav_BTW</t>
  </si>
  <si>
    <t>bav</t>
  </si>
  <si>
    <t>bav=εav*Nv0/Pav0_BTW</t>
  </si>
  <si>
    <t>Aav</t>
  </si>
  <si>
    <t>Aav=Nv0-bav*(GCSgv0'+xmv*Nm0)+bav*Pav0_BTW</t>
  </si>
  <si>
    <t xml:space="preserve">Elasticiteit van de vraag naar abonnementen </t>
  </si>
  <si>
    <t xml:space="preserve">Gemiddelde prijs per minuut mobiel bellen </t>
  </si>
  <si>
    <t xml:space="preserve">Aantal minuten per beller </t>
  </si>
  <si>
    <t>Prijs per minuut (excl. BTW)</t>
  </si>
  <si>
    <t xml:space="preserve">Aantal bellers </t>
  </si>
  <si>
    <t>Prijs per abonnement</t>
  </si>
  <si>
    <t>Totale omzet</t>
  </si>
  <si>
    <t xml:space="preserve">Totaal aantal mobiele minuten </t>
  </si>
  <si>
    <t>Gemiddelde prijs per minuut</t>
  </si>
  <si>
    <t xml:space="preserve">Daling van afgiftetarief </t>
  </si>
  <si>
    <t xml:space="preserve">Passthrough in de gemiddelde prijs </t>
  </si>
  <si>
    <t>VERANDERINGEN per jaar</t>
  </si>
  <si>
    <t xml:space="preserve">Δ Consumentensurplus mobiel </t>
  </si>
  <si>
    <t>Δ Consumentensurplus vast</t>
  </si>
  <si>
    <t xml:space="preserve">Δ Winsten mobiele aanbieders </t>
  </si>
  <si>
    <t>Δ Winsten vaste aanbieders</t>
  </si>
  <si>
    <t>Δ BTW inkomsten belastingdienst</t>
  </si>
  <si>
    <t xml:space="preserve">Δ Totale welvaart </t>
  </si>
  <si>
    <t>Δ Consumentensurplus + BTW effect</t>
  </si>
  <si>
    <t xml:space="preserve">Δ Winsten aanbieders </t>
  </si>
  <si>
    <t xml:space="preserve">Alle prijzen en kosten zijn in euro's. Gespreksprijzen zijn per minuut, abonnementsprijzen per jaar. </t>
  </si>
  <si>
    <t>Welvaartsanalyse vaste en mobiele afgiftetarieven</t>
  </si>
  <si>
    <t xml:space="preserve">Het model analyseert de welvaart van twee vormen van regulering: pure BULRIC (Scenario 1) en BULRIC plus (Scenario 2) </t>
  </si>
  <si>
    <t>Alle andere parameters/inputvariabelen zijn gelijk.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</si>
</sst>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 &quot;#,##0.00&quot; &quot;;&quot; &quot;#,##0.00&quot;-&quot;;&quot; -&quot;00&quot; &quot;;&quot; &quot;@&quot; &quot;"/>
    <numFmt numFmtId="165" formatCode="0.0"/>
    <numFmt numFmtId="166" formatCode="0.000"/>
    <numFmt numFmtId="167" formatCode="0.0000"/>
    <numFmt numFmtId="168" formatCode="&quot; &quot;#,##0.00&quot; &quot;;&quot; -&quot;#,##0.00&quot; &quot;;&quot; -&quot;00&quot; &quot;;&quot; &quot;@&quot; &quot;"/>
    <numFmt numFmtId="169" formatCode="&quot; &quot;#,##0.00000000&quot; &quot;;&quot; &quot;#,##0.00000000&quot;-&quot;;&quot; -&quot;00&quot; &quot;;&quot; &quot;@&quot; &quot;"/>
    <numFmt numFmtId="170" formatCode="#,##0.00000"/>
    <numFmt numFmtId="171" formatCode="#,##0.0"/>
  </numFmts>
  <fonts count="6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ill="1"/>
    <xf numFmtId="3" fontId="0" fillId="0" borderId="0" xfId="0" applyNumberFormat="1"/>
    <xf numFmtId="4" fontId="0" fillId="0" borderId="0" xfId="0" applyNumberFormat="1" applyFill="1"/>
    <xf numFmtId="4" fontId="0" fillId="0" borderId="0" xfId="0" applyNumberFormat="1"/>
    <xf numFmtId="167" fontId="0" fillId="0" borderId="0" xfId="0" applyNumberFormat="1"/>
    <xf numFmtId="0" fontId="2" fillId="0" borderId="0" xfId="0" applyFont="1" applyAlignment="1">
      <alignment horizontal="left"/>
    </xf>
    <xf numFmtId="166" fontId="0" fillId="0" borderId="0" xfId="0" applyNumberFormat="1"/>
    <xf numFmtId="0" fontId="3" fillId="0" borderId="0" xfId="0" applyFont="1"/>
    <xf numFmtId="3" fontId="1" fillId="0" borderId="0" xfId="1" applyNumberFormat="1"/>
    <xf numFmtId="164" fontId="1" fillId="0" borderId="0" xfId="1"/>
    <xf numFmtId="9" fontId="1" fillId="0" borderId="0" xfId="2"/>
    <xf numFmtId="169" fontId="1" fillId="0" borderId="0" xfId="1" applyNumberFormat="1"/>
    <xf numFmtId="4" fontId="1" fillId="0" borderId="0" xfId="1" applyNumberFormat="1" applyFill="1"/>
    <xf numFmtId="164" fontId="1" fillId="0" borderId="0" xfId="1" applyFill="1"/>
    <xf numFmtId="4" fontId="1" fillId="0" borderId="0" xfId="1" applyNumberFormat="1"/>
    <xf numFmtId="0" fontId="4" fillId="0" borderId="0" xfId="0" applyFont="1"/>
    <xf numFmtId="0" fontId="5" fillId="0" borderId="0" xfId="0" applyFont="1"/>
    <xf numFmtId="0" fontId="2" fillId="2" borderId="0" xfId="0" applyFont="1" applyFill="1"/>
    <xf numFmtId="4" fontId="1" fillId="2" borderId="1" xfId="1" applyNumberFormat="1" applyFill="1" applyBorder="1"/>
    <xf numFmtId="168" fontId="0" fillId="0" borderId="0" xfId="0" applyNumberFormat="1"/>
    <xf numFmtId="0" fontId="0" fillId="2" borderId="2" xfId="0" applyFill="1" applyBorder="1"/>
    <xf numFmtId="0" fontId="2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4" xfId="0" applyFont="1" applyFill="1" applyBorder="1"/>
    <xf numFmtId="0" fontId="0" fillId="2" borderId="6" xfId="0" applyFill="1" applyBorder="1"/>
    <xf numFmtId="0" fontId="2" fillId="2" borderId="1" xfId="0" applyFont="1" applyFill="1" applyBorder="1"/>
    <xf numFmtId="4" fontId="0" fillId="2" borderId="1" xfId="0" applyNumberFormat="1" applyFill="1" applyBorder="1"/>
    <xf numFmtId="0" fontId="0" fillId="2" borderId="1" xfId="0" applyFill="1" applyBorder="1"/>
    <xf numFmtId="0" fontId="4" fillId="2" borderId="1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9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170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3" fontId="0" fillId="0" borderId="0" xfId="0" applyNumberFormat="1" applyFont="1" applyFill="1" applyBorder="1"/>
    <xf numFmtId="0" fontId="0" fillId="0" borderId="0" xfId="0" applyFill="1" applyBorder="1" applyAlignment="1"/>
    <xf numFmtId="171" fontId="0" fillId="0" borderId="0" xfId="0" applyNumberFormat="1"/>
  </cellXfs>
  <cellStyles count="3">
    <cellStyle name="Komma" xfId="1" builtinId="3" customBuiltin="1"/>
    <cellStyle name="Procent" xfId="2" builtinId="5" customBuiltin="1"/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abSelected="1" workbookViewId="0"/>
  </sheetViews>
  <sheetFormatPr defaultRowHeight="12.75" x14ac:dyDescent="0.2"/>
  <cols>
    <col min="1" max="1" width="9.140625" customWidth="1"/>
  </cols>
  <sheetData>
    <row r="2" spans="1:1" x14ac:dyDescent="0.2">
      <c r="A2" s="1" t="s">
        <v>363</v>
      </c>
    </row>
    <row r="4" spans="1:1" x14ac:dyDescent="0.2">
      <c r="A4" t="s">
        <v>0</v>
      </c>
    </row>
    <row r="5" spans="1:1" x14ac:dyDescent="0.2">
      <c r="A5" t="s">
        <v>362</v>
      </c>
    </row>
    <row r="6" spans="1:1" x14ac:dyDescent="0.2">
      <c r="A6" t="s">
        <v>1</v>
      </c>
    </row>
    <row r="7" spans="1:1" x14ac:dyDescent="0.2">
      <c r="A7" t="s">
        <v>2</v>
      </c>
    </row>
    <row r="9" spans="1:1" x14ac:dyDescent="0.2">
      <c r="A9" t="s">
        <v>364</v>
      </c>
    </row>
    <row r="10" spans="1:1" x14ac:dyDescent="0.2">
      <c r="A10" t="s">
        <v>365</v>
      </c>
    </row>
    <row r="13" spans="1:1" x14ac:dyDescent="0.2">
      <c r="A13" s="1" t="s">
        <v>3</v>
      </c>
    </row>
    <row r="15" spans="1:1" x14ac:dyDescent="0.2">
      <c r="A15" t="s">
        <v>4</v>
      </c>
    </row>
    <row r="17" spans="1:4" x14ac:dyDescent="0.2">
      <c r="A17" t="s">
        <v>5</v>
      </c>
    </row>
    <row r="19" spans="1:4" x14ac:dyDescent="0.2">
      <c r="A19" t="s">
        <v>6</v>
      </c>
    </row>
    <row r="21" spans="1:4" x14ac:dyDescent="0.2">
      <c r="A21" t="s">
        <v>7</v>
      </c>
    </row>
    <row r="23" spans="1:4" x14ac:dyDescent="0.2">
      <c r="A23" t="s">
        <v>8</v>
      </c>
    </row>
    <row r="25" spans="1:4" x14ac:dyDescent="0.2">
      <c r="A25" t="s">
        <v>9</v>
      </c>
    </row>
    <row r="28" spans="1:4" x14ac:dyDescent="0.2">
      <c r="A28" s="2"/>
      <c r="B28" s="2"/>
      <c r="C28" s="2"/>
      <c r="D28" s="2"/>
    </row>
    <row r="29" spans="1:4" x14ac:dyDescent="0.2">
      <c r="A29" s="3"/>
      <c r="B29" s="2"/>
      <c r="C29" s="2"/>
      <c r="D29" s="2"/>
    </row>
    <row r="30" spans="1:4" x14ac:dyDescent="0.2">
      <c r="A30" s="2"/>
      <c r="B30" s="2"/>
      <c r="C30" s="2"/>
      <c r="D30" s="2"/>
    </row>
  </sheetData>
  <pageMargins left="0.75000000000000011" right="0.75000000000000011" top="1" bottom="1" header="0.5" footer="0.5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workbookViewId="0">
      <selection activeCell="C18" sqref="C18"/>
    </sheetView>
  </sheetViews>
  <sheetFormatPr defaultRowHeight="12.75" x14ac:dyDescent="0.2"/>
  <cols>
    <col min="1" max="1" width="87.140625" style="38" customWidth="1"/>
    <col min="2" max="2" width="15.85546875" style="41" customWidth="1"/>
    <col min="3" max="3" width="24.42578125" style="38" customWidth="1"/>
    <col min="4" max="4" width="19" style="38" customWidth="1"/>
    <col min="5" max="6" width="18.28515625" style="38" customWidth="1"/>
    <col min="7" max="7" width="53.42578125" style="38" bestFit="1" customWidth="1"/>
    <col min="8" max="8" width="8.140625" style="38" bestFit="1" customWidth="1"/>
    <col min="9" max="9" width="9.140625" style="38" customWidth="1"/>
    <col min="10" max="12" width="9.140625" style="38"/>
    <col min="13" max="13" width="10.7109375" style="38" bestFit="1" customWidth="1"/>
    <col min="14" max="16384" width="9.140625" style="38"/>
  </cols>
  <sheetData>
    <row r="1" spans="1:7" x14ac:dyDescent="0.2">
      <c r="A1" s="36" t="s">
        <v>10</v>
      </c>
      <c r="B1" s="37" t="s">
        <v>11</v>
      </c>
      <c r="C1" s="37" t="s">
        <v>12</v>
      </c>
    </row>
    <row r="2" spans="1:7" x14ac:dyDescent="0.2">
      <c r="A2" s="36" t="s">
        <v>13</v>
      </c>
      <c r="B2" s="37"/>
      <c r="C2" s="37" t="s">
        <v>14</v>
      </c>
      <c r="D2" s="37" t="s">
        <v>15</v>
      </c>
      <c r="E2" s="39"/>
    </row>
    <row r="3" spans="1:7" x14ac:dyDescent="0.2">
      <c r="A3" s="38" t="s">
        <v>2</v>
      </c>
      <c r="B3" s="37"/>
      <c r="C3" s="36" t="s">
        <v>16</v>
      </c>
      <c r="D3" s="36" t="s">
        <v>17</v>
      </c>
      <c r="E3" s="40"/>
    </row>
    <row r="5" spans="1:7" x14ac:dyDescent="0.2">
      <c r="A5" s="36"/>
      <c r="B5" s="37"/>
      <c r="C5" s="36"/>
    </row>
    <row r="6" spans="1:7" x14ac:dyDescent="0.2">
      <c r="A6" s="36" t="s">
        <v>18</v>
      </c>
    </row>
    <row r="7" spans="1:7" x14ac:dyDescent="0.2">
      <c r="A7" s="38" t="s">
        <v>19</v>
      </c>
      <c r="B7" s="41" t="s">
        <v>20</v>
      </c>
      <c r="C7" s="38">
        <v>4.95666666666667E-3</v>
      </c>
      <c r="D7" s="38">
        <v>4.9566666666666656E-3</v>
      </c>
    </row>
    <row r="8" spans="1:7" x14ac:dyDescent="0.2">
      <c r="A8" s="38" t="s">
        <v>21</v>
      </c>
      <c r="B8" s="41" t="s">
        <v>22</v>
      </c>
      <c r="C8" s="38">
        <v>4.9566666666666656E-3</v>
      </c>
      <c r="D8" s="38">
        <v>4.9566666666666656E-3</v>
      </c>
    </row>
    <row r="9" spans="1:7" x14ac:dyDescent="0.2">
      <c r="A9" s="38" t="s">
        <v>23</v>
      </c>
      <c r="B9" s="41" t="s">
        <v>24</v>
      </c>
      <c r="C9" s="38">
        <v>1.6955555555555554E-3</v>
      </c>
      <c r="D9" s="38">
        <v>1.6955555555555554E-3</v>
      </c>
    </row>
    <row r="10" spans="1:7" x14ac:dyDescent="0.2">
      <c r="A10" s="38" t="s">
        <v>25</v>
      </c>
      <c r="B10" s="41" t="s">
        <v>26</v>
      </c>
      <c r="C10" s="38">
        <v>1.6955555555555554E-3</v>
      </c>
      <c r="D10" s="38">
        <v>1.6955555555555554E-3</v>
      </c>
    </row>
    <row r="11" spans="1:7" x14ac:dyDescent="0.2">
      <c r="A11" s="38" t="s">
        <v>27</v>
      </c>
      <c r="B11" s="41" t="s">
        <v>28</v>
      </c>
      <c r="C11" s="38">
        <v>40</v>
      </c>
      <c r="D11" s="38">
        <v>40</v>
      </c>
      <c r="G11" s="40"/>
    </row>
    <row r="12" spans="1:7" x14ac:dyDescent="0.2">
      <c r="A12" s="38" t="s">
        <v>29</v>
      </c>
      <c r="B12" s="41" t="s">
        <v>30</v>
      </c>
      <c r="C12" s="38">
        <v>10</v>
      </c>
      <c r="D12" s="38">
        <v>10</v>
      </c>
    </row>
    <row r="13" spans="1:7" x14ac:dyDescent="0.2">
      <c r="A13" s="36"/>
      <c r="B13" s="37"/>
      <c r="C13" s="36"/>
      <c r="D13" s="36"/>
      <c r="E13" s="36"/>
    </row>
    <row r="14" spans="1:7" x14ac:dyDescent="0.2">
      <c r="A14" s="36" t="s">
        <v>31</v>
      </c>
    </row>
    <row r="15" spans="1:7" ht="15.75" customHeight="1" x14ac:dyDescent="0.2">
      <c r="A15" s="38" t="s">
        <v>32</v>
      </c>
      <c r="B15" s="41" t="s">
        <v>33</v>
      </c>
      <c r="C15" s="38">
        <v>2.1000000000000001E-2</v>
      </c>
      <c r="D15" s="38">
        <v>2.1000000000000001E-2</v>
      </c>
    </row>
    <row r="16" spans="1:7" x14ac:dyDescent="0.2">
      <c r="A16" s="38" t="s">
        <v>34</v>
      </c>
      <c r="B16" s="41" t="s">
        <v>35</v>
      </c>
      <c r="C16" s="38">
        <v>3.2199999999999999E-2</v>
      </c>
      <c r="D16" s="38">
        <v>3.2199999999999999E-2</v>
      </c>
    </row>
    <row r="17" spans="1:7" x14ac:dyDescent="0.2">
      <c r="A17" s="38" t="s">
        <v>36</v>
      </c>
      <c r="B17" s="41" t="s">
        <v>37</v>
      </c>
      <c r="C17" s="38">
        <v>4.7100000000000003E-2</v>
      </c>
      <c r="D17" s="38">
        <v>4.7100000000000003E-2</v>
      </c>
    </row>
    <row r="18" spans="1:7" x14ac:dyDescent="0.2">
      <c r="A18" s="38" t="s">
        <v>38</v>
      </c>
      <c r="B18" s="41" t="s">
        <v>39</v>
      </c>
      <c r="C18" s="42">
        <v>32.94</v>
      </c>
      <c r="D18" s="42">
        <v>32.94</v>
      </c>
    </row>
    <row r="19" spans="1:7" x14ac:dyDescent="0.2">
      <c r="A19" s="38" t="s">
        <v>40</v>
      </c>
      <c r="B19" s="41" t="s">
        <v>41</v>
      </c>
      <c r="C19" s="42">
        <v>33.97</v>
      </c>
      <c r="D19" s="42">
        <v>33.97</v>
      </c>
    </row>
    <row r="21" spans="1:7" x14ac:dyDescent="0.2">
      <c r="A21" s="36" t="s">
        <v>42</v>
      </c>
      <c r="B21" s="41" t="s">
        <v>43</v>
      </c>
      <c r="C21" s="43">
        <v>0.21</v>
      </c>
      <c r="D21" s="43">
        <v>0.21</v>
      </c>
      <c r="E21" s="43"/>
    </row>
    <row r="22" spans="1:7" x14ac:dyDescent="0.2">
      <c r="A22" s="36"/>
    </row>
    <row r="23" spans="1:7" x14ac:dyDescent="0.2">
      <c r="A23" s="36" t="s">
        <v>44</v>
      </c>
    </row>
    <row r="25" spans="1:7" x14ac:dyDescent="0.2">
      <c r="A25" s="38" t="s">
        <v>45</v>
      </c>
      <c r="B25" s="41" t="s">
        <v>46</v>
      </c>
      <c r="C25" s="38">
        <v>1.8610000000000002E-2</v>
      </c>
      <c r="D25" s="38">
        <v>1.8610000000000002E-2</v>
      </c>
    </row>
    <row r="26" spans="1:7" x14ac:dyDescent="0.2">
      <c r="A26" s="38" t="s">
        <v>47</v>
      </c>
      <c r="B26" s="41" t="s">
        <v>48</v>
      </c>
      <c r="C26" s="38">
        <v>5.9899999999999997E-3</v>
      </c>
      <c r="D26" s="38">
        <v>1.2670000000000001E-2</v>
      </c>
    </row>
    <row r="27" spans="1:7" x14ac:dyDescent="0.2">
      <c r="A27" s="38" t="s">
        <v>49</v>
      </c>
      <c r="B27" s="41" t="s">
        <v>50</v>
      </c>
      <c r="C27" s="38">
        <v>3.0200000000000001E-3</v>
      </c>
      <c r="D27" s="38">
        <v>3.0200000000000001E-3</v>
      </c>
    </row>
    <row r="28" spans="1:7" x14ac:dyDescent="0.2">
      <c r="A28" s="38" t="s">
        <v>51</v>
      </c>
      <c r="B28" s="41" t="s">
        <v>52</v>
      </c>
      <c r="C28" s="38">
        <v>1.3799999999999999E-3</v>
      </c>
      <c r="D28" s="38">
        <v>3.3899999999999998E-3</v>
      </c>
    </row>
    <row r="30" spans="1:7" x14ac:dyDescent="0.2">
      <c r="A30" s="36" t="s">
        <v>53</v>
      </c>
      <c r="G30" s="44"/>
    </row>
    <row r="31" spans="1:7" x14ac:dyDescent="0.2">
      <c r="A31" s="36"/>
    </row>
    <row r="32" spans="1:7" x14ac:dyDescent="0.2">
      <c r="A32" s="38" t="s">
        <v>54</v>
      </c>
      <c r="B32" s="41" t="s">
        <v>55</v>
      </c>
      <c r="C32" s="44">
        <f>SUM(C33:C35)</f>
        <v>20169984982.89679</v>
      </c>
      <c r="D32" s="44">
        <f>SUM(D33:D35)</f>
        <v>20169984982.89679</v>
      </c>
      <c r="E32" s="44"/>
    </row>
    <row r="33" spans="1:5" x14ac:dyDescent="0.2">
      <c r="A33" s="45" t="s">
        <v>56</v>
      </c>
      <c r="B33" s="41" t="s">
        <v>57</v>
      </c>
      <c r="C33" s="44">
        <v>6991751261</v>
      </c>
      <c r="D33" s="44">
        <f>vmon0_1</f>
        <v>6991751261</v>
      </c>
      <c r="E33" s="46"/>
    </row>
    <row r="34" spans="1:5" x14ac:dyDescent="0.2">
      <c r="A34" s="45" t="s">
        <v>58</v>
      </c>
      <c r="B34" s="41" t="s">
        <v>59</v>
      </c>
      <c r="C34" s="44">
        <v>7673633032.9580402</v>
      </c>
      <c r="D34" s="44">
        <f>vmoff0_1</f>
        <v>7673633032.9580402</v>
      </c>
      <c r="E34" s="44"/>
    </row>
    <row r="35" spans="1:5" x14ac:dyDescent="0.2">
      <c r="A35" s="45" t="s">
        <v>60</v>
      </c>
      <c r="B35" s="41" t="s">
        <v>61</v>
      </c>
      <c r="C35" s="44">
        <v>5504600688.9387503</v>
      </c>
      <c r="D35" s="44">
        <f>vmv0_1</f>
        <v>5504600688.9387503</v>
      </c>
      <c r="E35" s="44"/>
    </row>
    <row r="36" spans="1:5" x14ac:dyDescent="0.2">
      <c r="A36" s="45"/>
      <c r="C36" s="47"/>
      <c r="D36" s="47"/>
      <c r="E36" s="47"/>
    </row>
    <row r="37" spans="1:5" x14ac:dyDescent="0.2">
      <c r="A37" s="48" t="s">
        <v>62</v>
      </c>
      <c r="B37" s="41" t="s">
        <v>63</v>
      </c>
      <c r="C37" s="44">
        <v>11089822271.7432</v>
      </c>
      <c r="D37" s="44">
        <f>vvv0_1</f>
        <v>11089822271.7432</v>
      </c>
      <c r="E37" s="44"/>
    </row>
    <row r="38" spans="1:5" x14ac:dyDescent="0.2">
      <c r="A38" s="45" t="s">
        <v>56</v>
      </c>
      <c r="B38" s="41" t="s">
        <v>64</v>
      </c>
      <c r="C38" s="49">
        <f>0.7*vvv0_1</f>
        <v>7762875590.2202396</v>
      </c>
      <c r="D38" s="49">
        <f>0.7*vvv0_1</f>
        <v>7762875590.2202396</v>
      </c>
      <c r="E38" s="49"/>
    </row>
    <row r="39" spans="1:5" x14ac:dyDescent="0.2">
      <c r="A39" s="45" t="s">
        <v>58</v>
      </c>
      <c r="B39" s="41" t="s">
        <v>65</v>
      </c>
      <c r="C39" s="49">
        <f>0.3*vvv0_1</f>
        <v>3326946681.5229602</v>
      </c>
      <c r="D39" s="49">
        <f>0.3*vvv0_1</f>
        <v>3326946681.5229602</v>
      </c>
      <c r="E39" s="49"/>
    </row>
    <row r="40" spans="1:5" x14ac:dyDescent="0.2">
      <c r="A40" s="50" t="s">
        <v>66</v>
      </c>
      <c r="B40" s="41" t="s">
        <v>67</v>
      </c>
      <c r="C40" s="44">
        <v>3134668968.3436298</v>
      </c>
      <c r="D40" s="44">
        <v>3134668968.3436298</v>
      </c>
      <c r="E40" s="44"/>
    </row>
    <row r="41" spans="1:5" x14ac:dyDescent="0.2">
      <c r="A41" s="48"/>
      <c r="C41" s="44"/>
      <c r="D41" s="44"/>
      <c r="E41" s="44"/>
    </row>
    <row r="42" spans="1:5" x14ac:dyDescent="0.2">
      <c r="A42" s="38" t="s">
        <v>68</v>
      </c>
      <c r="B42" s="41" t="s">
        <v>69</v>
      </c>
      <c r="C42" s="44">
        <v>16350498</v>
      </c>
      <c r="D42" s="44">
        <f>nm0_1</f>
        <v>16350498</v>
      </c>
      <c r="E42" s="44"/>
    </row>
    <row r="43" spans="1:5" x14ac:dyDescent="0.2">
      <c r="A43" s="38" t="s">
        <v>70</v>
      </c>
      <c r="B43" s="41" t="s">
        <v>71</v>
      </c>
      <c r="C43" s="44">
        <v>7154944.1470422</v>
      </c>
      <c r="D43" s="44">
        <f>nv0_1</f>
        <v>7154944.1470422</v>
      </c>
      <c r="E43" s="44"/>
    </row>
    <row r="45" spans="1:5" x14ac:dyDescent="0.2">
      <c r="A45" s="36" t="s">
        <v>72</v>
      </c>
      <c r="B45" s="37"/>
      <c r="C45" s="36"/>
      <c r="D45" s="36"/>
      <c r="E45" s="36"/>
    </row>
    <row r="46" spans="1:5" x14ac:dyDescent="0.2">
      <c r="A46" s="38" t="s">
        <v>73</v>
      </c>
      <c r="B46" s="41" t="s">
        <v>74</v>
      </c>
      <c r="C46" s="38">
        <v>0.5</v>
      </c>
      <c r="D46" s="38">
        <v>0.5</v>
      </c>
    </row>
    <row r="47" spans="1:5" x14ac:dyDescent="0.2">
      <c r="A47" s="38" t="s">
        <v>75</v>
      </c>
      <c r="B47" s="41" t="s">
        <v>76</v>
      </c>
      <c r="C47" s="38">
        <v>0.5</v>
      </c>
      <c r="D47" s="38">
        <v>0.5</v>
      </c>
    </row>
    <row r="48" spans="1:5" x14ac:dyDescent="0.2">
      <c r="A48" s="38" t="s">
        <v>77</v>
      </c>
      <c r="B48" s="41" t="s">
        <v>78</v>
      </c>
      <c r="C48" s="38">
        <v>1</v>
      </c>
      <c r="D48" s="38">
        <v>1</v>
      </c>
    </row>
    <row r="49" spans="1:5" x14ac:dyDescent="0.2">
      <c r="A49" s="38" t="s">
        <v>79</v>
      </c>
      <c r="B49" s="41" t="s">
        <v>80</v>
      </c>
      <c r="C49" s="38">
        <v>1</v>
      </c>
      <c r="D49" s="38">
        <v>1</v>
      </c>
    </row>
    <row r="51" spans="1:5" x14ac:dyDescent="0.2">
      <c r="A51" s="36" t="s">
        <v>81</v>
      </c>
      <c r="B51" s="37"/>
      <c r="C51" s="36"/>
      <c r="D51" s="36"/>
      <c r="E51" s="36"/>
    </row>
    <row r="53" spans="1:5" x14ac:dyDescent="0.2">
      <c r="A53" s="36"/>
    </row>
    <row r="54" spans="1:5" x14ac:dyDescent="0.2">
      <c r="A54" s="38" t="s">
        <v>82</v>
      </c>
      <c r="B54" s="41" t="s">
        <v>83</v>
      </c>
      <c r="C54" s="38">
        <v>0.25</v>
      </c>
      <c r="D54" s="38">
        <v>0.25</v>
      </c>
    </row>
    <row r="55" spans="1:5" x14ac:dyDescent="0.2">
      <c r="A55" s="38" t="s">
        <v>84</v>
      </c>
      <c r="B55" s="41" t="s">
        <v>85</v>
      </c>
      <c r="C55" s="38">
        <v>0.1</v>
      </c>
      <c r="D55" s="38">
        <v>0.1</v>
      </c>
    </row>
    <row r="56" spans="1:5" x14ac:dyDescent="0.2">
      <c r="A56" s="38" t="s">
        <v>86</v>
      </c>
      <c r="B56" s="41" t="s">
        <v>87</v>
      </c>
      <c r="C56" s="38">
        <v>0.2</v>
      </c>
      <c r="D56" s="38">
        <v>0.2</v>
      </c>
    </row>
    <row r="57" spans="1:5" x14ac:dyDescent="0.2">
      <c r="A57" s="38" t="s">
        <v>88</v>
      </c>
      <c r="B57" s="41" t="s">
        <v>89</v>
      </c>
      <c r="C57" s="38">
        <v>0.02</v>
      </c>
      <c r="D57" s="38">
        <v>0.02</v>
      </c>
    </row>
    <row r="58" spans="1:5" x14ac:dyDescent="0.2">
      <c r="A58" s="38" t="s">
        <v>90</v>
      </c>
      <c r="B58" s="41" t="s">
        <v>91</v>
      </c>
      <c r="C58" s="38">
        <v>0.02</v>
      </c>
      <c r="D58" s="38">
        <v>0.02</v>
      </c>
    </row>
    <row r="59" spans="1:5" x14ac:dyDescent="0.2">
      <c r="A59" s="36"/>
    </row>
    <row r="60" spans="1:5" x14ac:dyDescent="0.2">
      <c r="A60" s="36" t="s">
        <v>92</v>
      </c>
    </row>
    <row r="61" spans="1:5" x14ac:dyDescent="0.2">
      <c r="A61" s="36" t="s">
        <v>93</v>
      </c>
    </row>
    <row r="62" spans="1:5" x14ac:dyDescent="0.2">
      <c r="A62" s="38" t="s">
        <v>94</v>
      </c>
      <c r="B62" s="41" t="s">
        <v>95</v>
      </c>
      <c r="C62" s="38">
        <v>0.1</v>
      </c>
      <c r="D62" s="38">
        <v>0.1</v>
      </c>
    </row>
    <row r="63" spans="1:5" x14ac:dyDescent="0.2">
      <c r="A63" s="38" t="s">
        <v>96</v>
      </c>
      <c r="B63" s="41" t="s">
        <v>97</v>
      </c>
      <c r="C63" s="38">
        <v>0.1</v>
      </c>
      <c r="D63" s="38">
        <v>0.1</v>
      </c>
    </row>
    <row r="64" spans="1:5" x14ac:dyDescent="0.2">
      <c r="A64" s="36" t="s">
        <v>98</v>
      </c>
    </row>
    <row r="65" spans="1:4" x14ac:dyDescent="0.2">
      <c r="A65" s="38" t="s">
        <v>99</v>
      </c>
      <c r="B65" s="41" t="s">
        <v>100</v>
      </c>
      <c r="C65" s="38">
        <v>0</v>
      </c>
      <c r="D65" s="38">
        <v>0</v>
      </c>
    </row>
    <row r="66" spans="1:4" x14ac:dyDescent="0.2">
      <c r="A66" s="38" t="s">
        <v>101</v>
      </c>
      <c r="B66" s="41" t="s">
        <v>102</v>
      </c>
      <c r="C66" s="38">
        <v>0</v>
      </c>
      <c r="D66" s="38">
        <v>0</v>
      </c>
    </row>
    <row r="69" spans="1:4" x14ac:dyDescent="0.2">
      <c r="C69" s="47"/>
    </row>
    <row r="70" spans="1:4" x14ac:dyDescent="0.2">
      <c r="A70" s="36"/>
      <c r="C70" s="47"/>
    </row>
    <row r="75" spans="1:4" x14ac:dyDescent="0.2">
      <c r="A75" s="36"/>
    </row>
    <row r="99" spans="1:1" x14ac:dyDescent="0.2">
      <c r="A99" s="36" t="s">
        <v>103</v>
      </c>
    </row>
    <row r="108" spans="1:1" x14ac:dyDescent="0.2">
      <c r="A108" s="36" t="s">
        <v>104</v>
      </c>
    </row>
    <row r="122" spans="1:4" x14ac:dyDescent="0.2">
      <c r="A122" s="36"/>
    </row>
    <row r="124" spans="1:4" x14ac:dyDescent="0.2">
      <c r="D124" s="36"/>
    </row>
    <row r="131" spans="1:4" x14ac:dyDescent="0.2">
      <c r="A131" s="36"/>
    </row>
    <row r="135" spans="1:4" x14ac:dyDescent="0.2">
      <c r="C135" s="36"/>
      <c r="D135" s="36"/>
    </row>
  </sheetData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A47" sqref="A47"/>
    </sheetView>
  </sheetViews>
  <sheetFormatPr defaultRowHeight="12.75" x14ac:dyDescent="0.2"/>
  <cols>
    <col min="1" max="1" width="58" customWidth="1"/>
    <col min="2" max="2" width="19.85546875" customWidth="1"/>
    <col min="3" max="3" width="64.42578125" customWidth="1"/>
    <col min="4" max="4" width="29.140625" customWidth="1"/>
    <col min="5" max="5" width="20.7109375" customWidth="1"/>
    <col min="6" max="6" width="17.7109375" customWidth="1"/>
    <col min="7" max="7" width="23.28515625" customWidth="1"/>
    <col min="8" max="8" width="20.7109375" customWidth="1"/>
    <col min="9" max="9" width="25.28515625" customWidth="1"/>
    <col min="10" max="10" width="23.28515625" customWidth="1"/>
    <col min="11" max="11" width="20.7109375" customWidth="1"/>
    <col min="12" max="12" width="9.140625" customWidth="1"/>
    <col min="13" max="13" width="10.7109375" bestFit="1" customWidth="1"/>
    <col min="14" max="14" width="9.140625" customWidth="1"/>
  </cols>
  <sheetData>
    <row r="1" spans="1:11" x14ac:dyDescent="0.2">
      <c r="D1" s="4" t="s">
        <v>105</v>
      </c>
      <c r="G1" s="4" t="s">
        <v>15</v>
      </c>
      <c r="J1" s="4"/>
    </row>
    <row r="2" spans="1:11" x14ac:dyDescent="0.2">
      <c r="A2" s="1" t="s">
        <v>106</v>
      </c>
      <c r="F2" s="4"/>
      <c r="I2" s="4"/>
    </row>
    <row r="3" spans="1:11" x14ac:dyDescent="0.2">
      <c r="A3" s="1"/>
      <c r="B3" s="1" t="s">
        <v>11</v>
      </c>
      <c r="C3" s="1" t="s">
        <v>107</v>
      </c>
      <c r="D3" s="4" t="s">
        <v>108</v>
      </c>
      <c r="E3" s="4" t="s">
        <v>109</v>
      </c>
      <c r="F3" s="4"/>
      <c r="G3" s="4" t="s">
        <v>108</v>
      </c>
      <c r="H3" s="4" t="s">
        <v>109</v>
      </c>
      <c r="I3" s="4"/>
      <c r="J3" s="4"/>
      <c r="K3" s="4"/>
    </row>
    <row r="5" spans="1:11" x14ac:dyDescent="0.2">
      <c r="A5" s="1" t="s">
        <v>110</v>
      </c>
      <c r="B5" t="s">
        <v>111</v>
      </c>
      <c r="C5" t="s">
        <v>112</v>
      </c>
      <c r="D5" s="10">
        <f>cmo_1+(cmt_1*smon_1+mtr0_1*smoff_1+ftr0_1*smv_1)</f>
        <v>1.4579181775405887E-2</v>
      </c>
      <c r="E5" s="10">
        <f>cmo_1+(cmt_1*smon_1+mtr1_1*smoff_1+ftr1_1*smv_1)</f>
        <v>9.3303531770920142E-3</v>
      </c>
      <c r="F5" s="10"/>
      <c r="G5" s="10">
        <f>cmo_2+(cmt_2*smon_2+mtr0_2*smoff_2+ftr0_2*smv_2)</f>
        <v>1.4579181775405882E-2</v>
      </c>
      <c r="H5" s="10">
        <f>cmo_2+(cmt_2*smon_2+mtr1_2*smoff_2+ftr1_2*smv_2)</f>
        <v>1.2420296778823718E-2</v>
      </c>
      <c r="I5" s="10"/>
      <c r="J5" s="10"/>
      <c r="K5" s="10"/>
    </row>
    <row r="6" spans="1:11" x14ac:dyDescent="0.2">
      <c r="D6" s="10"/>
      <c r="E6" s="10"/>
      <c r="F6" s="10"/>
      <c r="G6" s="10"/>
      <c r="H6" s="10"/>
      <c r="I6" s="10"/>
      <c r="J6" s="10"/>
      <c r="K6" s="10"/>
    </row>
    <row r="7" spans="1:11" x14ac:dyDescent="0.2">
      <c r="A7" s="1" t="s">
        <v>113</v>
      </c>
      <c r="B7" t="s">
        <v>114</v>
      </c>
      <c r="C7" t="s">
        <v>115</v>
      </c>
      <c r="D7" s="10">
        <f>+pgm0_1</f>
        <v>2.1000000000000001E-2</v>
      </c>
      <c r="E7" s="10">
        <f>+pgm0_1+tm_1*(E5-D5)</f>
        <v>1.8375585700843064E-2</v>
      </c>
      <c r="F7" s="10"/>
      <c r="G7" s="10">
        <f>+pgm0_2</f>
        <v>2.1000000000000001E-2</v>
      </c>
      <c r="H7" s="10">
        <f>+pgm0_2+tm_2*(H5-G5)</f>
        <v>1.9920557501708919E-2</v>
      </c>
      <c r="I7" s="10"/>
      <c r="J7" s="10"/>
      <c r="K7" s="10"/>
    </row>
    <row r="8" spans="1:11" x14ac:dyDescent="0.2">
      <c r="A8" s="1" t="s">
        <v>116</v>
      </c>
      <c r="B8" t="s">
        <v>117</v>
      </c>
      <c r="C8" t="s">
        <v>118</v>
      </c>
      <c r="D8" s="10">
        <f>+D7*(1+btw_1)</f>
        <v>2.5410000000000002E-2</v>
      </c>
      <c r="E8" s="10">
        <f>+E7*(1+btw_1)</f>
        <v>2.2234458698020106E-2</v>
      </c>
      <c r="F8" s="10"/>
      <c r="G8" s="10">
        <f>+G7*(1+btw_1)</f>
        <v>2.5410000000000002E-2</v>
      </c>
      <c r="H8" s="10">
        <f>+H7*(1+btw_1)</f>
        <v>2.410387457706779E-2</v>
      </c>
      <c r="I8" s="10"/>
      <c r="J8" s="10"/>
      <c r="K8" s="10"/>
    </row>
    <row r="9" spans="1:11" x14ac:dyDescent="0.2">
      <c r="D9" s="9"/>
      <c r="E9" s="9"/>
      <c r="F9" s="9"/>
      <c r="G9" s="9"/>
      <c r="H9" s="9"/>
      <c r="I9" s="9"/>
      <c r="J9" s="9"/>
      <c r="K9" s="9"/>
    </row>
    <row r="10" spans="1:11" x14ac:dyDescent="0.2">
      <c r="A10" s="1" t="s">
        <v>119</v>
      </c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4" t="s">
        <v>120</v>
      </c>
      <c r="B11" t="s">
        <v>121</v>
      </c>
      <c r="C11" t="s">
        <v>122</v>
      </c>
      <c r="D11" s="9">
        <f>+agm_1-bgm_1*D8</f>
        <v>20169984982.89679</v>
      </c>
      <c r="E11" s="9">
        <f>+agm_1-bgm_1*E8</f>
        <v>20800156375.788399</v>
      </c>
      <c r="F11" s="9"/>
      <c r="G11" s="9">
        <f>+agm_2-bgm_2*G8</f>
        <v>20169984982.89679</v>
      </c>
      <c r="H11" s="9">
        <f>+agm_2-bgm_2*H8</f>
        <v>20429179494.568596</v>
      </c>
      <c r="I11" s="9"/>
      <c r="J11" s="9"/>
      <c r="K11" s="9"/>
    </row>
    <row r="12" spans="1:11" x14ac:dyDescent="0.2">
      <c r="A12" s="5" t="s">
        <v>123</v>
      </c>
      <c r="B12" t="s">
        <v>124</v>
      </c>
      <c r="C12" t="s">
        <v>125</v>
      </c>
      <c r="D12" s="9">
        <f>+D11*smon_1</f>
        <v>6991751261</v>
      </c>
      <c r="E12" s="9">
        <f>+E11*smon_1</f>
        <v>7210194737.0180588</v>
      </c>
      <c r="F12" s="9"/>
      <c r="G12" s="9">
        <f>+G11*smon_2</f>
        <v>6991751261</v>
      </c>
      <c r="H12" s="9">
        <f>+H11*smon_2</f>
        <v>7081598802.0548048</v>
      </c>
      <c r="I12" s="9"/>
      <c r="J12" s="9"/>
      <c r="K12" s="9"/>
    </row>
    <row r="13" spans="1:11" x14ac:dyDescent="0.2">
      <c r="A13" s="5" t="s">
        <v>126</v>
      </c>
      <c r="B13" t="s">
        <v>127</v>
      </c>
      <c r="C13" t="s">
        <v>128</v>
      </c>
      <c r="D13" s="9">
        <f>+D11*smoff_1</f>
        <v>7673633032.9580402</v>
      </c>
      <c r="E13" s="9">
        <f>+E11*smoff_1</f>
        <v>7913380559.8411131</v>
      </c>
      <c r="F13" s="9"/>
      <c r="G13" s="9">
        <f>+G11*smoff_2</f>
        <v>7673633032.9580402</v>
      </c>
      <c r="H13" s="9">
        <f>+H11*smoff_2</f>
        <v>7772243099.7683401</v>
      </c>
      <c r="I13" s="9"/>
      <c r="J13" s="9"/>
      <c r="K13" s="9"/>
    </row>
    <row r="14" spans="1:11" x14ac:dyDescent="0.2">
      <c r="A14" s="5" t="s">
        <v>129</v>
      </c>
      <c r="B14" t="s">
        <v>130</v>
      </c>
      <c r="C14" t="s">
        <v>131</v>
      </c>
      <c r="D14" s="9">
        <f>+D11*smv_1</f>
        <v>5504600688.9387503</v>
      </c>
      <c r="E14" s="9">
        <f>+E11*smv_1</f>
        <v>5676581078.9292269</v>
      </c>
      <c r="F14" s="9"/>
      <c r="G14" s="9">
        <f>+G11*smv_2</f>
        <v>5504600688.9387503</v>
      </c>
      <c r="H14" s="9">
        <f>+H11*smv_2</f>
        <v>5575337592.745451</v>
      </c>
      <c r="I14" s="9"/>
      <c r="J14" s="9"/>
      <c r="K14" s="9"/>
    </row>
    <row r="15" spans="1:11" x14ac:dyDescent="0.2">
      <c r="D15" s="9"/>
      <c r="E15" s="9"/>
      <c r="F15" s="9"/>
      <c r="G15" s="9"/>
      <c r="H15" s="9"/>
      <c r="I15" s="9"/>
      <c r="J15" s="9"/>
      <c r="K15" s="9"/>
    </row>
    <row r="16" spans="1:11" x14ac:dyDescent="0.2">
      <c r="D16" s="9"/>
      <c r="E16" s="9"/>
      <c r="F16" s="9"/>
      <c r="G16" s="9"/>
      <c r="H16" s="9"/>
      <c r="I16" s="9"/>
      <c r="J16" s="9"/>
      <c r="K16" s="9"/>
    </row>
    <row r="17" spans="1:11" x14ac:dyDescent="0.2">
      <c r="A17" s="11" t="s">
        <v>132</v>
      </c>
      <c r="B17" t="s">
        <v>133</v>
      </c>
      <c r="D17" s="9">
        <f>D18+D19</f>
        <v>1171357291.4649901</v>
      </c>
      <c r="E17" s="9">
        <f>E18+E19</f>
        <v>1238359596.4882226</v>
      </c>
      <c r="F17" s="9"/>
      <c r="G17" s="9">
        <f>G18+G19</f>
        <v>1171357291.4649901</v>
      </c>
      <c r="H17" s="9">
        <f>H18+H19</f>
        <v>1198709596.0360532</v>
      </c>
      <c r="I17" s="9"/>
      <c r="J17" s="9"/>
      <c r="K17" s="9"/>
    </row>
    <row r="18" spans="1:11" x14ac:dyDescent="0.2">
      <c r="A18" t="s">
        <v>134</v>
      </c>
      <c r="B18" t="s">
        <v>135</v>
      </c>
      <c r="C18" t="s">
        <v>136</v>
      </c>
      <c r="D18" s="9">
        <f>0.5*(agm_1/bgm_1-D8)*D11</f>
        <v>1025038636.8308148</v>
      </c>
      <c r="E18" s="9">
        <f>0.5*(agm_1/bgm_1-E8)*E11</f>
        <v>1090089824.8470447</v>
      </c>
      <c r="F18" s="9"/>
      <c r="G18" s="9">
        <f>0.5*(agm_2/bgm_2-G8)*G11</f>
        <v>1025038636.8308148</v>
      </c>
      <c r="H18" s="9">
        <f>0.5*(agm_2/bgm_2-H8)*H11</f>
        <v>1051552437.2677267</v>
      </c>
      <c r="I18" s="9"/>
      <c r="J18" s="9"/>
      <c r="K18" s="9"/>
    </row>
    <row r="19" spans="1:11" x14ac:dyDescent="0.2">
      <c r="A19" t="s">
        <v>137</v>
      </c>
      <c r="B19" t="s">
        <v>138</v>
      </c>
      <c r="C19" t="s">
        <v>139</v>
      </c>
      <c r="D19" s="9">
        <f>+zm_1*(D12+D13+'4 Vaste gesprekken'!E23)*((agm_1-0.5*(D12+D13+'4 Vaste gesprekken'!E23))/bgm_1)</f>
        <v>146318654.63417521</v>
      </c>
      <c r="E19" s="9">
        <f>+zm_1*(E12+E13+'4 Vaste gesprekken'!F23)*((agm_1-0.5*(E12+E13+'4 Vaste gesprekken'!F23))/bgm_1)</f>
        <v>148269771.64117798</v>
      </c>
      <c r="F19" s="9"/>
      <c r="G19" s="9">
        <f>+zm_2*(G12+G13+'4 Vaste gesprekken'!H23)*((agm_2-0.5*(G12+G13+'4 Vaste gesprekken'!H23))/bgm_2)</f>
        <v>146318654.63417521</v>
      </c>
      <c r="H19" s="9">
        <f>+zm_2*(H12+H13+'4 Vaste gesprekken'!I23)*((agm_2-0.5*(H12+H13+'4 Vaste gesprekken'!I23))/bgm_2)</f>
        <v>147157158.76832643</v>
      </c>
      <c r="I19" s="9"/>
      <c r="J19" s="9"/>
      <c r="K19" s="9"/>
    </row>
    <row r="20" spans="1:11" x14ac:dyDescent="0.2">
      <c r="A20" s="1" t="s">
        <v>140</v>
      </c>
      <c r="B20" t="s">
        <v>141</v>
      </c>
      <c r="C20" t="s">
        <v>142</v>
      </c>
      <c r="D20" s="9">
        <f>+D17/nm0_1</f>
        <v>71.640465719453317</v>
      </c>
      <c r="E20" s="9">
        <f>+E17/'5 Abonnementen'!E12</f>
        <v>75.80497281698284</v>
      </c>
      <c r="F20" s="9"/>
      <c r="G20" s="9">
        <f t="shared" ref="G20:H22" si="0">+G17/nm0_2</f>
        <v>71.640465719453317</v>
      </c>
      <c r="H20" s="9">
        <f t="shared" si="0"/>
        <v>73.313338592870579</v>
      </c>
      <c r="I20" s="9"/>
      <c r="J20" s="9"/>
      <c r="K20" s="9"/>
    </row>
    <row r="21" spans="1:11" x14ac:dyDescent="0.2">
      <c r="A21" t="s">
        <v>134</v>
      </c>
      <c r="B21" t="s">
        <v>143</v>
      </c>
      <c r="C21" t="s">
        <v>144</v>
      </c>
      <c r="D21" s="9">
        <f>+D18/nm0_1</f>
        <v>62.691585102228373</v>
      </c>
      <c r="E21" s="9">
        <f>+E18/nm0_1</f>
        <v>66.670129854579642</v>
      </c>
      <c r="F21" s="9"/>
      <c r="G21" s="9">
        <f t="shared" si="0"/>
        <v>62.691585102228373</v>
      </c>
      <c r="H21" s="9">
        <f t="shared" si="0"/>
        <v>64.313174881139801</v>
      </c>
      <c r="I21" s="9"/>
      <c r="J21" s="9"/>
      <c r="K21" s="9"/>
    </row>
    <row r="22" spans="1:11" x14ac:dyDescent="0.2">
      <c r="A22" t="s">
        <v>137</v>
      </c>
      <c r="B22" t="s">
        <v>145</v>
      </c>
      <c r="C22" t="s">
        <v>146</v>
      </c>
      <c r="D22" s="9">
        <f>+D19/nm0_1</f>
        <v>8.948880617224944</v>
      </c>
      <c r="E22" s="9">
        <f>+E19/nm0_1</f>
        <v>9.0682113560808961</v>
      </c>
      <c r="F22" s="9"/>
      <c r="G22" s="9">
        <f t="shared" si="0"/>
        <v>8.948880617224944</v>
      </c>
      <c r="H22" s="9">
        <f t="shared" si="0"/>
        <v>9.0001637117307638</v>
      </c>
      <c r="I22" s="9"/>
      <c r="J22" s="9"/>
      <c r="K22" s="9"/>
    </row>
    <row r="23" spans="1:11" x14ac:dyDescent="0.2">
      <c r="D23" s="9"/>
      <c r="E23" s="9"/>
      <c r="F23" s="9"/>
      <c r="G23" s="9"/>
      <c r="H23" s="9"/>
      <c r="I23" s="9"/>
      <c r="J23" s="9"/>
      <c r="K23" s="9"/>
    </row>
    <row r="24" spans="1:11" x14ac:dyDescent="0.2">
      <c r="A24" s="1" t="s">
        <v>147</v>
      </c>
      <c r="B24" t="s">
        <v>148</v>
      </c>
      <c r="C24" t="s">
        <v>149</v>
      </c>
      <c r="D24" s="9">
        <f>+D26+D25</f>
        <v>277077157.15907884</v>
      </c>
      <c r="E24" s="9">
        <f>+E26+E25</f>
        <v>199645358.97166932</v>
      </c>
      <c r="F24" s="9"/>
      <c r="G24" s="9">
        <f>+G26+G25</f>
        <v>277077157.1590789</v>
      </c>
      <c r="H24" s="9">
        <f>+H26+H25</f>
        <v>237657750.39884388</v>
      </c>
      <c r="I24" s="9"/>
      <c r="J24" s="9"/>
      <c r="K24" s="9"/>
    </row>
    <row r="25" spans="1:11" x14ac:dyDescent="0.2">
      <c r="A25" t="s">
        <v>150</v>
      </c>
      <c r="B25" t="s">
        <v>151</v>
      </c>
      <c r="C25" t="s">
        <v>152</v>
      </c>
      <c r="D25" s="9">
        <f>+(D7-D5)*D11</f>
        <v>129507807.16797331</v>
      </c>
      <c r="E25" s="9">
        <f>+(E7-E5)*E11</f>
        <v>188142250.94938898</v>
      </c>
      <c r="F25" s="9"/>
      <c r="G25" s="9">
        <f>+(G7-G5)*G11</f>
        <v>129507807.16797341</v>
      </c>
      <c r="H25" s="9">
        <f>+(H7-H5)*H11</f>
        <v>153224172.56388459</v>
      </c>
      <c r="I25" s="9"/>
      <c r="J25" s="9"/>
      <c r="K25" s="9"/>
    </row>
    <row r="26" spans="1:11" x14ac:dyDescent="0.2">
      <c r="A26" t="s">
        <v>153</v>
      </c>
      <c r="B26" t="s">
        <v>154</v>
      </c>
      <c r="C26" t="s">
        <v>155</v>
      </c>
      <c r="D26" s="9">
        <f>+(mtr0_1-cmt_1)*(D13+'4 Vaste gesprekken'!E23)</f>
        <v>147569349.9911055</v>
      </c>
      <c r="E26" s="9">
        <f>+(mtr1_1-cmt_1)*(E13+'4 Vaste gesprekken'!F23)</f>
        <v>11503108.022280321</v>
      </c>
      <c r="F26" s="9"/>
      <c r="G26" s="9">
        <f>+(mtr0_2-cmt_2)*(G13+'4 Vaste gesprekken'!H23)</f>
        <v>147569349.9911055</v>
      </c>
      <c r="H26" s="9">
        <f>+(mtr1_2-cmt_2)*(H13+'4 Vaste gesprekken'!I23)</f>
        <v>84433577.834959298</v>
      </c>
      <c r="I26" s="9"/>
      <c r="J26" s="9"/>
      <c r="K26" s="9"/>
    </row>
    <row r="27" spans="1:11" x14ac:dyDescent="0.2">
      <c r="A27" s="1" t="s">
        <v>156</v>
      </c>
      <c r="B27" t="s">
        <v>157</v>
      </c>
      <c r="C27" t="s">
        <v>158</v>
      </c>
      <c r="D27" s="9">
        <f>+D24/nm0_1</f>
        <v>16.946098960354529</v>
      </c>
      <c r="E27" s="9">
        <f>+E24/nm0_1</f>
        <v>12.210353407686378</v>
      </c>
      <c r="F27" s="9"/>
      <c r="G27" s="9">
        <f>+G24/nm0_2</f>
        <v>16.946098960354533</v>
      </c>
      <c r="H27" s="9">
        <f>+H24/nm0_2</f>
        <v>14.535199502721195</v>
      </c>
      <c r="I27" s="9"/>
      <c r="J27" s="9"/>
      <c r="K27" s="9"/>
    </row>
    <row r="29" spans="1:11" x14ac:dyDescent="0.2">
      <c r="A29" s="1" t="s">
        <v>159</v>
      </c>
      <c r="B29" t="s">
        <v>160</v>
      </c>
      <c r="C29" t="s">
        <v>161</v>
      </c>
      <c r="D29" s="9">
        <f>+D7*btw_1*D11/nm0_1</f>
        <v>5.4401788725074214</v>
      </c>
      <c r="E29" s="9">
        <f>+E7*btw_1*E11/nm0_1</f>
        <v>4.9090346835668104</v>
      </c>
      <c r="G29" s="9">
        <f>+G7*btw_1*G11/nm0_1</f>
        <v>5.4401788725074214</v>
      </c>
      <c r="H29" s="9">
        <f>+H7*btw_1*H11/nm0_1</f>
        <v>5.2268582531981682</v>
      </c>
      <c r="J29" s="9"/>
      <c r="K29" s="9"/>
    </row>
    <row r="32" spans="1:11" x14ac:dyDescent="0.2">
      <c r="D32" s="9"/>
      <c r="E32" s="9"/>
      <c r="F32" s="9"/>
      <c r="G32" s="9"/>
      <c r="H32" s="9"/>
      <c r="I32" s="9"/>
      <c r="J32" s="9"/>
      <c r="K32" s="9"/>
    </row>
    <row r="33" spans="1:11" x14ac:dyDescent="0.2">
      <c r="D33" s="9"/>
      <c r="E33" s="9"/>
      <c r="F33" s="9"/>
      <c r="G33" s="9"/>
      <c r="H33" s="9"/>
      <c r="I33" s="9"/>
      <c r="J33" s="9"/>
      <c r="K33" s="9"/>
    </row>
    <row r="34" spans="1:11" x14ac:dyDescent="0.2">
      <c r="D34" s="9"/>
      <c r="E34" s="9"/>
      <c r="F34" s="9"/>
      <c r="G34" s="9"/>
      <c r="H34" s="9"/>
      <c r="I34" s="9"/>
      <c r="J34" s="9"/>
      <c r="K34" s="9"/>
    </row>
    <row r="35" spans="1:11" x14ac:dyDescent="0.2">
      <c r="A35" s="1" t="s">
        <v>162</v>
      </c>
      <c r="B35" s="1"/>
      <c r="C35" s="1"/>
      <c r="D35" s="9"/>
      <c r="E35" s="9"/>
      <c r="F35" s="9"/>
      <c r="G35" s="9"/>
      <c r="H35" s="9"/>
      <c r="I35" s="9"/>
      <c r="J35" s="9"/>
      <c r="K35" s="9"/>
    </row>
    <row r="36" spans="1:11" x14ac:dyDescent="0.2">
      <c r="D36" s="9"/>
      <c r="E36" s="9"/>
      <c r="F36" s="9"/>
      <c r="G36" s="9"/>
      <c r="H36" s="9"/>
      <c r="I36" s="9"/>
      <c r="J36" s="9"/>
      <c r="K36" s="9"/>
    </row>
    <row r="37" spans="1:11" x14ac:dyDescent="0.2">
      <c r="A37" t="s">
        <v>163</v>
      </c>
      <c r="C37" t="s">
        <v>164</v>
      </c>
      <c r="D37" s="9"/>
      <c r="E37" s="9"/>
      <c r="F37" s="9"/>
      <c r="G37" s="9"/>
      <c r="H37" s="9"/>
      <c r="I37" s="9"/>
      <c r="J37" s="9"/>
      <c r="K37" s="9"/>
    </row>
    <row r="38" spans="1:11" x14ac:dyDescent="0.2">
      <c r="A38" t="s">
        <v>165</v>
      </c>
      <c r="D38" s="9"/>
      <c r="E38" s="9"/>
      <c r="F38" s="9"/>
      <c r="G38" s="9"/>
      <c r="H38" s="9"/>
      <c r="I38" s="9"/>
      <c r="J38" s="9"/>
      <c r="K38" s="9"/>
    </row>
    <row r="39" spans="1:11" x14ac:dyDescent="0.2">
      <c r="D39" s="9"/>
      <c r="E39" s="9"/>
      <c r="F39" s="9"/>
      <c r="G39" s="9"/>
      <c r="H39" s="9"/>
      <c r="I39" s="9"/>
      <c r="J39" s="9"/>
      <c r="K39" s="9"/>
    </row>
    <row r="40" spans="1:11" x14ac:dyDescent="0.2">
      <c r="A40" t="s">
        <v>166</v>
      </c>
      <c r="B40" t="s">
        <v>167</v>
      </c>
      <c r="C40" t="s">
        <v>168</v>
      </c>
      <c r="D40" s="9">
        <f>+egm_1*vm0_1/D8</f>
        <v>198445346152.07388</v>
      </c>
      <c r="E40" s="9"/>
      <c r="F40" s="9"/>
      <c r="G40" s="9">
        <f>+egm_2*vm0_2/G8</f>
        <v>198445346152.07388</v>
      </c>
      <c r="H40" s="9"/>
      <c r="I40" s="9"/>
      <c r="J40" s="9"/>
      <c r="K40" s="9"/>
    </row>
    <row r="41" spans="1:11" x14ac:dyDescent="0.2">
      <c r="B41" t="s">
        <v>169</v>
      </c>
      <c r="C41" t="s">
        <v>170</v>
      </c>
      <c r="D41" s="9">
        <f>+vm0_1+bgm_1*D8</f>
        <v>25212481228.620987</v>
      </c>
      <c r="E41" s="9"/>
      <c r="F41" s="9"/>
      <c r="G41" s="9">
        <f>+vm0_2+bgm_2*G8</f>
        <v>25212481228.620987</v>
      </c>
      <c r="H41" s="9"/>
      <c r="I41" s="9"/>
      <c r="J41" s="9"/>
      <c r="K41" s="9"/>
    </row>
    <row r="42" spans="1:11" x14ac:dyDescent="0.2">
      <c r="D42" s="9"/>
      <c r="E42" s="9"/>
      <c r="F42" s="9"/>
      <c r="G42" s="9"/>
      <c r="H42" s="9"/>
      <c r="I42" s="9"/>
      <c r="J42" s="9"/>
      <c r="K42" s="9"/>
    </row>
    <row r="43" spans="1:11" x14ac:dyDescent="0.2">
      <c r="A43" s="1"/>
      <c r="B43" s="1"/>
      <c r="C43" s="1"/>
      <c r="D43" s="9"/>
      <c r="E43" s="9"/>
      <c r="F43" s="9"/>
      <c r="G43" s="9"/>
      <c r="H43" s="9"/>
      <c r="I43" s="9"/>
      <c r="J43" s="9"/>
      <c r="K43" s="9"/>
    </row>
    <row r="44" spans="1:11" x14ac:dyDescent="0.2">
      <c r="A44" s="1" t="s">
        <v>171</v>
      </c>
      <c r="D44" s="9"/>
      <c r="E44" s="9"/>
      <c r="F44" s="9"/>
      <c r="G44" s="9"/>
      <c r="H44" s="9"/>
      <c r="I44" s="9"/>
      <c r="J44" s="9"/>
      <c r="K44" s="9"/>
    </row>
    <row r="45" spans="1:11" x14ac:dyDescent="0.2">
      <c r="A45" t="s">
        <v>172</v>
      </c>
      <c r="B45" t="s">
        <v>173</v>
      </c>
      <c r="C45" t="s">
        <v>174</v>
      </c>
      <c r="D45" s="9">
        <f>+vmon0_1/vm0_1</f>
        <v>0.34664137166828235</v>
      </c>
      <c r="E45" s="9"/>
      <c r="F45" s="9"/>
      <c r="G45" s="9">
        <f>+vmon0_2/vm0_2</f>
        <v>0.34664137166828235</v>
      </c>
      <c r="H45" s="9"/>
      <c r="I45" s="9"/>
      <c r="J45" s="9"/>
      <c r="K45" s="9"/>
    </row>
    <row r="46" spans="1:11" x14ac:dyDescent="0.2">
      <c r="A46" t="s">
        <v>175</v>
      </c>
      <c r="B46" t="s">
        <v>176</v>
      </c>
      <c r="C46" t="s">
        <v>177</v>
      </c>
      <c r="D46" s="9">
        <f>+vmoff0_1/vm0_1</f>
        <v>0.38044812821947682</v>
      </c>
      <c r="E46" s="9"/>
      <c r="F46" s="9"/>
      <c r="G46" s="9">
        <f>+vmoff0_2/vm0_2</f>
        <v>0.38044812821947682</v>
      </c>
      <c r="H46" s="9"/>
      <c r="I46" s="9"/>
      <c r="J46" s="9"/>
      <c r="K46" s="9"/>
    </row>
    <row r="47" spans="1:11" x14ac:dyDescent="0.2">
      <c r="A47" t="s">
        <v>178</v>
      </c>
      <c r="B47" t="s">
        <v>179</v>
      </c>
      <c r="C47" t="s">
        <v>180</v>
      </c>
      <c r="D47" s="9">
        <f>+vmv0_1/vm0_1</f>
        <v>0.27291050011224083</v>
      </c>
      <c r="E47" s="9"/>
      <c r="F47" s="9"/>
      <c r="G47" s="9">
        <f>+vmv0_2/vm0_2</f>
        <v>0.27291050011224083</v>
      </c>
      <c r="H47" s="9"/>
      <c r="I47" s="9"/>
      <c r="J47" s="9"/>
      <c r="K47" s="9"/>
    </row>
    <row r="50" spans="1:7" x14ac:dyDescent="0.2">
      <c r="A50" s="1" t="s">
        <v>181</v>
      </c>
      <c r="B50" t="s">
        <v>100</v>
      </c>
    </row>
    <row r="52" spans="1:7" x14ac:dyDescent="0.2">
      <c r="A52" t="s">
        <v>182</v>
      </c>
      <c r="B52" t="s">
        <v>183</v>
      </c>
      <c r="C52" t="s">
        <v>184</v>
      </c>
      <c r="D52">
        <f>+smv_1*D18/nm0_1+D19*(vvm0_1/(vvm0_1+vmon0_1+vmoff0_1))/nm0_1</f>
        <v>18.685129732637105</v>
      </c>
      <c r="G52">
        <f>+smv_2*G18/nm0_2+G19*(vvm0_2/(vvm0_2+vmon0_2+vmoff0_2))/nm0_2</f>
        <v>18.685129732637105</v>
      </c>
    </row>
    <row r="53" spans="1:7" x14ac:dyDescent="0.2">
      <c r="A53" t="s">
        <v>185</v>
      </c>
      <c r="B53" t="s">
        <v>100</v>
      </c>
      <c r="C53" t="s">
        <v>186</v>
      </c>
      <c r="D53">
        <f>+D52/nv0_1</f>
        <v>2.6114990346027224E-6</v>
      </c>
      <c r="G53">
        <f>+G52/nv0_2</f>
        <v>2.6114990346027224E-6</v>
      </c>
    </row>
  </sheetData>
  <pageMargins left="0.75000000000000011" right="0.75000000000000011" top="1" bottom="1" header="0.5" footer="0.5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opLeftCell="A7" workbookViewId="0"/>
  </sheetViews>
  <sheetFormatPr defaultRowHeight="12.75" x14ac:dyDescent="0.2"/>
  <cols>
    <col min="1" max="1" width="70.42578125" customWidth="1"/>
    <col min="2" max="2" width="8.42578125" customWidth="1"/>
    <col min="3" max="3" width="25.7109375" customWidth="1"/>
    <col min="4" max="4" width="80.7109375" customWidth="1"/>
    <col min="5" max="5" width="23.85546875" customWidth="1"/>
    <col min="6" max="6" width="24.5703125" customWidth="1"/>
    <col min="7" max="7" width="14.42578125" customWidth="1"/>
    <col min="8" max="8" width="23.42578125" customWidth="1"/>
    <col min="9" max="9" width="24.5703125" customWidth="1"/>
    <col min="10" max="10" width="9.140625" customWidth="1"/>
    <col min="11" max="11" width="23.42578125" customWidth="1"/>
    <col min="12" max="12" width="24.5703125" customWidth="1"/>
    <col min="13" max="13" width="9.140625" customWidth="1"/>
  </cols>
  <sheetData>
    <row r="1" spans="1:12" x14ac:dyDescent="0.2">
      <c r="B1" s="1"/>
      <c r="C1" s="1"/>
      <c r="D1" s="1"/>
    </row>
    <row r="2" spans="1:12" x14ac:dyDescent="0.2">
      <c r="E2" s="4" t="s">
        <v>105</v>
      </c>
      <c r="H2" s="4" t="s">
        <v>15</v>
      </c>
      <c r="K2" s="4"/>
    </row>
    <row r="3" spans="1:12" x14ac:dyDescent="0.2">
      <c r="B3" s="1" t="s">
        <v>11</v>
      </c>
      <c r="C3" s="1" t="s">
        <v>11</v>
      </c>
      <c r="D3" s="1" t="s">
        <v>107</v>
      </c>
      <c r="E3" s="4" t="s">
        <v>108</v>
      </c>
      <c r="F3" s="4" t="s">
        <v>109</v>
      </c>
      <c r="G3" s="4"/>
      <c r="H3" s="4" t="s">
        <v>108</v>
      </c>
      <c r="I3" s="4" t="s">
        <v>109</v>
      </c>
      <c r="K3" s="4"/>
      <c r="L3" s="4"/>
    </row>
    <row r="4" spans="1:12" x14ac:dyDescent="0.2">
      <c r="A4" s="1"/>
    </row>
    <row r="5" spans="1:12" x14ac:dyDescent="0.2">
      <c r="A5" s="1" t="s">
        <v>187</v>
      </c>
    </row>
    <row r="6" spans="1:12" x14ac:dyDescent="0.2">
      <c r="A6" s="1" t="s">
        <v>188</v>
      </c>
      <c r="B6" t="s">
        <v>189</v>
      </c>
      <c r="C6" t="s">
        <v>190</v>
      </c>
      <c r="D6" t="s">
        <v>191</v>
      </c>
      <c r="E6" s="10">
        <f>cvo_1+cvt_1*svon_1+ftr0_1*svoff_1</f>
        <v>3.7884444444444445E-3</v>
      </c>
      <c r="F6" s="10">
        <f>cvo_1+cvt_1*svon_1+ftr1_1*svoff_1</f>
        <v>3.2964444444444443E-3</v>
      </c>
      <c r="G6" s="10"/>
      <c r="H6" s="10">
        <f>cvo_2+cvt_2*svon_2+ftr0_2*svoff_2</f>
        <v>3.7884444444444445E-3</v>
      </c>
      <c r="I6" s="10">
        <f>cvo_2+cvt_2*svon_2+ftr1_2*svoff_2</f>
        <v>3.8994444444444441E-3</v>
      </c>
      <c r="J6" s="10"/>
      <c r="K6" s="10"/>
      <c r="L6" s="10"/>
    </row>
    <row r="7" spans="1:12" x14ac:dyDescent="0.2">
      <c r="E7" s="10"/>
      <c r="F7" s="10"/>
      <c r="G7" s="10"/>
      <c r="H7" s="10"/>
      <c r="I7" s="10"/>
      <c r="J7" s="10"/>
      <c r="K7" s="10"/>
      <c r="L7" s="10"/>
    </row>
    <row r="8" spans="1:12" x14ac:dyDescent="0.2">
      <c r="A8" s="1" t="s">
        <v>192</v>
      </c>
      <c r="B8" t="s">
        <v>193</v>
      </c>
      <c r="C8" t="s">
        <v>193</v>
      </c>
      <c r="D8" t="s">
        <v>194</v>
      </c>
      <c r="E8" s="12">
        <f>+pgvv0_1</f>
        <v>3.2199999999999999E-2</v>
      </c>
      <c r="F8" s="12">
        <f>+pgvv0_1+tv_1*(F6-E6)</f>
        <v>3.1953999999999996E-2</v>
      </c>
      <c r="G8" s="10"/>
      <c r="H8" s="12">
        <f>+pgvv0_2</f>
        <v>3.2199999999999999E-2</v>
      </c>
      <c r="I8" s="12">
        <f>+pgvv0_2+tv_2*(I6-H6)</f>
        <v>3.2255499999999999E-2</v>
      </c>
      <c r="J8" s="12"/>
      <c r="K8" s="12"/>
      <c r="L8" s="12"/>
    </row>
    <row r="9" spans="1:12" x14ac:dyDescent="0.2">
      <c r="A9" s="1" t="s">
        <v>195</v>
      </c>
      <c r="C9" t="s">
        <v>196</v>
      </c>
      <c r="D9" t="s">
        <v>197</v>
      </c>
      <c r="E9" s="12">
        <f>+E8*(1+btw_1)</f>
        <v>3.8961999999999997E-2</v>
      </c>
      <c r="F9" s="12">
        <f>+F8*(1+btw_1)</f>
        <v>3.8664339999999991E-2</v>
      </c>
      <c r="G9" s="10"/>
      <c r="H9" s="12">
        <f>+H8*(1+btw_1)</f>
        <v>3.8961999999999997E-2</v>
      </c>
      <c r="I9" s="12">
        <f>+I8*(1+btw_1)</f>
        <v>3.9029154999999996E-2</v>
      </c>
      <c r="J9" s="12"/>
      <c r="K9" s="12"/>
      <c r="L9" s="12"/>
    </row>
    <row r="10" spans="1:12" x14ac:dyDescent="0.2">
      <c r="E10" s="9"/>
      <c r="F10" s="9"/>
      <c r="H10" s="9"/>
      <c r="I10" s="9"/>
      <c r="K10" s="9"/>
      <c r="L10" s="9"/>
    </row>
    <row r="11" spans="1:12" x14ac:dyDescent="0.2">
      <c r="A11" s="1" t="s">
        <v>198</v>
      </c>
      <c r="E11" s="9"/>
      <c r="F11" s="9"/>
      <c r="H11" s="9"/>
      <c r="I11" s="9"/>
      <c r="K11" s="9"/>
      <c r="L11" s="9"/>
    </row>
    <row r="12" spans="1:12" x14ac:dyDescent="0.2">
      <c r="A12" s="4" t="s">
        <v>120</v>
      </c>
      <c r="B12" t="s">
        <v>199</v>
      </c>
      <c r="C12" t="s">
        <v>199</v>
      </c>
      <c r="D12" t="s">
        <v>200</v>
      </c>
      <c r="E12" s="9">
        <f>+agvv_1-bgvv_1*E9</f>
        <v>11089822271.7432</v>
      </c>
      <c r="F12" s="9">
        <f>+agvv_1-bgvv_1*F9</f>
        <v>11098294620.435278</v>
      </c>
      <c r="G12" s="9"/>
      <c r="H12" s="9">
        <f>+agvv_2-bgvv_2*H9</f>
        <v>11089822271.7432</v>
      </c>
      <c r="I12" s="9">
        <f>+agvv_2-bgvv_2*I9</f>
        <v>11087910827.221207</v>
      </c>
      <c r="K12" s="9"/>
      <c r="L12" s="9"/>
    </row>
    <row r="13" spans="1:12" x14ac:dyDescent="0.2">
      <c r="A13" s="5" t="s">
        <v>123</v>
      </c>
      <c r="B13" t="s">
        <v>201</v>
      </c>
      <c r="C13" t="s">
        <v>202</v>
      </c>
      <c r="D13" t="s">
        <v>203</v>
      </c>
      <c r="E13" s="9">
        <f>+E12*svon_1</f>
        <v>7762875590.2202396</v>
      </c>
      <c r="F13" s="9">
        <f>+F12*svon_1</f>
        <v>7768806234.3046942</v>
      </c>
      <c r="G13" s="9"/>
      <c r="H13" s="9">
        <f>+H12*svon_2</f>
        <v>7762875590.2202396</v>
      </c>
      <c r="I13" s="9">
        <f>+I12*svon_2</f>
        <v>7761537579.0548439</v>
      </c>
      <c r="K13" s="9"/>
      <c r="L13" s="9"/>
    </row>
    <row r="14" spans="1:12" x14ac:dyDescent="0.2">
      <c r="A14" s="5" t="s">
        <v>126</v>
      </c>
      <c r="B14" t="s">
        <v>204</v>
      </c>
      <c r="C14" t="s">
        <v>204</v>
      </c>
      <c r="D14" t="s">
        <v>205</v>
      </c>
      <c r="E14" s="9">
        <f>+E12*svoff_1</f>
        <v>3326946681.5229602</v>
      </c>
      <c r="F14" s="9">
        <f>+F12*svoff_1</f>
        <v>3329488386.1305833</v>
      </c>
      <c r="G14" s="9"/>
      <c r="H14" s="9">
        <f>+H12*svoff_2</f>
        <v>3326946681.5229602</v>
      </c>
      <c r="I14" s="9">
        <f>+I12*svoff_2</f>
        <v>3326373248.1663618</v>
      </c>
      <c r="K14" s="9"/>
      <c r="L14" s="9"/>
    </row>
    <row r="15" spans="1:12" x14ac:dyDescent="0.2">
      <c r="A15" s="5"/>
      <c r="E15" s="9"/>
      <c r="F15" s="9"/>
      <c r="H15" s="9"/>
      <c r="I15" s="9"/>
      <c r="K15" s="9"/>
      <c r="L15" s="9"/>
    </row>
    <row r="16" spans="1:12" x14ac:dyDescent="0.2">
      <c r="A16" s="1" t="s">
        <v>206</v>
      </c>
      <c r="E16" s="9"/>
      <c r="F16" s="9"/>
      <c r="H16" s="9"/>
      <c r="I16" s="9"/>
      <c r="K16" s="9"/>
      <c r="L16" s="9"/>
    </row>
    <row r="17" spans="1:12" x14ac:dyDescent="0.2">
      <c r="E17" s="9"/>
      <c r="F17" s="9"/>
      <c r="H17" s="9"/>
      <c r="I17" s="9"/>
      <c r="K17" s="9"/>
      <c r="L17" s="9"/>
    </row>
    <row r="18" spans="1:12" x14ac:dyDescent="0.2">
      <c r="A18" s="13" t="s">
        <v>207</v>
      </c>
      <c r="B18" t="s">
        <v>208</v>
      </c>
      <c r="C18" t="s">
        <v>209</v>
      </c>
      <c r="D18" t="s">
        <v>210</v>
      </c>
      <c r="E18" s="10">
        <f>cvo_1+mtr0_1</f>
        <v>2.0305555555555556E-2</v>
      </c>
      <c r="F18" s="10">
        <f>cvo_1+mtr1_1</f>
        <v>7.6855555555555548E-3</v>
      </c>
      <c r="G18" s="10"/>
      <c r="H18" s="10">
        <f>cvo_2+mtr0_2</f>
        <v>2.0305555555555556E-2</v>
      </c>
      <c r="I18" s="10">
        <f>cvo_2+mtr1_2</f>
        <v>1.4365555555555557E-2</v>
      </c>
      <c r="J18" s="10"/>
      <c r="K18" s="10"/>
      <c r="L18" s="10"/>
    </row>
    <row r="19" spans="1:12" x14ac:dyDescent="0.2">
      <c r="E19" s="9"/>
      <c r="F19" s="9"/>
      <c r="H19" s="9"/>
      <c r="I19" s="9"/>
      <c r="K19" s="9"/>
      <c r="L19" s="9"/>
    </row>
    <row r="20" spans="1:12" x14ac:dyDescent="0.2">
      <c r="A20" s="1" t="s">
        <v>211</v>
      </c>
      <c r="B20" t="s">
        <v>212</v>
      </c>
      <c r="C20" t="s">
        <v>212</v>
      </c>
      <c r="D20" t="s">
        <v>213</v>
      </c>
      <c r="E20" s="12">
        <f>+pgvm0_1</f>
        <v>4.7100000000000003E-2</v>
      </c>
      <c r="F20" s="12">
        <f>+pgvm0_1+tv_1*(F18-E18)</f>
        <v>4.079E-2</v>
      </c>
      <c r="G20" s="12"/>
      <c r="H20" s="12">
        <f>+pgvm0_2</f>
        <v>4.7100000000000003E-2</v>
      </c>
      <c r="I20" s="12">
        <f>+pgvm0_2+tv_2*(I18-H18)</f>
        <v>4.4130000000000003E-2</v>
      </c>
      <c r="J20" s="12"/>
      <c r="K20" s="12"/>
      <c r="L20" s="12"/>
    </row>
    <row r="21" spans="1:12" x14ac:dyDescent="0.2">
      <c r="A21" s="1" t="s">
        <v>214</v>
      </c>
      <c r="C21" t="s">
        <v>215</v>
      </c>
      <c r="D21" t="s">
        <v>216</v>
      </c>
      <c r="E21" s="12">
        <f>+E20*(1+btw_1)</f>
        <v>5.6991E-2</v>
      </c>
      <c r="F21" s="12">
        <f>+F20*(1+btw_1)</f>
        <v>4.9355900000000001E-2</v>
      </c>
      <c r="G21" s="12"/>
      <c r="H21" s="12">
        <f>+H20*(1+btw_1)</f>
        <v>5.6991E-2</v>
      </c>
      <c r="I21" s="12">
        <f>+I20*(1+btw_1)</f>
        <v>5.3397300000000002E-2</v>
      </c>
      <c r="J21" s="12"/>
      <c r="K21" s="12"/>
      <c r="L21" s="12"/>
    </row>
    <row r="22" spans="1:12" x14ac:dyDescent="0.2">
      <c r="A22" s="1"/>
      <c r="E22" s="9"/>
      <c r="F22" s="9"/>
      <c r="H22" s="9"/>
      <c r="I22" s="9"/>
      <c r="K22" s="9"/>
      <c r="L22" s="9"/>
    </row>
    <row r="23" spans="1:12" x14ac:dyDescent="0.2">
      <c r="A23" s="1" t="s">
        <v>217</v>
      </c>
      <c r="B23" t="s">
        <v>218</v>
      </c>
      <c r="C23" t="s">
        <v>218</v>
      </c>
      <c r="D23" t="s">
        <v>219</v>
      </c>
      <c r="E23" s="9">
        <f>+agvm_1-bgvm_1*E21</f>
        <v>3134668968.3436298</v>
      </c>
      <c r="F23" s="9">
        <f>+agvm_1-bgvm_1*F21</f>
        <v>3218659461.7204804</v>
      </c>
      <c r="G23" s="9"/>
      <c r="H23" s="9">
        <f>+agvm_2-bgvm_2*H21</f>
        <v>3134668968.3436298</v>
      </c>
      <c r="I23" s="9">
        <f>+agvm_2-bgvm_2*I21</f>
        <v>3174201736.2246513</v>
      </c>
      <c r="K23" s="9"/>
      <c r="L23" s="9"/>
    </row>
    <row r="24" spans="1:12" x14ac:dyDescent="0.2">
      <c r="A24" s="1"/>
      <c r="E24" s="9"/>
      <c r="F24" s="9"/>
      <c r="H24" s="9"/>
      <c r="I24" s="9"/>
      <c r="K24" s="9"/>
      <c r="L24" s="9"/>
    </row>
    <row r="25" spans="1:12" x14ac:dyDescent="0.2">
      <c r="A25" s="1"/>
      <c r="E25" s="9"/>
      <c r="F25" s="9"/>
      <c r="H25" s="9"/>
      <c r="I25" s="9"/>
      <c r="K25" s="9"/>
      <c r="L25" s="9"/>
    </row>
    <row r="26" spans="1:12" x14ac:dyDescent="0.2">
      <c r="A26" s="1" t="s">
        <v>220</v>
      </c>
      <c r="C26" t="s">
        <v>221</v>
      </c>
      <c r="D26" t="s">
        <v>222</v>
      </c>
      <c r="E26" s="9">
        <f>E27+E28</f>
        <v>2929263823.7863703</v>
      </c>
      <c r="F26" s="9">
        <f>F27+F28</f>
        <v>2956489061.7874455</v>
      </c>
      <c r="G26" s="9"/>
      <c r="H26" s="9">
        <f>H27+H28</f>
        <v>2929263823.7863703</v>
      </c>
      <c r="I26" s="9">
        <f>I27+I28</f>
        <v>2939738670.2115493</v>
      </c>
      <c r="K26" s="9"/>
      <c r="L26" s="9"/>
    </row>
    <row r="27" spans="1:12" x14ac:dyDescent="0.2">
      <c r="A27" t="s">
        <v>134</v>
      </c>
      <c r="B27" t="s">
        <v>221</v>
      </c>
      <c r="C27" t="s">
        <v>223</v>
      </c>
      <c r="D27" t="s">
        <v>224</v>
      </c>
      <c r="E27" s="9">
        <f>0.5*(agvv_1/bgvv_1-E9)*E12+0.5*(agvm_1/bgvm_1-E21)*E23</f>
        <v>2607028074.6954722</v>
      </c>
      <c r="F27" s="9">
        <f>0.5*(agvv_1/bgvv_1-F9)*F12+0.5*(agvm_1/bgvm_1-F21)*F23</f>
        <v>2634584481.0807261</v>
      </c>
      <c r="G27" s="9"/>
      <c r="H27" s="9">
        <f>0.5*(agvv_2/bgvv_2-H9)*H12+0.5*(agvm_2/bgvm_2-H21)*H23</f>
        <v>2607028074.6954722</v>
      </c>
      <c r="I27" s="9">
        <f>0.5*(agvv_2/bgvv_2-I9)*I12+0.5*(agvm_2/bgvm_2-I21)*I23</f>
        <v>2617619496.1878452</v>
      </c>
      <c r="K27" s="9"/>
      <c r="L27" s="9"/>
    </row>
    <row r="28" spans="1:12" x14ac:dyDescent="0.2">
      <c r="A28" t="s">
        <v>137</v>
      </c>
      <c r="C28" t="s">
        <v>225</v>
      </c>
      <c r="D28" t="s">
        <v>226</v>
      </c>
      <c r="E28" s="9">
        <f>+zv_1*(E13+E14+'3 Mobiele gesprekken'!D14)*(agvm_1+agvv_1-0.5*(E13+E14+'3 Mobiele gesprekken'!D14))/(bgvm_1+bgvv_1)</f>
        <v>322235749.09089822</v>
      </c>
      <c r="F28" s="9">
        <f>+zv_1*(F13+F14+'3 Mobiele gesprekken'!E14)*(agvm_1+agvv_1-0.5*(F13+F14+'3 Mobiele gesprekken'!E14))/(bgvm_1+bgvv_1)</f>
        <v>321904580.70671928</v>
      </c>
      <c r="G28" s="9"/>
      <c r="H28" s="9">
        <f>+zv_2*(H13+H14+'3 Mobiele gesprekken'!G14)*(agvm_2+agvv_2-0.5*(H13+H14+'3 Mobiele gesprekken'!G14))/(bgvm_2+bgvv_2)</f>
        <v>322235749.09089822</v>
      </c>
      <c r="I28" s="9">
        <f>+zv_2*(I13+I14+'3 Mobiele gesprekken'!H14)*(agvm_2+agvv_2-0.5*(I13+I14+'3 Mobiele gesprekken'!H14))/(bgvm_2+bgvv_2)</f>
        <v>322119174.02370417</v>
      </c>
      <c r="K28" s="9"/>
      <c r="L28" s="9"/>
    </row>
    <row r="29" spans="1:12" x14ac:dyDescent="0.2">
      <c r="A29" s="1" t="s">
        <v>227</v>
      </c>
      <c r="B29" t="s">
        <v>228</v>
      </c>
      <c r="C29" t="s">
        <v>228</v>
      </c>
      <c r="D29" t="s">
        <v>229</v>
      </c>
      <c r="E29" s="9">
        <f t="shared" ref="E29:F31" si="0">+E26/nv0_1</f>
        <v>409.40414957638848</v>
      </c>
      <c r="F29" s="9">
        <f t="shared" si="0"/>
        <v>413.20924398964536</v>
      </c>
      <c r="G29" s="9"/>
      <c r="H29" s="9">
        <f t="shared" ref="H29:I31" si="1">+H26/nv0_2</f>
        <v>409.40414957638848</v>
      </c>
      <c r="I29" s="9">
        <f t="shared" si="1"/>
        <v>410.86815072159789</v>
      </c>
      <c r="K29" s="9"/>
      <c r="L29" s="9"/>
    </row>
    <row r="30" spans="1:12" x14ac:dyDescent="0.2">
      <c r="A30" t="s">
        <v>134</v>
      </c>
      <c r="B30" t="s">
        <v>143</v>
      </c>
      <c r="C30" t="s">
        <v>230</v>
      </c>
      <c r="D30" t="s">
        <v>231</v>
      </c>
      <c r="E30" s="9">
        <f t="shared" si="0"/>
        <v>364.36735509293919</v>
      </c>
      <c r="F30" s="9">
        <f t="shared" si="0"/>
        <v>368.21873475697828</v>
      </c>
      <c r="G30" s="9"/>
      <c r="H30" s="9">
        <f t="shared" si="1"/>
        <v>364.36735509293919</v>
      </c>
      <c r="I30" s="9">
        <f t="shared" si="1"/>
        <v>365.847649176961</v>
      </c>
      <c r="K30" s="9"/>
      <c r="L30" s="9"/>
    </row>
    <row r="31" spans="1:12" x14ac:dyDescent="0.2">
      <c r="A31" t="s">
        <v>137</v>
      </c>
      <c r="B31" t="s">
        <v>145</v>
      </c>
      <c r="C31" t="s">
        <v>232</v>
      </c>
      <c r="D31" t="s">
        <v>233</v>
      </c>
      <c r="E31" s="9">
        <f t="shared" si="0"/>
        <v>45.036794483449327</v>
      </c>
      <c r="F31" s="9">
        <f t="shared" si="0"/>
        <v>44.990509232667065</v>
      </c>
      <c r="G31" s="9"/>
      <c r="H31" s="9">
        <f t="shared" si="1"/>
        <v>45.036794483449327</v>
      </c>
      <c r="I31" s="9">
        <f t="shared" si="1"/>
        <v>45.020501544636907</v>
      </c>
      <c r="K31" s="9"/>
      <c r="L31" s="9"/>
    </row>
    <row r="32" spans="1:12" x14ac:dyDescent="0.2">
      <c r="C32" s="1"/>
      <c r="E32" s="9"/>
      <c r="F32" s="9"/>
      <c r="H32" s="9"/>
      <c r="I32" s="9"/>
      <c r="K32" s="9"/>
      <c r="L32" s="9"/>
    </row>
    <row r="33" spans="1:12" x14ac:dyDescent="0.2">
      <c r="A33" s="1" t="s">
        <v>234</v>
      </c>
      <c r="B33" t="s">
        <v>235</v>
      </c>
      <c r="C33" t="s">
        <v>235</v>
      </c>
      <c r="D33" t="s">
        <v>236</v>
      </c>
      <c r="E33" s="9">
        <f>+E35+E34</f>
        <v>410767708.94953257</v>
      </c>
      <c r="F33" s="9">
        <f>+F35+F34</f>
        <v>421760012.73973948</v>
      </c>
      <c r="G33" s="9"/>
      <c r="H33" s="9">
        <f>+H35+H34</f>
        <v>410767708.94953257</v>
      </c>
      <c r="I33" s="9">
        <f>+I35+I34</f>
        <v>423971221.12548208</v>
      </c>
      <c r="K33" s="9"/>
      <c r="L33" s="9"/>
    </row>
    <row r="34" spans="1:12" x14ac:dyDescent="0.2">
      <c r="A34" t="s">
        <v>150</v>
      </c>
      <c r="B34" t="s">
        <v>237</v>
      </c>
      <c r="C34" t="s">
        <v>237</v>
      </c>
      <c r="D34" t="s">
        <v>238</v>
      </c>
      <c r="E34" s="9">
        <f>+(E8-E6)*E12+(E20-E18)*E23</f>
        <v>399070815.0988766</v>
      </c>
      <c r="F34" s="9">
        <f>+(F8-F6)*F12+(F20-F18)*F23</f>
        <v>424601927.99315834</v>
      </c>
      <c r="G34" s="9"/>
      <c r="H34" s="9">
        <f>+(H8-H6)*H12+(H20-H18)*H23</f>
        <v>399070815.0988766</v>
      </c>
      <c r="I34" s="9">
        <f>+(I8-I6)*I12+(I20-I18)*I23</f>
        <v>408887766.6450482</v>
      </c>
      <c r="K34" s="9"/>
      <c r="L34" s="9"/>
    </row>
    <row r="35" spans="1:12" x14ac:dyDescent="0.2">
      <c r="A35" t="s">
        <v>153</v>
      </c>
      <c r="B35" t="s">
        <v>239</v>
      </c>
      <c r="C35" t="s">
        <v>239</v>
      </c>
      <c r="D35" t="s">
        <v>240</v>
      </c>
      <c r="E35" s="9">
        <f>+(ftr0_1-cvt_1)*(E14+'3 Mobiele gesprekken'!D14)</f>
        <v>11696893.850655956</v>
      </c>
      <c r="F35" s="9">
        <f>+(ftr1_1-cvt_1)*(F14+'3 Mobiele gesprekken'!E14)</f>
        <v>-2841915.2534188726</v>
      </c>
      <c r="G35" s="9"/>
      <c r="H35" s="9">
        <f>+(ftr0_2-cvt_2)*(H14+'3 Mobiele gesprekken'!G14)</f>
        <v>11696893.850655956</v>
      </c>
      <c r="I35" s="9">
        <f>+(ftr1_2-cvt_2)*(I14+'3 Mobiele gesprekken'!H14)</f>
        <v>15083454.480433904</v>
      </c>
      <c r="K35" s="9"/>
      <c r="L35" s="9"/>
    </row>
    <row r="36" spans="1:12" x14ac:dyDescent="0.2">
      <c r="E36" s="9"/>
      <c r="F36" s="9"/>
      <c r="H36" s="9"/>
      <c r="I36" s="9"/>
      <c r="K36" s="9"/>
      <c r="L36" s="9"/>
    </row>
    <row r="38" spans="1:12" x14ac:dyDescent="0.2">
      <c r="A38" s="1" t="s">
        <v>241</v>
      </c>
      <c r="B38" t="s">
        <v>242</v>
      </c>
      <c r="C38" t="s">
        <v>243</v>
      </c>
      <c r="D38" t="s">
        <v>244</v>
      </c>
      <c r="E38" s="9">
        <f>+E33/nv0_1</f>
        <v>57.41033060605244</v>
      </c>
      <c r="F38" s="9">
        <f>+F33/nv0_1</f>
        <v>58.946653401073981</v>
      </c>
      <c r="G38" s="9"/>
      <c r="H38" s="9">
        <f>+H33/nv0_2</f>
        <v>57.41033060605244</v>
      </c>
      <c r="I38" s="9">
        <f>+I33/nv0_2</f>
        <v>59.255699613077844</v>
      </c>
      <c r="K38" s="9"/>
      <c r="L38" s="9"/>
    </row>
    <row r="39" spans="1:12" x14ac:dyDescent="0.2">
      <c r="C39" s="1"/>
      <c r="E39" s="9"/>
      <c r="F39" s="9"/>
      <c r="H39" s="9"/>
      <c r="I39" s="9"/>
      <c r="K39" s="9"/>
      <c r="L39" s="9"/>
    </row>
    <row r="40" spans="1:12" x14ac:dyDescent="0.2">
      <c r="A40" s="1" t="s">
        <v>245</v>
      </c>
      <c r="B40" t="s">
        <v>160</v>
      </c>
      <c r="C40" t="s">
        <v>246</v>
      </c>
      <c r="D40" t="s">
        <v>247</v>
      </c>
      <c r="E40" s="9">
        <f>+(E8*btw_1*E12+E20*btw_1*E23)/nv0_1</f>
        <v>14.814146244765816</v>
      </c>
      <c r="F40" s="9">
        <f>+(F8*btw_1*F12+F20*btw_1*F23)/nv0_1</f>
        <v>14.262032422521054</v>
      </c>
      <c r="H40" s="9">
        <f>+(H8*btw_1*H12+H20*btw_1*H23)/nv0_1</f>
        <v>14.814146244765816</v>
      </c>
      <c r="I40" s="9">
        <f>+(I8*btw_1*I12+I20*btw_1*I23)/nv0_1</f>
        <v>14.608354756715238</v>
      </c>
      <c r="K40" s="9"/>
      <c r="L40" s="9"/>
    </row>
    <row r="41" spans="1:12" x14ac:dyDescent="0.2">
      <c r="A41" s="5"/>
      <c r="E41" s="9"/>
      <c r="F41" s="9"/>
      <c r="H41" s="9"/>
      <c r="I41" s="9"/>
      <c r="K41" s="9"/>
      <c r="L41" s="9"/>
    </row>
    <row r="42" spans="1:12" x14ac:dyDescent="0.2">
      <c r="A42" s="1" t="s">
        <v>248</v>
      </c>
      <c r="B42" s="1"/>
      <c r="D42" s="1"/>
      <c r="E42" s="9"/>
      <c r="F42" s="9"/>
      <c r="H42" s="9"/>
      <c r="I42" s="9"/>
      <c r="K42" s="9"/>
      <c r="L42" s="9"/>
    </row>
    <row r="43" spans="1:12" x14ac:dyDescent="0.2">
      <c r="A43" s="1" t="s">
        <v>249</v>
      </c>
      <c r="E43" s="9"/>
      <c r="F43" s="9"/>
      <c r="H43" s="9"/>
      <c r="I43" s="9"/>
      <c r="K43" s="9"/>
      <c r="L43" s="9"/>
    </row>
    <row r="44" spans="1:12" x14ac:dyDescent="0.2">
      <c r="A44" t="s">
        <v>163</v>
      </c>
      <c r="C44" t="s">
        <v>250</v>
      </c>
      <c r="D44" t="s">
        <v>251</v>
      </c>
      <c r="E44" s="9"/>
      <c r="F44" s="9"/>
      <c r="H44" s="9"/>
      <c r="I44" s="9"/>
      <c r="K44" s="9"/>
      <c r="L44" s="9"/>
    </row>
    <row r="45" spans="1:12" x14ac:dyDescent="0.2">
      <c r="A45" t="s">
        <v>252</v>
      </c>
      <c r="E45" s="9"/>
      <c r="F45" s="9"/>
      <c r="H45" s="9"/>
      <c r="I45" s="9"/>
      <c r="K45" s="9"/>
      <c r="L45" s="9"/>
    </row>
    <row r="46" spans="1:12" x14ac:dyDescent="0.2">
      <c r="E46" s="9"/>
      <c r="F46" s="9"/>
      <c r="H46" s="9"/>
      <c r="I46" s="9"/>
      <c r="K46" s="9"/>
      <c r="L46" s="9"/>
    </row>
    <row r="47" spans="1:12" ht="14.25" customHeight="1" x14ac:dyDescent="0.2">
      <c r="A47" t="s">
        <v>166</v>
      </c>
      <c r="B47" t="s">
        <v>253</v>
      </c>
      <c r="C47" t="s">
        <v>253</v>
      </c>
      <c r="D47" t="s">
        <v>254</v>
      </c>
      <c r="E47" s="9">
        <f>+egvv_1*vvv0_1/E9</f>
        <v>28463175072.489094</v>
      </c>
      <c r="F47" s="9"/>
      <c r="H47" s="9">
        <f>+egvv_2*vvv0_2/H9</f>
        <v>28463175072.489094</v>
      </c>
      <c r="I47" s="9"/>
      <c r="K47" s="9"/>
      <c r="L47" s="9"/>
    </row>
    <row r="48" spans="1:12" x14ac:dyDescent="0.2">
      <c r="B48" t="s">
        <v>255</v>
      </c>
      <c r="C48" t="s">
        <v>256</v>
      </c>
      <c r="D48" t="s">
        <v>257</v>
      </c>
      <c r="E48" s="9">
        <f>+vvv0_1+bgvv_1*E9</f>
        <v>12198804498.917521</v>
      </c>
      <c r="F48" s="9"/>
      <c r="H48" s="9">
        <f>+vvv0_2+bgvv_2*H9</f>
        <v>12198804498.917521</v>
      </c>
      <c r="I48" s="9"/>
      <c r="K48" s="9"/>
      <c r="L48" s="9"/>
    </row>
    <row r="49" spans="1:12" x14ac:dyDescent="0.2">
      <c r="E49" s="9"/>
      <c r="F49" s="9"/>
      <c r="H49" s="9"/>
      <c r="I49" s="9"/>
      <c r="K49" s="9"/>
      <c r="L49" s="9"/>
    </row>
    <row r="50" spans="1:12" x14ac:dyDescent="0.2">
      <c r="A50" s="1" t="s">
        <v>258</v>
      </c>
      <c r="B50" s="1"/>
      <c r="D50" s="1"/>
      <c r="E50" s="9"/>
      <c r="F50" s="9"/>
      <c r="H50" s="9"/>
      <c r="I50" s="9"/>
      <c r="K50" s="9"/>
      <c r="L50" s="9"/>
    </row>
    <row r="51" spans="1:12" x14ac:dyDescent="0.2">
      <c r="A51" s="1"/>
      <c r="B51" s="1"/>
      <c r="C51" s="1"/>
      <c r="D51" s="1"/>
      <c r="E51" s="9"/>
      <c r="F51" s="9"/>
      <c r="H51" s="9"/>
      <c r="I51" s="9"/>
      <c r="K51" s="9"/>
      <c r="L51" s="9"/>
    </row>
    <row r="52" spans="1:12" x14ac:dyDescent="0.2">
      <c r="A52" t="s">
        <v>163</v>
      </c>
      <c r="C52" t="s">
        <v>218</v>
      </c>
      <c r="D52" t="s">
        <v>219</v>
      </c>
      <c r="E52" s="9"/>
      <c r="F52" s="9"/>
      <c r="H52" s="9"/>
      <c r="I52" s="9"/>
      <c r="K52" s="9"/>
      <c r="L52" s="9"/>
    </row>
    <row r="53" spans="1:12" x14ac:dyDescent="0.2">
      <c r="A53" t="s">
        <v>259</v>
      </c>
      <c r="E53" s="9"/>
      <c r="F53" s="9"/>
      <c r="H53" s="9"/>
      <c r="I53" s="9"/>
      <c r="K53" s="9"/>
      <c r="L53" s="9"/>
    </row>
    <row r="54" spans="1:12" x14ac:dyDescent="0.2">
      <c r="E54" s="9"/>
      <c r="F54" s="9"/>
      <c r="H54" s="9"/>
      <c r="I54" s="9"/>
      <c r="K54" s="9"/>
      <c r="L54" s="9"/>
    </row>
    <row r="55" spans="1:12" x14ac:dyDescent="0.2">
      <c r="A55" t="s">
        <v>166</v>
      </c>
      <c r="B55" t="s">
        <v>260</v>
      </c>
      <c r="C55" t="s">
        <v>260</v>
      </c>
      <c r="D55" t="s">
        <v>261</v>
      </c>
      <c r="E55" s="9">
        <f>+egvm_1*vvm0_1/E21</f>
        <v>11000575418.377041</v>
      </c>
      <c r="F55" s="9"/>
      <c r="H55" s="9">
        <f>+egvm_2*vvm0_2/H21</f>
        <v>11000575418.377041</v>
      </c>
      <c r="I55" s="9"/>
      <c r="K55" s="9"/>
      <c r="L55" s="9"/>
    </row>
    <row r="56" spans="1:12" x14ac:dyDescent="0.2">
      <c r="B56" t="s">
        <v>262</v>
      </c>
      <c r="C56" t="s">
        <v>262</v>
      </c>
      <c r="D56" t="s">
        <v>263</v>
      </c>
      <c r="E56" s="9">
        <f>+vvm0_1+bgvm_1*E21</f>
        <v>3761602762.0123558</v>
      </c>
      <c r="F56" s="9"/>
      <c r="H56" s="9">
        <f>+vvm0_2+bgvm_2*H21</f>
        <v>3761602762.0123558</v>
      </c>
      <c r="I56" s="9"/>
      <c r="K56" s="9"/>
      <c r="L56" s="9"/>
    </row>
    <row r="57" spans="1:12" x14ac:dyDescent="0.2">
      <c r="E57" s="9"/>
      <c r="F57" s="9"/>
      <c r="H57" s="9"/>
      <c r="I57" s="9"/>
      <c r="K57" s="9"/>
      <c r="L57" s="9"/>
    </row>
    <row r="58" spans="1:12" x14ac:dyDescent="0.2">
      <c r="A58" s="1" t="s">
        <v>264</v>
      </c>
      <c r="E58" s="9"/>
      <c r="F58" s="9"/>
      <c r="H58" s="9"/>
      <c r="I58" s="9"/>
      <c r="K58" s="9"/>
      <c r="L58" s="9"/>
    </row>
    <row r="59" spans="1:12" x14ac:dyDescent="0.2">
      <c r="A59" t="s">
        <v>172</v>
      </c>
      <c r="B59" t="s">
        <v>265</v>
      </c>
      <c r="C59" t="s">
        <v>265</v>
      </c>
      <c r="D59" t="s">
        <v>266</v>
      </c>
      <c r="E59" s="9">
        <f>+vvon0_1/vvv0_1</f>
        <v>0.7</v>
      </c>
      <c r="F59" s="9"/>
      <c r="H59" s="9">
        <f>+vvon0_2/vvv0_2</f>
        <v>0.7</v>
      </c>
      <c r="I59" s="9"/>
      <c r="K59" s="9"/>
      <c r="L59" s="9"/>
    </row>
    <row r="60" spans="1:12" x14ac:dyDescent="0.2">
      <c r="A60" t="s">
        <v>267</v>
      </c>
      <c r="B60" t="s">
        <v>268</v>
      </c>
      <c r="C60" t="s">
        <v>268</v>
      </c>
      <c r="D60" t="s">
        <v>269</v>
      </c>
      <c r="E60" s="9">
        <f>+vvoff0_1/vvv0_1</f>
        <v>0.3</v>
      </c>
      <c r="F60" s="9"/>
      <c r="H60" s="9">
        <f>+vvoff0_2/vvv0_2</f>
        <v>0.3</v>
      </c>
      <c r="I60" s="9"/>
      <c r="K60" s="9"/>
      <c r="L60" s="9"/>
    </row>
    <row r="63" spans="1:12" x14ac:dyDescent="0.2">
      <c r="A63" s="1" t="s">
        <v>270</v>
      </c>
    </row>
    <row r="65" spans="1:8" x14ac:dyDescent="0.2">
      <c r="A65" t="s">
        <v>271</v>
      </c>
      <c r="D65" t="s">
        <v>272</v>
      </c>
      <c r="E65">
        <f>0.5*(agvm_1/bgvm_1-pgvm0_1)*vvm0_1/nv0_1 + zv_1*E28*(vmv0_1/(vmv0_1+vvon0_1+vvoff0_1))/nv0_1</f>
        <v>66.08176125112972</v>
      </c>
      <c r="H65">
        <f>0.5*(agvm_2/bgvm_2-pgvm0_2)*vvm0_2/nv0_2 + zv_2*H28*vmv0_2/(vmv0_2+vvon0_2+vvoff0_2)/nv0_2</f>
        <v>66.08176125112972</v>
      </c>
    </row>
    <row r="66" spans="1:8" x14ac:dyDescent="0.2">
      <c r="A66" t="s">
        <v>273</v>
      </c>
      <c r="D66" t="s">
        <v>274</v>
      </c>
      <c r="E66">
        <f>+E65/nm0_1</f>
        <v>4.0415748346704617E-6</v>
      </c>
      <c r="H66">
        <f>+H65/nm0_2</f>
        <v>4.0415748346704617E-6</v>
      </c>
    </row>
    <row r="69" spans="1:8" x14ac:dyDescent="0.2">
      <c r="A69" s="1"/>
      <c r="E69" s="9"/>
    </row>
    <row r="71" spans="1:8" x14ac:dyDescent="0.2">
      <c r="A71" s="1"/>
    </row>
    <row r="73" spans="1:8" x14ac:dyDescent="0.2">
      <c r="E73" s="9"/>
    </row>
    <row r="74" spans="1:8" x14ac:dyDescent="0.2">
      <c r="E74" s="9"/>
    </row>
    <row r="77" spans="1:8" x14ac:dyDescent="0.2">
      <c r="E77" s="9"/>
    </row>
    <row r="78" spans="1:8" x14ac:dyDescent="0.2">
      <c r="E78" s="9"/>
    </row>
    <row r="79" spans="1:8" x14ac:dyDescent="0.2">
      <c r="A79" s="1"/>
    </row>
    <row r="81" spans="1:1" x14ac:dyDescent="0.2">
      <c r="A81" s="1"/>
    </row>
    <row r="83" spans="1:1" x14ac:dyDescent="0.2">
      <c r="A83" s="1"/>
    </row>
    <row r="89" spans="1:1" x14ac:dyDescent="0.2">
      <c r="A89" s="1"/>
    </row>
    <row r="97" spans="1:1" x14ac:dyDescent="0.2">
      <c r="A97" s="1"/>
    </row>
    <row r="103" spans="1:1" x14ac:dyDescent="0.2">
      <c r="A103" s="1"/>
    </row>
    <row r="107" spans="1:1" x14ac:dyDescent="0.2">
      <c r="A107" s="1"/>
    </row>
    <row r="110" spans="1:1" x14ac:dyDescent="0.2">
      <c r="A110" s="1"/>
    </row>
  </sheetData>
  <pageMargins left="0.75000000000000011" right="0.75000000000000011" top="1" bottom="1" header="0.5" footer="0.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opLeftCell="B1" workbookViewId="0">
      <selection activeCell="G13" sqref="G13"/>
    </sheetView>
  </sheetViews>
  <sheetFormatPr defaultRowHeight="12.75" x14ac:dyDescent="0.2"/>
  <cols>
    <col min="1" max="1" width="63.7109375" customWidth="1"/>
    <col min="2" max="2" width="25.28515625" customWidth="1"/>
    <col min="3" max="3" width="52.85546875" customWidth="1"/>
    <col min="4" max="4" width="29.140625" customWidth="1"/>
    <col min="5" max="5" width="25" customWidth="1"/>
    <col min="6" max="6" width="17.42578125" customWidth="1"/>
    <col min="7" max="7" width="23.85546875" customWidth="1"/>
    <col min="8" max="8" width="19.7109375" customWidth="1"/>
    <col min="9" max="9" width="18" customWidth="1"/>
    <col min="10" max="10" width="22.28515625" customWidth="1"/>
    <col min="11" max="11" width="19.7109375" customWidth="1"/>
    <col min="12" max="12" width="23.28515625" customWidth="1"/>
    <col min="13" max="13" width="9.140625" customWidth="1"/>
  </cols>
  <sheetData>
    <row r="1" spans="1:11" x14ac:dyDescent="0.2">
      <c r="A1" s="1" t="s">
        <v>275</v>
      </c>
      <c r="D1" s="1" t="s">
        <v>105</v>
      </c>
      <c r="G1" s="1" t="s">
        <v>15</v>
      </c>
      <c r="J1" s="1"/>
    </row>
    <row r="2" spans="1:11" x14ac:dyDescent="0.2">
      <c r="B2" s="1" t="s">
        <v>11</v>
      </c>
      <c r="C2" s="1" t="s">
        <v>107</v>
      </c>
      <c r="D2" s="1" t="s">
        <v>108</v>
      </c>
      <c r="E2" s="1" t="s">
        <v>276</v>
      </c>
      <c r="F2" s="1"/>
      <c r="G2" s="1" t="s">
        <v>108</v>
      </c>
      <c r="H2" s="1" t="s">
        <v>276</v>
      </c>
      <c r="J2" s="1"/>
      <c r="K2" s="1"/>
    </row>
    <row r="3" spans="1:11" x14ac:dyDescent="0.2">
      <c r="D3" s="1"/>
      <c r="E3" s="1"/>
      <c r="F3" s="1"/>
      <c r="G3" s="1"/>
      <c r="H3" s="1"/>
      <c r="J3" s="1"/>
      <c r="K3" s="1"/>
    </row>
    <row r="4" spans="1:11" x14ac:dyDescent="0.2">
      <c r="A4" s="1" t="s">
        <v>277</v>
      </c>
      <c r="B4" t="s">
        <v>278</v>
      </c>
      <c r="C4" t="s">
        <v>279</v>
      </c>
      <c r="D4" s="7">
        <f>+fm_1-'3 Mobiele gesprekken'!D27</f>
        <v>23.053901039645471</v>
      </c>
      <c r="E4" s="7">
        <f>+fm_1-'3 Mobiele gesprekken'!E27</f>
        <v>27.789646592313623</v>
      </c>
      <c r="F4" s="7"/>
      <c r="G4" s="7">
        <f>+fm_2-'3 Mobiele gesprekken'!G27</f>
        <v>23.053901039645467</v>
      </c>
      <c r="H4" s="7">
        <f>+fm_2-'3 Mobiele gesprekken'!H27</f>
        <v>25.464800497278805</v>
      </c>
      <c r="J4" s="7"/>
      <c r="K4" s="7"/>
    </row>
    <row r="5" spans="1:11" x14ac:dyDescent="0.2">
      <c r="A5" s="1" t="s">
        <v>280</v>
      </c>
      <c r="B5" t="s">
        <v>281</v>
      </c>
      <c r="C5" t="s">
        <v>282</v>
      </c>
      <c r="D5" s="7">
        <f>+fv_1-'4 Vaste gesprekken'!E38</f>
        <v>-47.41033060605244</v>
      </c>
      <c r="E5" s="7">
        <f>+fv_1-'4 Vaste gesprekken'!F38</f>
        <v>-48.946653401073981</v>
      </c>
      <c r="F5" s="7"/>
      <c r="G5" s="7">
        <f>+fv_2-'4 Vaste gesprekken'!H38</f>
        <v>-47.41033060605244</v>
      </c>
      <c r="H5" s="7">
        <f>+fv_2-'4 Vaste gesprekken'!I38</f>
        <v>-49.255699613077844</v>
      </c>
      <c r="J5" s="7"/>
      <c r="K5" s="7"/>
    </row>
    <row r="6" spans="1:11" x14ac:dyDescent="0.2">
      <c r="D6" s="7"/>
      <c r="E6" s="7"/>
      <c r="G6" s="7"/>
      <c r="H6" s="7"/>
      <c r="J6" s="7"/>
      <c r="K6" s="7"/>
    </row>
    <row r="7" spans="1:11" x14ac:dyDescent="0.2">
      <c r="A7" s="1" t="s">
        <v>283</v>
      </c>
      <c r="B7" t="s">
        <v>284</v>
      </c>
      <c r="C7" t="s">
        <v>285</v>
      </c>
      <c r="D7" s="14">
        <f>+pam0_1</f>
        <v>32.94</v>
      </c>
      <c r="E7" s="14">
        <f>+pam0_1+ym_1*(E4-D4)</f>
        <v>37.675745552668147</v>
      </c>
      <c r="F7" s="15"/>
      <c r="G7" s="14">
        <f>+pam0_2</f>
        <v>32.94</v>
      </c>
      <c r="H7" s="14">
        <f>+pam0_2+ym_2*(H4-G4)</f>
        <v>35.350899457633332</v>
      </c>
      <c r="J7" s="14"/>
      <c r="K7" s="14"/>
    </row>
    <row r="8" spans="1:11" x14ac:dyDescent="0.2">
      <c r="A8" s="1" t="s">
        <v>286</v>
      </c>
      <c r="B8" t="s">
        <v>287</v>
      </c>
      <c r="C8" t="s">
        <v>288</v>
      </c>
      <c r="D8" s="14">
        <f>+D7*(1+btw_1)</f>
        <v>39.857399999999998</v>
      </c>
      <c r="E8" s="14">
        <f>+E7*(1+btw_1)</f>
        <v>45.587652118728457</v>
      </c>
      <c r="F8" s="15"/>
      <c r="G8" s="14">
        <f>+G7*(1+btw_2)</f>
        <v>39.857399999999998</v>
      </c>
      <c r="H8" s="14">
        <f>+H7*(1+btw_2)</f>
        <v>42.774588343736333</v>
      </c>
      <c r="J8" s="14"/>
      <c r="K8" s="14"/>
    </row>
    <row r="9" spans="1:11" x14ac:dyDescent="0.2">
      <c r="A9" s="1" t="s">
        <v>289</v>
      </c>
      <c r="B9" t="s">
        <v>290</v>
      </c>
      <c r="C9" t="s">
        <v>291</v>
      </c>
      <c r="D9" s="14">
        <f>+pav0_1</f>
        <v>33.97</v>
      </c>
      <c r="E9" s="14">
        <f>+pav0_1+yv_1*(E5-D5)</f>
        <v>32.433677204978459</v>
      </c>
      <c r="F9" s="15"/>
      <c r="G9" s="14">
        <f>+pav0_2</f>
        <v>33.97</v>
      </c>
      <c r="H9" s="14">
        <f>+pav0_2+yv_2*(H5-G5)</f>
        <v>32.124630992974595</v>
      </c>
      <c r="J9" s="14"/>
      <c r="K9" s="14"/>
    </row>
    <row r="10" spans="1:11" x14ac:dyDescent="0.2">
      <c r="A10" s="1" t="s">
        <v>292</v>
      </c>
      <c r="B10" t="s">
        <v>293</v>
      </c>
      <c r="C10" t="s">
        <v>294</v>
      </c>
      <c r="D10" s="14">
        <f>+D9*(1+btw_1)</f>
        <v>41.103699999999996</v>
      </c>
      <c r="E10" s="14">
        <f>+E9*(1+btw_1)</f>
        <v>39.244749418023936</v>
      </c>
      <c r="F10" s="15"/>
      <c r="G10" s="14">
        <f>+G9*(1+btw_2)</f>
        <v>41.103699999999996</v>
      </c>
      <c r="H10" s="14">
        <f>+H9*(1+btw_2)</f>
        <v>38.87080350149926</v>
      </c>
      <c r="J10" s="14"/>
      <c r="K10" s="14"/>
    </row>
    <row r="11" spans="1:11" x14ac:dyDescent="0.2">
      <c r="A11" s="1"/>
      <c r="D11" s="14"/>
      <c r="E11" s="14"/>
      <c r="F11" s="15"/>
      <c r="G11" s="14"/>
      <c r="H11" s="14"/>
      <c r="J11" s="14"/>
      <c r="K11" s="14"/>
    </row>
    <row r="12" spans="1:11" x14ac:dyDescent="0.2">
      <c r="A12" s="1" t="s">
        <v>295</v>
      </c>
      <c r="B12" t="s">
        <v>296</v>
      </c>
      <c r="C12" t="s">
        <v>297</v>
      </c>
      <c r="D12" s="14">
        <f>+(aam_1-bam_1*(D8-'3 Mobiele gesprekken'!D21)+bam_1*xvm_1*(aav_1-bav_1*('5 Abonnementen'!D10-'4 Vaste gesprekken'!E30)))/(1-bam_1*bav_1*xvm_1*xmv_1)</f>
        <v>16350498</v>
      </c>
      <c r="E12" s="14">
        <f>+(aam_1-bam_1*(E8-'3 Mobiele gesprekken'!E21)+bam_1*xvm_1*(aav_1-bav_1*('5 Abonnementen'!E10-'4 Vaste gesprekken'!F30)))/(1-bam_1*bav_1*xvm_1*xmv_1)</f>
        <v>16336126.120353794</v>
      </c>
      <c r="F12" s="15"/>
      <c r="G12" s="14">
        <f>+(aam_2-bam_2*(G8-'3 Mobiele gesprekken'!G21)+bam_2*xvm_2*(aav_2-bav_2*('5 Abonnementen'!G10-'4 Vaste gesprekken'!H30)))/(1-bam_2*bav_2*xvm_2*xmv_2)</f>
        <v>16350498</v>
      </c>
      <c r="H12" s="14">
        <f>+(aam_2-bam_2*(H8-'3 Mobiele gesprekken'!H21)+bam_2*xvm_2*(aav_2-bav_2*(H10-'4 Vaste gesprekken'!I30)))/(1-bam_2*bav_2*xvm_2*xmv_2)</f>
        <v>16339868.264120102</v>
      </c>
      <c r="J12" s="14"/>
      <c r="K12" s="14"/>
    </row>
    <row r="13" spans="1:11" x14ac:dyDescent="0.2">
      <c r="A13" s="1" t="s">
        <v>298</v>
      </c>
      <c r="B13" t="s">
        <v>299</v>
      </c>
      <c r="C13" t="s">
        <v>300</v>
      </c>
      <c r="D13" s="14">
        <f>+(aav_1-bav_1*(D10-'4 Vaste gesprekken'!E30)+bav_1*xmv_1*(aam_1-bam_1*('5 Abonnementen'!D8-'3 Mobiele gesprekken'!D21)))/(1-bam_1*bav_1*xvm_1*xmv_1)</f>
        <v>7154944.1470422</v>
      </c>
      <c r="E13" s="14">
        <f>+(aav_1-bav_1*(E10-'4 Vaste gesprekken'!F30)+bav_1*xmv_1*(aam_1-bam_1*('5 Abonnementen'!E8-'3 Mobiele gesprekken'!E21)))/(1-bam_1*bav_1*xvm_1*xmv_1)</f>
        <v>7174824.1549107879</v>
      </c>
      <c r="F13" s="15"/>
      <c r="G13" s="14">
        <f>+(aav_2-bav_2*(G10-'4 Vaste gesprekken'!H30)+bav_2*xmv_2*(aam_2-bam_2*('5 Abonnementen'!G8-'3 Mobiele gesprekken'!G21)))/(1-bam_2*bav_2*xvm_2*xmv_2)</f>
        <v>7154944.1470422</v>
      </c>
      <c r="H13" s="14">
        <f>+(aav_2-bav_2*(H10-'4 Vaste gesprekken'!I30)+bav_2*xmv_2*(aam_2-bam_2*('5 Abonnementen'!H8-'3 Mobiele gesprekken'!H21)))/(1-bam_2*bav_2*xvm_2*xmv_2)</f>
        <v>7167871.2904503457</v>
      </c>
      <c r="J13" s="14"/>
      <c r="K13" s="14"/>
    </row>
    <row r="14" spans="1:11" x14ac:dyDescent="0.2">
      <c r="A14" s="1"/>
      <c r="D14" s="7"/>
      <c r="E14" s="7"/>
      <c r="F14" s="15"/>
      <c r="G14" s="7">
        <f>SUM(G12:G13)</f>
        <v>23505442.1470422</v>
      </c>
      <c r="H14" s="7">
        <f>SUM(H12:H13)</f>
        <v>23507739.554570448</v>
      </c>
      <c r="I14" s="16">
        <f>+(H14-G14)/G14</f>
        <v>9.7739387920289675E-5</v>
      </c>
      <c r="J14" s="7"/>
      <c r="K14" s="7"/>
    </row>
    <row r="15" spans="1:11" x14ac:dyDescent="0.2">
      <c r="A15" s="1" t="s">
        <v>301</v>
      </c>
      <c r="D15" s="7"/>
      <c r="E15" s="7"/>
      <c r="F15" s="15"/>
      <c r="G15" s="7"/>
      <c r="H15" s="7"/>
      <c r="J15" s="7"/>
      <c r="K15" s="7"/>
    </row>
    <row r="16" spans="1:11" x14ac:dyDescent="0.2">
      <c r="A16" s="2" t="s">
        <v>302</v>
      </c>
      <c r="D16" s="7"/>
      <c r="E16" s="7"/>
      <c r="F16" s="15"/>
      <c r="G16" s="7"/>
      <c r="H16" s="7"/>
      <c r="J16" s="7"/>
      <c r="K16" s="7"/>
    </row>
    <row r="17" spans="1:18" x14ac:dyDescent="0.2">
      <c r="A17" t="s">
        <v>303</v>
      </c>
      <c r="D17" s="7"/>
      <c r="E17" s="7"/>
      <c r="F17" s="17"/>
      <c r="G17" s="7"/>
      <c r="H17" s="7"/>
      <c r="J17" s="7"/>
      <c r="K17" s="7"/>
    </row>
    <row r="18" spans="1:18" x14ac:dyDescent="0.2">
      <c r="D18" s="7"/>
      <c r="E18" s="7"/>
      <c r="F18" s="15"/>
      <c r="G18" s="7"/>
      <c r="H18" s="7"/>
      <c r="J18" s="7"/>
      <c r="K18" s="7"/>
    </row>
    <row r="19" spans="1:18" x14ac:dyDescent="0.2">
      <c r="D19" s="7"/>
      <c r="E19" s="7"/>
      <c r="F19" s="15"/>
      <c r="G19" s="7"/>
      <c r="H19" s="7"/>
      <c r="J19" s="7"/>
      <c r="K19" s="7"/>
    </row>
    <row r="20" spans="1:18" x14ac:dyDescent="0.2">
      <c r="D20" s="14"/>
      <c r="E20" s="14"/>
      <c r="F20" s="15"/>
      <c r="G20" s="14"/>
      <c r="H20" s="14"/>
      <c r="J20" s="14"/>
      <c r="K20" s="14"/>
    </row>
    <row r="21" spans="1:18" x14ac:dyDescent="0.2">
      <c r="A21" s="1" t="s">
        <v>304</v>
      </c>
      <c r="B21" t="s">
        <v>305</v>
      </c>
      <c r="C21" t="s">
        <v>306</v>
      </c>
      <c r="D21" s="18">
        <f>0.5*(aam_1/bam_1+'3 Mobiele gesprekken'!D21+xvm_1*'5 Abonnementen'!D13-'5 Abonnementen'!D8)*'5 Abonnementen'!D12+'3 Mobiele gesprekken'!D22*'5 Abonnementen'!D12</f>
        <v>16438527129.264172</v>
      </c>
      <c r="E21" s="18">
        <f>0.5*(aam_1/bam_1+'3 Mobiele gesprekken'!E21+xvm_1*'5 Abonnementen'!E13-'5 Abonnementen'!E8)*'5 Abonnementen'!E12+'3 Mobiele gesprekken'!E22*'5 Abonnementen'!E12</f>
        <v>16411719218.902147</v>
      </c>
      <c r="F21" s="19"/>
      <c r="G21" s="18">
        <f>0.5*(aam_2/bam_2+'3 Mobiele gesprekken'!G21+xvm_2*'5 Abonnementen'!G13-'5 Abonnementen'!G8)*'5 Abonnementen'!G12+'3 Mobiele gesprekken'!G22*'5 Abonnementen'!G12</f>
        <v>16438527129.264172</v>
      </c>
      <c r="H21" s="18">
        <f>0.5*(aam_2/bam_2+'3 Mobiele gesprekken'!H21+xvm_2*'5 Abonnementen'!H13-'5 Abonnementen'!H8)*'5 Abonnementen'!H12+'3 Mobiele gesprekken'!H22*'5 Abonnementen'!H12</f>
        <v>16418093168.227497</v>
      </c>
      <c r="I21" s="8"/>
      <c r="J21" s="18"/>
      <c r="K21" s="18"/>
      <c r="L21" s="8"/>
      <c r="M21" s="2"/>
      <c r="N21" s="2"/>
      <c r="O21" s="2"/>
      <c r="P21" s="2"/>
      <c r="Q21" s="2"/>
      <c r="R21" s="2"/>
    </row>
    <row r="22" spans="1:18" x14ac:dyDescent="0.2">
      <c r="D22" s="20"/>
      <c r="E22" s="20"/>
      <c r="F22" s="19"/>
      <c r="G22" s="20"/>
      <c r="H22" s="20"/>
      <c r="I22" s="2"/>
      <c r="J22" s="20"/>
      <c r="K22" s="20"/>
      <c r="L22" s="2"/>
      <c r="M22" s="2"/>
      <c r="N22" s="2"/>
      <c r="O22" s="2"/>
      <c r="P22" s="2"/>
      <c r="Q22" s="2"/>
      <c r="R22" s="2"/>
    </row>
    <row r="23" spans="1:18" ht="14.25" customHeight="1" x14ac:dyDescent="0.25">
      <c r="A23" s="21" t="s">
        <v>307</v>
      </c>
      <c r="B23" s="22" t="s">
        <v>308</v>
      </c>
      <c r="C23" t="s">
        <v>309</v>
      </c>
      <c r="D23" s="20">
        <f>0.5*(aav_1/bav_1+'4 Vaste gesprekken'!E30+xmv_1*D12-D10)*D13+'4 Vaste gesprekken'!E31*'5 Abonnementen'!D13</f>
        <v>7674602692.5103588</v>
      </c>
      <c r="E23" s="20">
        <f>0.5*(aav_1/bav_1+'4 Vaste gesprekken'!F30+xmv_1*E12-E10)*E13+'4 Vaste gesprekken'!F31*'5 Abonnementen'!E13</f>
        <v>7716079790.4802532</v>
      </c>
      <c r="F23" s="2"/>
      <c r="G23" s="20">
        <f>0.5*(aav_2/bav_2+'4 Vaste gesprekken'!H30+xmv_2*G12-G10)*G13+'4 Vaste gesprekken'!H31*'5 Abonnementen'!G13</f>
        <v>7674602692.5103588</v>
      </c>
      <c r="H23" s="20">
        <f>0.5*(aav_2/bav_2+'4 Vaste gesprekken'!I30+xmv_2*H12-H10)*H13+'4 Vaste gesprekken'!I31*'5 Abonnementen'!H13</f>
        <v>7701659775.6217909</v>
      </c>
      <c r="I23" s="2"/>
      <c r="J23" s="20"/>
      <c r="K23" s="20"/>
      <c r="L23" s="2"/>
      <c r="M23" s="2"/>
      <c r="N23" s="2"/>
      <c r="O23" s="2"/>
      <c r="P23" s="2"/>
      <c r="Q23" s="2"/>
      <c r="R23" s="2"/>
    </row>
    <row r="24" spans="1:18" x14ac:dyDescent="0.2">
      <c r="D24" s="9"/>
      <c r="E24" s="20"/>
      <c r="F24" s="19"/>
      <c r="G24" s="9"/>
      <c r="H24" s="20"/>
      <c r="I24" s="2"/>
      <c r="J24" s="9"/>
      <c r="K24" s="20"/>
      <c r="L24" s="2"/>
      <c r="M24" s="2"/>
      <c r="N24" s="2"/>
      <c r="O24" s="2"/>
      <c r="P24" s="2"/>
      <c r="Q24" s="2"/>
      <c r="R24" s="2"/>
    </row>
    <row r="25" spans="1:18" x14ac:dyDescent="0.2">
      <c r="A25" s="1" t="s">
        <v>310</v>
      </c>
      <c r="B25" t="s">
        <v>311</v>
      </c>
      <c r="C25" t="s">
        <v>312</v>
      </c>
      <c r="D25" s="20">
        <f>+(D7-D4)*D12</f>
        <v>161642641.27907878</v>
      </c>
      <c r="E25" s="20">
        <f>+(E7-E4)*E12</f>
        <v>161500559.45465001</v>
      </c>
      <c r="F25" s="19"/>
      <c r="G25" s="20">
        <f>+(G7-G4)*G12</f>
        <v>161642641.27907884</v>
      </c>
      <c r="H25" s="20">
        <f>+(H7-H4)*H12</f>
        <v>161537554.65824768</v>
      </c>
      <c r="I25" s="2"/>
      <c r="J25" s="20"/>
      <c r="K25" s="20"/>
      <c r="L25" s="2"/>
      <c r="M25" s="2"/>
      <c r="N25" s="2"/>
      <c r="O25" s="2"/>
      <c r="P25" s="2"/>
      <c r="Q25" s="2"/>
      <c r="R25" s="2"/>
    </row>
    <row r="26" spans="1:18" x14ac:dyDescent="0.2">
      <c r="D26" s="20"/>
      <c r="E26" s="20"/>
      <c r="F26" s="19"/>
      <c r="G26" s="20"/>
      <c r="H26" s="20"/>
      <c r="I26" s="2"/>
      <c r="J26" s="20"/>
      <c r="K26" s="20"/>
      <c r="L26" s="2"/>
      <c r="M26" s="2"/>
      <c r="N26" s="2"/>
      <c r="O26" s="2"/>
      <c r="P26" s="2"/>
      <c r="Q26" s="2"/>
      <c r="R26" s="2"/>
    </row>
    <row r="27" spans="1:18" x14ac:dyDescent="0.2">
      <c r="A27" s="1" t="s">
        <v>313</v>
      </c>
      <c r="B27" t="s">
        <v>314</v>
      </c>
      <c r="C27" t="s">
        <v>315</v>
      </c>
      <c r="D27" s="20">
        <f>+(D9-D5)*D13</f>
        <v>582271720.15413415</v>
      </c>
      <c r="E27" s="20">
        <f>+(E9-E5)*E13</f>
        <v>583889561.7669307</v>
      </c>
      <c r="F27" s="19"/>
      <c r="G27" s="20">
        <f>+(G9-G5)*G13</f>
        <v>582271720.15413415</v>
      </c>
      <c r="H27" s="20">
        <f>+(H9-H5)*H13</f>
        <v>583323735.35848081</v>
      </c>
      <c r="I27" s="2"/>
      <c r="J27" s="20"/>
      <c r="K27" s="20"/>
      <c r="L27" s="2"/>
      <c r="M27" s="2"/>
      <c r="N27" s="2"/>
      <c r="O27" s="2"/>
      <c r="P27" s="2"/>
      <c r="Q27" s="2"/>
      <c r="R27" s="2"/>
    </row>
    <row r="28" spans="1:18" x14ac:dyDescent="0.2">
      <c r="D28" s="20"/>
      <c r="E28" s="20"/>
      <c r="F28" s="19"/>
      <c r="G28" s="20"/>
      <c r="H28" s="20"/>
      <c r="I28" s="2"/>
      <c r="J28" s="20"/>
      <c r="K28" s="20"/>
      <c r="L28" s="2"/>
      <c r="M28" s="2"/>
      <c r="N28" s="2"/>
      <c r="O28" s="2"/>
      <c r="P28" s="2"/>
      <c r="Q28" s="2"/>
      <c r="R28" s="2"/>
    </row>
    <row r="29" spans="1:18" x14ac:dyDescent="0.2">
      <c r="A29" s="1" t="s">
        <v>316</v>
      </c>
      <c r="B29" t="s">
        <v>317</v>
      </c>
      <c r="C29" t="s">
        <v>318</v>
      </c>
      <c r="D29" s="20">
        <f>+D7*btw_1*D12+D9*btw_1*D13</f>
        <v>164144159.92695493</v>
      </c>
      <c r="E29" s="20">
        <f>+E7*btw_1*E12+E9*btw_1*E13</f>
        <v>178118148.9506169</v>
      </c>
      <c r="F29" s="19"/>
      <c r="G29" s="20">
        <f>+G7*btw_1*G12+G9*btw_2*G13</f>
        <v>164144159.92695493</v>
      </c>
      <c r="H29" s="20">
        <f>+H7*btw_1*H12+H9*btw_2*H13</f>
        <v>169657794.67701483</v>
      </c>
      <c r="I29" s="2"/>
      <c r="J29" s="20"/>
      <c r="K29" s="20"/>
      <c r="L29" s="2"/>
      <c r="M29" s="2"/>
      <c r="N29" s="2"/>
      <c r="O29" s="2"/>
      <c r="P29" s="2"/>
      <c r="Q29" s="2"/>
      <c r="R29" s="2"/>
    </row>
    <row r="30" spans="1:18" x14ac:dyDescent="0.2">
      <c r="A30" s="1" t="s">
        <v>319</v>
      </c>
      <c r="B30" t="s">
        <v>320</v>
      </c>
      <c r="C30" t="s">
        <v>321</v>
      </c>
      <c r="D30" s="20">
        <f>+'3 Mobiele gesprekken'!D29*'5 Abonnementen'!D12+'4 Vaste gesprekken'!E40*'5 Abonnementen'!D13</f>
        <v>194944022.7419892</v>
      </c>
      <c r="E30" s="20">
        <f>+'3 Mobiele gesprekken'!E29*'5 Abonnementen'!E12+'4 Vaste gesprekken'!F40*'5 Abonnementen'!E13</f>
        <v>182522184.44316337</v>
      </c>
      <c r="F30" s="19"/>
      <c r="G30" s="20">
        <f>+'3 Mobiele gesprekken'!G29*'5 Abonnementen'!G12+'4 Vaste gesprekken'!H40*'5 Abonnementen'!G13</f>
        <v>194944022.7419892</v>
      </c>
      <c r="H30" s="20">
        <f>+'3 Mobiele gesprekken'!H29*'5 Abonnementen'!H12+'4 Vaste gesprekken'!I40*'5 Abonnementen'!H13</f>
        <v>190116981.95385987</v>
      </c>
      <c r="I30" s="2"/>
      <c r="J30" s="20"/>
      <c r="K30" s="20"/>
      <c r="L30" s="2"/>
      <c r="M30" s="2"/>
      <c r="N30" s="2"/>
      <c r="O30" s="2"/>
      <c r="P30" s="2"/>
      <c r="Q30" s="2"/>
      <c r="R30" s="2"/>
    </row>
    <row r="31" spans="1:18" x14ac:dyDescent="0.2">
      <c r="A31" s="1" t="s">
        <v>322</v>
      </c>
      <c r="B31" t="s">
        <v>323</v>
      </c>
      <c r="C31" t="s">
        <v>324</v>
      </c>
      <c r="D31" s="20">
        <f>+D29+D30</f>
        <v>359088182.66894412</v>
      </c>
      <c r="E31" s="20">
        <f>+E29+E30</f>
        <v>360640333.39378023</v>
      </c>
      <c r="F31" s="19"/>
      <c r="G31" s="20">
        <f>+G29+G30</f>
        <v>359088182.66894412</v>
      </c>
      <c r="H31" s="20">
        <f>+H29+H30</f>
        <v>359774776.63087469</v>
      </c>
      <c r="I31" s="2"/>
      <c r="J31" s="20"/>
      <c r="K31" s="20"/>
      <c r="L31" s="2"/>
      <c r="M31" s="2"/>
      <c r="N31" s="2"/>
      <c r="O31" s="2"/>
      <c r="P31" s="2"/>
      <c r="Q31" s="2"/>
      <c r="R31" s="2"/>
    </row>
    <row r="32" spans="1:18" x14ac:dyDescent="0.2">
      <c r="D32" s="20"/>
      <c r="E32" s="20"/>
      <c r="F32" s="19"/>
      <c r="G32" s="20"/>
      <c r="H32" s="20"/>
      <c r="I32" s="2"/>
      <c r="J32" s="20"/>
      <c r="K32" s="20"/>
      <c r="L32" s="2"/>
      <c r="M32" s="2"/>
      <c r="N32" s="2"/>
      <c r="O32" s="2"/>
      <c r="P32" s="2"/>
      <c r="Q32" s="2"/>
      <c r="R32" s="2"/>
    </row>
    <row r="33" spans="1:18" x14ac:dyDescent="0.2">
      <c r="A33" s="1" t="s">
        <v>325</v>
      </c>
      <c r="B33" t="s">
        <v>326</v>
      </c>
      <c r="C33" t="s">
        <v>327</v>
      </c>
      <c r="D33" s="20">
        <f>+D21+D23+D25+D27+D29+D30</f>
        <v>25216132365.876686</v>
      </c>
      <c r="E33" s="20">
        <f>+E21+E23+E25+E27+E29+E30</f>
        <v>25233829463.997765</v>
      </c>
      <c r="F33" s="19"/>
      <c r="G33" s="20">
        <f>+G21+G23+G25+G27+G29+G30</f>
        <v>25216132365.876686</v>
      </c>
      <c r="H33" s="20">
        <f>+H21+H23+H25+H27+H29+H30</f>
        <v>25224389010.496895</v>
      </c>
      <c r="I33" s="2"/>
      <c r="J33" s="20"/>
      <c r="K33" s="20"/>
      <c r="L33" s="2"/>
      <c r="M33" s="2"/>
      <c r="N33" s="2"/>
      <c r="O33" s="2"/>
      <c r="P33" s="2"/>
      <c r="Q33" s="2"/>
      <c r="R33" s="2"/>
    </row>
    <row r="34" spans="1:18" x14ac:dyDescent="0.2">
      <c r="D34" s="20"/>
      <c r="E34" s="20"/>
      <c r="F34" s="19"/>
      <c r="G34" s="20"/>
      <c r="H34" s="20"/>
      <c r="I34" s="2"/>
      <c r="J34" s="20"/>
      <c r="K34" s="20"/>
      <c r="L34" s="2"/>
      <c r="M34" s="2"/>
      <c r="N34" s="2"/>
      <c r="O34" s="2"/>
      <c r="P34" s="2"/>
      <c r="Q34" s="2"/>
      <c r="R34" s="2"/>
    </row>
    <row r="35" spans="1:18" x14ac:dyDescent="0.2">
      <c r="A35" s="23" t="s">
        <v>328</v>
      </c>
      <c r="D35" s="24">
        <f>+E33-D33</f>
        <v>17697098.121078491</v>
      </c>
      <c r="E35" s="20"/>
      <c r="F35" s="19"/>
      <c r="G35" s="24">
        <f>+H33-G33</f>
        <v>8256644.6202087402</v>
      </c>
      <c r="H35" s="7"/>
      <c r="I35" s="2"/>
      <c r="J35" s="24"/>
      <c r="K35" s="7"/>
      <c r="L35" s="2"/>
      <c r="M35" s="2"/>
      <c r="N35" s="2"/>
      <c r="O35" s="2"/>
      <c r="P35" s="2"/>
      <c r="Q35" s="2"/>
      <c r="R35" s="2"/>
    </row>
    <row r="36" spans="1:18" x14ac:dyDescent="0.2">
      <c r="D36" s="7"/>
      <c r="E36" s="7"/>
      <c r="G36" s="7"/>
      <c r="H36" s="7"/>
      <c r="J36" s="7"/>
      <c r="K36" s="7"/>
    </row>
    <row r="37" spans="1:18" x14ac:dyDescent="0.2">
      <c r="A37" s="1" t="s">
        <v>329</v>
      </c>
      <c r="D37" s="7"/>
      <c r="E37" s="7"/>
      <c r="G37" s="7"/>
      <c r="H37" s="7"/>
      <c r="J37" s="7"/>
      <c r="K37" s="7"/>
    </row>
    <row r="38" spans="1:18" x14ac:dyDescent="0.2">
      <c r="A38" s="1" t="s">
        <v>88</v>
      </c>
      <c r="D38" s="14"/>
      <c r="E38" s="14"/>
      <c r="G38" s="14"/>
      <c r="H38" s="14"/>
      <c r="J38" s="14"/>
      <c r="K38" s="14"/>
    </row>
    <row r="39" spans="1:18" x14ac:dyDescent="0.2">
      <c r="A39" t="s">
        <v>163</v>
      </c>
      <c r="C39" t="s">
        <v>330</v>
      </c>
      <c r="D39" s="14"/>
      <c r="E39" s="14" t="s">
        <v>331</v>
      </c>
      <c r="G39" s="14"/>
      <c r="H39" s="14" t="s">
        <v>331</v>
      </c>
      <c r="J39" s="14"/>
      <c r="K39" s="14"/>
    </row>
    <row r="40" spans="1:18" x14ac:dyDescent="0.2">
      <c r="A40" t="s">
        <v>332</v>
      </c>
      <c r="D40" s="14"/>
      <c r="E40" s="14"/>
      <c r="G40" s="14"/>
      <c r="H40" s="14"/>
      <c r="J40" s="14"/>
      <c r="K40" s="14"/>
    </row>
    <row r="41" spans="1:18" x14ac:dyDescent="0.2">
      <c r="D41" s="14"/>
      <c r="E41" s="14"/>
      <c r="G41" s="14"/>
      <c r="H41" s="14"/>
      <c r="J41" s="14"/>
      <c r="K41" s="14"/>
    </row>
    <row r="42" spans="1:18" x14ac:dyDescent="0.2">
      <c r="A42" t="s">
        <v>166</v>
      </c>
      <c r="B42" s="2" t="s">
        <v>333</v>
      </c>
      <c r="C42" s="2" t="s">
        <v>334</v>
      </c>
      <c r="D42" s="14">
        <f>+eam_1*nm0_1/D8</f>
        <v>8204.4980354965464</v>
      </c>
      <c r="E42" s="2"/>
      <c r="F42" s="2"/>
      <c r="G42" s="14">
        <f>+eam_2*nm0_2/G8</f>
        <v>8204.4980354965464</v>
      </c>
      <c r="H42" s="2"/>
      <c r="J42" s="14"/>
      <c r="K42" s="2"/>
    </row>
    <row r="43" spans="1:18" x14ac:dyDescent="0.2">
      <c r="B43" t="s">
        <v>335</v>
      </c>
      <c r="C43" t="s">
        <v>336</v>
      </c>
      <c r="D43" s="14">
        <f>+nm0_1-bam_1*('3 Mobiele gesprekken'!D21+xvm_1*nv0_1)+bam_1*D8</f>
        <v>16163154.973186603</v>
      </c>
      <c r="E43" s="14"/>
      <c r="G43" s="14">
        <f>+nm0_2-bam_2*('3 Mobiele gesprekken'!G21+xvm_2*nv0_2)+bam_2*G8</f>
        <v>16163154.973186603</v>
      </c>
      <c r="H43" s="14"/>
      <c r="J43" s="14"/>
      <c r="K43" s="14"/>
    </row>
    <row r="44" spans="1:18" x14ac:dyDescent="0.2">
      <c r="A44" s="1" t="s">
        <v>90</v>
      </c>
      <c r="D44" s="7"/>
      <c r="E44" s="7"/>
      <c r="G44" s="7"/>
      <c r="H44" s="7"/>
      <c r="J44" s="7"/>
      <c r="K44" s="7"/>
    </row>
    <row r="45" spans="1:18" x14ac:dyDescent="0.2">
      <c r="A45" s="1"/>
      <c r="B45" s="1"/>
      <c r="C45" s="1"/>
      <c r="D45" s="7"/>
      <c r="E45" s="7"/>
      <c r="G45" s="7"/>
      <c r="H45" s="7"/>
      <c r="J45" s="7"/>
      <c r="K45" s="7"/>
    </row>
    <row r="46" spans="1:18" x14ac:dyDescent="0.2">
      <c r="A46" t="s">
        <v>163</v>
      </c>
      <c r="C46" t="s">
        <v>337</v>
      </c>
      <c r="D46" s="14"/>
      <c r="E46" s="7"/>
      <c r="G46" s="14"/>
      <c r="H46" s="7"/>
      <c r="J46" s="14"/>
      <c r="K46" s="7"/>
    </row>
    <row r="47" spans="1:18" x14ac:dyDescent="0.2">
      <c r="A47" t="s">
        <v>332</v>
      </c>
      <c r="D47" s="14"/>
      <c r="E47" s="7"/>
      <c r="G47" s="14"/>
      <c r="H47" s="7"/>
      <c r="J47" s="14"/>
      <c r="K47" s="7"/>
    </row>
    <row r="48" spans="1:18" x14ac:dyDescent="0.2">
      <c r="D48" s="14"/>
      <c r="E48" s="7"/>
      <c r="G48" s="14"/>
      <c r="H48" s="7"/>
      <c r="J48" s="14"/>
      <c r="K48" s="7"/>
    </row>
    <row r="49" spans="1:11" x14ac:dyDescent="0.2">
      <c r="A49" t="s">
        <v>166</v>
      </c>
      <c r="B49" t="s">
        <v>338</v>
      </c>
      <c r="C49" t="s">
        <v>339</v>
      </c>
      <c r="D49" s="14">
        <f>+eav_1*nv0_1/D10</f>
        <v>3481.4112340456945</v>
      </c>
      <c r="E49" s="7"/>
      <c r="G49" s="14">
        <f>+eav_2*nv0_2/G10</f>
        <v>3481.4112340456945</v>
      </c>
      <c r="H49" s="7"/>
      <c r="J49" s="14"/>
      <c r="K49" s="7"/>
    </row>
    <row r="50" spans="1:11" x14ac:dyDescent="0.2">
      <c r="B50" t="s">
        <v>340</v>
      </c>
      <c r="C50" t="s">
        <v>341</v>
      </c>
      <c r="D50" s="14">
        <f>+nv0_1-bav_1*('4 Vaste gesprekken'!E30+xmv_1*nm0_1)+bav_1*D10</f>
        <v>6029530.4266429683</v>
      </c>
      <c r="E50" s="7"/>
      <c r="G50" s="14">
        <f>+nv0_2-bav_2*('4 Vaste gesprekken'!H30+xmv_2*nm0_2)+bav_2*G10</f>
        <v>6029530.4266429683</v>
      </c>
      <c r="H50" s="7"/>
      <c r="J50" s="14"/>
      <c r="K50" s="7"/>
    </row>
    <row r="52" spans="1:11" x14ac:dyDescent="0.2">
      <c r="A52" s="1"/>
      <c r="B52" s="1"/>
      <c r="C52" s="1"/>
    </row>
    <row r="55" spans="1:11" x14ac:dyDescent="0.2">
      <c r="A55" s="1" t="s">
        <v>342</v>
      </c>
      <c r="B55" s="1"/>
      <c r="C55" s="1"/>
    </row>
    <row r="59" spans="1:11" x14ac:dyDescent="0.2">
      <c r="A59" s="1" t="s">
        <v>343</v>
      </c>
    </row>
    <row r="60" spans="1:11" x14ac:dyDescent="0.2">
      <c r="A60" t="s">
        <v>344</v>
      </c>
      <c r="D60">
        <f>'3 Mobiele gesprekken'!D11/nm0_1</f>
        <v>1233.6006513622269</v>
      </c>
      <c r="E60">
        <f>'3 Mobiele gesprekken'!E11/nm0_1</f>
        <v>1272.142070277517</v>
      </c>
    </row>
    <row r="61" spans="1:11" x14ac:dyDescent="0.2">
      <c r="A61" t="s">
        <v>345</v>
      </c>
      <c r="D61">
        <f>'3 Mobiele gesprekken'!D7</f>
        <v>2.1000000000000001E-2</v>
      </c>
      <c r="E61">
        <f>'3 Mobiele gesprekken'!E7</f>
        <v>1.8375585700843064E-2</v>
      </c>
    </row>
    <row r="62" spans="1:11" x14ac:dyDescent="0.2">
      <c r="A62" t="s">
        <v>346</v>
      </c>
      <c r="D62" s="7">
        <f>D12</f>
        <v>16350498</v>
      </c>
      <c r="E62" s="7">
        <f>E12</f>
        <v>16336126.120353794</v>
      </c>
    </row>
    <row r="63" spans="1:11" x14ac:dyDescent="0.2">
      <c r="A63" t="s">
        <v>347</v>
      </c>
      <c r="D63" s="7">
        <f>D7</f>
        <v>32.94</v>
      </c>
      <c r="E63" s="7">
        <f>E7</f>
        <v>37.675745552668147</v>
      </c>
    </row>
    <row r="64" spans="1:11" x14ac:dyDescent="0.2">
      <c r="A64" t="s">
        <v>348</v>
      </c>
      <c r="D64" s="25">
        <f>+D61*D65+D63*D62</f>
        <v>962155088.76083255</v>
      </c>
      <c r="E64" s="25">
        <f>+E61*E65+E63*E62</f>
        <v>997354824.93121457</v>
      </c>
    </row>
    <row r="65" spans="1:6" x14ac:dyDescent="0.2">
      <c r="A65" t="s">
        <v>349</v>
      </c>
      <c r="D65" s="15">
        <f>D60*D62</f>
        <v>20169984982.89679</v>
      </c>
      <c r="E65" s="15">
        <f>E60*E62</f>
        <v>20781873303.061497</v>
      </c>
      <c r="F65" s="16">
        <f>+(E65-D65)/D65</f>
        <v>3.0336577874676657E-2</v>
      </c>
    </row>
    <row r="66" spans="1:6" x14ac:dyDescent="0.2">
      <c r="A66" t="s">
        <v>350</v>
      </c>
      <c r="D66">
        <f>D64/D65</f>
        <v>4.7702320531061146E-2</v>
      </c>
      <c r="E66">
        <f>E64/E65</f>
        <v>4.7991574695255626E-2</v>
      </c>
      <c r="F66">
        <f>E66-D66</f>
        <v>2.8925416419448013E-4</v>
      </c>
    </row>
    <row r="67" spans="1:6" x14ac:dyDescent="0.2">
      <c r="A67" t="s">
        <v>351</v>
      </c>
      <c r="E67">
        <f>mtr1_1-mtr0_1</f>
        <v>-1.2620000000000003E-2</v>
      </c>
    </row>
    <row r="68" spans="1:6" x14ac:dyDescent="0.2">
      <c r="A68" t="s">
        <v>352</v>
      </c>
      <c r="E68" s="16">
        <f>F66/E67</f>
        <v>-2.2920298272145805E-2</v>
      </c>
    </row>
  </sheetData>
  <pageMargins left="0.75000000000000011" right="0.75000000000000011" top="1" bottom="1" header="0.5" footer="0.5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65"/>
  <sheetViews>
    <sheetView workbookViewId="0">
      <selection activeCell="C51" sqref="C51"/>
    </sheetView>
  </sheetViews>
  <sheetFormatPr defaultRowHeight="12.75" x14ac:dyDescent="0.2"/>
  <cols>
    <col min="1" max="2" width="9.140625" customWidth="1"/>
    <col min="3" max="3" width="38.140625" customWidth="1"/>
    <col min="4" max="4" width="20.85546875" customWidth="1"/>
    <col min="5" max="5" width="20.140625" customWidth="1"/>
    <col min="6" max="6" width="17.85546875" customWidth="1"/>
    <col min="7" max="7" width="9.140625" customWidth="1"/>
  </cols>
  <sheetData>
    <row r="1" spans="3:6" x14ac:dyDescent="0.2">
      <c r="F1" s="2"/>
    </row>
    <row r="2" spans="3:6" x14ac:dyDescent="0.2">
      <c r="F2" s="2"/>
    </row>
    <row r="3" spans="3:6" x14ac:dyDescent="0.2">
      <c r="F3" s="2"/>
    </row>
    <row r="4" spans="3:6" x14ac:dyDescent="0.2">
      <c r="C4" s="26"/>
      <c r="D4" s="27" t="s">
        <v>105</v>
      </c>
      <c r="E4" s="27" t="s">
        <v>15</v>
      </c>
      <c r="F4" s="3"/>
    </row>
    <row r="5" spans="3:6" x14ac:dyDescent="0.2">
      <c r="C5" s="28"/>
      <c r="D5" s="29"/>
      <c r="E5" s="29"/>
      <c r="F5" s="2"/>
    </row>
    <row r="6" spans="3:6" x14ac:dyDescent="0.2">
      <c r="C6" s="30" t="s">
        <v>353</v>
      </c>
      <c r="D6" s="29"/>
      <c r="E6" s="29"/>
      <c r="F6" s="2"/>
    </row>
    <row r="7" spans="3:6" x14ac:dyDescent="0.2">
      <c r="C7" s="28"/>
      <c r="D7" s="29"/>
      <c r="E7" s="29"/>
      <c r="F7" s="2"/>
    </row>
    <row r="8" spans="3:6" x14ac:dyDescent="0.2">
      <c r="C8" s="28"/>
      <c r="D8" s="29"/>
      <c r="E8" s="31"/>
      <c r="F8" s="2"/>
    </row>
    <row r="9" spans="3:6" x14ac:dyDescent="0.2">
      <c r="C9" s="32" t="s">
        <v>354</v>
      </c>
      <c r="D9" s="33">
        <f>+'5 Abonnementen'!E21-'5 Abonnementen'!D21</f>
        <v>-26807910.362024307</v>
      </c>
      <c r="E9" s="33">
        <f>+'5 Abonnementen'!H21-'5 Abonnementen'!G21</f>
        <v>-20433961.0366745</v>
      </c>
      <c r="F9" s="8"/>
    </row>
    <row r="10" spans="3:6" x14ac:dyDescent="0.2">
      <c r="C10" s="34"/>
      <c r="D10" s="34"/>
      <c r="E10" s="34"/>
      <c r="F10" s="2"/>
    </row>
    <row r="11" spans="3:6" ht="15.75" x14ac:dyDescent="0.25">
      <c r="C11" s="35" t="s">
        <v>355</v>
      </c>
      <c r="D11" s="33">
        <f>+'5 Abonnementen'!E23-'5 Abonnementen'!D23</f>
        <v>41477097.969894409</v>
      </c>
      <c r="E11" s="33">
        <f>+'5 Abonnementen'!H23-'5 Abonnementen'!G23</f>
        <v>27057083.111432076</v>
      </c>
      <c r="F11" s="8"/>
    </row>
    <row r="12" spans="3:6" x14ac:dyDescent="0.2">
      <c r="C12" s="34"/>
      <c r="D12" s="34"/>
      <c r="E12" s="34"/>
      <c r="F12" s="2"/>
    </row>
    <row r="13" spans="3:6" x14ac:dyDescent="0.2">
      <c r="C13" s="32" t="s">
        <v>356</v>
      </c>
      <c r="D13" s="33">
        <f>+'5 Abonnementen'!E25-'5 Abonnementen'!D25</f>
        <v>-142081.82442876697</v>
      </c>
      <c r="E13" s="33">
        <f>+'5 Abonnementen'!H25-'5 Abonnementen'!G25</f>
        <v>-105086.62083116174</v>
      </c>
      <c r="F13" s="8"/>
    </row>
    <row r="14" spans="3:6" x14ac:dyDescent="0.2">
      <c r="C14" s="34"/>
      <c r="D14" s="34"/>
      <c r="E14" s="34"/>
      <c r="F14" s="2"/>
    </row>
    <row r="15" spans="3:6" x14ac:dyDescent="0.2">
      <c r="C15" s="32" t="s">
        <v>357</v>
      </c>
      <c r="D15" s="33">
        <f>+'5 Abonnementen'!E27-'5 Abonnementen'!D27</f>
        <v>1617841.612796545</v>
      </c>
      <c r="E15" s="33">
        <f>+'5 Abonnementen'!H27-'5 Abonnementen'!G27</f>
        <v>1052015.2043466568</v>
      </c>
      <c r="F15" s="8"/>
    </row>
    <row r="16" spans="3:6" x14ac:dyDescent="0.2">
      <c r="C16" s="34"/>
      <c r="D16" s="33"/>
      <c r="E16" s="33"/>
      <c r="F16" s="8"/>
    </row>
    <row r="17" spans="3:6" x14ac:dyDescent="0.2">
      <c r="C17" s="32" t="s">
        <v>358</v>
      </c>
      <c r="D17" s="33">
        <f>+'5 Abonnementen'!E31-'5 Abonnementen'!D31</f>
        <v>1552150.7248361111</v>
      </c>
      <c r="E17" s="33">
        <f>+'5 Abonnementen'!H31-'5 Abonnementen'!G31</f>
        <v>686593.96193057299</v>
      </c>
      <c r="F17" s="8"/>
    </row>
    <row r="18" spans="3:6" x14ac:dyDescent="0.2">
      <c r="C18" s="34"/>
      <c r="D18" s="33"/>
      <c r="E18" s="33"/>
      <c r="F18" s="8"/>
    </row>
    <row r="19" spans="3:6" x14ac:dyDescent="0.2">
      <c r="C19" s="32" t="s">
        <v>359</v>
      </c>
      <c r="D19" s="33">
        <f>+'5 Abonnementen'!E33-'5 Abonnementen'!D33</f>
        <v>17697098.121078491</v>
      </c>
      <c r="E19" s="33">
        <f>+'5 Abonnementen'!H33-'5 Abonnementen'!G33</f>
        <v>8256644.6202087402</v>
      </c>
      <c r="F19" s="8"/>
    </row>
    <row r="20" spans="3:6" x14ac:dyDescent="0.2">
      <c r="F20" s="2"/>
    </row>
    <row r="21" spans="3:6" x14ac:dyDescent="0.2">
      <c r="F21" s="2"/>
    </row>
    <row r="22" spans="3:6" x14ac:dyDescent="0.2">
      <c r="D22" t="str">
        <f>D4</f>
        <v>Scenario 1</v>
      </c>
      <c r="E22" t="str">
        <f>E4</f>
        <v>Scenario 2</v>
      </c>
      <c r="F22" s="2"/>
    </row>
    <row r="23" spans="3:6" x14ac:dyDescent="0.2">
      <c r="C23" t="str">
        <f>C6</f>
        <v>VERANDERINGEN per jaar</v>
      </c>
      <c r="F23" s="2"/>
    </row>
    <row r="24" spans="3:6" x14ac:dyDescent="0.2">
      <c r="C24" t="str">
        <f>C9</f>
        <v xml:space="preserve">Δ Consumentensurplus mobiel </v>
      </c>
      <c r="D24" s="7">
        <f>D9</f>
        <v>-26807910.362024307</v>
      </c>
      <c r="E24" s="7">
        <f>E9</f>
        <v>-20433961.0366745</v>
      </c>
      <c r="F24" s="6"/>
    </row>
    <row r="25" spans="3:6" x14ac:dyDescent="0.2">
      <c r="C25" t="str">
        <f>C11</f>
        <v>Δ Consumentensurplus vast</v>
      </c>
      <c r="D25" s="7">
        <f>D11</f>
        <v>41477097.969894409</v>
      </c>
      <c r="E25" s="7">
        <f>E11</f>
        <v>27057083.111432076</v>
      </c>
      <c r="F25" s="6"/>
    </row>
    <row r="26" spans="3:6" x14ac:dyDescent="0.2">
      <c r="C26" t="str">
        <f>C13</f>
        <v xml:space="preserve">Δ Winsten mobiele aanbieders </v>
      </c>
      <c r="D26" s="7">
        <f>D13</f>
        <v>-142081.82442876697</v>
      </c>
      <c r="E26" s="7">
        <f>E13</f>
        <v>-105086.62083116174</v>
      </c>
      <c r="F26" s="6"/>
    </row>
    <row r="27" spans="3:6" x14ac:dyDescent="0.2">
      <c r="C27" t="str">
        <f>C15</f>
        <v>Δ Winsten vaste aanbieders</v>
      </c>
      <c r="D27" s="7">
        <f>D15</f>
        <v>1617841.612796545</v>
      </c>
      <c r="E27" s="7">
        <f>E15</f>
        <v>1052015.2043466568</v>
      </c>
      <c r="F27" s="6"/>
    </row>
    <row r="28" spans="3:6" x14ac:dyDescent="0.2">
      <c r="C28" t="str">
        <f>C17</f>
        <v>Δ BTW inkomsten belastingdienst</v>
      </c>
      <c r="D28" s="7">
        <f>D17</f>
        <v>1552150.7248361111</v>
      </c>
      <c r="E28" s="7">
        <f>E17</f>
        <v>686593.96193057299</v>
      </c>
      <c r="F28" s="6"/>
    </row>
    <row r="29" spans="3:6" x14ac:dyDescent="0.2">
      <c r="D29" s="7"/>
      <c r="E29" s="7"/>
      <c r="F29" s="6"/>
    </row>
    <row r="30" spans="3:6" x14ac:dyDescent="0.2">
      <c r="C30" t="s">
        <v>360</v>
      </c>
      <c r="D30" s="7">
        <f>SUM(D24:D25)+D28</f>
        <v>16221338.332706213</v>
      </c>
      <c r="E30" s="7">
        <f>SUM(E24:E25)+E28</f>
        <v>7309716.036688149</v>
      </c>
      <c r="F30" s="6"/>
    </row>
    <row r="31" spans="3:6" x14ac:dyDescent="0.2">
      <c r="C31" t="s">
        <v>361</v>
      </c>
      <c r="D31" s="7">
        <f>SUM(D26:D27)</f>
        <v>1475759.7883677781</v>
      </c>
      <c r="E31" s="7">
        <f>SUM(E26:E27)</f>
        <v>946928.58351549506</v>
      </c>
      <c r="F31" s="6"/>
    </row>
    <row r="32" spans="3:6" x14ac:dyDescent="0.2">
      <c r="D32" s="7"/>
      <c r="E32" s="7"/>
      <c r="F32" s="6"/>
    </row>
    <row r="33" spans="3:6" x14ac:dyDescent="0.2">
      <c r="C33" t="str">
        <f>C19</f>
        <v xml:space="preserve">Δ Totale welvaart </v>
      </c>
      <c r="D33" s="7">
        <f>D19</f>
        <v>17697098.121078491</v>
      </c>
      <c r="E33" s="7">
        <f>E19</f>
        <v>8256644.6202087402</v>
      </c>
      <c r="F33" s="6"/>
    </row>
    <row r="34" spans="3:6" x14ac:dyDescent="0.2">
      <c r="D34" s="7"/>
      <c r="E34" s="7"/>
      <c r="F34" s="6"/>
    </row>
    <row r="35" spans="3:6" x14ac:dyDescent="0.2">
      <c r="C35" t="s">
        <v>353</v>
      </c>
      <c r="F35" s="2"/>
    </row>
    <row r="36" spans="3:6" x14ac:dyDescent="0.2">
      <c r="C36" t="s">
        <v>354</v>
      </c>
      <c r="D36" s="51">
        <f t="shared" ref="D36:E40" si="0">D24/1000000</f>
        <v>-26.807910362024309</v>
      </c>
      <c r="E36" s="51">
        <f t="shared" si="0"/>
        <v>-20.4339610366745</v>
      </c>
      <c r="F36" s="6"/>
    </row>
    <row r="37" spans="3:6" x14ac:dyDescent="0.2">
      <c r="C37" t="s">
        <v>355</v>
      </c>
      <c r="D37" s="51">
        <f t="shared" si="0"/>
        <v>41.477097969894409</v>
      </c>
      <c r="E37" s="51">
        <f t="shared" si="0"/>
        <v>27.057083111432075</v>
      </c>
      <c r="F37" s="6"/>
    </row>
    <row r="38" spans="3:6" x14ac:dyDescent="0.2">
      <c r="C38" t="s">
        <v>356</v>
      </c>
      <c r="D38" s="51">
        <f t="shared" si="0"/>
        <v>-0.14208182442876696</v>
      </c>
      <c r="E38" s="51">
        <f t="shared" si="0"/>
        <v>-0.10508662083116174</v>
      </c>
      <c r="F38" s="6"/>
    </row>
    <row r="39" spans="3:6" x14ac:dyDescent="0.2">
      <c r="C39" t="s">
        <v>357</v>
      </c>
      <c r="D39" s="51">
        <f t="shared" si="0"/>
        <v>1.6178416127965449</v>
      </c>
      <c r="E39" s="51">
        <f t="shared" si="0"/>
        <v>1.0520152043466569</v>
      </c>
      <c r="F39" s="6"/>
    </row>
    <row r="40" spans="3:6" x14ac:dyDescent="0.2">
      <c r="C40" t="s">
        <v>358</v>
      </c>
      <c r="D40" s="51">
        <f t="shared" si="0"/>
        <v>1.5521507248361111</v>
      </c>
      <c r="E40" s="51">
        <f t="shared" si="0"/>
        <v>0.68659396193057298</v>
      </c>
      <c r="F40" s="6"/>
    </row>
    <row r="41" spans="3:6" x14ac:dyDescent="0.2">
      <c r="D41" s="51"/>
      <c r="E41" s="51"/>
      <c r="F41" s="6"/>
    </row>
    <row r="42" spans="3:6" x14ac:dyDescent="0.2">
      <c r="C42" t="s">
        <v>360</v>
      </c>
      <c r="D42" s="51">
        <f>D30/1000000</f>
        <v>16.221338332706214</v>
      </c>
      <c r="E42" s="51">
        <f>E30/1000000</f>
        <v>7.3097160366881493</v>
      </c>
      <c r="F42" s="6"/>
    </row>
    <row r="43" spans="3:6" x14ac:dyDescent="0.2">
      <c r="C43" t="s">
        <v>361</v>
      </c>
      <c r="D43" s="51">
        <f>D31/1000000</f>
        <v>1.475759788367778</v>
      </c>
      <c r="E43" s="51">
        <f>E31/1000000</f>
        <v>0.94692858351549503</v>
      </c>
      <c r="F43" s="6"/>
    </row>
    <row r="44" spans="3:6" x14ac:dyDescent="0.2">
      <c r="D44" s="51"/>
      <c r="E44" s="51"/>
      <c r="F44" s="6"/>
    </row>
    <row r="45" spans="3:6" x14ac:dyDescent="0.2">
      <c r="C45" t="s">
        <v>359</v>
      </c>
      <c r="D45" s="51">
        <f>D33/1000000</f>
        <v>17.69709812107849</v>
      </c>
      <c r="E45" s="51">
        <f>E33/1000000</f>
        <v>8.2566446202087409</v>
      </c>
      <c r="F45" s="6"/>
    </row>
    <row r="46" spans="3:6" x14ac:dyDescent="0.2">
      <c r="D46" s="7"/>
      <c r="F46" s="2"/>
    </row>
    <row r="47" spans="3:6" x14ac:dyDescent="0.2">
      <c r="F47" s="2"/>
    </row>
    <row r="48" spans="3:6" x14ac:dyDescent="0.2">
      <c r="F48" s="2"/>
    </row>
    <row r="49" spans="6:6" x14ac:dyDescent="0.2">
      <c r="F49" s="2"/>
    </row>
    <row r="50" spans="6:6" x14ac:dyDescent="0.2">
      <c r="F50" s="2"/>
    </row>
    <row r="51" spans="6:6" x14ac:dyDescent="0.2">
      <c r="F51" s="2"/>
    </row>
    <row r="52" spans="6:6" x14ac:dyDescent="0.2">
      <c r="F52" s="2"/>
    </row>
    <row r="53" spans="6:6" x14ac:dyDescent="0.2">
      <c r="F53" s="2"/>
    </row>
    <row r="54" spans="6:6" x14ac:dyDescent="0.2">
      <c r="F54" s="2"/>
    </row>
    <row r="55" spans="6:6" x14ac:dyDescent="0.2">
      <c r="F55" s="2"/>
    </row>
    <row r="56" spans="6:6" x14ac:dyDescent="0.2">
      <c r="F56" s="2"/>
    </row>
    <row r="57" spans="6:6" x14ac:dyDescent="0.2">
      <c r="F57" s="2"/>
    </row>
    <row r="58" spans="6:6" x14ac:dyDescent="0.2">
      <c r="F58" s="2"/>
    </row>
    <row r="59" spans="6:6" x14ac:dyDescent="0.2">
      <c r="F59" s="2"/>
    </row>
    <row r="60" spans="6:6" x14ac:dyDescent="0.2">
      <c r="F60" s="2"/>
    </row>
    <row r="61" spans="6:6" x14ac:dyDescent="0.2">
      <c r="F61" s="2"/>
    </row>
    <row r="62" spans="6:6" x14ac:dyDescent="0.2">
      <c r="F62" s="2"/>
    </row>
    <row r="63" spans="6:6" x14ac:dyDescent="0.2">
      <c r="F63" s="2"/>
    </row>
    <row r="64" spans="6:6" x14ac:dyDescent="0.2">
      <c r="F64" s="2"/>
    </row>
    <row r="65" spans="6:6" x14ac:dyDescent="0.2">
      <c r="F65" s="2"/>
    </row>
  </sheetData>
  <pageMargins left="0.75000000000000011" right="0.75000000000000011" top="1" bottom="1" header="0.5" footer="0.5"/>
  <pageSetup paperSize="0" fitToWidth="0" fitToHeight="0" orientation="portrait" horizontalDpi="0" verticalDpi="0" copies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B567F67A260C42B2777169B18E4827" ma:contentTypeVersion="0" ma:contentTypeDescription="Een nieuw document maken." ma:contentTypeScope="" ma:versionID="8792f8f82b716362007d7dbc29c8cce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FE1801-A47C-4B03-8032-C8179D24FD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C08461-B435-4167-B194-A6A8F4C2E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91B8BC-8335-409D-9B97-F30A4E053026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174</vt:i4>
      </vt:variant>
    </vt:vector>
  </HeadingPairs>
  <TitlesOfParts>
    <vt:vector size="180" baseType="lpstr">
      <vt:lpstr>1 Introductie</vt:lpstr>
      <vt:lpstr>2 Parameters</vt:lpstr>
      <vt:lpstr>3 Mobiele gesprekken</vt:lpstr>
      <vt:lpstr>4 Vaste gesprekken</vt:lpstr>
      <vt:lpstr>5 Abonnementen</vt:lpstr>
      <vt:lpstr>6 Samenvatting effecten</vt:lpstr>
      <vt:lpstr>aam_1</vt:lpstr>
      <vt:lpstr>aam_2</vt:lpstr>
      <vt:lpstr>aam_3</vt:lpstr>
      <vt:lpstr>aav_1</vt:lpstr>
      <vt:lpstr>aav_2</vt:lpstr>
      <vt:lpstr>aav_3</vt:lpstr>
      <vt:lpstr>agm_1</vt:lpstr>
      <vt:lpstr>agm_2</vt:lpstr>
      <vt:lpstr>agm_3</vt:lpstr>
      <vt:lpstr>agvm_1</vt:lpstr>
      <vt:lpstr>agvm_2</vt:lpstr>
      <vt:lpstr>agvm_3</vt:lpstr>
      <vt:lpstr>agvv_1</vt:lpstr>
      <vt:lpstr>agvv_2</vt:lpstr>
      <vt:lpstr>agvv_3</vt:lpstr>
      <vt:lpstr>bam_1</vt:lpstr>
      <vt:lpstr>bam_2</vt:lpstr>
      <vt:lpstr>bam_3</vt:lpstr>
      <vt:lpstr>bav_1</vt:lpstr>
      <vt:lpstr>bav_2</vt:lpstr>
      <vt:lpstr>bav_3</vt:lpstr>
      <vt:lpstr>bgm_1</vt:lpstr>
      <vt:lpstr>bgm_2</vt:lpstr>
      <vt:lpstr>bgm_3</vt:lpstr>
      <vt:lpstr>bgvm_1</vt:lpstr>
      <vt:lpstr>bgvm_2</vt:lpstr>
      <vt:lpstr>bgvm_3</vt:lpstr>
      <vt:lpstr>bgvv_1</vt:lpstr>
      <vt:lpstr>bgvv_2</vt:lpstr>
      <vt:lpstr>bgvv_3</vt:lpstr>
      <vt:lpstr>btw_1</vt:lpstr>
      <vt:lpstr>btw_2</vt:lpstr>
      <vt:lpstr>btw_3</vt:lpstr>
      <vt:lpstr>cmo_1</vt:lpstr>
      <vt:lpstr>cmo_2</vt:lpstr>
      <vt:lpstr>cmo_3</vt:lpstr>
      <vt:lpstr>cmt_1</vt:lpstr>
      <vt:lpstr>cmt_2</vt:lpstr>
      <vt:lpstr>cmt_3</vt:lpstr>
      <vt:lpstr>cvo_1</vt:lpstr>
      <vt:lpstr>cvo_2</vt:lpstr>
      <vt:lpstr>cvo_3</vt:lpstr>
      <vt:lpstr>cvt_1</vt:lpstr>
      <vt:lpstr>cvt_2</vt:lpstr>
      <vt:lpstr>cvt_3</vt:lpstr>
      <vt:lpstr>eam_1</vt:lpstr>
      <vt:lpstr>eam_2</vt:lpstr>
      <vt:lpstr>eam_3</vt:lpstr>
      <vt:lpstr>eav_1</vt:lpstr>
      <vt:lpstr>eav_2</vt:lpstr>
      <vt:lpstr>eav_3</vt:lpstr>
      <vt:lpstr>egm_1</vt:lpstr>
      <vt:lpstr>egm_2</vt:lpstr>
      <vt:lpstr>egm_3</vt:lpstr>
      <vt:lpstr>egvm_1</vt:lpstr>
      <vt:lpstr>egvm_2</vt:lpstr>
      <vt:lpstr>egvm_3</vt:lpstr>
      <vt:lpstr>egvv_1</vt:lpstr>
      <vt:lpstr>egvv_2</vt:lpstr>
      <vt:lpstr>egvv_3</vt:lpstr>
      <vt:lpstr>fm_1</vt:lpstr>
      <vt:lpstr>fm_2</vt:lpstr>
      <vt:lpstr>fm_3</vt:lpstr>
      <vt:lpstr>ftr0_1</vt:lpstr>
      <vt:lpstr>ftr0_2</vt:lpstr>
      <vt:lpstr>ftr0_3</vt:lpstr>
      <vt:lpstr>ftr1_1</vt:lpstr>
      <vt:lpstr>ftr1_2</vt:lpstr>
      <vt:lpstr>ftr1_3</vt:lpstr>
      <vt:lpstr>fv_1</vt:lpstr>
      <vt:lpstr>fv_2</vt:lpstr>
      <vt:lpstr>fv_3</vt:lpstr>
      <vt:lpstr>gcsgm0_1</vt:lpstr>
      <vt:lpstr>gcsgm0_2</vt:lpstr>
      <vt:lpstr>gcsgm0_3</vt:lpstr>
      <vt:lpstr>gcsgm1_1</vt:lpstr>
      <vt:lpstr>gcsgm1_2</vt:lpstr>
      <vt:lpstr>gcsgm1_3</vt:lpstr>
      <vt:lpstr>gcsgv0_1</vt:lpstr>
      <vt:lpstr>gcsgv0_2</vt:lpstr>
      <vt:lpstr>gcsgv0_3</vt:lpstr>
      <vt:lpstr>gcsgv1_1</vt:lpstr>
      <vt:lpstr>gcsgv1_2</vt:lpstr>
      <vt:lpstr>gcsgv1_3</vt:lpstr>
      <vt:lpstr>mtr0_1</vt:lpstr>
      <vt:lpstr>mtr0_2</vt:lpstr>
      <vt:lpstr>mtr0_3</vt:lpstr>
      <vt:lpstr>mtr1_1</vt:lpstr>
      <vt:lpstr>mtr1_2</vt:lpstr>
      <vt:lpstr>mtr1_3</vt:lpstr>
      <vt:lpstr>nm0_1</vt:lpstr>
      <vt:lpstr>nm0_2</vt:lpstr>
      <vt:lpstr>nm0_3</vt:lpstr>
      <vt:lpstr>nv0_1</vt:lpstr>
      <vt:lpstr>nv0_2</vt:lpstr>
      <vt:lpstr>nv0_3</vt:lpstr>
      <vt:lpstr>pam0_1</vt:lpstr>
      <vt:lpstr>pam0_2</vt:lpstr>
      <vt:lpstr>pam0_3</vt:lpstr>
      <vt:lpstr>pav0_1</vt:lpstr>
      <vt:lpstr>pav0_2</vt:lpstr>
      <vt:lpstr>pav0_3</vt:lpstr>
      <vt:lpstr>pgm0_1</vt:lpstr>
      <vt:lpstr>pgm0_2</vt:lpstr>
      <vt:lpstr>pgm0_3</vt:lpstr>
      <vt:lpstr>pgvm0_1</vt:lpstr>
      <vt:lpstr>pgvm0_2</vt:lpstr>
      <vt:lpstr>pgvm0_3</vt:lpstr>
      <vt:lpstr>pgvv0_1</vt:lpstr>
      <vt:lpstr>pgvv0_2</vt:lpstr>
      <vt:lpstr>pgvv0_3</vt:lpstr>
      <vt:lpstr>smoff_1</vt:lpstr>
      <vt:lpstr>smoff_2</vt:lpstr>
      <vt:lpstr>smoff_3</vt:lpstr>
      <vt:lpstr>smon_1</vt:lpstr>
      <vt:lpstr>smon_2</vt:lpstr>
      <vt:lpstr>smon_3</vt:lpstr>
      <vt:lpstr>smv_1</vt:lpstr>
      <vt:lpstr>smv_2</vt:lpstr>
      <vt:lpstr>smv_3</vt:lpstr>
      <vt:lpstr>svoff_1</vt:lpstr>
      <vt:lpstr>svoff_2</vt:lpstr>
      <vt:lpstr>svoff_3</vt:lpstr>
      <vt:lpstr>svon_1</vt:lpstr>
      <vt:lpstr>svon_2</vt:lpstr>
      <vt:lpstr>svon_3</vt:lpstr>
      <vt:lpstr>tm_1</vt:lpstr>
      <vt:lpstr>tm_2</vt:lpstr>
      <vt:lpstr>tm_3</vt:lpstr>
      <vt:lpstr>tv_1</vt:lpstr>
      <vt:lpstr>tv_2</vt:lpstr>
      <vt:lpstr>tv_3</vt:lpstr>
      <vt:lpstr>vm0_1</vt:lpstr>
      <vt:lpstr>vm0_2</vt:lpstr>
      <vt:lpstr>vm0_3</vt:lpstr>
      <vt:lpstr>vmoff0_1</vt:lpstr>
      <vt:lpstr>vmoff0_2</vt:lpstr>
      <vt:lpstr>vmoff0_3</vt:lpstr>
      <vt:lpstr>vmon0_1</vt:lpstr>
      <vt:lpstr>vmon0_2</vt:lpstr>
      <vt:lpstr>vmon0_3</vt:lpstr>
      <vt:lpstr>vmv0_1</vt:lpstr>
      <vt:lpstr>vmv0_2</vt:lpstr>
      <vt:lpstr>vmv0_3</vt:lpstr>
      <vt:lpstr>vvm0_1</vt:lpstr>
      <vt:lpstr>vvm0_2</vt:lpstr>
      <vt:lpstr>vvm0_3</vt:lpstr>
      <vt:lpstr>vvoff0_1</vt:lpstr>
      <vt:lpstr>vvoff0_2</vt:lpstr>
      <vt:lpstr>vvoff0_3</vt:lpstr>
      <vt:lpstr>vvon0_1</vt:lpstr>
      <vt:lpstr>vvon0_2</vt:lpstr>
      <vt:lpstr>vvon0_3</vt:lpstr>
      <vt:lpstr>vvv0_1</vt:lpstr>
      <vt:lpstr>vvv0_2</vt:lpstr>
      <vt:lpstr>vvv0_3</vt:lpstr>
      <vt:lpstr>xmv_1</vt:lpstr>
      <vt:lpstr>xmv_2</vt:lpstr>
      <vt:lpstr>xmv_3</vt:lpstr>
      <vt:lpstr>xvm_1</vt:lpstr>
      <vt:lpstr>xvm_2</vt:lpstr>
      <vt:lpstr>xvm_3</vt:lpstr>
      <vt:lpstr>ym_1</vt:lpstr>
      <vt:lpstr>ym_2</vt:lpstr>
      <vt:lpstr>ym_3</vt:lpstr>
      <vt:lpstr>yv_1</vt:lpstr>
      <vt:lpstr>yv_2</vt:lpstr>
      <vt:lpstr>yv_3</vt:lpstr>
      <vt:lpstr>zm_1</vt:lpstr>
      <vt:lpstr>zm_2</vt:lpstr>
      <vt:lpstr>zm_3</vt:lpstr>
      <vt:lpstr>zv_1</vt:lpstr>
      <vt:lpstr>zv_2</vt:lpstr>
      <vt:lpstr>zv_3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E Model effectentoets Versie augustus 2013</dc:title>
  <dc:creator>Autoriteit Consument &amp; Markt</dc:creator>
  <cp:keywords>Telecommunicatie;Marktanalyse;Vaste telefonie, Mobiele telefonie;Besluit;gespreksafgifte;2013</cp:keywords>
  <cp:lastModifiedBy>Hoogdorp, Sergio</cp:lastModifiedBy>
  <cp:lastPrinted>2010-03-25T10:45:38Z</cp:lastPrinted>
  <dcterms:created xsi:type="dcterms:W3CDTF">2009-10-19T12:32:21Z</dcterms:created>
  <dcterms:modified xsi:type="dcterms:W3CDTF">2016-11-22T07:34:22Z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0x01010093B567F67A260C42B2777169B18E4827</vt:lpwstr>
  </property>
</Properties>
</file>