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105" windowWidth="15120" windowHeight="6225"/>
  </bookViews>
  <sheets>
    <sheet name="Toelichting" sheetId="6" r:id="rId1"/>
    <sheet name="Afschrijftermijnen" sheetId="1" r:id="rId2"/>
    <sheet name="Start GAW 2006 " sheetId="5" r:id="rId3"/>
  </sheets>
  <externalReferences>
    <externalReference r:id="rId4"/>
    <externalReference r:id="rId5"/>
  </externalReferences>
  <definedNames>
    <definedName name="_CPI2011">#REF!</definedName>
    <definedName name="_CPI2012">#REF!</definedName>
    <definedName name="_CPI2013">#REF!</definedName>
    <definedName name="AandeelBoven">[1]Parameters!$G$38</definedName>
    <definedName name="AandeelOnder">[1]Parameters!$G$37</definedName>
    <definedName name="CPIv2007n2010">[2]Parameters!$C$41</definedName>
    <definedName name="CPIv2008n2010">[2]Parameters!$D$41</definedName>
    <definedName name="CPIv2009n2010">[2]Parameters!$E$41</definedName>
    <definedName name="CPIv2010n2011">#REF!</definedName>
    <definedName name="CPIv2010n2012">#REF!</definedName>
    <definedName name="CPIv2010n2013">#REF!</definedName>
    <definedName name="CPIv2011n2012">#REF!</definedName>
    <definedName name="CPIv2011n2013">#REF!</definedName>
    <definedName name="CPIv2012n2013">#REF!</definedName>
    <definedName name="doelzoekregel">#REF!</definedName>
  </definedNames>
  <calcPr calcId="145621"/>
</workbook>
</file>

<file path=xl/calcChain.xml><?xml version="1.0" encoding="utf-8"?>
<calcChain xmlns="http://schemas.openxmlformats.org/spreadsheetml/2006/main">
  <c r="H17" i="1" l="1"/>
  <c r="F49" i="1" l="1"/>
  <c r="E49" i="1"/>
  <c r="E23" i="5"/>
  <c r="E25" i="5" s="1"/>
  <c r="E17" i="5"/>
  <c r="H35" i="1"/>
  <c r="H36" i="1"/>
  <c r="H37" i="1"/>
  <c r="H38" i="1"/>
  <c r="H39" i="1"/>
  <c r="H40" i="1"/>
  <c r="H41" i="1"/>
  <c r="C63" i="1"/>
  <c r="C62" i="1"/>
  <c r="C61" i="1"/>
  <c r="E61" i="1"/>
  <c r="E47" i="1"/>
  <c r="E48" i="1"/>
  <c r="E11" i="5"/>
  <c r="C78" i="1"/>
  <c r="C79" i="1"/>
  <c r="C77" i="1"/>
  <c r="H30" i="1"/>
  <c r="H32" i="1"/>
  <c r="H29" i="1"/>
  <c r="H31" i="1"/>
  <c r="C73" i="1"/>
  <c r="C71" i="1"/>
  <c r="C72" i="1"/>
  <c r="E13" i="5"/>
  <c r="E19" i="5"/>
  <c r="E29" i="5"/>
  <c r="H14" i="1"/>
  <c r="K14" i="1"/>
  <c r="H15" i="1"/>
  <c r="L15" i="1"/>
  <c r="L17" i="1"/>
  <c r="H22" i="1"/>
  <c r="K22" i="1"/>
  <c r="H23" i="1"/>
  <c r="L23" i="1"/>
  <c r="H24" i="1"/>
  <c r="K24" i="1"/>
  <c r="K35" i="1"/>
  <c r="L36" i="1"/>
  <c r="K37" i="1"/>
  <c r="L38" i="1"/>
  <c r="K39" i="1"/>
  <c r="L40" i="1"/>
  <c r="G55" i="1"/>
  <c r="G54" i="1"/>
  <c r="G56" i="1"/>
  <c r="K41" i="1"/>
  <c r="F48" i="1"/>
  <c r="F47" i="1"/>
  <c r="H16" i="1"/>
  <c r="K16" i="1"/>
  <c r="J38" i="1"/>
  <c r="J17" i="1"/>
  <c r="L41" i="1"/>
  <c r="L39" i="1"/>
  <c r="L37" i="1"/>
  <c r="L35" i="1"/>
  <c r="L24" i="1"/>
  <c r="L22" i="1"/>
  <c r="L14" i="1"/>
  <c r="J39" i="1"/>
  <c r="J35" i="1"/>
  <c r="J22" i="1"/>
  <c r="J41" i="1"/>
  <c r="K40" i="1"/>
  <c r="K38" i="1"/>
  <c r="K36" i="1"/>
  <c r="K23" i="1"/>
  <c r="K17" i="1"/>
  <c r="K15" i="1"/>
  <c r="J40" i="1"/>
  <c r="J36" i="1"/>
  <c r="J23" i="1"/>
  <c r="J15" i="1"/>
  <c r="N15" i="1"/>
  <c r="H33" i="1"/>
  <c r="H34" i="1"/>
  <c r="J14" i="1"/>
  <c r="J37" i="1"/>
  <c r="J24" i="1"/>
  <c r="N24" i="1"/>
  <c r="N40" i="1"/>
  <c r="L16" i="1"/>
  <c r="N22" i="1"/>
  <c r="N39" i="1"/>
  <c r="J16" i="1"/>
  <c r="N37" i="1"/>
  <c r="N41" i="1"/>
  <c r="I55" i="1"/>
  <c r="K55" i="1"/>
  <c r="N17" i="1"/>
  <c r="N36" i="1"/>
  <c r="N14" i="1"/>
  <c r="N23" i="1"/>
  <c r="N35" i="1"/>
  <c r="N38" i="1"/>
  <c r="L33" i="1"/>
  <c r="K33" i="1"/>
  <c r="J33" i="1"/>
  <c r="K34" i="1"/>
  <c r="J34" i="1"/>
  <c r="L34" i="1"/>
  <c r="L31" i="1"/>
  <c r="J31" i="1"/>
  <c r="K31" i="1"/>
  <c r="K30" i="1"/>
  <c r="J30" i="1"/>
  <c r="L30" i="1"/>
  <c r="K32" i="1"/>
  <c r="J32" i="1"/>
  <c r="L32" i="1"/>
  <c r="L29" i="1"/>
  <c r="K29" i="1"/>
  <c r="J29" i="1"/>
  <c r="N16" i="1"/>
  <c r="L16" i="5"/>
  <c r="L17" i="5" s="1"/>
  <c r="L19" i="5" s="1"/>
  <c r="I54" i="1"/>
  <c r="K54" i="1" s="1"/>
  <c r="L10" i="5" s="1"/>
  <c r="N34" i="1"/>
  <c r="I56" i="1"/>
  <c r="K56" i="1"/>
  <c r="L22" i="5"/>
  <c r="L23" i="5" s="1"/>
  <c r="L25" i="5" s="1"/>
  <c r="N30" i="1"/>
  <c r="N33" i="1"/>
  <c r="N31" i="1"/>
  <c r="N29" i="1"/>
  <c r="N32" i="1"/>
  <c r="L11" i="5" l="1"/>
  <c r="L13" i="5" s="1"/>
  <c r="L29" i="5"/>
  <c r="E34" i="5" s="1"/>
  <c r="E49" i="5" l="1"/>
  <c r="E45" i="5"/>
  <c r="E41" i="5"/>
  <c r="E42" i="5" l="1"/>
  <c r="E53" i="5"/>
  <c r="E50" i="5"/>
  <c r="E46" i="5"/>
</calcChain>
</file>

<file path=xl/sharedStrings.xml><?xml version="1.0" encoding="utf-8"?>
<sst xmlns="http://schemas.openxmlformats.org/spreadsheetml/2006/main" count="149" uniqueCount="74">
  <si>
    <t>werkelijk</t>
  </si>
  <si>
    <t>totaal</t>
  </si>
  <si>
    <t>Enduris</t>
  </si>
  <si>
    <t>Enexis</t>
  </si>
  <si>
    <t>Zebra</t>
  </si>
  <si>
    <t>categorie 5 jaar</t>
  </si>
  <si>
    <t>categorie 30 jaar</t>
  </si>
  <si>
    <t>categorie 55 jaar</t>
  </si>
  <si>
    <t>afgerond</t>
  </si>
  <si>
    <t>maatstaf</t>
  </si>
  <si>
    <t>gew. afschrijving</t>
  </si>
  <si>
    <t>Gewogen RAR-Afschrijvingstermijn</t>
  </si>
  <si>
    <t>afschrijving</t>
  </si>
  <si>
    <t>start</t>
  </si>
  <si>
    <t>restant</t>
  </si>
  <si>
    <t>Resterend afschrijvingstermijn ultimo 2016</t>
  </si>
  <si>
    <t xml:space="preserve">Huidig afschrijftermijn </t>
  </si>
  <si>
    <t xml:space="preserve">Bron </t>
  </si>
  <si>
    <t>Start 2006</t>
  </si>
  <si>
    <t>GAW-sheet</t>
  </si>
  <si>
    <t>Toelichting</t>
  </si>
  <si>
    <t>Dit bestand laat zien hoe de nieuwe GAW en afschrijvingstermijnen voor de EHD netten zijn bepaald</t>
  </si>
  <si>
    <t xml:space="preserve">Dit nieuwe hoogte van het start-GAW en afschrijvingstermijnen dienen als input voor het GAW sheet. </t>
  </si>
  <si>
    <t>Legenda celkleuren</t>
  </si>
  <si>
    <t>Datawaarde / parameter</t>
  </si>
  <si>
    <t>Celwaarde die gevuld wordt door het runnen van een macro (data, maar niet vrij in te vullen).</t>
  </si>
  <si>
    <t>Waarde die wordt opgehaald van een andere locatie (zonder berekening)</t>
  </si>
  <si>
    <t>Berekende waarde</t>
  </si>
  <si>
    <t>Celwaarde (uitkomst van een berekening) die een eindresultaat vormt</t>
  </si>
  <si>
    <t>Celwaarde (data of formule) die speciale aandacht vraagt</t>
  </si>
  <si>
    <t>Celwaarde (data of formule) niet juist of nog onduidelijk</t>
  </si>
  <si>
    <t>Cel(waarde) niet van toepassing</t>
  </si>
  <si>
    <t>2A.B.9</t>
  </si>
  <si>
    <t>Celwaarde / benaming die door MACRO als zoekterm gebruikt wordt (dus niet wijzigen!)</t>
  </si>
  <si>
    <t xml:space="preserve">In dit sheet is te vinden hoe de GAW ultimo 2016 onder de huidige methode is bepaald </t>
  </si>
  <si>
    <t>GAW onder huidige methode en de maatstaf methode</t>
  </si>
  <si>
    <t xml:space="preserve">Huidige methode </t>
  </si>
  <si>
    <t xml:space="preserve">Maatstaf methode </t>
  </si>
  <si>
    <t xml:space="preserve">Enduris </t>
  </si>
  <si>
    <t xml:space="preserve">Zebra </t>
  </si>
  <si>
    <t>Resultaat</t>
  </si>
  <si>
    <t>Correctiefactor</t>
  </si>
  <si>
    <t>Start GAW 2006</t>
  </si>
  <si>
    <t>Afschrijftermijnen</t>
  </si>
  <si>
    <t xml:space="preserve">Enexis </t>
  </si>
  <si>
    <t>tussentabel afgeschreven</t>
  </si>
  <si>
    <t>Gemiddelde gewogen afschrijvingstermijnen</t>
  </si>
  <si>
    <t>Gemiddelde gewogen afschrijving</t>
  </si>
  <si>
    <t>Gewogen investeringsjaren en Gewogen RAR afschrijvingstermijn</t>
  </si>
  <si>
    <t>Resterende afschrijvingstermijnen</t>
  </si>
  <si>
    <t>investeringsjaar, medio</t>
  </si>
  <si>
    <t>GAW Ultimo 2005</t>
  </si>
  <si>
    <t>Maatstaf methode na correctiefactor</t>
  </si>
  <si>
    <t xml:space="preserve">Op dit tabblad wordt de nieuwe gemiddelde afschrijvingstermijn berekend. </t>
  </si>
  <si>
    <t>Gewogen Investeringsjaren</t>
  </si>
  <si>
    <t>resterende boekwaarde per begin 2006</t>
  </si>
  <si>
    <t>Resterend afschrijvingstermijn begin 2006</t>
  </si>
  <si>
    <t>Dit bestand hoort bij de volgende besluiten: x-factorbesluiten RNB gas 2017-2021</t>
  </si>
  <si>
    <r>
      <t xml:space="preserve">Controleregel: leeg is OK, waarschuwingen verschijnen in </t>
    </r>
    <r>
      <rPr>
        <b/>
        <sz val="10"/>
        <color rgb="FFFF0000"/>
        <rFont val="Arial"/>
        <family val="2"/>
      </rPr>
      <t>Rood</t>
    </r>
  </si>
  <si>
    <t>Investeringen</t>
  </si>
  <si>
    <t>Afschrijftermijn:</t>
  </si>
  <si>
    <t>(EUR, pp 2006)</t>
  </si>
  <si>
    <t>eenheid</t>
  </si>
  <si>
    <t xml:space="preserve">Kenmerk: ACM/DE/2016/205160 ACM/DE/2016/205162 ACM/DE/2016/205163 ACM/DE/2016/205164 ACM/DE/2016/205165 ACM/DE/2016/205166 ACM/DE/2016/205167 ACM/DE/2016/205168
</t>
  </si>
  <si>
    <t>Schematische weergave van de werking van dit model</t>
  </si>
  <si>
    <t xml:space="preserve">GAW: </t>
  </si>
  <si>
    <t>Gestandaardiseerde Activawaarde</t>
  </si>
  <si>
    <t>SO:</t>
  </si>
  <si>
    <t>Samengestelde Output</t>
  </si>
  <si>
    <t>EHD:</t>
  </si>
  <si>
    <t>Extra Hoge Druk</t>
  </si>
  <si>
    <t xml:space="preserve">Op deze manier kan de nieuwe hoogte voor de GAW worden bepaald </t>
  </si>
  <si>
    <t>Besluit: x-factorbesluiten RNB gas; bestand: EHD GAW-berekening RNB G</t>
  </si>
  <si>
    <t>Datum: 12 september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</si>
</sst>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64" formatCode="_ * #,##0_ ;_ * \-#,##0_ ;_ * &quot;-&quot;??_ ;_ @_ "/>
    <numFmt numFmtId="165" formatCode="_-* #,##0.00_-;_-* #,##0.00\-;_-* &quot;-&quot;??_-;_-@_-"/>
    <numFmt numFmtId="166" formatCode="_([$€]* #,##0.00_);_([$€]* \(#,##0.00\);_([$€]* &quot;-&quot;??_);_(@_)"/>
    <numFmt numFmtId="167" formatCode="_ * #,##0.000000_ ;_ * \-#,##0.000000_ ;_ * &quot;-&quot;??_ ;_ @_ "/>
    <numFmt numFmtId="168" formatCode="0.0"/>
    <numFmt numFmtId="169" formatCode="_ * #,##0.0000_ ;_ * \-#,##0.0000_ ;_ * &quot;-&quot;??_ ;_ @_ "/>
    <numFmt numFmtId="170" formatCode="0.0%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Comic Sans MS"/>
      <family val="4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i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indexed="8"/>
      <name val="Arial"/>
      <family val="2"/>
    </font>
    <font>
      <sz val="10"/>
      <color rgb="FF0070C0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b/>
      <sz val="11"/>
      <color indexed="8"/>
      <name val="Arial"/>
      <family val="2"/>
    </font>
  </fonts>
  <fills count="65">
    <fill>
      <patternFill patternType="none"/>
    </fill>
    <fill>
      <patternFill patternType="gray125"/>
    </fill>
    <fill>
      <patternFill patternType="solid">
        <fgColor rgb="FFFFFFE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rgb="FFCCFFCC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14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14" borderId="0" applyNumberFormat="0" applyBorder="0" applyAlignment="0" applyProtection="0"/>
    <xf numFmtId="0" fontId="5" fillId="22" borderId="0" applyNumberFormat="0" applyBorder="0" applyAlignment="0" applyProtection="0"/>
    <xf numFmtId="0" fontId="5" fillId="29" borderId="0" applyNumberFormat="0" applyBorder="0" applyAlignment="0" applyProtection="0"/>
    <xf numFmtId="0" fontId="6" fillId="23" borderId="0" applyNumberFormat="0" applyBorder="0" applyAlignment="0" applyProtection="0"/>
    <xf numFmtId="0" fontId="6" fillId="15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6" fillId="20" borderId="0" applyNumberFormat="0" applyBorder="0" applyAlignment="0" applyProtection="0"/>
    <xf numFmtId="0" fontId="6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6" fillId="35" borderId="0" applyNumberFormat="0" applyBorder="0" applyAlignment="0" applyProtection="0"/>
    <xf numFmtId="0" fontId="7" fillId="4" borderId="0" applyNumberFormat="0" applyBorder="0" applyAlignment="0" applyProtection="0"/>
    <xf numFmtId="0" fontId="8" fillId="36" borderId="1" applyNumberFormat="0" applyAlignment="0" applyProtection="0"/>
    <xf numFmtId="0" fontId="8" fillId="36" borderId="1" applyNumberFormat="0" applyAlignment="0" applyProtection="0"/>
    <xf numFmtId="0" fontId="9" fillId="37" borderId="2" applyNumberFormat="0" applyAlignment="0" applyProtection="0"/>
    <xf numFmtId="0" fontId="9" fillId="37" borderId="2" applyNumberFormat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166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7" fillId="0" borderId="3" applyNumberFormat="0" applyFill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2" fillId="0" borderId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8" borderId="1" applyNumberFormat="0" applyAlignment="0" applyProtection="0"/>
    <xf numFmtId="0" fontId="16" fillId="8" borderId="1" applyNumberFormat="0" applyAlignment="0" applyProtection="0"/>
    <xf numFmtId="165" fontId="3" fillId="0" borderId="0" applyFont="0" applyFill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7" fillId="0" borderId="3" applyNumberFormat="0" applyFill="0" applyAlignment="0" applyProtection="0"/>
    <xf numFmtId="0" fontId="3" fillId="0" borderId="0" applyNumberFormat="0" applyFill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23" fillId="0" borderId="0"/>
    <xf numFmtId="0" fontId="3" fillId="42" borderId="7" applyNumberFormat="0" applyFont="0" applyAlignment="0" applyProtection="0"/>
    <xf numFmtId="0" fontId="3" fillId="42" borderId="7" applyNumberFormat="0" applyFont="0" applyAlignment="0" applyProtection="0"/>
    <xf numFmtId="0" fontId="7" fillId="4" borderId="0" applyNumberFormat="0" applyBorder="0" applyAlignment="0" applyProtection="0"/>
    <xf numFmtId="0" fontId="19" fillId="36" borderId="8" applyNumberFormat="0" applyAlignment="0" applyProtection="0"/>
    <xf numFmtId="9" fontId="3" fillId="0" borderId="0" applyFont="0" applyFill="0" applyBorder="0" applyAlignment="0" applyProtection="0"/>
    <xf numFmtId="4" fontId="4" fillId="41" borderId="9" applyNumberFormat="0" applyProtection="0">
      <alignment vertical="center"/>
    </xf>
    <xf numFmtId="4" fontId="4" fillId="41" borderId="9" applyNumberFormat="0" applyProtection="0">
      <alignment vertical="center"/>
    </xf>
    <xf numFmtId="4" fontId="4" fillId="43" borderId="9" applyNumberFormat="0" applyProtection="0">
      <alignment horizontal="left" vertical="center" indent="1"/>
    </xf>
    <xf numFmtId="0" fontId="24" fillId="41" borderId="10" applyNumberFormat="0" applyProtection="0">
      <alignment horizontal="left" vertical="top" indent="1"/>
    </xf>
    <xf numFmtId="4" fontId="4" fillId="15" borderId="9" applyNumberFormat="0" applyProtection="0">
      <alignment horizontal="left" vertical="center" indent="1"/>
    </xf>
    <xf numFmtId="4" fontId="4" fillId="4" borderId="9" applyNumberFormat="0" applyProtection="0">
      <alignment horizontal="right" vertical="center"/>
    </xf>
    <xf numFmtId="4" fontId="4" fillId="44" borderId="9" applyNumberFormat="0" applyProtection="0">
      <alignment horizontal="right" vertical="center"/>
    </xf>
    <xf numFmtId="4" fontId="4" fillId="21" borderId="11" applyNumberFormat="0" applyProtection="0">
      <alignment horizontal="right" vertical="center"/>
    </xf>
    <xf numFmtId="4" fontId="4" fillId="12" borderId="9" applyNumberFormat="0" applyProtection="0">
      <alignment horizontal="right" vertical="center"/>
    </xf>
    <xf numFmtId="4" fontId="4" fillId="16" borderId="9" applyNumberFormat="0" applyProtection="0">
      <alignment horizontal="right" vertical="center"/>
    </xf>
    <xf numFmtId="4" fontId="4" fillId="32" borderId="9" applyNumberFormat="0" applyProtection="0">
      <alignment horizontal="right" vertical="center"/>
    </xf>
    <xf numFmtId="4" fontId="4" fillId="25" borderId="9" applyNumberFormat="0" applyProtection="0">
      <alignment horizontal="right" vertical="center"/>
    </xf>
    <xf numFmtId="4" fontId="4" fillId="45" borderId="9" applyNumberFormat="0" applyProtection="0">
      <alignment horizontal="right" vertical="center"/>
    </xf>
    <xf numFmtId="4" fontId="4" fillId="11" borderId="9" applyNumberFormat="0" applyProtection="0">
      <alignment horizontal="right" vertical="center"/>
    </xf>
    <xf numFmtId="4" fontId="4" fillId="46" borderId="11" applyNumberFormat="0" applyProtection="0">
      <alignment horizontal="left" vertical="center" indent="1"/>
    </xf>
    <xf numFmtId="4" fontId="3" fillId="47" borderId="11" applyNumberFormat="0" applyProtection="0">
      <alignment horizontal="left" vertical="center" indent="1"/>
    </xf>
    <xf numFmtId="4" fontId="3" fillId="47" borderId="11" applyNumberFormat="0" applyProtection="0">
      <alignment horizontal="left" vertical="center" indent="1"/>
    </xf>
    <xf numFmtId="4" fontId="4" fillId="48" borderId="9" applyNumberFormat="0" applyProtection="0">
      <alignment horizontal="right" vertical="center"/>
    </xf>
    <xf numFmtId="4" fontId="4" fillId="49" borderId="11" applyNumberFormat="0" applyProtection="0">
      <alignment horizontal="left" vertical="center" indent="1"/>
    </xf>
    <xf numFmtId="4" fontId="4" fillId="48" borderId="11" applyNumberFormat="0" applyProtection="0">
      <alignment horizontal="left" vertical="center" indent="1"/>
    </xf>
    <xf numFmtId="0" fontId="4" fillId="36" borderId="9" applyNumberFormat="0" applyProtection="0">
      <alignment horizontal="left" vertical="center" indent="1"/>
    </xf>
    <xf numFmtId="0" fontId="4" fillId="47" borderId="10" applyNumberFormat="0" applyProtection="0">
      <alignment horizontal="left" vertical="top" indent="1"/>
    </xf>
    <xf numFmtId="0" fontId="4" fillId="50" borderId="9" applyNumberFormat="0" applyProtection="0">
      <alignment horizontal="left" vertical="center" indent="1"/>
    </xf>
    <xf numFmtId="0" fontId="4" fillId="48" borderId="10" applyNumberFormat="0" applyProtection="0">
      <alignment horizontal="left" vertical="top" indent="1"/>
    </xf>
    <xf numFmtId="0" fontId="4" fillId="9" borderId="9" applyNumberFormat="0" applyProtection="0">
      <alignment horizontal="left" vertical="center" indent="1"/>
    </xf>
    <xf numFmtId="0" fontId="4" fillId="9" borderId="10" applyNumberFormat="0" applyProtection="0">
      <alignment horizontal="left" vertical="top" indent="1"/>
    </xf>
    <xf numFmtId="0" fontId="4" fillId="49" borderId="9" applyNumberFormat="0" applyProtection="0">
      <alignment horizontal="left" vertical="center" indent="1"/>
    </xf>
    <xf numFmtId="0" fontId="4" fillId="49" borderId="10" applyNumberFormat="0" applyProtection="0">
      <alignment horizontal="left" vertical="top" indent="1"/>
    </xf>
    <xf numFmtId="0" fontId="4" fillId="51" borderId="12" applyNumberFormat="0">
      <protection locked="0"/>
    </xf>
    <xf numFmtId="0" fontId="12" fillId="47" borderId="13" applyBorder="0"/>
    <xf numFmtId="4" fontId="25" fillId="42" borderId="10" applyNumberFormat="0" applyProtection="0">
      <alignment vertical="center"/>
    </xf>
    <xf numFmtId="4" fontId="4" fillId="42" borderId="14" applyNumberFormat="0" applyProtection="0">
      <alignment vertical="center"/>
    </xf>
    <xf numFmtId="4" fontId="25" fillId="36" borderId="10" applyNumberFormat="0" applyProtection="0">
      <alignment horizontal="left" vertical="center" indent="1"/>
    </xf>
    <xf numFmtId="0" fontId="25" fillId="42" borderId="10" applyNumberFormat="0" applyProtection="0">
      <alignment horizontal="left" vertical="top" indent="1"/>
    </xf>
    <xf numFmtId="4" fontId="4" fillId="0" borderId="9" applyNumberFormat="0" applyProtection="0">
      <alignment horizontal="right" vertical="center"/>
    </xf>
    <xf numFmtId="4" fontId="4" fillId="51" borderId="9" applyNumberFormat="0" applyProtection="0">
      <alignment horizontal="right" vertical="center"/>
    </xf>
    <xf numFmtId="4" fontId="4" fillId="15" borderId="9" applyNumberFormat="0" applyProtection="0">
      <alignment horizontal="left" vertical="center" indent="1"/>
    </xf>
    <xf numFmtId="0" fontId="25" fillId="48" borderId="10" applyNumberFormat="0" applyProtection="0">
      <alignment horizontal="left" vertical="top" indent="1"/>
    </xf>
    <xf numFmtId="4" fontId="26" fillId="52" borderId="11" applyNumberFormat="0" applyProtection="0">
      <alignment horizontal="left" vertical="center" indent="1"/>
    </xf>
    <xf numFmtId="0" fontId="4" fillId="53" borderId="14"/>
    <xf numFmtId="4" fontId="27" fillId="51" borderId="9" applyNumberFormat="0" applyProtection="0">
      <alignment horizontal="right" vertical="center"/>
    </xf>
    <xf numFmtId="0" fontId="2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5" applyNumberFormat="0" applyFill="0" applyAlignment="0" applyProtection="0"/>
    <xf numFmtId="0" fontId="21" fillId="0" borderId="15" applyNumberFormat="0" applyFill="0" applyAlignment="0" applyProtection="0"/>
    <xf numFmtId="0" fontId="19" fillId="36" borderId="8" applyNumberFormat="0" applyAlignment="0" applyProtection="0"/>
    <xf numFmtId="0" fontId="1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" fillId="0" borderId="0"/>
    <xf numFmtId="0" fontId="42" fillId="0" borderId="0"/>
    <xf numFmtId="0" fontId="43" fillId="0" borderId="0"/>
    <xf numFmtId="0" fontId="43" fillId="0" borderId="0"/>
    <xf numFmtId="170" fontId="3" fillId="64" borderId="19" applyBorder="0" applyProtection="0">
      <alignment horizontal="center" vertical="center"/>
    </xf>
  </cellStyleXfs>
  <cellXfs count="90">
    <xf numFmtId="0" fontId="0" fillId="0" borderId="0" xfId="0"/>
    <xf numFmtId="164" fontId="3" fillId="54" borderId="0" xfId="1" applyNumberFormat="1" applyFont="1" applyFill="1" applyBorder="1"/>
    <xf numFmtId="0" fontId="29" fillId="55" borderId="16" xfId="0" applyFont="1" applyFill="1" applyBorder="1"/>
    <xf numFmtId="164" fontId="29" fillId="55" borderId="16" xfId="1" applyNumberFormat="1" applyFont="1" applyFill="1" applyBorder="1"/>
    <xf numFmtId="164" fontId="3" fillId="55" borderId="16" xfId="1" applyNumberFormat="1" applyFont="1" applyFill="1" applyBorder="1"/>
    <xf numFmtId="0" fontId="30" fillId="56" borderId="16" xfId="0" applyFont="1" applyFill="1" applyBorder="1"/>
    <xf numFmtId="164" fontId="30" fillId="56" borderId="16" xfId="1" applyNumberFormat="1" applyFont="1" applyFill="1" applyBorder="1"/>
    <xf numFmtId="164" fontId="31" fillId="56" borderId="16" xfId="1" applyNumberFormat="1" applyFont="1" applyFill="1" applyBorder="1"/>
    <xf numFmtId="0" fontId="30" fillId="0" borderId="0" xfId="0" applyFont="1" applyFill="1" applyBorder="1"/>
    <xf numFmtId="164" fontId="30" fillId="0" borderId="0" xfId="1" applyNumberFormat="1" applyFont="1" applyFill="1" applyBorder="1"/>
    <xf numFmtId="164" fontId="31" fillId="0" borderId="0" xfId="1" applyNumberFormat="1" applyFont="1" applyFill="1" applyBorder="1"/>
    <xf numFmtId="0" fontId="32" fillId="56" borderId="16" xfId="0" applyFont="1" applyFill="1" applyBorder="1"/>
    <xf numFmtId="164" fontId="32" fillId="0" borderId="0" xfId="1" applyNumberFormat="1" applyFont="1"/>
    <xf numFmtId="164" fontId="30" fillId="0" borderId="0" xfId="1" applyNumberFormat="1" applyFont="1" applyBorder="1" applyAlignment="1">
      <alignment horizontal="right"/>
    </xf>
    <xf numFmtId="10" fontId="32" fillId="0" borderId="0" xfId="2" applyNumberFormat="1" applyFont="1" applyBorder="1"/>
    <xf numFmtId="164" fontId="30" fillId="0" borderId="0" xfId="1" applyNumberFormat="1" applyFont="1"/>
    <xf numFmtId="164" fontId="32" fillId="2" borderId="0" xfId="1" applyNumberFormat="1" applyFont="1" applyFill="1"/>
    <xf numFmtId="164" fontId="32" fillId="0" borderId="0" xfId="1" applyNumberFormat="1" applyFont="1" applyFill="1"/>
    <xf numFmtId="0" fontId="33" fillId="55" borderId="16" xfId="0" applyFont="1" applyFill="1" applyBorder="1"/>
    <xf numFmtId="0" fontId="3" fillId="54" borderId="0" xfId="2" applyNumberFormat="1" applyFont="1" applyFill="1" applyBorder="1"/>
    <xf numFmtId="164" fontId="32" fillId="0" borderId="0" xfId="1" applyNumberFormat="1" applyFont="1" applyAlignment="1">
      <alignment horizontal="right"/>
    </xf>
    <xf numFmtId="0" fontId="3" fillId="0" borderId="0" xfId="2" applyNumberFormat="1" applyFont="1" applyFill="1" applyBorder="1"/>
    <xf numFmtId="0" fontId="32" fillId="0" borderId="0" xfId="0" applyFont="1" applyFill="1" applyBorder="1"/>
    <xf numFmtId="164" fontId="30" fillId="0" borderId="0" xfId="1" applyNumberFormat="1" applyFont="1" applyFill="1"/>
    <xf numFmtId="164" fontId="34" fillId="0" borderId="0" xfId="1" applyNumberFormat="1" applyFont="1"/>
    <xf numFmtId="0" fontId="32" fillId="0" borderId="0" xfId="0" applyFont="1"/>
    <xf numFmtId="0" fontId="33" fillId="0" borderId="0" xfId="0" applyFont="1" applyFill="1" applyBorder="1"/>
    <xf numFmtId="0" fontId="29" fillId="0" borderId="0" xfId="0" applyFont="1" applyFill="1" applyBorder="1"/>
    <xf numFmtId="164" fontId="29" fillId="0" borderId="0" xfId="1" applyNumberFormat="1" applyFont="1" applyFill="1" applyBorder="1"/>
    <xf numFmtId="164" fontId="3" fillId="0" borderId="0" xfId="1" applyNumberFormat="1" applyFont="1" applyFill="1" applyBorder="1"/>
    <xf numFmtId="0" fontId="3" fillId="0" borderId="0" xfId="0" applyFont="1" applyFill="1" applyBorder="1"/>
    <xf numFmtId="167" fontId="32" fillId="2" borderId="0" xfId="1" applyNumberFormat="1" applyFont="1" applyFill="1"/>
    <xf numFmtId="164" fontId="32" fillId="2" borderId="0" xfId="0" applyNumberFormat="1" applyFont="1" applyFill="1"/>
    <xf numFmtId="164" fontId="32" fillId="0" borderId="0" xfId="1" applyNumberFormat="1" applyFont="1" applyFill="1" applyBorder="1"/>
    <xf numFmtId="43" fontId="32" fillId="2" borderId="0" xfId="1" applyNumberFormat="1" applyFont="1" applyFill="1" applyBorder="1"/>
    <xf numFmtId="164" fontId="32" fillId="2" borderId="0" xfId="1" applyNumberFormat="1" applyFont="1" applyFill="1" applyBorder="1"/>
    <xf numFmtId="164" fontId="32" fillId="2" borderId="0" xfId="0" applyNumberFormat="1" applyFont="1" applyFill="1" applyBorder="1" applyAlignment="1">
      <alignment horizontal="right"/>
    </xf>
    <xf numFmtId="164" fontId="32" fillId="2" borderId="0" xfId="1" applyNumberFormat="1" applyFont="1" applyFill="1" applyBorder="1" applyAlignment="1">
      <alignment horizontal="right"/>
    </xf>
    <xf numFmtId="164" fontId="32" fillId="2" borderId="0" xfId="0" applyNumberFormat="1" applyFont="1" applyFill="1" applyBorder="1"/>
    <xf numFmtId="0" fontId="30" fillId="0" borderId="17" xfId="0" applyFont="1" applyFill="1" applyBorder="1"/>
    <xf numFmtId="164" fontId="31" fillId="0" borderId="17" xfId="1" applyNumberFormat="1" applyFont="1" applyFill="1" applyBorder="1"/>
    <xf numFmtId="0" fontId="30" fillId="0" borderId="0" xfId="0" applyFont="1" applyFill="1" applyBorder="1" applyAlignment="1">
      <alignment horizontal="right"/>
    </xf>
    <xf numFmtId="2" fontId="32" fillId="2" borderId="0" xfId="0" applyNumberFormat="1" applyFont="1" applyFill="1" applyBorder="1"/>
    <xf numFmtId="0" fontId="30" fillId="0" borderId="0" xfId="0" applyFont="1" applyFill="1" applyBorder="1" applyAlignment="1">
      <alignment horizontal="left"/>
    </xf>
    <xf numFmtId="2" fontId="30" fillId="0" borderId="0" xfId="0" applyNumberFormat="1" applyFont="1" applyFill="1" applyBorder="1"/>
    <xf numFmtId="43" fontId="32" fillId="2" borderId="0" xfId="0" applyNumberFormat="1" applyFont="1" applyFill="1" applyBorder="1"/>
    <xf numFmtId="0" fontId="30" fillId="0" borderId="0" xfId="0" applyFont="1" applyFill="1"/>
    <xf numFmtId="0" fontId="32" fillId="0" borderId="0" xfId="0" applyFont="1" applyFill="1"/>
    <xf numFmtId="168" fontId="3" fillId="54" borderId="0" xfId="2" applyNumberFormat="1" applyFont="1" applyFill="1" applyBorder="1"/>
    <xf numFmtId="0" fontId="30" fillId="0" borderId="16" xfId="0" applyFont="1" applyFill="1" applyBorder="1"/>
    <xf numFmtId="164" fontId="31" fillId="0" borderId="16" xfId="1" applyNumberFormat="1" applyFont="1" applyFill="1" applyBorder="1"/>
    <xf numFmtId="164" fontId="30" fillId="0" borderId="16" xfId="1" applyNumberFormat="1" applyFont="1" applyFill="1" applyBorder="1"/>
    <xf numFmtId="0" fontId="30" fillId="56" borderId="17" xfId="0" applyFont="1" applyFill="1" applyBorder="1"/>
    <xf numFmtId="164" fontId="31" fillId="56" borderId="17" xfId="1" applyNumberFormat="1" applyFont="1" applyFill="1" applyBorder="1"/>
    <xf numFmtId="164" fontId="30" fillId="56" borderId="17" xfId="1" applyNumberFormat="1" applyFont="1" applyFill="1" applyBorder="1"/>
    <xf numFmtId="0" fontId="30" fillId="56" borderId="18" xfId="0" applyFont="1" applyFill="1" applyBorder="1"/>
    <xf numFmtId="164" fontId="31" fillId="56" borderId="18" xfId="1" applyNumberFormat="1" applyFont="1" applyFill="1" applyBorder="1"/>
    <xf numFmtId="164" fontId="30" fillId="56" borderId="18" xfId="1" applyNumberFormat="1" applyFont="1" applyFill="1" applyBorder="1"/>
    <xf numFmtId="164" fontId="3" fillId="57" borderId="0" xfId="1" applyNumberFormat="1" applyFont="1" applyFill="1" applyBorder="1"/>
    <xf numFmtId="0" fontId="3" fillId="0" borderId="0" xfId="0" applyFont="1"/>
    <xf numFmtId="0" fontId="36" fillId="0" borderId="0" xfId="0" applyFont="1"/>
    <xf numFmtId="0" fontId="35" fillId="0" borderId="0" xfId="0" applyFont="1"/>
    <xf numFmtId="0" fontId="37" fillId="56" borderId="16" xfId="0" applyFont="1" applyFill="1" applyBorder="1"/>
    <xf numFmtId="0" fontId="32" fillId="54" borderId="0" xfId="0" applyFont="1" applyFill="1"/>
    <xf numFmtId="0" fontId="32" fillId="54" borderId="14" xfId="0" applyFont="1" applyFill="1" applyBorder="1"/>
    <xf numFmtId="0" fontId="32" fillId="57" borderId="0" xfId="0" applyFont="1" applyFill="1"/>
    <xf numFmtId="0" fontId="32" fillId="58" borderId="0" xfId="0" applyFont="1" applyFill="1"/>
    <xf numFmtId="0" fontId="32" fillId="59" borderId="0" xfId="0" applyFont="1" applyFill="1"/>
    <xf numFmtId="0" fontId="32" fillId="60" borderId="0" xfId="0" applyFont="1" applyFill="1"/>
    <xf numFmtId="0" fontId="32" fillId="61" borderId="0" xfId="0" applyFont="1" applyFill="1"/>
    <xf numFmtId="0" fontId="32" fillId="62" borderId="0" xfId="0" applyFont="1" applyFill="1"/>
    <xf numFmtId="0" fontId="32" fillId="63" borderId="0" xfId="0" applyFont="1" applyFill="1"/>
    <xf numFmtId="0" fontId="38" fillId="0" borderId="0" xfId="0" applyFont="1" applyAlignment="1">
      <alignment horizontal="center"/>
    </xf>
    <xf numFmtId="1" fontId="31" fillId="56" borderId="16" xfId="1" applyNumberFormat="1" applyFont="1" applyFill="1" applyBorder="1"/>
    <xf numFmtId="164" fontId="3" fillId="59" borderId="0" xfId="1" applyNumberFormat="1" applyFont="1" applyFill="1" applyBorder="1"/>
    <xf numFmtId="164" fontId="32" fillId="59" borderId="0" xfId="1" applyNumberFormat="1" applyFont="1" applyFill="1"/>
    <xf numFmtId="0" fontId="39" fillId="55" borderId="16" xfId="0" applyFont="1" applyFill="1" applyBorder="1"/>
    <xf numFmtId="0" fontId="40" fillId="55" borderId="16" xfId="0" applyFont="1" applyFill="1" applyBorder="1"/>
    <xf numFmtId="164" fontId="41" fillId="55" borderId="16" xfId="1" applyNumberFormat="1" applyFont="1" applyFill="1" applyBorder="1"/>
    <xf numFmtId="164" fontId="40" fillId="55" borderId="16" xfId="1" applyNumberFormat="1" applyFont="1" applyFill="1" applyBorder="1"/>
    <xf numFmtId="0" fontId="32" fillId="0" borderId="0" xfId="0" applyFont="1" applyAlignment="1"/>
    <xf numFmtId="0" fontId="44" fillId="56" borderId="16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/>
    <xf numFmtId="43" fontId="32" fillId="0" borderId="0" xfId="1" applyFont="1" applyFill="1"/>
    <xf numFmtId="164" fontId="32" fillId="0" borderId="0" xfId="0" applyNumberFormat="1" applyFont="1" applyFill="1"/>
    <xf numFmtId="169" fontId="32" fillId="0" borderId="0" xfId="1" applyNumberFormat="1" applyFont="1" applyFill="1" applyBorder="1"/>
    <xf numFmtId="169" fontId="32" fillId="0" borderId="0" xfId="1" applyNumberFormat="1" applyFont="1"/>
    <xf numFmtId="164" fontId="30" fillId="0" borderId="0" xfId="1" applyNumberFormat="1" applyFont="1" applyFill="1" applyBorder="1" applyAlignment="1">
      <alignment horizontal="right"/>
    </xf>
    <xf numFmtId="43" fontId="32" fillId="0" borderId="0" xfId="1" applyNumberFormat="1" applyFont="1"/>
  </cellXfs>
  <cellStyles count="144">
    <cellStyle name="_x000a__x000a_JournalTemplate=C:\COMFO\CTALK\JOURSTD.TPL_x000a__x000a_LbStateAddress=3 3 0 251 1 89 2 311_x000a__x000a_LbStateJou" xfId="141"/>
    <cellStyle name="_x000a__x000a_JournalTemplate=C:\COMFO\CTALK\JOURSTD.TPL_x000a__x000a_LbStateAddress=3 3 0 251 1 89 2 311_x000a__x000a_LbStateJou 2" xfId="142"/>
    <cellStyle name="_x000d__x000a_JournalTemplate=C:\COMFO\CTALK\JOURSTD.TPL_x000d__x000a_LbStateAddress=3 3 0 251 1 89 2 311_x000d__x000a_LbStateJou" xfId="4"/>
    <cellStyle name="_x000d__x000a_JournalTemplate=C:\COMFO\CTALK\JOURSTD.TPL_x000d__x000a_LbStateAddress=3 3 0 251 1 89 2 311_x000d__x000a_LbStateJou 2" xfId="5"/>
    <cellStyle name="_x000d__x000a_JournalTemplate=C:\COMFO\CTALK\JOURSTD.TPL_x000d__x000a_LbStateAddress=3 3 0 251 1 89 2 311_x000d__x000a_LbStateJou_111028 KB Berekening nacalculaties_v2" xfId="139"/>
    <cellStyle name="20% - Accent1 2" xfId="6"/>
    <cellStyle name="20% - Accent2 2" xfId="7"/>
    <cellStyle name="20% - Accent3 2" xfId="8"/>
    <cellStyle name="20% - Accent4 2" xfId="9"/>
    <cellStyle name="20% - Accent5 2" xfId="10"/>
    <cellStyle name="20% - Accent6 2" xfId="11"/>
    <cellStyle name="40% - Accent1 2" xfId="12"/>
    <cellStyle name="40% - Accent2 2" xfId="13"/>
    <cellStyle name="40% - Accent3 2" xfId="14"/>
    <cellStyle name="40% - Accent4 2" xfId="15"/>
    <cellStyle name="40% - Accent5 2" xfId="16"/>
    <cellStyle name="40% - Accent6 2" xfId="17"/>
    <cellStyle name="60% - Accent1 2" xfId="18"/>
    <cellStyle name="60% - Accent2 2" xfId="19"/>
    <cellStyle name="60% - Accent3 2" xfId="20"/>
    <cellStyle name="60% - Accent4 2" xfId="21"/>
    <cellStyle name="60% - Accent5 2" xfId="22"/>
    <cellStyle name="60% - Accent6 2" xfId="23"/>
    <cellStyle name="Accent1 - 20%" xfId="25"/>
    <cellStyle name="Accent1 - 40%" xfId="26"/>
    <cellStyle name="Accent1 - 60%" xfId="27"/>
    <cellStyle name="Accent1 2" xfId="24"/>
    <cellStyle name="Accent2 - 20%" xfId="29"/>
    <cellStyle name="Accent2 - 40%" xfId="30"/>
    <cellStyle name="Accent2 - 60%" xfId="31"/>
    <cellStyle name="Accent2 2" xfId="28"/>
    <cellStyle name="Accent3 - 20%" xfId="33"/>
    <cellStyle name="Accent3 - 40%" xfId="34"/>
    <cellStyle name="Accent3 - 60%" xfId="35"/>
    <cellStyle name="Accent3 2" xfId="32"/>
    <cellStyle name="Accent4 - 20%" xfId="37"/>
    <cellStyle name="Accent4 - 40%" xfId="38"/>
    <cellStyle name="Accent4 - 60%" xfId="39"/>
    <cellStyle name="Accent4 2" xfId="36"/>
    <cellStyle name="Accent5 - 20%" xfId="41"/>
    <cellStyle name="Accent5 - 40%" xfId="42"/>
    <cellStyle name="Accent5 - 60%" xfId="43"/>
    <cellStyle name="Accent5 2" xfId="40"/>
    <cellStyle name="Accent6 - 20%" xfId="45"/>
    <cellStyle name="Accent6 - 40%" xfId="46"/>
    <cellStyle name="Accent6 - 60%" xfId="47"/>
    <cellStyle name="Accent6 2" xfId="44"/>
    <cellStyle name="Bad" xfId="48"/>
    <cellStyle name="Berekening 2" xfId="49"/>
    <cellStyle name="Calculation" xfId="50"/>
    <cellStyle name="Check Cell" xfId="51"/>
    <cellStyle name="Controlecel 2" xfId="52"/>
    <cellStyle name="Emphasis 1" xfId="53"/>
    <cellStyle name="Emphasis 2" xfId="54"/>
    <cellStyle name="Emphasis 3" xfId="55"/>
    <cellStyle name="Euro" xfId="56"/>
    <cellStyle name="Explanatory Text" xfId="57"/>
    <cellStyle name="Gekoppelde cel 2" xfId="58"/>
    <cellStyle name="Goed 2" xfId="59"/>
    <cellStyle name="Good" xfId="60"/>
    <cellStyle name="Header" xfId="61"/>
    <cellStyle name="Heading 1" xfId="62"/>
    <cellStyle name="Heading 2" xfId="63"/>
    <cellStyle name="Heading 3" xfId="64"/>
    <cellStyle name="Heading 4" xfId="65"/>
    <cellStyle name="Input" xfId="66"/>
    <cellStyle name="Invoer 2" xfId="67"/>
    <cellStyle name="Komma" xfId="1" builtinId="3"/>
    <cellStyle name="Komma 2" xfId="134"/>
    <cellStyle name="Komma 3" xfId="136"/>
    <cellStyle name="Komma 4" xfId="68"/>
    <cellStyle name="Kop 1 2" xfId="69"/>
    <cellStyle name="Kop 2 2" xfId="70"/>
    <cellStyle name="Kop 3 2" xfId="71"/>
    <cellStyle name="Kop 4 2" xfId="72"/>
    <cellStyle name="Linked Cell" xfId="73"/>
    <cellStyle name="MAND_x000a_CHECK.COMMAND_x000e_RENAME.COMMAND_x0008_SHOW.BAR_x000b_DELETE.MENU_x000e_DELETE.COMMAND_x000e_GET.CHA" xfId="74"/>
    <cellStyle name="Neutraal 2" xfId="75"/>
    <cellStyle name="Neutral" xfId="76"/>
    <cellStyle name="Normal_# klanten" xfId="77"/>
    <cellStyle name="Note" xfId="78"/>
    <cellStyle name="Notitie 2" xfId="79"/>
    <cellStyle name="Ongeldig 2" xfId="80"/>
    <cellStyle name="Output" xfId="81"/>
    <cellStyle name="Percentages_oorzaken" xfId="143"/>
    <cellStyle name="Procent" xfId="2" builtinId="5"/>
    <cellStyle name="Procent 2" xfId="135"/>
    <cellStyle name="Procent 3" xfId="138"/>
    <cellStyle name="Procent 4" xfId="82"/>
    <cellStyle name="SAPBEXaggData" xfId="83"/>
    <cellStyle name="SAPBEXaggDataEmph" xfId="84"/>
    <cellStyle name="SAPBEXaggItem" xfId="85"/>
    <cellStyle name="SAPBEXaggItemX" xfId="86"/>
    <cellStyle name="SAPBEXchaText" xfId="87"/>
    <cellStyle name="SAPBEXexcBad7" xfId="88"/>
    <cellStyle name="SAPBEXexcBad8" xfId="89"/>
    <cellStyle name="SAPBEXexcBad9" xfId="90"/>
    <cellStyle name="SAPBEXexcCritical4" xfId="91"/>
    <cellStyle name="SAPBEXexcCritical5" xfId="92"/>
    <cellStyle name="SAPBEXexcCritical6" xfId="93"/>
    <cellStyle name="SAPBEXexcGood1" xfId="94"/>
    <cellStyle name="SAPBEXexcGood2" xfId="95"/>
    <cellStyle name="SAPBEXexcGood3" xfId="96"/>
    <cellStyle name="SAPBEXfilterDrill" xfId="97"/>
    <cellStyle name="SAPBEXfilterItem" xfId="98"/>
    <cellStyle name="SAPBEXfilterText" xfId="99"/>
    <cellStyle name="SAPBEXformats" xfId="100"/>
    <cellStyle name="SAPBEXheaderItem" xfId="101"/>
    <cellStyle name="SAPBEXheaderText" xfId="102"/>
    <cellStyle name="SAPBEXHLevel0" xfId="103"/>
    <cellStyle name="SAPBEXHLevel0X" xfId="104"/>
    <cellStyle name="SAPBEXHLevel1" xfId="105"/>
    <cellStyle name="SAPBEXHLevel1X" xfId="106"/>
    <cellStyle name="SAPBEXHLevel2" xfId="107"/>
    <cellStyle name="SAPBEXHLevel2X" xfId="108"/>
    <cellStyle name="SAPBEXHLevel3" xfId="109"/>
    <cellStyle name="SAPBEXHLevel3X" xfId="110"/>
    <cellStyle name="SAPBEXinputData" xfId="111"/>
    <cellStyle name="SAPBEXItemHeader" xfId="112"/>
    <cellStyle name="SAPBEXresData" xfId="113"/>
    <cellStyle name="SAPBEXresDataEmph" xfId="114"/>
    <cellStyle name="SAPBEXresItem" xfId="115"/>
    <cellStyle name="SAPBEXresItemX" xfId="116"/>
    <cellStyle name="SAPBEXstdData" xfId="117"/>
    <cellStyle name="SAPBEXstdDataEmph" xfId="118"/>
    <cellStyle name="SAPBEXstdItem" xfId="119"/>
    <cellStyle name="SAPBEXstdItemX" xfId="120"/>
    <cellStyle name="SAPBEXtitle" xfId="121"/>
    <cellStyle name="SAPBEXunassignedItem" xfId="122"/>
    <cellStyle name="SAPBEXundefined" xfId="123"/>
    <cellStyle name="Sheet Title" xfId="124"/>
    <cellStyle name="Standaard" xfId="0" builtinId="0"/>
    <cellStyle name="Standaard 2" xfId="133"/>
    <cellStyle name="Standaard 3" xfId="137"/>
    <cellStyle name="Standaard 4" xfId="3"/>
    <cellStyle name="Standaard 5" xfId="140"/>
    <cellStyle name="Titel 2" xfId="125"/>
    <cellStyle name="Title" xfId="126"/>
    <cellStyle name="Totaal 2" xfId="127"/>
    <cellStyle name="Total" xfId="128"/>
    <cellStyle name="Uitvoer 2" xfId="129"/>
    <cellStyle name="Verklarende tekst 2" xfId="130"/>
    <cellStyle name="Waarschuwingstekst 2" xfId="131"/>
    <cellStyle name="Warning Text" xfId="132"/>
  </cellStyles>
  <dxfs count="0"/>
  <tableStyles count="0" defaultTableStyle="TableStyleMedium9" defaultPivotStyle="PivotStyleLight16"/>
  <colors>
    <mruColors>
      <color rgb="FFCCFFFF"/>
      <color rgb="FFFFCCFF"/>
      <color rgb="FFFFFFE5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19850</xdr:colOff>
      <xdr:row>18</xdr:row>
      <xdr:rowOff>8005</xdr:rowOff>
    </xdr:from>
    <xdr:to>
      <xdr:col>12</xdr:col>
      <xdr:colOff>8565</xdr:colOff>
      <xdr:row>22</xdr:row>
      <xdr:rowOff>10828</xdr:rowOff>
    </xdr:to>
    <xdr:sp macro="" textlink="">
      <xdr:nvSpPr>
        <xdr:cNvPr id="17" name="Rechthoek 16"/>
        <xdr:cNvSpPr/>
      </xdr:nvSpPr>
      <xdr:spPr>
        <a:xfrm>
          <a:off x="5488321" y="4613623"/>
          <a:ext cx="1804068" cy="719999"/>
        </a:xfrm>
        <a:prstGeom prst="rect">
          <a:avLst/>
        </a:prstGeom>
        <a:solidFill>
          <a:srgbClr val="007FAE"/>
        </a:solidFill>
        <a:ln w="25400" cap="flat" cmpd="sng" algn="ctr">
          <a:solidFill>
            <a:srgbClr val="5F1F7A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12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Kosten</a:t>
          </a:r>
          <a:endParaRPr kumimoji="0" lang="nl-NL" sz="14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24573</xdr:colOff>
      <xdr:row>28</xdr:row>
      <xdr:rowOff>15208</xdr:rowOff>
    </xdr:from>
    <xdr:to>
      <xdr:col>11</xdr:col>
      <xdr:colOff>637456</xdr:colOff>
      <xdr:row>31</xdr:row>
      <xdr:rowOff>130091</xdr:rowOff>
    </xdr:to>
    <xdr:sp macro="" textlink="">
      <xdr:nvSpPr>
        <xdr:cNvPr id="18" name="Rechthoek 17"/>
        <xdr:cNvSpPr/>
      </xdr:nvSpPr>
      <xdr:spPr>
        <a:xfrm>
          <a:off x="24713373" y="4577683"/>
          <a:ext cx="1984483" cy="657808"/>
        </a:xfrm>
        <a:prstGeom prst="rect">
          <a:avLst/>
        </a:prstGeom>
        <a:solidFill>
          <a:srgbClr val="007FAE"/>
        </a:solidFill>
        <a:ln w="25400" cap="flat" cmpd="sng" algn="ctr">
          <a:solidFill>
            <a:srgbClr val="5F1F7A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12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EHD maatstaf berekeningen</a:t>
          </a:r>
          <a:endParaRPr kumimoji="0" lang="nl-NL" sz="1200" b="0" i="0" u="none" strike="noStrike" kern="0" cap="none" spc="0" normalizeH="0" baseline="0" noProof="0">
            <a:ln>
              <a:noFill/>
            </a:ln>
            <a:solidFill>
              <a:srgbClr val="5F1F7A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15048</xdr:colOff>
      <xdr:row>23</xdr:row>
      <xdr:rowOff>24497</xdr:rowOff>
    </xdr:from>
    <xdr:to>
      <xdr:col>11</xdr:col>
      <xdr:colOff>627931</xdr:colOff>
      <xdr:row>27</xdr:row>
      <xdr:rowOff>27321</xdr:rowOff>
    </xdr:to>
    <xdr:sp macro="" textlink="">
      <xdr:nvSpPr>
        <xdr:cNvPr id="19" name="Rechthoek 18"/>
        <xdr:cNvSpPr/>
      </xdr:nvSpPr>
      <xdr:spPr>
        <a:xfrm>
          <a:off x="24703848" y="3682097"/>
          <a:ext cx="1984483" cy="726724"/>
        </a:xfrm>
        <a:prstGeom prst="rect">
          <a:avLst/>
        </a:prstGeom>
        <a:solidFill>
          <a:srgbClr val="007FAE"/>
        </a:solidFill>
        <a:ln w="25400" cap="flat" cmpd="sng" algn="ctr">
          <a:solidFill>
            <a:srgbClr val="5F1F7A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12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</a:t>
          </a:r>
        </a:p>
      </xdr:txBody>
    </xdr:sp>
    <xdr:clientData/>
  </xdr:twoCellAnchor>
  <xdr:twoCellAnchor>
    <xdr:from>
      <xdr:col>5</xdr:col>
      <xdr:colOff>19051</xdr:colOff>
      <xdr:row>21</xdr:row>
      <xdr:rowOff>7363</xdr:rowOff>
    </xdr:from>
    <xdr:to>
      <xdr:col>7</xdr:col>
      <xdr:colOff>631933</xdr:colOff>
      <xdr:row>25</xdr:row>
      <xdr:rowOff>10188</xdr:rowOff>
    </xdr:to>
    <xdr:sp macro="" textlink="">
      <xdr:nvSpPr>
        <xdr:cNvPr id="20" name="Rechthoek 19"/>
        <xdr:cNvSpPr/>
      </xdr:nvSpPr>
      <xdr:spPr>
        <a:xfrm>
          <a:off x="21964651" y="3303013"/>
          <a:ext cx="1984482" cy="726725"/>
        </a:xfrm>
        <a:prstGeom prst="rect">
          <a:avLst/>
        </a:prstGeom>
        <a:solidFill>
          <a:srgbClr val="007FAE"/>
        </a:solidFill>
        <a:ln w="25400" cap="flat" cmpd="sng" algn="ctr">
          <a:solidFill>
            <a:srgbClr val="5F1F7A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12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GAW sheet</a:t>
          </a:r>
        </a:p>
      </xdr:txBody>
    </xdr:sp>
    <xdr:clientData/>
  </xdr:twoCellAnchor>
  <xdr:twoCellAnchor>
    <xdr:from>
      <xdr:col>11</xdr:col>
      <xdr:colOff>627931</xdr:colOff>
      <xdr:row>21</xdr:row>
      <xdr:rowOff>12615</xdr:rowOff>
    </xdr:from>
    <xdr:to>
      <xdr:col>14</xdr:col>
      <xdr:colOff>22408</xdr:colOff>
      <xdr:row>25</xdr:row>
      <xdr:rowOff>25909</xdr:rowOff>
    </xdr:to>
    <xdr:cxnSp macro="">
      <xdr:nvCxnSpPr>
        <xdr:cNvPr id="21" name="Rechte verbindingslijn met pijl 20"/>
        <xdr:cNvCxnSpPr>
          <a:stCxn id="19" idx="3"/>
          <a:endCxn id="28" idx="1"/>
        </xdr:cNvCxnSpPr>
      </xdr:nvCxnSpPr>
      <xdr:spPr>
        <a:xfrm flipV="1">
          <a:off x="26688331" y="3308265"/>
          <a:ext cx="1451877" cy="737194"/>
        </a:xfrm>
        <a:prstGeom prst="straightConnector1">
          <a:avLst/>
        </a:prstGeom>
        <a:noFill/>
        <a:ln w="19050" cap="flat" cmpd="sng" algn="ctr">
          <a:solidFill>
            <a:srgbClr val="5F1F7A"/>
          </a:solidFill>
          <a:prstDash val="solid"/>
          <a:tailEnd type="arrow"/>
        </a:ln>
        <a:effectLst/>
      </xdr:spPr>
    </xdr:cxnSp>
    <xdr:clientData/>
  </xdr:twoCellAnchor>
  <xdr:twoCellAnchor>
    <xdr:from>
      <xdr:col>12</xdr:col>
      <xdr:colOff>8565</xdr:colOff>
      <xdr:row>20</xdr:row>
      <xdr:rowOff>9416</xdr:rowOff>
    </xdr:from>
    <xdr:to>
      <xdr:col>14</xdr:col>
      <xdr:colOff>67235</xdr:colOff>
      <xdr:row>20</xdr:row>
      <xdr:rowOff>11206</xdr:rowOff>
    </xdr:to>
    <xdr:cxnSp macro="">
      <xdr:nvCxnSpPr>
        <xdr:cNvPr id="22" name="Rechte verbindingslijn met pijl 21"/>
        <xdr:cNvCxnSpPr>
          <a:stCxn id="17" idx="3"/>
        </xdr:cNvCxnSpPr>
      </xdr:nvCxnSpPr>
      <xdr:spPr>
        <a:xfrm>
          <a:off x="7292389" y="4973622"/>
          <a:ext cx="1268905" cy="1790"/>
        </a:xfrm>
        <a:prstGeom prst="straightConnector1">
          <a:avLst/>
        </a:prstGeom>
        <a:noFill/>
        <a:ln w="19050" cap="flat" cmpd="sng" algn="ctr">
          <a:solidFill>
            <a:srgbClr val="5F1F7A"/>
          </a:solidFill>
          <a:prstDash val="solid"/>
          <a:tailEnd type="arrow"/>
        </a:ln>
        <a:effectLst/>
      </xdr:spPr>
    </xdr:cxnSp>
    <xdr:clientData/>
  </xdr:twoCellAnchor>
  <xdr:twoCellAnchor>
    <xdr:from>
      <xdr:col>3</xdr:col>
      <xdr:colOff>287205</xdr:colOff>
      <xdr:row>23</xdr:row>
      <xdr:rowOff>8776</xdr:rowOff>
    </xdr:from>
    <xdr:to>
      <xdr:col>5</xdr:col>
      <xdr:colOff>19051</xdr:colOff>
      <xdr:row>23</xdr:row>
      <xdr:rowOff>12621</xdr:rowOff>
    </xdr:to>
    <xdr:cxnSp macro="">
      <xdr:nvCxnSpPr>
        <xdr:cNvPr id="23" name="Rechte verbindingslijn met pijl 22"/>
        <xdr:cNvCxnSpPr>
          <a:stCxn id="29" idx="3"/>
          <a:endCxn id="20" idx="1"/>
        </xdr:cNvCxnSpPr>
      </xdr:nvCxnSpPr>
      <xdr:spPr>
        <a:xfrm flipV="1">
          <a:off x="2124970" y="5040217"/>
          <a:ext cx="942081" cy="3845"/>
        </a:xfrm>
        <a:prstGeom prst="straightConnector1">
          <a:avLst/>
        </a:prstGeom>
        <a:noFill/>
        <a:ln w="19050" cap="flat" cmpd="sng" algn="ctr">
          <a:solidFill>
            <a:srgbClr val="5F1F7A"/>
          </a:solidFill>
          <a:prstDash val="solid"/>
          <a:tailEnd type="arrow"/>
        </a:ln>
        <a:effectLst/>
      </xdr:spPr>
    </xdr:cxnSp>
    <xdr:clientData/>
  </xdr:twoCellAnchor>
  <xdr:twoCellAnchor>
    <xdr:from>
      <xdr:col>8</xdr:col>
      <xdr:colOff>7765</xdr:colOff>
      <xdr:row>20</xdr:row>
      <xdr:rowOff>9417</xdr:rowOff>
    </xdr:from>
    <xdr:to>
      <xdr:col>9</xdr:col>
      <xdr:colOff>19850</xdr:colOff>
      <xdr:row>23</xdr:row>
      <xdr:rowOff>8776</xdr:rowOff>
    </xdr:to>
    <xdr:cxnSp macro="">
      <xdr:nvCxnSpPr>
        <xdr:cNvPr id="24" name="Rechte verbindingslijn met pijl 23"/>
        <xdr:cNvCxnSpPr>
          <a:stCxn id="20" idx="3"/>
          <a:endCxn id="17" idx="1"/>
        </xdr:cNvCxnSpPr>
      </xdr:nvCxnSpPr>
      <xdr:spPr>
        <a:xfrm flipV="1">
          <a:off x="23949133" y="3124092"/>
          <a:ext cx="759517" cy="542284"/>
        </a:xfrm>
        <a:prstGeom prst="straightConnector1">
          <a:avLst/>
        </a:prstGeom>
        <a:noFill/>
        <a:ln w="19050" cap="flat" cmpd="sng" algn="ctr">
          <a:solidFill>
            <a:srgbClr val="5F1F7A"/>
          </a:solidFill>
          <a:prstDash val="solid"/>
          <a:tailEnd type="arrow"/>
        </a:ln>
        <a:effectLst/>
      </xdr:spPr>
    </xdr:cxnSp>
    <xdr:clientData/>
  </xdr:twoCellAnchor>
  <xdr:twoCellAnchor>
    <xdr:from>
      <xdr:col>12</xdr:col>
      <xdr:colOff>3362</xdr:colOff>
      <xdr:row>23</xdr:row>
      <xdr:rowOff>22412</xdr:rowOff>
    </xdr:from>
    <xdr:to>
      <xdr:col>14</xdr:col>
      <xdr:colOff>515470</xdr:colOff>
      <xdr:row>29</xdr:row>
      <xdr:rowOff>22411</xdr:rowOff>
    </xdr:to>
    <xdr:cxnSp macro="">
      <xdr:nvCxnSpPr>
        <xdr:cNvPr id="25" name="Rechte verbindingslijn met pijl 24"/>
        <xdr:cNvCxnSpPr/>
      </xdr:nvCxnSpPr>
      <xdr:spPr>
        <a:xfrm flipH="1">
          <a:off x="7287186" y="5524500"/>
          <a:ext cx="1722343" cy="1075764"/>
        </a:xfrm>
        <a:prstGeom prst="straightConnector1">
          <a:avLst/>
        </a:prstGeom>
        <a:noFill/>
        <a:ln w="19050" cap="flat" cmpd="sng" algn="ctr">
          <a:solidFill>
            <a:srgbClr val="5F1F7A"/>
          </a:solidFill>
          <a:prstDash val="solid"/>
          <a:tailEnd type="arrow"/>
        </a:ln>
        <a:effectLst/>
      </xdr:spPr>
    </xdr:cxnSp>
    <xdr:clientData/>
  </xdr:twoCellAnchor>
  <xdr:twoCellAnchor>
    <xdr:from>
      <xdr:col>11</xdr:col>
      <xdr:colOff>661147</xdr:colOff>
      <xdr:row>23</xdr:row>
      <xdr:rowOff>14027</xdr:rowOff>
    </xdr:from>
    <xdr:to>
      <xdr:col>15</xdr:col>
      <xdr:colOff>328849</xdr:colOff>
      <xdr:row>30</xdr:row>
      <xdr:rowOff>78442</xdr:rowOff>
    </xdr:to>
    <xdr:cxnSp macro="">
      <xdr:nvCxnSpPr>
        <xdr:cNvPr id="26" name="Rechte verbindingslijn met pijl 25"/>
        <xdr:cNvCxnSpPr>
          <a:endCxn id="28" idx="2"/>
        </xdr:cNvCxnSpPr>
      </xdr:nvCxnSpPr>
      <xdr:spPr>
        <a:xfrm flipV="1">
          <a:off x="26721547" y="3671627"/>
          <a:ext cx="2410902" cy="1331240"/>
        </a:xfrm>
        <a:prstGeom prst="straightConnector1">
          <a:avLst/>
        </a:prstGeom>
        <a:noFill/>
        <a:ln w="19050" cap="flat" cmpd="sng" algn="ctr">
          <a:solidFill>
            <a:srgbClr val="5F1F7A"/>
          </a:solidFill>
          <a:prstDash val="solid"/>
          <a:tailEnd type="arrow"/>
        </a:ln>
        <a:effectLst/>
      </xdr:spPr>
    </xdr:cxnSp>
    <xdr:clientData/>
  </xdr:twoCellAnchor>
  <xdr:twoCellAnchor>
    <xdr:from>
      <xdr:col>6</xdr:col>
      <xdr:colOff>325492</xdr:colOff>
      <xdr:row>25</xdr:row>
      <xdr:rowOff>10188</xdr:rowOff>
    </xdr:from>
    <xdr:to>
      <xdr:col>9</xdr:col>
      <xdr:colOff>24573</xdr:colOff>
      <xdr:row>29</xdr:row>
      <xdr:rowOff>195914</xdr:rowOff>
    </xdr:to>
    <xdr:cxnSp macro="">
      <xdr:nvCxnSpPr>
        <xdr:cNvPr id="27" name="Rechte verbindingslijn met pijl 26"/>
        <xdr:cNvCxnSpPr>
          <a:stCxn id="20" idx="2"/>
          <a:endCxn id="18" idx="1"/>
        </xdr:cNvCxnSpPr>
      </xdr:nvCxnSpPr>
      <xdr:spPr>
        <a:xfrm>
          <a:off x="22956892" y="4029738"/>
          <a:ext cx="1756481" cy="890576"/>
        </a:xfrm>
        <a:prstGeom prst="straightConnector1">
          <a:avLst/>
        </a:prstGeom>
        <a:noFill/>
        <a:ln w="19050" cap="flat" cmpd="sng" algn="ctr">
          <a:solidFill>
            <a:srgbClr val="5F1F7A"/>
          </a:solidFill>
          <a:prstDash val="solid"/>
          <a:tailEnd type="arrow"/>
        </a:ln>
        <a:effectLst/>
      </xdr:spPr>
    </xdr:cxnSp>
    <xdr:clientData/>
  </xdr:twoCellAnchor>
  <xdr:twoCellAnchor>
    <xdr:from>
      <xdr:col>14</xdr:col>
      <xdr:colOff>22408</xdr:colOff>
      <xdr:row>19</xdr:row>
      <xdr:rowOff>11203</xdr:rowOff>
    </xdr:from>
    <xdr:to>
      <xdr:col>16</xdr:col>
      <xdr:colOff>635291</xdr:colOff>
      <xdr:row>23</xdr:row>
      <xdr:rowOff>14027</xdr:rowOff>
    </xdr:to>
    <xdr:sp macro="" textlink="">
      <xdr:nvSpPr>
        <xdr:cNvPr id="28" name="Rechthoek 27"/>
        <xdr:cNvSpPr/>
      </xdr:nvSpPr>
      <xdr:spPr>
        <a:xfrm>
          <a:off x="28140208" y="2944903"/>
          <a:ext cx="1984483" cy="726724"/>
        </a:xfrm>
        <a:prstGeom prst="rect">
          <a:avLst/>
        </a:prstGeom>
        <a:solidFill>
          <a:srgbClr val="007FAE"/>
        </a:solidFill>
        <a:ln w="25400" cap="flat" cmpd="sng" algn="ctr">
          <a:solidFill>
            <a:srgbClr val="5F1F7A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12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X-factor</a:t>
          </a:r>
        </a:p>
      </xdr:txBody>
    </xdr:sp>
    <xdr:clientData/>
  </xdr:twoCellAnchor>
  <xdr:twoCellAnchor>
    <xdr:from>
      <xdr:col>1</xdr:col>
      <xdr:colOff>11205</xdr:colOff>
      <xdr:row>21</xdr:row>
      <xdr:rowOff>11209</xdr:rowOff>
    </xdr:from>
    <xdr:to>
      <xdr:col>3</xdr:col>
      <xdr:colOff>287205</xdr:colOff>
      <xdr:row>25</xdr:row>
      <xdr:rowOff>14033</xdr:rowOff>
    </xdr:to>
    <xdr:sp macro="" textlink="">
      <xdr:nvSpPr>
        <xdr:cNvPr id="29" name="Rechthoek 28"/>
        <xdr:cNvSpPr/>
      </xdr:nvSpPr>
      <xdr:spPr>
        <a:xfrm>
          <a:off x="324970" y="4684062"/>
          <a:ext cx="1800000" cy="720000"/>
        </a:xfrm>
        <a:prstGeom prst="rect">
          <a:avLst/>
        </a:prstGeom>
        <a:solidFill>
          <a:srgbClr val="007FAE"/>
        </a:solidFill>
        <a:ln w="22225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txBody>
        <a:bodyPr vertOverflow="clip" horzOverflow="clip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12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+mn-ea"/>
              <a:cs typeface="+mn-cs"/>
            </a:rPr>
            <a:t>Investeringen</a:t>
          </a:r>
          <a:endParaRPr kumimoji="0" lang="nl-NL" sz="1050" b="0" i="0" u="none" strike="noStrike" kern="0" cap="none" spc="0" normalizeH="0" baseline="0" noProof="0">
            <a:ln>
              <a:noFill/>
            </a:ln>
            <a:solidFill>
              <a:srgbClr val="5F1F7A"/>
            </a:solidFill>
            <a:effectLst/>
            <a:uLnTx/>
            <a:uFillTx/>
            <a:latin typeface="Arial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22410</xdr:colOff>
      <xdr:row>13</xdr:row>
      <xdr:rowOff>78441</xdr:rowOff>
    </xdr:from>
    <xdr:to>
      <xdr:col>7</xdr:col>
      <xdr:colOff>635292</xdr:colOff>
      <xdr:row>17</xdr:row>
      <xdr:rowOff>81265</xdr:rowOff>
    </xdr:to>
    <xdr:sp macro="" textlink="">
      <xdr:nvSpPr>
        <xdr:cNvPr id="30" name="Stroomdiagram: Proces 29"/>
        <xdr:cNvSpPr/>
      </xdr:nvSpPr>
      <xdr:spPr>
        <a:xfrm>
          <a:off x="21968010" y="1926291"/>
          <a:ext cx="1984482" cy="726724"/>
        </a:xfrm>
        <a:prstGeom prst="flowChartProcess">
          <a:avLst/>
        </a:prstGeom>
        <a:solidFill>
          <a:srgbClr val="E5007D"/>
        </a:solidFill>
        <a:ln w="38100" cap="flat" cmpd="sng" algn="ctr">
          <a:solidFill>
            <a:srgbClr val="5F1F7A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txBody>
        <a:bodyPr vertOverflow="clip" horzOverflow="clip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12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+mn-ea"/>
              <a:cs typeface="+mn-cs"/>
            </a:rPr>
            <a:t>Start EHD-GAW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10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+mn-ea"/>
              <a:cs typeface="+mn-cs"/>
            </a:rPr>
            <a:t>(dit bestand)</a:t>
          </a:r>
        </a:p>
      </xdr:txBody>
    </xdr:sp>
    <xdr:clientData/>
  </xdr:twoCellAnchor>
  <xdr:twoCellAnchor>
    <xdr:from>
      <xdr:col>6</xdr:col>
      <xdr:colOff>325492</xdr:colOff>
      <xdr:row>17</xdr:row>
      <xdr:rowOff>81265</xdr:rowOff>
    </xdr:from>
    <xdr:to>
      <xdr:col>6</xdr:col>
      <xdr:colOff>328851</xdr:colOff>
      <xdr:row>21</xdr:row>
      <xdr:rowOff>7363</xdr:rowOff>
    </xdr:to>
    <xdr:cxnSp macro="">
      <xdr:nvCxnSpPr>
        <xdr:cNvPr id="31" name="Rechte verbindingslijn met pijl 30"/>
        <xdr:cNvCxnSpPr>
          <a:stCxn id="30" idx="2"/>
          <a:endCxn id="20" idx="0"/>
        </xdr:cNvCxnSpPr>
      </xdr:nvCxnSpPr>
      <xdr:spPr>
        <a:xfrm flipH="1">
          <a:off x="22956892" y="2653015"/>
          <a:ext cx="3359" cy="649998"/>
        </a:xfrm>
        <a:prstGeom prst="straightConnector1">
          <a:avLst/>
        </a:prstGeom>
        <a:noFill/>
        <a:ln w="19050" cap="flat" cmpd="sng" algn="ctr">
          <a:solidFill>
            <a:srgbClr val="5F1F7A"/>
          </a:solidFill>
          <a:prstDash val="solid"/>
          <a:tailEnd type="arrow"/>
        </a:ln>
        <a:effectLst/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8%20REG2017/Projecten%20REG2017/Modellen/RNBs%20E/Model/Subbestand%20q-factor/20160509%20RNB-E%20Q-factorberekening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7%20DN/104117%20Update%20q-factor%20NE6R/02%20Rekenmodel/01%20Rekenmodel%20NE5R/104163%2020120827%20Rekenmodel%20q-factor%20NE5R%20(gewijzigd)%20EXTER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elichting"/>
      <sheetName val="Versiebeheer"/>
      <sheetName val="Logboek importeren gegevens"/>
      <sheetName val="Data"/>
      <sheetName val="Verrekening onder-boven"/>
      <sheetName val="Q-bedragen"/>
      <sheetName val="Parameters"/>
      <sheetName val="FNOP"/>
    </sheetNames>
    <sheetDataSet>
      <sheetData sheetId="0"/>
      <sheetData sheetId="1"/>
      <sheetData sheetId="2"/>
      <sheetData sheetId="3"/>
      <sheetData sheetId="4"/>
      <sheetData sheetId="5"/>
      <sheetData sheetId="6">
        <row r="37">
          <cell r="G37">
            <v>0.99</v>
          </cell>
        </row>
        <row r="38">
          <cell r="G38">
            <v>0.01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elichting Herstel NE5R"/>
      <sheetName val="Data"/>
      <sheetName val="Verrekening onder-boven"/>
      <sheetName val="q-factoren"/>
      <sheetName val="Parameter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1">
          <cell r="C41">
            <v>4.6482055999999661E-2</v>
          </cell>
          <cell r="D41">
            <v>3.5096000000000016E-2</v>
          </cell>
          <cell r="E41">
            <v>3.0000000000000001E-3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4"/>
  <sheetViews>
    <sheetView showGridLines="0" tabSelected="1" zoomScale="85" zoomScaleNormal="85" workbookViewId="0"/>
  </sheetViews>
  <sheetFormatPr defaultRowHeight="12.75" x14ac:dyDescent="0.2"/>
  <cols>
    <col min="1" max="1" width="4.7109375" style="25" customWidth="1"/>
    <col min="2" max="2" width="13.7109375" style="25" customWidth="1"/>
    <col min="3" max="16384" width="9.140625" style="25"/>
  </cols>
  <sheetData>
    <row r="1" spans="2:19" x14ac:dyDescent="0.2">
      <c r="B1" s="25" t="s">
        <v>72</v>
      </c>
    </row>
    <row r="3" spans="2:19" s="2" customFormat="1" ht="18" customHeight="1" x14ac:dyDescent="0.25">
      <c r="B3" s="76" t="s">
        <v>20</v>
      </c>
      <c r="E3" s="18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3"/>
    </row>
    <row r="5" spans="2:19" x14ac:dyDescent="0.2">
      <c r="B5" s="25" t="s">
        <v>21</v>
      </c>
    </row>
    <row r="6" spans="2:19" x14ac:dyDescent="0.2">
      <c r="B6" s="25" t="s">
        <v>22</v>
      </c>
    </row>
    <row r="7" spans="2:19" x14ac:dyDescent="0.2">
      <c r="B7" s="25" t="s">
        <v>71</v>
      </c>
    </row>
    <row r="8" spans="2:19" x14ac:dyDescent="0.2">
      <c r="B8" s="25" t="s">
        <v>57</v>
      </c>
    </row>
    <row r="9" spans="2:19" x14ac:dyDescent="0.2">
      <c r="B9" s="80" t="s">
        <v>63</v>
      </c>
    </row>
    <row r="10" spans="2:19" x14ac:dyDescent="0.2">
      <c r="B10" s="59" t="s">
        <v>73</v>
      </c>
    </row>
    <row r="11" spans="2:19" x14ac:dyDescent="0.2">
      <c r="B11" s="59"/>
    </row>
    <row r="12" spans="2:19" x14ac:dyDescent="0.2">
      <c r="B12" s="60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</row>
    <row r="13" spans="2:19" s="81" customFormat="1" ht="15" x14ac:dyDescent="0.25">
      <c r="B13" s="81" t="s">
        <v>64</v>
      </c>
    </row>
    <row r="14" spans="2:19" ht="14.25" x14ac:dyDescent="0.2"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61"/>
    </row>
    <row r="15" spans="2:19" ht="14.25" x14ac:dyDescent="0.2"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61"/>
    </row>
    <row r="16" spans="2:19" ht="14.25" x14ac:dyDescent="0.2"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61"/>
    </row>
    <row r="17" spans="2:18" ht="14.25" x14ac:dyDescent="0.2"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61"/>
    </row>
    <row r="18" spans="2:18" ht="14.25" x14ac:dyDescent="0.2"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61"/>
    </row>
    <row r="19" spans="2:18" ht="14.25" x14ac:dyDescent="0.2"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61"/>
    </row>
    <row r="20" spans="2:18" ht="14.25" x14ac:dyDescent="0.2"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61"/>
    </row>
    <row r="21" spans="2:18" ht="14.25" x14ac:dyDescent="0.2"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61"/>
    </row>
    <row r="22" spans="2:18" ht="14.25" x14ac:dyDescent="0.2"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61"/>
    </row>
    <row r="23" spans="2:18" ht="14.25" x14ac:dyDescent="0.2"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61"/>
    </row>
    <row r="24" spans="2:18" ht="14.25" x14ac:dyDescent="0.2"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61"/>
    </row>
    <row r="25" spans="2:18" ht="14.25" x14ac:dyDescent="0.2"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61"/>
    </row>
    <row r="26" spans="2:18" ht="14.25" x14ac:dyDescent="0.2"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61"/>
    </row>
    <row r="27" spans="2:18" ht="14.25" x14ac:dyDescent="0.2"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61"/>
    </row>
    <row r="28" spans="2:18" ht="14.25" x14ac:dyDescent="0.2"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61"/>
    </row>
    <row r="29" spans="2:18" ht="14.25" x14ac:dyDescent="0.2">
      <c r="B29" s="22" t="s">
        <v>65</v>
      </c>
      <c r="C29" s="22" t="s">
        <v>66</v>
      </c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61"/>
    </row>
    <row r="30" spans="2:18" ht="14.25" x14ac:dyDescent="0.2">
      <c r="B30" s="22" t="s">
        <v>67</v>
      </c>
      <c r="C30" s="22" t="s">
        <v>68</v>
      </c>
      <c r="E30" s="82"/>
      <c r="F30" s="82"/>
      <c r="G30" s="82"/>
      <c r="H30" s="82"/>
      <c r="I30" s="83"/>
      <c r="J30" s="82"/>
      <c r="K30" s="82"/>
      <c r="L30" s="82"/>
      <c r="M30" s="82"/>
      <c r="N30" s="82"/>
      <c r="O30" s="82"/>
      <c r="P30" s="82"/>
      <c r="Q30" s="82"/>
      <c r="R30" s="61"/>
    </row>
    <row r="31" spans="2:18" ht="14.25" x14ac:dyDescent="0.2">
      <c r="B31" s="22" t="s">
        <v>69</v>
      </c>
      <c r="C31" s="22" t="s">
        <v>70</v>
      </c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61"/>
    </row>
    <row r="32" spans="2:18" ht="14.25" x14ac:dyDescent="0.2"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61"/>
    </row>
    <row r="33" spans="2:3" s="62" customFormat="1" x14ac:dyDescent="0.2">
      <c r="B33" s="62" t="s">
        <v>23</v>
      </c>
    </row>
    <row r="35" spans="2:3" x14ac:dyDescent="0.2">
      <c r="B35" s="63"/>
      <c r="C35" s="25" t="s">
        <v>24</v>
      </c>
    </row>
    <row r="36" spans="2:3" x14ac:dyDescent="0.2">
      <c r="B36" s="64"/>
      <c r="C36" s="25" t="s">
        <v>25</v>
      </c>
    </row>
    <row r="37" spans="2:3" x14ac:dyDescent="0.2">
      <c r="B37" s="65"/>
      <c r="C37" s="25" t="s">
        <v>26</v>
      </c>
    </row>
    <row r="38" spans="2:3" x14ac:dyDescent="0.2">
      <c r="B38" s="66"/>
      <c r="C38" s="25" t="s">
        <v>27</v>
      </c>
    </row>
    <row r="39" spans="2:3" x14ac:dyDescent="0.2">
      <c r="B39" s="67"/>
      <c r="C39" s="25" t="s">
        <v>28</v>
      </c>
    </row>
    <row r="40" spans="2:3" x14ac:dyDescent="0.2">
      <c r="B40" s="68"/>
      <c r="C40" s="25" t="s">
        <v>29</v>
      </c>
    </row>
    <row r="41" spans="2:3" x14ac:dyDescent="0.2">
      <c r="B41" s="69"/>
      <c r="C41" s="25" t="s">
        <v>30</v>
      </c>
    </row>
    <row r="42" spans="2:3" x14ac:dyDescent="0.2">
      <c r="B42" s="70"/>
      <c r="C42" s="25" t="s">
        <v>31</v>
      </c>
    </row>
    <row r="43" spans="2:3" x14ac:dyDescent="0.2">
      <c r="B43" s="71"/>
      <c r="C43" s="25" t="s">
        <v>58</v>
      </c>
    </row>
    <row r="44" spans="2:3" x14ac:dyDescent="0.2">
      <c r="B44" s="72" t="s">
        <v>32</v>
      </c>
      <c r="C44" s="25" t="s">
        <v>33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E5"/>
  </sheetPr>
  <dimension ref="A1:S79"/>
  <sheetViews>
    <sheetView showGridLines="0" zoomScale="85" zoomScaleNormal="85" workbookViewId="0"/>
  </sheetViews>
  <sheetFormatPr defaultRowHeight="12.75" x14ac:dyDescent="0.2"/>
  <cols>
    <col min="1" max="1" width="3.140625" style="25" customWidth="1"/>
    <col min="2" max="2" width="10" style="25" customWidth="1"/>
    <col min="3" max="3" width="18.140625" style="25" customWidth="1"/>
    <col min="4" max="6" width="12.42578125" style="25" customWidth="1"/>
    <col min="7" max="7" width="11.28515625" style="25" customWidth="1"/>
    <col min="8" max="8" width="10" style="25" customWidth="1"/>
    <col min="9" max="9" width="13.7109375" style="25" customWidth="1"/>
    <col min="10" max="12" width="13" style="25" customWidth="1"/>
    <col min="13" max="13" width="7.140625" style="25" customWidth="1"/>
    <col min="14" max="14" width="11.7109375" style="25" customWidth="1"/>
    <col min="15" max="16384" width="9.140625" style="25"/>
  </cols>
  <sheetData>
    <row r="1" spans="1:19" x14ac:dyDescent="0.2">
      <c r="B1" s="25" t="s">
        <v>72</v>
      </c>
    </row>
    <row r="3" spans="1:19" s="2" customFormat="1" ht="18" customHeight="1" x14ac:dyDescent="0.25">
      <c r="B3" s="76" t="s">
        <v>43</v>
      </c>
      <c r="E3" s="18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3"/>
    </row>
    <row r="4" spans="1:19" s="27" customFormat="1" ht="18" customHeight="1" x14ac:dyDescent="0.2">
      <c r="B4" s="26"/>
      <c r="E4" s="26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8"/>
    </row>
    <row r="5" spans="1:19" s="27" customFormat="1" ht="18" customHeight="1" x14ac:dyDescent="0.2">
      <c r="B5" s="30" t="s">
        <v>53</v>
      </c>
      <c r="E5" s="26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8"/>
    </row>
    <row r="6" spans="1:19" s="27" customFormat="1" ht="18" customHeight="1" x14ac:dyDescent="0.2">
      <c r="B6" s="26"/>
      <c r="E6" s="26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8"/>
    </row>
    <row r="7" spans="1:19" s="27" customFormat="1" ht="18" customHeight="1" x14ac:dyDescent="0.2">
      <c r="B7" s="26"/>
      <c r="E7" s="26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8"/>
    </row>
    <row r="8" spans="1:19" s="52" customFormat="1" x14ac:dyDescent="0.2">
      <c r="D8" s="52" t="s">
        <v>59</v>
      </c>
      <c r="F8" s="53"/>
      <c r="H8" s="53"/>
      <c r="I8" s="53"/>
      <c r="J8" s="53" t="s">
        <v>45</v>
      </c>
      <c r="K8" s="53"/>
      <c r="L8" s="53"/>
      <c r="M8" s="53"/>
      <c r="N8" s="53" t="s">
        <v>55</v>
      </c>
      <c r="O8" s="53"/>
      <c r="P8" s="53"/>
      <c r="Q8" s="53"/>
      <c r="R8" s="53"/>
      <c r="S8" s="54"/>
    </row>
    <row r="9" spans="1:19" s="55" customFormat="1" x14ac:dyDescent="0.2">
      <c r="C9" s="55" t="s">
        <v>60</v>
      </c>
      <c r="D9" s="55">
        <v>5</v>
      </c>
      <c r="E9" s="55">
        <v>30</v>
      </c>
      <c r="F9" s="56">
        <v>55</v>
      </c>
      <c r="G9" s="55" t="s">
        <v>0</v>
      </c>
      <c r="H9" s="56" t="s">
        <v>9</v>
      </c>
      <c r="I9" s="56"/>
      <c r="J9" s="56">
        <v>5</v>
      </c>
      <c r="K9" s="56">
        <v>30</v>
      </c>
      <c r="L9" s="56">
        <v>55</v>
      </c>
      <c r="M9" s="56"/>
      <c r="N9" s="56"/>
      <c r="O9" s="56"/>
      <c r="P9" s="56"/>
      <c r="Q9" s="56"/>
      <c r="R9" s="56"/>
      <c r="S9" s="57"/>
    </row>
    <row r="10" spans="1:19" s="49" customFormat="1" x14ac:dyDescent="0.2">
      <c r="F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1"/>
    </row>
    <row r="11" spans="1:19" s="5" customFormat="1" ht="13.5" customHeight="1" x14ac:dyDescent="0.2">
      <c r="B11" s="5" t="s">
        <v>2</v>
      </c>
      <c r="F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6"/>
    </row>
    <row r="12" spans="1:19" s="8" customFormat="1" x14ac:dyDescent="0.2">
      <c r="F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9"/>
    </row>
    <row r="13" spans="1:19" s="8" customFormat="1" x14ac:dyDescent="0.2">
      <c r="B13" s="8" t="s">
        <v>50</v>
      </c>
      <c r="F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9"/>
    </row>
    <row r="14" spans="1:19" x14ac:dyDescent="0.2">
      <c r="A14" s="47"/>
      <c r="B14" s="46">
        <v>1998</v>
      </c>
      <c r="C14" s="47" t="s">
        <v>2</v>
      </c>
      <c r="D14" s="1"/>
      <c r="E14" s="1"/>
      <c r="F14" s="1">
        <v>15077504.289999999</v>
      </c>
      <c r="G14" s="1">
        <v>20</v>
      </c>
      <c r="H14" s="58">
        <f>$E$49</f>
        <v>22.670560934942028</v>
      </c>
      <c r="I14" s="29"/>
      <c r="J14" s="16">
        <f>IF($B14&lt;2006,(2005-$B14+0.5)*D14/$H14,0)</f>
        <v>0</v>
      </c>
      <c r="K14" s="16">
        <f>IF($B14&lt;2006,(2005-$B14+0.5)*E14/$H14,0)</f>
        <v>0</v>
      </c>
      <c r="L14" s="16">
        <f>IF($B14&lt;2006,(2005-$B14+0.5)*F14/$H14,0)</f>
        <v>4988023.123887877</v>
      </c>
      <c r="M14" s="17"/>
      <c r="N14" s="32">
        <f>IF($B14&lt;2006,SUM(D14:F14)-SUM(J14:L14),0)</f>
        <v>10089481.166112121</v>
      </c>
    </row>
    <row r="15" spans="1:19" x14ac:dyDescent="0.2">
      <c r="A15" s="47"/>
      <c r="B15" s="46">
        <v>1999</v>
      </c>
      <c r="C15" s="47" t="s">
        <v>2</v>
      </c>
      <c r="D15" s="1"/>
      <c r="E15" s="1"/>
      <c r="F15" s="1">
        <v>22825.599999999999</v>
      </c>
      <c r="G15" s="1">
        <v>18</v>
      </c>
      <c r="H15" s="58">
        <f>$E$49</f>
        <v>22.670560934942028</v>
      </c>
      <c r="I15" s="29"/>
      <c r="J15" s="16">
        <f t="shared" ref="J15:J40" si="0">IF($B15&lt;2006,(2005-$B15+0.5)*D15/$H15,0)</f>
        <v>0</v>
      </c>
      <c r="K15" s="16">
        <f t="shared" ref="K15:L17" si="1">IF($B15&lt;2006,(2005-$B15+0.5)*E15/$H15,0)</f>
        <v>0</v>
      </c>
      <c r="L15" s="16">
        <f t="shared" si="1"/>
        <v>6544.4520947571073</v>
      </c>
      <c r="M15" s="17"/>
      <c r="N15" s="32">
        <f t="shared" ref="N15:N41" si="2">IF($B15&lt;2006,SUM(D15:F15)-SUM(J15:L15),0)</f>
        <v>16281.147905242891</v>
      </c>
    </row>
    <row r="16" spans="1:19" x14ac:dyDescent="0.2">
      <c r="A16" s="47"/>
      <c r="B16" s="46">
        <v>2000</v>
      </c>
      <c r="C16" s="47" t="s">
        <v>2</v>
      </c>
      <c r="D16" s="1"/>
      <c r="E16" s="1">
        <v>687330.61</v>
      </c>
      <c r="F16" s="1"/>
      <c r="G16" s="1">
        <v>18</v>
      </c>
      <c r="H16" s="58">
        <f>$E$48</f>
        <v>18</v>
      </c>
      <c r="I16" s="29"/>
      <c r="J16" s="16">
        <f t="shared" si="0"/>
        <v>0</v>
      </c>
      <c r="K16" s="16">
        <f t="shared" si="1"/>
        <v>210017.68638888889</v>
      </c>
      <c r="L16" s="16">
        <f t="shared" si="1"/>
        <v>0</v>
      </c>
      <c r="M16" s="17"/>
      <c r="N16" s="32">
        <f t="shared" si="2"/>
        <v>477312.92361111112</v>
      </c>
    </row>
    <row r="17" spans="1:19" x14ac:dyDescent="0.2">
      <c r="A17" s="47"/>
      <c r="B17" s="46">
        <v>2000</v>
      </c>
      <c r="C17" s="47" t="s">
        <v>2</v>
      </c>
      <c r="D17" s="1"/>
      <c r="E17" s="1"/>
      <c r="F17" s="1">
        <v>1463755.56</v>
      </c>
      <c r="G17" s="1">
        <v>16</v>
      </c>
      <c r="H17" s="58">
        <f>$E$49</f>
        <v>22.670560934942028</v>
      </c>
      <c r="I17" s="29"/>
      <c r="J17" s="16">
        <f t="shared" si="0"/>
        <v>0</v>
      </c>
      <c r="K17" s="16">
        <f t="shared" si="1"/>
        <v>0</v>
      </c>
      <c r="L17" s="16">
        <f t="shared" si="1"/>
        <v>355114.97060452361</v>
      </c>
      <c r="M17" s="17"/>
      <c r="N17" s="32">
        <f t="shared" si="2"/>
        <v>1108640.5893954765</v>
      </c>
    </row>
    <row r="18" spans="1:19" s="47" customFormat="1" x14ac:dyDescent="0.2">
      <c r="B18" s="46"/>
      <c r="D18" s="17"/>
      <c r="E18" s="17"/>
      <c r="F18" s="17"/>
      <c r="G18" s="17"/>
      <c r="H18" s="84"/>
      <c r="I18" s="84"/>
      <c r="J18" s="17"/>
      <c r="K18" s="17"/>
      <c r="L18" s="17"/>
      <c r="M18" s="17"/>
      <c r="N18" s="85"/>
    </row>
    <row r="19" spans="1:19" s="5" customFormat="1" x14ac:dyDescent="0.2">
      <c r="B19" s="5" t="s">
        <v>44</v>
      </c>
      <c r="F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6"/>
    </row>
    <row r="20" spans="1:19" s="8" customFormat="1" x14ac:dyDescent="0.2">
      <c r="F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9"/>
    </row>
    <row r="21" spans="1:19" s="8" customFormat="1" x14ac:dyDescent="0.2">
      <c r="B21" s="8" t="s">
        <v>50</v>
      </c>
      <c r="F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9"/>
    </row>
    <row r="22" spans="1:19" x14ac:dyDescent="0.2">
      <c r="A22" s="47"/>
      <c r="B22" s="46">
        <v>1998</v>
      </c>
      <c r="C22" s="47" t="s">
        <v>3</v>
      </c>
      <c r="D22" s="1"/>
      <c r="E22" s="1"/>
      <c r="F22" s="1">
        <v>3584651.36</v>
      </c>
      <c r="G22" s="1">
        <v>8</v>
      </c>
      <c r="H22" s="58">
        <f>$E$49</f>
        <v>22.670560934942028</v>
      </c>
      <c r="I22" s="29"/>
      <c r="J22" s="16">
        <f t="shared" si="0"/>
        <v>0</v>
      </c>
      <c r="K22" s="16">
        <f t="shared" ref="K22:L24" si="3">IF($B22&lt;2006,(2005-$B22+0.5)*E22/$H22,0)</f>
        <v>0</v>
      </c>
      <c r="L22" s="16">
        <f t="shared" si="3"/>
        <v>1185894.1327985604</v>
      </c>
      <c r="M22" s="17"/>
      <c r="N22" s="32">
        <f t="shared" si="2"/>
        <v>2398757.2272014394</v>
      </c>
    </row>
    <row r="23" spans="1:19" x14ac:dyDescent="0.2">
      <c r="A23" s="47"/>
      <c r="B23" s="46">
        <v>1999</v>
      </c>
      <c r="C23" s="47" t="s">
        <v>3</v>
      </c>
      <c r="D23" s="1"/>
      <c r="E23" s="1"/>
      <c r="F23" s="1">
        <v>909080.66</v>
      </c>
      <c r="G23" s="1">
        <v>5</v>
      </c>
      <c r="H23" s="58">
        <f>$E$49</f>
        <v>22.670560934942028</v>
      </c>
      <c r="I23" s="29"/>
      <c r="J23" s="16">
        <f t="shared" si="0"/>
        <v>0</v>
      </c>
      <c r="K23" s="16">
        <f t="shared" si="3"/>
        <v>0</v>
      </c>
      <c r="L23" s="16">
        <f t="shared" si="3"/>
        <v>260647.46730163385</v>
      </c>
      <c r="M23" s="17"/>
      <c r="N23" s="32">
        <f t="shared" si="2"/>
        <v>648433.19269836624</v>
      </c>
    </row>
    <row r="24" spans="1:19" x14ac:dyDescent="0.2">
      <c r="A24" s="47"/>
      <c r="B24" s="46">
        <v>2001</v>
      </c>
      <c r="C24" s="47" t="s">
        <v>3</v>
      </c>
      <c r="D24" s="1"/>
      <c r="E24" s="1"/>
      <c r="F24" s="1">
        <v>8472.5300000000007</v>
      </c>
      <c r="G24" s="1">
        <v>8</v>
      </c>
      <c r="H24" s="58">
        <f>$E$49</f>
        <v>22.670560934942028</v>
      </c>
      <c r="I24" s="29"/>
      <c r="J24" s="16">
        <f t="shared" si="0"/>
        <v>0</v>
      </c>
      <c r="K24" s="16">
        <f t="shared" si="3"/>
        <v>0</v>
      </c>
      <c r="L24" s="16">
        <f t="shared" si="3"/>
        <v>1681.7574611149557</v>
      </c>
      <c r="M24" s="17"/>
      <c r="N24" s="32">
        <f t="shared" si="2"/>
        <v>6790.7725388850449</v>
      </c>
    </row>
    <row r="25" spans="1:19" s="47" customFormat="1" x14ac:dyDescent="0.2">
      <c r="B25" s="46"/>
      <c r="D25" s="17"/>
      <c r="E25" s="17"/>
      <c r="F25" s="17"/>
      <c r="G25" s="17"/>
      <c r="H25" s="84"/>
      <c r="I25" s="84"/>
      <c r="J25" s="17"/>
      <c r="K25" s="17"/>
      <c r="L25" s="17"/>
      <c r="M25" s="17"/>
      <c r="N25" s="85"/>
    </row>
    <row r="26" spans="1:19" s="5" customFormat="1" x14ac:dyDescent="0.2">
      <c r="B26" s="5" t="s">
        <v>4</v>
      </c>
      <c r="F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6"/>
    </row>
    <row r="27" spans="1:19" s="8" customFormat="1" x14ac:dyDescent="0.2">
      <c r="F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9"/>
    </row>
    <row r="28" spans="1:19" s="8" customFormat="1" x14ac:dyDescent="0.2">
      <c r="B28" s="8" t="s">
        <v>50</v>
      </c>
      <c r="F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9"/>
    </row>
    <row r="29" spans="1:19" x14ac:dyDescent="0.2">
      <c r="A29" s="47"/>
      <c r="B29" s="46">
        <v>2002</v>
      </c>
      <c r="C29" s="47" t="s">
        <v>4</v>
      </c>
      <c r="D29" s="1">
        <v>151952.07</v>
      </c>
      <c r="E29" s="1"/>
      <c r="F29" s="1"/>
      <c r="G29" s="1">
        <v>4</v>
      </c>
      <c r="H29" s="58">
        <f t="shared" ref="H29:H34" si="4">$E$47</f>
        <v>4.0812079444981837</v>
      </c>
      <c r="I29" s="29"/>
      <c r="J29" s="16">
        <f t="shared" si="0"/>
        <v>130312.45950526858</v>
      </c>
      <c r="K29" s="16">
        <f t="shared" ref="K29:K34" si="5">IF($B29&lt;2006,(2005-$B29+0.5)*E29/$H29,0)</f>
        <v>0</v>
      </c>
      <c r="L29" s="16">
        <f t="shared" ref="L29:L34" si="6">IF($B29&lt;2006,(2005-$B29+0.5)*F29/$H29,0)</f>
        <v>0</v>
      </c>
      <c r="M29" s="17"/>
      <c r="N29" s="32">
        <f t="shared" si="2"/>
        <v>21639.610494731431</v>
      </c>
    </row>
    <row r="30" spans="1:19" x14ac:dyDescent="0.2">
      <c r="A30" s="47"/>
      <c r="B30" s="46">
        <v>2003</v>
      </c>
      <c r="C30" s="47" t="s">
        <v>4</v>
      </c>
      <c r="D30" s="1">
        <v>193995.61</v>
      </c>
      <c r="E30" s="1"/>
      <c r="F30" s="1"/>
      <c r="G30" s="1">
        <v>4</v>
      </c>
      <c r="H30" s="58">
        <f t="shared" si="4"/>
        <v>4.0812079444981837</v>
      </c>
      <c r="I30" s="29"/>
      <c r="J30" s="16">
        <f t="shared" si="0"/>
        <v>118834.6763006297</v>
      </c>
      <c r="K30" s="16">
        <f t="shared" si="5"/>
        <v>0</v>
      </c>
      <c r="L30" s="16">
        <f t="shared" si="6"/>
        <v>0</v>
      </c>
      <c r="M30" s="17"/>
      <c r="N30" s="32">
        <f t="shared" si="2"/>
        <v>75160.933699370289</v>
      </c>
    </row>
    <row r="31" spans="1:19" x14ac:dyDescent="0.2">
      <c r="A31" s="47"/>
      <c r="B31" s="46">
        <v>2004</v>
      </c>
      <c r="C31" s="47" t="s">
        <v>4</v>
      </c>
      <c r="D31" s="1">
        <v>61623.31000000007</v>
      </c>
      <c r="E31" s="1"/>
      <c r="F31" s="1"/>
      <c r="G31" s="1">
        <v>4</v>
      </c>
      <c r="H31" s="58">
        <f t="shared" si="4"/>
        <v>4.0812079444981837</v>
      </c>
      <c r="I31" s="29"/>
      <c r="J31" s="16">
        <f t="shared" si="0"/>
        <v>22648.923126940965</v>
      </c>
      <c r="K31" s="16">
        <f t="shared" si="5"/>
        <v>0</v>
      </c>
      <c r="L31" s="16">
        <f t="shared" si="6"/>
        <v>0</v>
      </c>
      <c r="M31" s="17"/>
      <c r="N31" s="32">
        <f t="shared" si="2"/>
        <v>38974.386873059106</v>
      </c>
    </row>
    <row r="32" spans="1:19" x14ac:dyDescent="0.2">
      <c r="A32" s="47"/>
      <c r="B32" s="46">
        <v>2004</v>
      </c>
      <c r="C32" s="47" t="s">
        <v>4</v>
      </c>
      <c r="D32" s="1">
        <v>5200</v>
      </c>
      <c r="E32" s="1"/>
      <c r="F32" s="1"/>
      <c r="G32" s="1">
        <v>5</v>
      </c>
      <c r="H32" s="58">
        <f t="shared" si="4"/>
        <v>4.0812079444981837</v>
      </c>
      <c r="I32" s="29"/>
      <c r="J32" s="16">
        <f t="shared" si="0"/>
        <v>1911.198867118512</v>
      </c>
      <c r="K32" s="16">
        <f t="shared" si="5"/>
        <v>0</v>
      </c>
      <c r="L32" s="16">
        <f t="shared" si="6"/>
        <v>0</v>
      </c>
      <c r="M32" s="17"/>
      <c r="N32" s="32">
        <f t="shared" si="2"/>
        <v>3288.8011328814882</v>
      </c>
    </row>
    <row r="33" spans="1:19" x14ac:dyDescent="0.2">
      <c r="A33" s="47"/>
      <c r="B33" s="46">
        <v>2005</v>
      </c>
      <c r="C33" s="47" t="s">
        <v>4</v>
      </c>
      <c r="D33" s="1">
        <v>96331.719999999943</v>
      </c>
      <c r="E33" s="1"/>
      <c r="F33" s="1"/>
      <c r="G33" s="1">
        <v>4</v>
      </c>
      <c r="H33" s="58">
        <f t="shared" si="4"/>
        <v>4.0812079444981837</v>
      </c>
      <c r="I33" s="29"/>
      <c r="J33" s="16">
        <f t="shared" si="0"/>
        <v>11801.863726383181</v>
      </c>
      <c r="K33" s="16">
        <f t="shared" si="5"/>
        <v>0</v>
      </c>
      <c r="L33" s="16">
        <f t="shared" si="6"/>
        <v>0</v>
      </c>
      <c r="M33" s="17"/>
      <c r="N33" s="32">
        <f t="shared" si="2"/>
        <v>84529.856273616766</v>
      </c>
    </row>
    <row r="34" spans="1:19" x14ac:dyDescent="0.2">
      <c r="A34" s="47"/>
      <c r="B34" s="46">
        <v>2005</v>
      </c>
      <c r="C34" s="47" t="s">
        <v>4</v>
      </c>
      <c r="D34" s="1">
        <v>39337.72</v>
      </c>
      <c r="E34" s="1"/>
      <c r="F34" s="1"/>
      <c r="G34" s="1">
        <v>5</v>
      </c>
      <c r="H34" s="58">
        <f t="shared" si="4"/>
        <v>4.0812079444981837</v>
      </c>
      <c r="I34" s="29"/>
      <c r="J34" s="16">
        <f t="shared" si="0"/>
        <v>4819.372173014438</v>
      </c>
      <c r="K34" s="16">
        <f t="shared" si="5"/>
        <v>0</v>
      </c>
      <c r="L34" s="16">
        <f t="shared" si="6"/>
        <v>0</v>
      </c>
      <c r="M34" s="17"/>
      <c r="N34" s="32">
        <f t="shared" si="2"/>
        <v>34518.347826985562</v>
      </c>
    </row>
    <row r="35" spans="1:19" x14ac:dyDescent="0.2">
      <c r="A35" s="47"/>
      <c r="B35" s="46">
        <v>1998</v>
      </c>
      <c r="C35" s="47" t="s">
        <v>4</v>
      </c>
      <c r="D35" s="1"/>
      <c r="E35" s="1"/>
      <c r="F35" s="1">
        <v>44550522.028760582</v>
      </c>
      <c r="G35" s="1">
        <v>25</v>
      </c>
      <c r="H35" s="58">
        <f t="shared" ref="H35:H41" si="7">$E$49</f>
        <v>22.670560934942028</v>
      </c>
      <c r="I35" s="29"/>
      <c r="J35" s="16">
        <f t="shared" si="0"/>
        <v>0</v>
      </c>
      <c r="K35" s="16">
        <f t="shared" ref="K35:K41" si="8">IF($B35&lt;2006,(2005-$B35+0.5)*E35/$H35,0)</f>
        <v>0</v>
      </c>
      <c r="L35" s="16">
        <f t="shared" ref="L35:L41" si="9">IF($B35&lt;2006,(2005-$B35+0.5)*F35/$H35,0)</f>
        <v>14738449.400284272</v>
      </c>
      <c r="M35" s="17"/>
      <c r="N35" s="32">
        <f t="shared" si="2"/>
        <v>29812072.628476311</v>
      </c>
    </row>
    <row r="36" spans="1:19" x14ac:dyDescent="0.2">
      <c r="A36" s="47"/>
      <c r="B36" s="46">
        <v>1999</v>
      </c>
      <c r="C36" s="47" t="s">
        <v>4</v>
      </c>
      <c r="D36" s="1"/>
      <c r="E36" s="1"/>
      <c r="F36" s="1">
        <v>363024.17287211108</v>
      </c>
      <c r="G36" s="1">
        <v>25</v>
      </c>
      <c r="H36" s="58">
        <f t="shared" si="7"/>
        <v>22.670560934942028</v>
      </c>
      <c r="I36" s="29"/>
      <c r="J36" s="16">
        <f t="shared" si="0"/>
        <v>0</v>
      </c>
      <c r="K36" s="16">
        <f t="shared" si="8"/>
        <v>0</v>
      </c>
      <c r="L36" s="16">
        <f t="shared" si="9"/>
        <v>104084.63780143144</v>
      </c>
      <c r="M36" s="17"/>
      <c r="N36" s="32">
        <f t="shared" si="2"/>
        <v>258939.53507067965</v>
      </c>
    </row>
    <row r="37" spans="1:19" x14ac:dyDescent="0.2">
      <c r="A37" s="47"/>
      <c r="B37" s="46">
        <v>2002</v>
      </c>
      <c r="C37" s="47" t="s">
        <v>4</v>
      </c>
      <c r="D37" s="1"/>
      <c r="E37" s="1"/>
      <c r="F37" s="1">
        <v>12573937.710000001</v>
      </c>
      <c r="G37" s="1">
        <v>25</v>
      </c>
      <c r="H37" s="58">
        <f t="shared" si="7"/>
        <v>22.670560934942028</v>
      </c>
      <c r="I37" s="29"/>
      <c r="J37" s="16">
        <f t="shared" si="0"/>
        <v>0</v>
      </c>
      <c r="K37" s="16">
        <f t="shared" si="8"/>
        <v>0</v>
      </c>
      <c r="L37" s="16">
        <f t="shared" si="9"/>
        <v>1941230.3961641053</v>
      </c>
      <c r="M37" s="17"/>
      <c r="N37" s="32">
        <f t="shared" si="2"/>
        <v>10632707.313835897</v>
      </c>
    </row>
    <row r="38" spans="1:19" x14ac:dyDescent="0.2">
      <c r="A38" s="47"/>
      <c r="B38" s="46">
        <v>2003</v>
      </c>
      <c r="C38" s="47" t="s">
        <v>4</v>
      </c>
      <c r="D38" s="1"/>
      <c r="E38" s="1"/>
      <c r="F38" s="1">
        <v>2057371.86</v>
      </c>
      <c r="G38" s="1">
        <v>15</v>
      </c>
      <c r="H38" s="58">
        <f t="shared" si="7"/>
        <v>22.670560934942028</v>
      </c>
      <c r="I38" s="29"/>
      <c r="J38" s="16">
        <f t="shared" si="0"/>
        <v>0</v>
      </c>
      <c r="K38" s="16">
        <f t="shared" si="8"/>
        <v>0</v>
      </c>
      <c r="L38" s="16">
        <f t="shared" si="9"/>
        <v>226877.03514527762</v>
      </c>
      <c r="M38" s="17"/>
      <c r="N38" s="32">
        <f t="shared" si="2"/>
        <v>1830494.8248547225</v>
      </c>
    </row>
    <row r="39" spans="1:19" x14ac:dyDescent="0.2">
      <c r="A39" s="47"/>
      <c r="B39" s="46">
        <v>2003</v>
      </c>
      <c r="C39" s="47" t="s">
        <v>4</v>
      </c>
      <c r="D39" s="1"/>
      <c r="E39" s="1"/>
      <c r="F39" s="1">
        <v>385904.88</v>
      </c>
      <c r="G39" s="1">
        <v>25</v>
      </c>
      <c r="H39" s="58">
        <f t="shared" si="7"/>
        <v>22.670560934942028</v>
      </c>
      <c r="I39" s="29"/>
      <c r="J39" s="16">
        <f t="shared" si="0"/>
        <v>0</v>
      </c>
      <c r="K39" s="16">
        <f t="shared" si="8"/>
        <v>0</v>
      </c>
      <c r="L39" s="16">
        <f t="shared" si="9"/>
        <v>42555.726908063247</v>
      </c>
      <c r="M39" s="17"/>
      <c r="N39" s="32">
        <f t="shared" si="2"/>
        <v>343349.15309193678</v>
      </c>
    </row>
    <row r="40" spans="1:19" x14ac:dyDescent="0.2">
      <c r="A40" s="47"/>
      <c r="B40" s="46">
        <v>2004</v>
      </c>
      <c r="C40" s="47" t="s">
        <v>4</v>
      </c>
      <c r="D40" s="1"/>
      <c r="E40" s="1"/>
      <c r="F40" s="1">
        <v>-99831.65</v>
      </c>
      <c r="G40" s="1">
        <v>25</v>
      </c>
      <c r="H40" s="58">
        <f t="shared" si="7"/>
        <v>22.670560934942028</v>
      </c>
      <c r="I40" s="29"/>
      <c r="J40" s="16">
        <f t="shared" si="0"/>
        <v>0</v>
      </c>
      <c r="K40" s="16">
        <f t="shared" si="8"/>
        <v>0</v>
      </c>
      <c r="L40" s="16">
        <f t="shared" si="9"/>
        <v>-6605.371407868206</v>
      </c>
      <c r="M40" s="17"/>
      <c r="N40" s="32">
        <f t="shared" si="2"/>
        <v>-93226.278592131785</v>
      </c>
    </row>
    <row r="41" spans="1:19" x14ac:dyDescent="0.2">
      <c r="A41" s="47"/>
      <c r="B41" s="46">
        <v>2004</v>
      </c>
      <c r="C41" s="47" t="s">
        <v>4</v>
      </c>
      <c r="D41" s="1"/>
      <c r="E41" s="1"/>
      <c r="F41" s="1">
        <v>49109</v>
      </c>
      <c r="G41" s="1">
        <v>25</v>
      </c>
      <c r="H41" s="58">
        <f t="shared" si="7"/>
        <v>22.670560934942028</v>
      </c>
      <c r="I41" s="29"/>
      <c r="J41" s="16">
        <f>IF($B41&lt;2006,(2005-$B41+0.5)*D41/$H41,0)</f>
        <v>0</v>
      </c>
      <c r="K41" s="16">
        <f t="shared" si="8"/>
        <v>0</v>
      </c>
      <c r="L41" s="16">
        <f t="shared" si="9"/>
        <v>3249.3020446822202</v>
      </c>
      <c r="M41" s="17"/>
      <c r="N41" s="32">
        <f t="shared" si="2"/>
        <v>45859.697955317781</v>
      </c>
    </row>
    <row r="42" spans="1:19" x14ac:dyDescent="0.2"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1:19" x14ac:dyDescent="0.2"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1:19" s="5" customFormat="1" x14ac:dyDescent="0.2">
      <c r="B44" s="5" t="s">
        <v>46</v>
      </c>
      <c r="F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6"/>
    </row>
    <row r="45" spans="1:19" x14ac:dyDescent="0.2">
      <c r="B45" s="8"/>
      <c r="C45" s="22"/>
      <c r="D45" s="33"/>
      <c r="E45" s="33"/>
      <c r="F45" s="86"/>
      <c r="G45" s="87"/>
      <c r="H45" s="12"/>
      <c r="I45" s="12"/>
      <c r="J45" s="12"/>
      <c r="K45" s="12"/>
      <c r="L45" s="12"/>
      <c r="M45" s="12"/>
    </row>
    <row r="46" spans="1:19" x14ac:dyDescent="0.2">
      <c r="C46" s="22"/>
      <c r="D46" s="33"/>
      <c r="E46" s="33"/>
      <c r="F46" s="88" t="s">
        <v>8</v>
      </c>
      <c r="G46" s="12"/>
      <c r="H46" s="12"/>
      <c r="I46" s="12"/>
      <c r="J46" s="12"/>
      <c r="K46" s="12"/>
      <c r="L46" s="12"/>
      <c r="M46" s="12"/>
    </row>
    <row r="47" spans="1:19" x14ac:dyDescent="0.2">
      <c r="A47" s="47"/>
      <c r="B47" s="22" t="s">
        <v>5</v>
      </c>
      <c r="C47" s="22"/>
      <c r="D47" s="33"/>
      <c r="E47" s="34">
        <f>SUMPRODUCT(D29:D34,G29:G34)/SUM(D29:D34)</f>
        <v>4.0812079444981837</v>
      </c>
      <c r="F47" s="35">
        <f>ROUND(E47,0)</f>
        <v>4</v>
      </c>
      <c r="G47" s="12"/>
      <c r="H47" s="12"/>
      <c r="I47" s="89"/>
      <c r="J47" s="12"/>
      <c r="K47" s="12"/>
      <c r="L47" s="12"/>
      <c r="M47" s="12"/>
    </row>
    <row r="48" spans="1:19" x14ac:dyDescent="0.2">
      <c r="A48" s="47"/>
      <c r="B48" s="22" t="s">
        <v>6</v>
      </c>
      <c r="C48" s="22"/>
      <c r="D48" s="33"/>
      <c r="E48" s="34">
        <f>(E16*G16)/E16</f>
        <v>18</v>
      </c>
      <c r="F48" s="35">
        <f t="shared" ref="F48" si="10">ROUND(E48,0)</f>
        <v>18</v>
      </c>
      <c r="G48" s="12"/>
      <c r="H48" s="12"/>
      <c r="I48" s="12"/>
      <c r="J48" s="12"/>
      <c r="K48" s="12"/>
      <c r="L48" s="12"/>
      <c r="M48" s="12"/>
    </row>
    <row r="49" spans="1:19" x14ac:dyDescent="0.2">
      <c r="A49" s="47"/>
      <c r="B49" s="22" t="s">
        <v>7</v>
      </c>
      <c r="C49" s="22"/>
      <c r="D49" s="33"/>
      <c r="E49" s="34">
        <f>SUMPRODUCT(F14:F41,G14:G41)/SUM(F14:F41)</f>
        <v>22.670560934942028</v>
      </c>
      <c r="F49" s="35">
        <f>ROUND(E49,0)</f>
        <v>23</v>
      </c>
      <c r="G49" s="12"/>
      <c r="H49" s="12"/>
      <c r="I49" s="12"/>
      <c r="J49" s="12"/>
      <c r="K49" s="12"/>
      <c r="L49" s="12"/>
      <c r="M49" s="12"/>
    </row>
    <row r="50" spans="1:19" x14ac:dyDescent="0.2"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spans="1:19" x14ac:dyDescent="0.2"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1:19" s="5" customFormat="1" x14ac:dyDescent="0.2">
      <c r="B52" s="5" t="s">
        <v>47</v>
      </c>
      <c r="F52" s="7"/>
      <c r="G52" s="7" t="s">
        <v>1</v>
      </c>
      <c r="H52" s="7"/>
      <c r="I52" s="7" t="s">
        <v>10</v>
      </c>
      <c r="J52" s="7"/>
      <c r="K52" s="7" t="s">
        <v>51</v>
      </c>
      <c r="L52" s="7"/>
      <c r="M52" s="7"/>
      <c r="N52" s="7"/>
      <c r="O52" s="7"/>
      <c r="P52" s="7"/>
      <c r="Q52" s="7"/>
      <c r="R52" s="7"/>
      <c r="S52" s="6"/>
    </row>
    <row r="53" spans="1:19" x14ac:dyDescent="0.2">
      <c r="B53" s="22"/>
      <c r="H53" s="12"/>
      <c r="I53" s="12"/>
      <c r="J53" s="12"/>
      <c r="K53" s="12"/>
      <c r="L53" s="12"/>
      <c r="M53" s="12"/>
    </row>
    <row r="54" spans="1:19" x14ac:dyDescent="0.2">
      <c r="A54" s="47"/>
      <c r="B54" s="22" t="s">
        <v>2</v>
      </c>
      <c r="G54" s="36">
        <f>SUM(D14:F17)</f>
        <v>17251416.059999999</v>
      </c>
      <c r="H54" s="37"/>
      <c r="I54" s="37">
        <f>SUM(J14:L17)</f>
        <v>5559700.2329760473</v>
      </c>
      <c r="J54" s="37"/>
      <c r="K54" s="38">
        <f t="shared" ref="K54:K55" si="11">G54-I54</f>
        <v>11691715.827023951</v>
      </c>
      <c r="L54" s="12"/>
      <c r="M54" s="12"/>
    </row>
    <row r="55" spans="1:19" x14ac:dyDescent="0.2">
      <c r="A55" s="47"/>
      <c r="B55" s="22" t="s">
        <v>3</v>
      </c>
      <c r="G55" s="36">
        <f>SUM(D22:F24)</f>
        <v>4502204.55</v>
      </c>
      <c r="H55" s="37"/>
      <c r="I55" s="37">
        <f>SUM(J22:L24)</f>
        <v>1448223.3575613094</v>
      </c>
      <c r="J55" s="37"/>
      <c r="K55" s="38">
        <f t="shared" si="11"/>
        <v>3053981.1924386905</v>
      </c>
      <c r="L55" s="12"/>
      <c r="M55" s="12"/>
    </row>
    <row r="56" spans="1:19" x14ac:dyDescent="0.2">
      <c r="A56" s="47"/>
      <c r="B56" s="22" t="s">
        <v>4</v>
      </c>
      <c r="G56" s="38">
        <f>SUM(D29:F41)</f>
        <v>60428478.431632698</v>
      </c>
      <c r="H56" s="35"/>
      <c r="I56" s="35">
        <f>SUM(J29:L41)</f>
        <v>17340169.62063932</v>
      </c>
      <c r="J56" s="35"/>
      <c r="K56" s="38">
        <f>G56-I56</f>
        <v>43088308.810993373</v>
      </c>
      <c r="L56" s="12"/>
      <c r="M56" s="12"/>
    </row>
    <row r="58" spans="1:19" s="5" customFormat="1" x14ac:dyDescent="0.2">
      <c r="B58" s="5" t="s">
        <v>48</v>
      </c>
      <c r="F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6"/>
    </row>
    <row r="59" spans="1:19" s="8" customFormat="1" x14ac:dyDescent="0.2">
      <c r="B59" s="39"/>
      <c r="C59" s="39"/>
      <c r="E59" s="39"/>
      <c r="F59" s="40"/>
      <c r="G59" s="39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9"/>
    </row>
    <row r="60" spans="1:19" x14ac:dyDescent="0.2">
      <c r="B60" s="43" t="s">
        <v>54</v>
      </c>
      <c r="E60" s="8" t="s">
        <v>11</v>
      </c>
      <c r="F60" s="22"/>
      <c r="G60" s="22"/>
    </row>
    <row r="61" spans="1:19" x14ac:dyDescent="0.2">
      <c r="A61" s="47"/>
      <c r="B61" s="22" t="s">
        <v>2</v>
      </c>
      <c r="C61" s="42">
        <f>(B14*F14+B15*F15+B16*E16+B17*F17)/SUM(F14,F15,E16,F17)+0.5</f>
        <v>1998.7507039378656</v>
      </c>
      <c r="E61" s="45">
        <f>(SUM(D14:D41)*D9+SUM(E14:E41)*E9+SUM(F14:F41)*F9)/SUM(D14:F41)</f>
        <v>54.457238409943713</v>
      </c>
      <c r="F61" s="22"/>
    </row>
    <row r="62" spans="1:19" x14ac:dyDescent="0.2">
      <c r="A62" s="47"/>
      <c r="B62" s="22" t="s">
        <v>3</v>
      </c>
      <c r="C62" s="42">
        <f>SUMPRODUCT(B22:B24,F22:F24)/SUM(F22:F24)+0.5</f>
        <v>1998.7075645918842</v>
      </c>
      <c r="E62" s="22"/>
      <c r="F62" s="22"/>
      <c r="G62" s="22"/>
    </row>
    <row r="63" spans="1:19" x14ac:dyDescent="0.2">
      <c r="A63" s="47"/>
      <c r="B63" s="22" t="s">
        <v>4</v>
      </c>
      <c r="C63" s="42">
        <f>(SUMPRODUCT(B29:B34,D29:D34)+SUMPRODUCT(B35:B41,F35:F41))/SUM(D29:D34,F35:F41)+0.5</f>
        <v>1999.583913359774</v>
      </c>
      <c r="E63" s="22"/>
      <c r="F63" s="22"/>
      <c r="G63" s="22"/>
    </row>
    <row r="66" spans="1:19" s="5" customFormat="1" x14ac:dyDescent="0.2">
      <c r="B66" s="5" t="s">
        <v>49</v>
      </c>
      <c r="F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6"/>
    </row>
    <row r="70" spans="1:19" x14ac:dyDescent="0.2">
      <c r="B70" s="43" t="s">
        <v>56</v>
      </c>
    </row>
    <row r="71" spans="1:19" x14ac:dyDescent="0.2">
      <c r="A71" s="47"/>
      <c r="B71" s="22" t="s">
        <v>2</v>
      </c>
      <c r="C71" s="42">
        <f>ROUND(E61,1)-(2006-ROUND(C61,1))</f>
        <v>47.299999999999955</v>
      </c>
    </row>
    <row r="72" spans="1:19" x14ac:dyDescent="0.2">
      <c r="A72" s="47"/>
      <c r="B72" s="22" t="s">
        <v>3</v>
      </c>
      <c r="C72" s="42">
        <f>ROUND(E61,1)-(2006-ROUND(C62,1))</f>
        <v>47.200000000000045</v>
      </c>
    </row>
    <row r="73" spans="1:19" x14ac:dyDescent="0.2">
      <c r="A73" s="47"/>
      <c r="B73" s="22" t="s">
        <v>4</v>
      </c>
      <c r="C73" s="42">
        <f>ROUND(E61,1)-(2006-ROUND(C63,1))</f>
        <v>48.099999999999909</v>
      </c>
    </row>
    <row r="74" spans="1:19" x14ac:dyDescent="0.2">
      <c r="A74" s="47"/>
    </row>
    <row r="76" spans="1:19" x14ac:dyDescent="0.2">
      <c r="B76" s="43" t="s">
        <v>15</v>
      </c>
      <c r="C76" s="22"/>
      <c r="D76" s="41"/>
    </row>
    <row r="77" spans="1:19" x14ac:dyDescent="0.2">
      <c r="A77" s="47"/>
      <c r="B77" s="22" t="s">
        <v>2</v>
      </c>
      <c r="C77" s="42">
        <f>ROUND(E61,1)-(2017-ROUND($C$61,1))</f>
        <v>36.299999999999955</v>
      </c>
      <c r="D77" s="44"/>
    </row>
    <row r="78" spans="1:19" x14ac:dyDescent="0.2">
      <c r="A78" s="47"/>
      <c r="B78" s="22" t="s">
        <v>3</v>
      </c>
      <c r="C78" s="42">
        <f>ROUND($E$61,1)-(2017-ROUND(C62,1))</f>
        <v>36.200000000000045</v>
      </c>
      <c r="D78" s="44"/>
    </row>
    <row r="79" spans="1:19" x14ac:dyDescent="0.2">
      <c r="A79" s="47"/>
      <c r="B79" s="22" t="s">
        <v>4</v>
      </c>
      <c r="C79" s="42">
        <f>ROUND($E$61,1)-(2017-ROUND(C63,1))</f>
        <v>37.099999999999909</v>
      </c>
      <c r="D79" s="44"/>
    </row>
  </sheetData>
  <pageMargins left="0.7" right="0.7" top="0.75" bottom="0.75" header="0.3" footer="0.3"/>
  <pageSetup paperSize="9" orientation="portrait" horizontalDpi="4294967293" r:id="rId1"/>
  <ignoredErrors>
    <ignoredError sqref="N29:N34 N14:N17 N22:N24 N35:N4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E5"/>
  </sheetPr>
  <dimension ref="A1:Q53"/>
  <sheetViews>
    <sheetView showGridLines="0" zoomScale="85" zoomScaleNormal="85" workbookViewId="0"/>
  </sheetViews>
  <sheetFormatPr defaultRowHeight="12.75" x14ac:dyDescent="0.2"/>
  <cols>
    <col min="1" max="1" width="3.140625" style="12" customWidth="1"/>
    <col min="2" max="2" width="25.42578125" style="12" customWidth="1"/>
    <col min="3" max="3" width="7.7109375" style="12" customWidth="1"/>
    <col min="4" max="4" width="16" style="12" customWidth="1"/>
    <col min="5" max="5" width="11.28515625" style="12" bestFit="1" customWidth="1"/>
    <col min="6" max="6" width="9.140625" style="12"/>
    <col min="7" max="7" width="14.28515625" style="12" customWidth="1"/>
    <col min="8" max="9" width="9.140625" style="12"/>
    <col min="10" max="10" width="11.140625" style="12" customWidth="1"/>
    <col min="11" max="11" width="14.5703125" style="12" customWidth="1"/>
    <col min="12" max="12" width="12.85546875" style="12" customWidth="1"/>
    <col min="13" max="16384" width="9.140625" style="12"/>
  </cols>
  <sheetData>
    <row r="1" spans="1:17" x14ac:dyDescent="0.2">
      <c r="B1" s="25" t="s">
        <v>72</v>
      </c>
    </row>
    <row r="3" spans="1:17" s="77" customFormat="1" ht="18" customHeight="1" x14ac:dyDescent="0.25">
      <c r="B3" s="76" t="s">
        <v>35</v>
      </c>
      <c r="E3" s="76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9"/>
    </row>
    <row r="4" spans="1:17" s="27" customFormat="1" ht="18" customHeight="1" x14ac:dyDescent="0.2">
      <c r="B4" s="26"/>
      <c r="E4" s="26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8"/>
    </row>
    <row r="5" spans="1:17" s="27" customFormat="1" ht="18" customHeight="1" x14ac:dyDescent="0.2">
      <c r="B5" s="30" t="s">
        <v>34</v>
      </c>
      <c r="E5" s="26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8"/>
    </row>
    <row r="7" spans="1:17" s="5" customFormat="1" x14ac:dyDescent="0.2">
      <c r="B7" s="5" t="s">
        <v>36</v>
      </c>
      <c r="E7" s="5">
        <v>2006</v>
      </c>
      <c r="F7" s="7"/>
      <c r="G7" s="7" t="s">
        <v>17</v>
      </c>
      <c r="H7" s="7"/>
      <c r="I7" s="7"/>
      <c r="J7" s="7" t="s">
        <v>37</v>
      </c>
      <c r="K7" s="7"/>
      <c r="L7" s="73">
        <v>2006</v>
      </c>
      <c r="M7" s="7"/>
      <c r="N7" s="7"/>
      <c r="O7" s="7"/>
      <c r="P7" s="7"/>
      <c r="Q7" s="6"/>
    </row>
    <row r="8" spans="1:17" x14ac:dyDescent="0.2">
      <c r="A8" s="8"/>
      <c r="D8" s="13"/>
      <c r="E8" s="14"/>
    </row>
    <row r="9" spans="1:17" s="8" customFormat="1" x14ac:dyDescent="0.2">
      <c r="B9" s="8" t="s">
        <v>2</v>
      </c>
      <c r="E9" s="22"/>
      <c r="F9" s="10"/>
      <c r="G9" s="10"/>
      <c r="H9" s="10"/>
      <c r="I9" s="10"/>
      <c r="J9" s="10" t="s">
        <v>38</v>
      </c>
      <c r="K9" s="10"/>
      <c r="L9" s="10"/>
      <c r="M9" s="10"/>
      <c r="N9" s="10"/>
      <c r="O9" s="10"/>
      <c r="P9" s="10"/>
      <c r="Q9" s="9"/>
    </row>
    <row r="10" spans="1:17" x14ac:dyDescent="0.2">
      <c r="A10" s="17"/>
      <c r="D10" s="20" t="s">
        <v>13</v>
      </c>
      <c r="E10" s="1">
        <v>11304802.723444445</v>
      </c>
      <c r="G10" s="24" t="s">
        <v>19</v>
      </c>
      <c r="I10" s="17"/>
      <c r="K10" s="20" t="s">
        <v>13</v>
      </c>
      <c r="L10" s="58">
        <f>Afschrijftermijnen!K54</f>
        <v>11691715.827023951</v>
      </c>
      <c r="P10" s="24"/>
    </row>
    <row r="11" spans="1:17" x14ac:dyDescent="0.2">
      <c r="A11" s="17"/>
      <c r="B11" s="12" t="s">
        <v>16</v>
      </c>
      <c r="C11" s="48">
        <v>46.290176803083121</v>
      </c>
      <c r="D11" s="20" t="s">
        <v>12</v>
      </c>
      <c r="E11" s="16">
        <f>E10/($C11)</f>
        <v>244216.01955712336</v>
      </c>
      <c r="I11" s="17"/>
      <c r="K11" s="20" t="s">
        <v>12</v>
      </c>
      <c r="L11" s="16">
        <f>L10/Afschrijftermijnen!$C$71</f>
        <v>247182.15279120428</v>
      </c>
    </row>
    <row r="12" spans="1:17" x14ac:dyDescent="0.2">
      <c r="A12" s="17"/>
      <c r="C12" s="21"/>
      <c r="D12" s="20"/>
      <c r="E12" s="17"/>
      <c r="I12" s="17"/>
      <c r="K12" s="20"/>
      <c r="L12" s="17"/>
    </row>
    <row r="13" spans="1:17" x14ac:dyDescent="0.2">
      <c r="A13" s="17"/>
      <c r="C13" s="15"/>
      <c r="D13" s="20" t="s">
        <v>14</v>
      </c>
      <c r="E13" s="16">
        <f>E10-E11</f>
        <v>11060586.703887321</v>
      </c>
      <c r="I13" s="17"/>
      <c r="K13" s="20" t="s">
        <v>14</v>
      </c>
      <c r="L13" s="16">
        <f>L10-L11</f>
        <v>11444533.674232747</v>
      </c>
    </row>
    <row r="14" spans="1:17" x14ac:dyDescent="0.2">
      <c r="A14" s="17"/>
      <c r="I14" s="17"/>
    </row>
    <row r="15" spans="1:17" s="8" customFormat="1" x14ac:dyDescent="0.2">
      <c r="B15" s="8" t="s">
        <v>3</v>
      </c>
      <c r="E15" s="22"/>
      <c r="F15" s="10"/>
      <c r="G15" s="10"/>
      <c r="H15" s="10"/>
      <c r="I15" s="10"/>
      <c r="J15" s="10" t="s">
        <v>3</v>
      </c>
      <c r="K15" s="10"/>
      <c r="L15" s="10"/>
      <c r="M15" s="10"/>
      <c r="N15" s="10"/>
      <c r="O15" s="10"/>
      <c r="P15" s="10"/>
      <c r="Q15" s="9"/>
    </row>
    <row r="16" spans="1:17" x14ac:dyDescent="0.2">
      <c r="A16" s="17"/>
      <c r="D16" s="20" t="s">
        <v>13</v>
      </c>
      <c r="E16" s="1">
        <v>339238.26374999993</v>
      </c>
      <c r="G16" s="24" t="s">
        <v>19</v>
      </c>
      <c r="I16" s="17"/>
      <c r="K16" s="20" t="s">
        <v>13</v>
      </c>
      <c r="L16" s="58">
        <f>Afschrijftermijnen!K55</f>
        <v>3053981.1924386905</v>
      </c>
      <c r="P16" s="24"/>
    </row>
    <row r="17" spans="1:17" x14ac:dyDescent="0.2">
      <c r="A17" s="17"/>
      <c r="B17" s="12" t="s">
        <v>16</v>
      </c>
      <c r="C17" s="19">
        <v>47.770133001015623</v>
      </c>
      <c r="D17" s="20" t="s">
        <v>12</v>
      </c>
      <c r="E17" s="16">
        <f>E16/($C17)</f>
        <v>7101.4720378272241</v>
      </c>
      <c r="I17" s="17"/>
      <c r="K17" s="20" t="s">
        <v>12</v>
      </c>
      <c r="L17" s="16">
        <f>L16/Afschrijftermijnen!$C$72</f>
        <v>64702.991365226429</v>
      </c>
    </row>
    <row r="18" spans="1:17" x14ac:dyDescent="0.2">
      <c r="A18" s="17"/>
      <c r="C18" s="21"/>
      <c r="D18" s="20"/>
      <c r="E18" s="17"/>
      <c r="I18" s="17"/>
      <c r="K18" s="20"/>
      <c r="L18" s="17"/>
    </row>
    <row r="19" spans="1:17" x14ac:dyDescent="0.2">
      <c r="A19" s="17"/>
      <c r="D19" s="20" t="s">
        <v>14</v>
      </c>
      <c r="E19" s="16">
        <f>E16-E17</f>
        <v>332136.79171217268</v>
      </c>
      <c r="I19" s="17"/>
      <c r="K19" s="20" t="s">
        <v>14</v>
      </c>
      <c r="L19" s="16">
        <f>L16-L17</f>
        <v>2989278.201073464</v>
      </c>
    </row>
    <row r="20" spans="1:17" x14ac:dyDescent="0.2">
      <c r="A20" s="17"/>
      <c r="I20" s="17"/>
    </row>
    <row r="21" spans="1:17" s="8" customFormat="1" x14ac:dyDescent="0.2">
      <c r="B21" s="8" t="s">
        <v>4</v>
      </c>
      <c r="E21" s="22"/>
      <c r="F21" s="10"/>
      <c r="G21" s="10"/>
      <c r="H21" s="10"/>
      <c r="J21" s="10" t="s">
        <v>39</v>
      </c>
      <c r="M21" s="10"/>
      <c r="N21" s="10"/>
      <c r="O21" s="10"/>
      <c r="P21" s="10"/>
      <c r="Q21" s="9"/>
    </row>
    <row r="22" spans="1:17" x14ac:dyDescent="0.2">
      <c r="A22" s="17"/>
      <c r="D22" s="20" t="s">
        <v>13</v>
      </c>
      <c r="E22" s="1">
        <v>44840596.487556942</v>
      </c>
      <c r="G22" s="24" t="s">
        <v>19</v>
      </c>
      <c r="I22" s="10"/>
      <c r="K22" s="20" t="s">
        <v>13</v>
      </c>
      <c r="L22" s="58">
        <f>Afschrijftermijnen!K56</f>
        <v>43088308.810993373</v>
      </c>
      <c r="P22" s="24"/>
    </row>
    <row r="23" spans="1:17" x14ac:dyDescent="0.2">
      <c r="A23" s="17"/>
      <c r="B23" s="12" t="s">
        <v>16</v>
      </c>
      <c r="C23" s="19">
        <v>45.072344796780605</v>
      </c>
      <c r="D23" s="20" t="s">
        <v>12</v>
      </c>
      <c r="E23" s="16">
        <f>E22/($C23)</f>
        <v>994858.30368336604</v>
      </c>
      <c r="I23" s="17"/>
      <c r="K23" s="20" t="s">
        <v>12</v>
      </c>
      <c r="L23" s="16">
        <f>L22/Afschrijftermijnen!$C$73</f>
        <v>895806.8359873899</v>
      </c>
    </row>
    <row r="24" spans="1:17" x14ac:dyDescent="0.2">
      <c r="A24" s="17"/>
      <c r="C24" s="21"/>
      <c r="D24" s="20"/>
      <c r="I24" s="17"/>
      <c r="K24" s="20"/>
    </row>
    <row r="25" spans="1:17" x14ac:dyDescent="0.2">
      <c r="A25" s="17"/>
      <c r="D25" s="20" t="s">
        <v>14</v>
      </c>
      <c r="E25" s="16">
        <f>E22-E23</f>
        <v>43845738.183873579</v>
      </c>
      <c r="I25" s="17"/>
      <c r="K25" s="20" t="s">
        <v>14</v>
      </c>
      <c r="L25" s="16">
        <f>L22-L23</f>
        <v>42192501.975005984</v>
      </c>
    </row>
    <row r="27" spans="1:17" s="5" customFormat="1" x14ac:dyDescent="0.2">
      <c r="B27" s="5" t="s">
        <v>40</v>
      </c>
      <c r="E27" s="11"/>
      <c r="F27" s="7"/>
      <c r="H27" s="7"/>
      <c r="I27" s="7"/>
      <c r="J27" s="7" t="s">
        <v>40</v>
      </c>
      <c r="K27" s="7"/>
      <c r="L27" s="7"/>
      <c r="M27" s="7"/>
      <c r="N27" s="7"/>
      <c r="O27" s="7"/>
      <c r="P27" s="7"/>
      <c r="Q27" s="6"/>
    </row>
    <row r="28" spans="1:17" s="8" customFormat="1" x14ac:dyDescent="0.2">
      <c r="E28" s="22"/>
      <c r="F28" s="10"/>
      <c r="H28" s="10"/>
      <c r="I28" s="10"/>
      <c r="J28" s="10"/>
      <c r="K28" s="10"/>
      <c r="L28" s="10"/>
      <c r="M28" s="10"/>
      <c r="N28" s="10"/>
      <c r="O28" s="10"/>
      <c r="P28" s="10"/>
      <c r="Q28" s="9"/>
    </row>
    <row r="29" spans="1:17" x14ac:dyDescent="0.2">
      <c r="A29" s="17"/>
      <c r="B29" s="12" t="s">
        <v>18</v>
      </c>
      <c r="D29" s="23"/>
      <c r="E29" s="16">
        <f>SUM(E10,E16,E22)</f>
        <v>56484637.474751383</v>
      </c>
      <c r="I29" s="17"/>
      <c r="J29" s="12" t="s">
        <v>18</v>
      </c>
      <c r="L29" s="16">
        <f>SUM(L10,L16,L22)</f>
        <v>57834005.830456018</v>
      </c>
      <c r="P29" s="24"/>
    </row>
    <row r="32" spans="1:17" s="5" customFormat="1" x14ac:dyDescent="0.2">
      <c r="B32" s="5" t="s">
        <v>41</v>
      </c>
      <c r="E32" s="11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6"/>
    </row>
    <row r="34" spans="1:17" x14ac:dyDescent="0.2">
      <c r="A34" s="17"/>
      <c r="B34" s="12" t="s">
        <v>41</v>
      </c>
      <c r="E34" s="31">
        <f>E29/L29</f>
        <v>0.97666825362814413</v>
      </c>
    </row>
    <row r="36" spans="1:17" s="5" customFormat="1" x14ac:dyDescent="0.2">
      <c r="B36" s="5" t="s">
        <v>52</v>
      </c>
      <c r="E36" s="5">
        <v>2006</v>
      </c>
      <c r="F36" s="7"/>
      <c r="G36" s="7" t="s">
        <v>62</v>
      </c>
      <c r="H36" s="7"/>
      <c r="I36" s="7"/>
      <c r="J36" s="7"/>
      <c r="K36" s="7"/>
      <c r="L36" s="7"/>
      <c r="M36" s="7"/>
      <c r="N36" s="7"/>
      <c r="O36" s="7"/>
      <c r="P36" s="7"/>
      <c r="Q36" s="6"/>
    </row>
    <row r="40" spans="1:17" x14ac:dyDescent="0.2">
      <c r="B40" s="8" t="s">
        <v>2</v>
      </c>
    </row>
    <row r="41" spans="1:17" x14ac:dyDescent="0.2">
      <c r="A41" s="17"/>
      <c r="D41" s="12" t="s">
        <v>13</v>
      </c>
      <c r="E41" s="74">
        <f>L10*E34</f>
        <v>11418927.678696016</v>
      </c>
      <c r="G41" s="12" t="s">
        <v>61</v>
      </c>
    </row>
    <row r="42" spans="1:17" x14ac:dyDescent="0.2">
      <c r="A42" s="17"/>
      <c r="D42" s="12" t="s">
        <v>12</v>
      </c>
      <c r="E42" s="75">
        <f>E41/Afschrijftermijnen!C71</f>
        <v>241414.96149463058</v>
      </c>
      <c r="G42" s="12" t="s">
        <v>61</v>
      </c>
    </row>
    <row r="43" spans="1:17" x14ac:dyDescent="0.2">
      <c r="A43" s="17"/>
    </row>
    <row r="44" spans="1:17" x14ac:dyDescent="0.2">
      <c r="A44" s="17"/>
      <c r="B44" s="8" t="s">
        <v>3</v>
      </c>
    </row>
    <row r="45" spans="1:17" x14ac:dyDescent="0.2">
      <c r="A45" s="17"/>
      <c r="D45" s="12" t="s">
        <v>13</v>
      </c>
      <c r="E45" s="74">
        <f>L16*E34</f>
        <v>2982726.4778322931</v>
      </c>
      <c r="G45" s="12" t="s">
        <v>61</v>
      </c>
    </row>
    <row r="46" spans="1:17" x14ac:dyDescent="0.2">
      <c r="A46" s="17"/>
      <c r="D46" s="12" t="s">
        <v>12</v>
      </c>
      <c r="E46" s="75">
        <f>E45/Afschrijftermijnen!C72</f>
        <v>63193.357581192591</v>
      </c>
      <c r="G46" s="12" t="s">
        <v>61</v>
      </c>
    </row>
    <row r="47" spans="1:17" x14ac:dyDescent="0.2">
      <c r="A47" s="17"/>
    </row>
    <row r="48" spans="1:17" x14ac:dyDescent="0.2">
      <c r="A48" s="17"/>
      <c r="B48" s="8" t="s">
        <v>4</v>
      </c>
    </row>
    <row r="49" spans="1:7" x14ac:dyDescent="0.2">
      <c r="A49" s="17"/>
      <c r="D49" s="12" t="s">
        <v>13</v>
      </c>
      <c r="E49" s="74">
        <f>L22*E34</f>
        <v>42082983.318223074</v>
      </c>
      <c r="G49" s="12" t="s">
        <v>61</v>
      </c>
    </row>
    <row r="50" spans="1:7" x14ac:dyDescent="0.2">
      <c r="A50" s="17"/>
      <c r="D50" s="12" t="s">
        <v>12</v>
      </c>
      <c r="E50" s="75">
        <f>E49/Afschrijftermijnen!C73</f>
        <v>874906.09809195751</v>
      </c>
      <c r="G50" s="12" t="s">
        <v>61</v>
      </c>
    </row>
    <row r="51" spans="1:7" x14ac:dyDescent="0.2">
      <c r="A51" s="17"/>
    </row>
    <row r="52" spans="1:7" x14ac:dyDescent="0.2">
      <c r="A52" s="17"/>
    </row>
    <row r="53" spans="1:7" x14ac:dyDescent="0.2">
      <c r="A53" s="17"/>
      <c r="B53" s="12" t="s">
        <v>42</v>
      </c>
      <c r="E53" s="16">
        <f>SUM(E41,E45,E49)</f>
        <v>56484637.474751383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Toelichting</vt:lpstr>
      <vt:lpstr>Afschrijftermijnen</vt:lpstr>
      <vt:lpstr>Start GAW 2006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2006-09-26T08:55:29Z</dcterms:created>
  <dcterms:modified xsi:type="dcterms:W3CDTF">2016-09-27T09:13:33Z</dcterms:modified>
</cp:coreProperties>
</file>