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5480" windowHeight="11640" tabRatio="874"/>
  </bookViews>
  <sheets>
    <sheet name="Toel. herstel NG5R (sep. 2014)" sheetId="23" r:id="rId1"/>
    <sheet name="x-factor" sheetId="14" r:id="rId2"/>
    <sheet name="Eindinkomsten" sheetId="15" r:id="rId3"/>
    <sheet name="Productiviteit" sheetId="2" r:id="rId4"/>
    <sheet name="Kosten" sheetId="3" r:id="rId5"/>
    <sheet name="SO" sheetId="8" r:id="rId6"/>
    <sheet name="SO 2005" sheetId="21" r:id="rId7"/>
    <sheet name="SO 2006" sheetId="22" r:id="rId8"/>
    <sheet name="Sectortarieven" sheetId="13" r:id="rId9"/>
    <sheet name="Tarieven" sheetId="17" r:id="rId10"/>
    <sheet name="Rekenvol" sheetId="11" r:id="rId11"/>
    <sheet name="Volumes" sheetId="5" r:id="rId12"/>
    <sheet name="ORV" sheetId="10" r:id="rId13"/>
    <sheet name="CPI" sheetId="16" r:id="rId14"/>
    <sheet name="Graaddagen" sheetId="20" r:id="rId15"/>
  </sheets>
  <calcPr calcId="145621"/>
</workbook>
</file>

<file path=xl/calcChain.xml><?xml version="1.0" encoding="utf-8"?>
<calcChain xmlns="http://schemas.openxmlformats.org/spreadsheetml/2006/main">
  <c r="L12" i="10" l="1"/>
  <c r="N80" i="22"/>
  <c r="N109" i="22"/>
  <c r="M80" i="22"/>
  <c r="M109" i="22"/>
  <c r="L80" i="22"/>
  <c r="L109" i="22"/>
  <c r="J80" i="22"/>
  <c r="J109" i="22"/>
  <c r="H80" i="22"/>
  <c r="H109" i="22"/>
  <c r="G80" i="22"/>
  <c r="G109" i="22"/>
  <c r="F80" i="22"/>
  <c r="F109" i="22"/>
  <c r="E80" i="22"/>
  <c r="E109" i="22"/>
  <c r="N79" i="22"/>
  <c r="N108" i="22"/>
  <c r="M79" i="22"/>
  <c r="M108" i="22"/>
  <c r="L79" i="22"/>
  <c r="L108" i="22"/>
  <c r="K79" i="22"/>
  <c r="K108" i="22"/>
  <c r="J79" i="22"/>
  <c r="J108" i="22"/>
  <c r="I79" i="22"/>
  <c r="I108" i="22"/>
  <c r="H79" i="22"/>
  <c r="H108" i="22"/>
  <c r="G79" i="22"/>
  <c r="G108" i="22"/>
  <c r="F79" i="22"/>
  <c r="F108" i="22"/>
  <c r="E79" i="22"/>
  <c r="E108" i="22"/>
  <c r="D79" i="22"/>
  <c r="D108" i="22"/>
  <c r="C79" i="22"/>
  <c r="C108" i="22"/>
  <c r="N76" i="22"/>
  <c r="N105" i="22"/>
  <c r="L76" i="22"/>
  <c r="L105" i="22"/>
  <c r="K76" i="22"/>
  <c r="K105" i="22"/>
  <c r="J76" i="22"/>
  <c r="J105" i="22"/>
  <c r="I76" i="22"/>
  <c r="I105" i="22"/>
  <c r="H76" i="22"/>
  <c r="H105" i="22"/>
  <c r="G76" i="22"/>
  <c r="G105" i="22"/>
  <c r="F76" i="22"/>
  <c r="F105" i="22"/>
  <c r="D76" i="22"/>
  <c r="D105" i="22"/>
  <c r="C76" i="22"/>
  <c r="C105" i="22"/>
  <c r="N75" i="22"/>
  <c r="N104" i="22"/>
  <c r="L75" i="22"/>
  <c r="L104" i="22"/>
  <c r="K75" i="22"/>
  <c r="K104" i="22"/>
  <c r="J75" i="22"/>
  <c r="J104" i="22"/>
  <c r="I75" i="22"/>
  <c r="I104" i="22"/>
  <c r="H75" i="22"/>
  <c r="H104" i="22"/>
  <c r="G75" i="22"/>
  <c r="G104" i="22"/>
  <c r="F75" i="22"/>
  <c r="F104" i="22"/>
  <c r="D75" i="22"/>
  <c r="D104" i="22"/>
  <c r="C75" i="22"/>
  <c r="C104" i="22"/>
  <c r="N71" i="22"/>
  <c r="N100" i="22"/>
  <c r="L71" i="22"/>
  <c r="L100" i="22"/>
  <c r="K71" i="22"/>
  <c r="K100" i="22"/>
  <c r="J71" i="22"/>
  <c r="J100" i="22"/>
  <c r="I71" i="22"/>
  <c r="I100" i="22"/>
  <c r="H71" i="22"/>
  <c r="H100" i="22"/>
  <c r="G71" i="22"/>
  <c r="G100" i="22"/>
  <c r="F71" i="22"/>
  <c r="F100" i="22"/>
  <c r="D71" i="22"/>
  <c r="D100" i="22"/>
  <c r="C71" i="22"/>
  <c r="C100" i="22"/>
  <c r="N51" i="22"/>
  <c r="L51" i="22"/>
  <c r="K51" i="22"/>
  <c r="J51" i="22"/>
  <c r="I51" i="22"/>
  <c r="H51" i="22"/>
  <c r="G51" i="22"/>
  <c r="F51" i="22"/>
  <c r="D51" i="22"/>
  <c r="C51" i="22"/>
  <c r="N50" i="22"/>
  <c r="L50" i="22"/>
  <c r="K50" i="22"/>
  <c r="J50" i="22"/>
  <c r="I50" i="22"/>
  <c r="H50" i="22"/>
  <c r="G50" i="22"/>
  <c r="F50" i="22"/>
  <c r="D50" i="22"/>
  <c r="C50" i="22"/>
  <c r="N49" i="22"/>
  <c r="L49" i="22"/>
  <c r="K49" i="22"/>
  <c r="J49" i="22"/>
  <c r="I49" i="22"/>
  <c r="H49" i="22"/>
  <c r="G49" i="22"/>
  <c r="F49" i="22"/>
  <c r="D49" i="22"/>
  <c r="C49" i="22"/>
  <c r="N48" i="22"/>
  <c r="N47" i="22"/>
  <c r="N46" i="22"/>
  <c r="N72" i="22"/>
  <c r="N101" i="22"/>
  <c r="L46" i="22"/>
  <c r="K46" i="22"/>
  <c r="J46" i="22"/>
  <c r="I46" i="22"/>
  <c r="H46" i="22"/>
  <c r="G46" i="22"/>
  <c r="F46" i="22"/>
  <c r="D46" i="22"/>
  <c r="C46" i="22"/>
  <c r="N38" i="22"/>
  <c r="L38" i="22"/>
  <c r="K38" i="22"/>
  <c r="J38" i="22"/>
  <c r="I38" i="22"/>
  <c r="H38" i="22"/>
  <c r="G38" i="22"/>
  <c r="F38" i="22"/>
  <c r="D38" i="22"/>
  <c r="D42" i="22"/>
  <c r="D48" i="22"/>
  <c r="C38" i="22"/>
  <c r="N37" i="22"/>
  <c r="L37" i="22"/>
  <c r="K37" i="22"/>
  <c r="K41" i="22"/>
  <c r="K47" i="22"/>
  <c r="J37" i="22"/>
  <c r="I37" i="22"/>
  <c r="I41" i="22"/>
  <c r="I47" i="22"/>
  <c r="H37" i="22"/>
  <c r="G37" i="22"/>
  <c r="G41" i="22"/>
  <c r="G47" i="22"/>
  <c r="G72" i="22"/>
  <c r="F37" i="22"/>
  <c r="D37" i="22"/>
  <c r="D41" i="22"/>
  <c r="D47" i="22"/>
  <c r="D72" i="22"/>
  <c r="D101" i="22"/>
  <c r="C37" i="22"/>
  <c r="L34" i="22"/>
  <c r="L41" i="22"/>
  <c r="L47" i="22"/>
  <c r="L72" i="22"/>
  <c r="L101" i="22"/>
  <c r="K34" i="22"/>
  <c r="J34" i="22"/>
  <c r="J41" i="22"/>
  <c r="J47" i="22"/>
  <c r="J72" i="22"/>
  <c r="J101" i="22"/>
  <c r="I34" i="22"/>
  <c r="H34" i="22"/>
  <c r="H41" i="22"/>
  <c r="H47" i="22"/>
  <c r="H72" i="22"/>
  <c r="H101" i="22"/>
  <c r="G34" i="22"/>
  <c r="F34" i="22"/>
  <c r="F41" i="22"/>
  <c r="F47" i="22"/>
  <c r="F72" i="22"/>
  <c r="F101" i="22"/>
  <c r="D34" i="22"/>
  <c r="C34" i="22"/>
  <c r="C42" i="22"/>
  <c r="C48" i="22"/>
  <c r="E31" i="22"/>
  <c r="Q30" i="22"/>
  <c r="Q31" i="22"/>
  <c r="M31" i="22"/>
  <c r="M34" i="22"/>
  <c r="E30" i="22"/>
  <c r="E34" i="22"/>
  <c r="K25" i="22"/>
  <c r="K80" i="22"/>
  <c r="K109" i="22"/>
  <c r="I25" i="22"/>
  <c r="I80" i="22"/>
  <c r="I109" i="22"/>
  <c r="D25" i="22"/>
  <c r="D80" i="22"/>
  <c r="D109" i="22"/>
  <c r="C25" i="22"/>
  <c r="C80" i="22"/>
  <c r="C109" i="22"/>
  <c r="O109" i="22"/>
  <c r="S19" i="22"/>
  <c r="Q19" i="22"/>
  <c r="P19" i="22"/>
  <c r="L19" i="22"/>
  <c r="K19" i="22"/>
  <c r="J19" i="22"/>
  <c r="I19" i="22"/>
  <c r="H19" i="22"/>
  <c r="G19" i="22"/>
  <c r="F19" i="22"/>
  <c r="D19" i="22"/>
  <c r="D16" i="21"/>
  <c r="C19" i="22"/>
  <c r="R17" i="22"/>
  <c r="M17" i="22"/>
  <c r="E17" i="22"/>
  <c r="R16" i="22"/>
  <c r="M16" i="22"/>
  <c r="E16" i="22"/>
  <c r="R15" i="22"/>
  <c r="M15" i="22"/>
  <c r="E15" i="22"/>
  <c r="R14" i="22"/>
  <c r="M14" i="22"/>
  <c r="E14" i="22"/>
  <c r="R13" i="22"/>
  <c r="M13" i="22"/>
  <c r="E13" i="22"/>
  <c r="R12" i="22"/>
  <c r="M12" i="22"/>
  <c r="M51" i="22"/>
  <c r="E12" i="22"/>
  <c r="E51" i="22"/>
  <c r="R11" i="22"/>
  <c r="M11" i="22"/>
  <c r="M50" i="22"/>
  <c r="E11" i="22"/>
  <c r="E50" i="22"/>
  <c r="M10" i="22"/>
  <c r="M49" i="22"/>
  <c r="E10" i="22"/>
  <c r="E49" i="22"/>
  <c r="M9" i="22"/>
  <c r="M38" i="22"/>
  <c r="M42" i="22"/>
  <c r="M48" i="22"/>
  <c r="E9" i="22"/>
  <c r="E38" i="22"/>
  <c r="R8" i="22"/>
  <c r="R19" i="22"/>
  <c r="M8" i="22"/>
  <c r="M37" i="22"/>
  <c r="M7" i="22"/>
  <c r="M19" i="22"/>
  <c r="E7" i="22"/>
  <c r="N80" i="21"/>
  <c r="N109" i="21"/>
  <c r="M80" i="21"/>
  <c r="M109" i="21"/>
  <c r="L80" i="21"/>
  <c r="L109" i="21"/>
  <c r="J80" i="21"/>
  <c r="J109" i="21"/>
  <c r="H80" i="21"/>
  <c r="H109" i="21"/>
  <c r="G80" i="21"/>
  <c r="G109" i="21"/>
  <c r="F80" i="21"/>
  <c r="F109" i="21"/>
  <c r="E80" i="21"/>
  <c r="E109" i="21"/>
  <c r="N79" i="21"/>
  <c r="N108" i="21"/>
  <c r="M79" i="21"/>
  <c r="M108" i="21"/>
  <c r="L79" i="21"/>
  <c r="L108" i="21"/>
  <c r="K79" i="21"/>
  <c r="K108" i="21"/>
  <c r="J79" i="21"/>
  <c r="J108" i="21"/>
  <c r="I79" i="21"/>
  <c r="I108" i="21"/>
  <c r="H79" i="21"/>
  <c r="H108" i="21"/>
  <c r="G79" i="21"/>
  <c r="G108" i="21"/>
  <c r="F79" i="21"/>
  <c r="F108" i="21"/>
  <c r="E79" i="21"/>
  <c r="E108" i="21"/>
  <c r="D79" i="21"/>
  <c r="D108" i="21"/>
  <c r="C79" i="21"/>
  <c r="C108" i="21"/>
  <c r="O108" i="21"/>
  <c r="N76" i="21"/>
  <c r="N105" i="21"/>
  <c r="L76" i="21"/>
  <c r="L105" i="21"/>
  <c r="K76" i="21"/>
  <c r="K105" i="21"/>
  <c r="J76" i="21"/>
  <c r="J105" i="21"/>
  <c r="I76" i="21"/>
  <c r="I105" i="21"/>
  <c r="H76" i="21"/>
  <c r="H105" i="21"/>
  <c r="G76" i="21"/>
  <c r="G105" i="21"/>
  <c r="F76" i="21"/>
  <c r="F105" i="21"/>
  <c r="C76" i="21"/>
  <c r="C105" i="21"/>
  <c r="N75" i="21"/>
  <c r="N104" i="21"/>
  <c r="L75" i="21"/>
  <c r="L104" i="21"/>
  <c r="K75" i="21"/>
  <c r="K104" i="21"/>
  <c r="J75" i="21"/>
  <c r="J104" i="21"/>
  <c r="I75" i="21"/>
  <c r="I104" i="21"/>
  <c r="H75" i="21"/>
  <c r="H104" i="21"/>
  <c r="G75" i="21"/>
  <c r="G104" i="21"/>
  <c r="F75" i="21"/>
  <c r="F104" i="21"/>
  <c r="C75" i="21"/>
  <c r="C104" i="21"/>
  <c r="N71" i="21"/>
  <c r="N100" i="21"/>
  <c r="L71" i="21"/>
  <c r="L100" i="21"/>
  <c r="K71" i="21"/>
  <c r="K100" i="21"/>
  <c r="J71" i="21"/>
  <c r="J100" i="21"/>
  <c r="I71" i="21"/>
  <c r="I100" i="21"/>
  <c r="H71" i="21"/>
  <c r="H100" i="21"/>
  <c r="G71" i="21"/>
  <c r="G100" i="21"/>
  <c r="F71" i="21"/>
  <c r="F100" i="21"/>
  <c r="C71" i="21"/>
  <c r="C100" i="21"/>
  <c r="N51" i="21"/>
  <c r="L51" i="21"/>
  <c r="K51" i="21"/>
  <c r="J51" i="21"/>
  <c r="I51" i="21"/>
  <c r="H51" i="21"/>
  <c r="G51" i="21"/>
  <c r="F51" i="21"/>
  <c r="C51" i="21"/>
  <c r="N50" i="21"/>
  <c r="L50" i="21"/>
  <c r="K50" i="21"/>
  <c r="J50" i="21"/>
  <c r="I50" i="21"/>
  <c r="H50" i="21"/>
  <c r="G50" i="21"/>
  <c r="F50" i="21"/>
  <c r="C50" i="21"/>
  <c r="N49" i="21"/>
  <c r="L49" i="21"/>
  <c r="K49" i="21"/>
  <c r="J49" i="21"/>
  <c r="I49" i="21"/>
  <c r="H49" i="21"/>
  <c r="G49" i="21"/>
  <c r="F49" i="21"/>
  <c r="C49" i="21"/>
  <c r="N48" i="21"/>
  <c r="N47" i="21"/>
  <c r="N46" i="21"/>
  <c r="N72" i="21"/>
  <c r="N101" i="21"/>
  <c r="L46" i="21"/>
  <c r="K46" i="21"/>
  <c r="J46" i="21"/>
  <c r="I46" i="21"/>
  <c r="H46" i="21"/>
  <c r="G46" i="21"/>
  <c r="F46" i="21"/>
  <c r="C46" i="21"/>
  <c r="N38" i="21"/>
  <c r="L38" i="21"/>
  <c r="L42" i="21"/>
  <c r="K38" i="21"/>
  <c r="J38" i="21"/>
  <c r="J42" i="21"/>
  <c r="I38" i="21"/>
  <c r="H38" i="21"/>
  <c r="G38" i="21"/>
  <c r="F38" i="21"/>
  <c r="C38" i="21"/>
  <c r="N37" i="21"/>
  <c r="L37" i="21"/>
  <c r="K37" i="21"/>
  <c r="J37" i="21"/>
  <c r="I37" i="21"/>
  <c r="H37" i="21"/>
  <c r="G37" i="21"/>
  <c r="F37" i="21"/>
  <c r="C37" i="21"/>
  <c r="L34" i="21"/>
  <c r="K34" i="21"/>
  <c r="J34" i="21"/>
  <c r="I34" i="21"/>
  <c r="H34" i="21"/>
  <c r="G34" i="21"/>
  <c r="F34" i="21"/>
  <c r="D34" i="21"/>
  <c r="C34" i="21"/>
  <c r="E31" i="21"/>
  <c r="Q30" i="21"/>
  <c r="M30" i="21"/>
  <c r="E30" i="21"/>
  <c r="E34" i="21"/>
  <c r="K25" i="21"/>
  <c r="K80" i="21"/>
  <c r="K109" i="21"/>
  <c r="I25" i="21"/>
  <c r="I80" i="21"/>
  <c r="I109" i="21"/>
  <c r="D25" i="21"/>
  <c r="D80" i="21"/>
  <c r="D109" i="21"/>
  <c r="C25" i="21"/>
  <c r="C80" i="21"/>
  <c r="C109" i="21"/>
  <c r="O109" i="21"/>
  <c r="S19" i="21"/>
  <c r="R19" i="21"/>
  <c r="Q19" i="21"/>
  <c r="P19" i="21"/>
  <c r="L19" i="21"/>
  <c r="K19" i="21"/>
  <c r="J19" i="21"/>
  <c r="I19" i="21"/>
  <c r="H19" i="21"/>
  <c r="G19" i="21"/>
  <c r="F19" i="21"/>
  <c r="C19" i="21"/>
  <c r="M17" i="21"/>
  <c r="E17" i="21"/>
  <c r="M16" i="21"/>
  <c r="E16" i="21"/>
  <c r="M15" i="21"/>
  <c r="E15" i="21"/>
  <c r="M14" i="21"/>
  <c r="E14" i="21"/>
  <c r="M13" i="21"/>
  <c r="M76" i="21"/>
  <c r="E13" i="21"/>
  <c r="M12" i="21"/>
  <c r="M51" i="21"/>
  <c r="E12" i="21"/>
  <c r="E51" i="21"/>
  <c r="M11" i="21"/>
  <c r="M50" i="21"/>
  <c r="E11" i="21"/>
  <c r="E50" i="21"/>
  <c r="M10" i="21"/>
  <c r="M49" i="21"/>
  <c r="E10" i="21"/>
  <c r="E49" i="21"/>
  <c r="M9" i="21"/>
  <c r="M38" i="21"/>
  <c r="E9" i="21"/>
  <c r="E38" i="21"/>
  <c r="M8" i="21"/>
  <c r="M37" i="21"/>
  <c r="E8" i="21"/>
  <c r="E37" i="21"/>
  <c r="E41" i="21"/>
  <c r="E47" i="21"/>
  <c r="M7" i="21"/>
  <c r="M19" i="21"/>
  <c r="E7" i="21"/>
  <c r="E19" i="21"/>
  <c r="D97" i="3"/>
  <c r="D6" i="3"/>
  <c r="D7" i="3"/>
  <c r="D22" i="3"/>
  <c r="D40" i="3"/>
  <c r="D67" i="3"/>
  <c r="D69" i="3"/>
  <c r="D37" i="3"/>
  <c r="D64" i="3"/>
  <c r="D23" i="3"/>
  <c r="D41" i="3"/>
  <c r="D68" i="3"/>
  <c r="D50" i="3"/>
  <c r="D77" i="3"/>
  <c r="D85" i="3"/>
  <c r="D103" i="3"/>
  <c r="D107" i="3"/>
  <c r="E6" i="3"/>
  <c r="E7" i="3"/>
  <c r="E22" i="3"/>
  <c r="E40" i="3"/>
  <c r="E67" i="3"/>
  <c r="E37" i="3"/>
  <c r="E64" i="3"/>
  <c r="E23" i="3"/>
  <c r="E41" i="3"/>
  <c r="E68" i="3"/>
  <c r="E50" i="3"/>
  <c r="E77" i="3"/>
  <c r="E85" i="3"/>
  <c r="E103" i="3"/>
  <c r="E107" i="3"/>
  <c r="F6" i="3"/>
  <c r="F7" i="3"/>
  <c r="F22" i="3"/>
  <c r="F40" i="3"/>
  <c r="F67" i="3"/>
  <c r="F69" i="3"/>
  <c r="F37" i="3"/>
  <c r="F64" i="3"/>
  <c r="F23" i="3"/>
  <c r="F41" i="3"/>
  <c r="F68" i="3"/>
  <c r="F50" i="3"/>
  <c r="F77" i="3"/>
  <c r="F85" i="3"/>
  <c r="F103" i="3"/>
  <c r="F107" i="3"/>
  <c r="G6" i="3"/>
  <c r="G7" i="3"/>
  <c r="G22" i="3"/>
  <c r="G40" i="3"/>
  <c r="G67" i="3"/>
  <c r="G37" i="3"/>
  <c r="G64" i="3"/>
  <c r="G23" i="3"/>
  <c r="G41" i="3"/>
  <c r="G68" i="3"/>
  <c r="G50" i="3"/>
  <c r="G77" i="3"/>
  <c r="G85" i="3"/>
  <c r="G103" i="3"/>
  <c r="G107" i="3"/>
  <c r="H6" i="3"/>
  <c r="H7" i="3"/>
  <c r="H22" i="3"/>
  <c r="H37" i="3"/>
  <c r="H64" i="3"/>
  <c r="H23" i="3"/>
  <c r="H41" i="3"/>
  <c r="H68" i="3"/>
  <c r="H50" i="3"/>
  <c r="H77" i="3"/>
  <c r="H85" i="3"/>
  <c r="H103" i="3"/>
  <c r="H107" i="3"/>
  <c r="I6" i="3"/>
  <c r="I7" i="3"/>
  <c r="I22" i="3"/>
  <c r="I37" i="3"/>
  <c r="I64" i="3"/>
  <c r="I23" i="3"/>
  <c r="I41" i="3"/>
  <c r="I68" i="3"/>
  <c r="I50" i="3"/>
  <c r="I77" i="3"/>
  <c r="I85" i="3"/>
  <c r="I103" i="3"/>
  <c r="I107" i="3"/>
  <c r="J6" i="3"/>
  <c r="J7" i="3"/>
  <c r="J22" i="3"/>
  <c r="J37" i="3"/>
  <c r="J64" i="3"/>
  <c r="J23" i="3"/>
  <c r="J41" i="3"/>
  <c r="J68" i="3"/>
  <c r="J50" i="3"/>
  <c r="J77" i="3"/>
  <c r="J85" i="3"/>
  <c r="J103" i="3"/>
  <c r="J107" i="3"/>
  <c r="K6" i="3"/>
  <c r="K7" i="3"/>
  <c r="K22" i="3"/>
  <c r="K37" i="3"/>
  <c r="K64" i="3"/>
  <c r="K23" i="3"/>
  <c r="K41" i="3"/>
  <c r="K68" i="3"/>
  <c r="K50" i="3"/>
  <c r="K77" i="3"/>
  <c r="K85" i="3"/>
  <c r="K103" i="3"/>
  <c r="K107" i="3"/>
  <c r="L6" i="3"/>
  <c r="L7" i="3"/>
  <c r="L22" i="3"/>
  <c r="L37" i="3"/>
  <c r="L64" i="3"/>
  <c r="L23" i="3"/>
  <c r="L41" i="3"/>
  <c r="L68" i="3"/>
  <c r="L50" i="3"/>
  <c r="L77" i="3"/>
  <c r="L85" i="3"/>
  <c r="L103" i="3"/>
  <c r="L107" i="3"/>
  <c r="M6" i="3"/>
  <c r="M7" i="3"/>
  <c r="M23" i="3"/>
  <c r="M41" i="3"/>
  <c r="M68" i="3"/>
  <c r="M50" i="3"/>
  <c r="M77" i="3"/>
  <c r="M85" i="3"/>
  <c r="M103" i="3"/>
  <c r="M107" i="3"/>
  <c r="N6" i="3"/>
  <c r="N7" i="3"/>
  <c r="N18" i="3"/>
  <c r="N23" i="3"/>
  <c r="N41" i="3"/>
  <c r="N68" i="3"/>
  <c r="N38" i="3"/>
  <c r="N36" i="3"/>
  <c r="N48" i="3"/>
  <c r="N50" i="3"/>
  <c r="N77" i="3"/>
  <c r="N85" i="3"/>
  <c r="N100" i="3"/>
  <c r="P100" i="3"/>
  <c r="N102" i="3"/>
  <c r="N103" i="3"/>
  <c r="N107" i="3"/>
  <c r="O22" i="3"/>
  <c r="O37" i="3"/>
  <c r="O40" i="3"/>
  <c r="O64" i="3"/>
  <c r="O67" i="3"/>
  <c r="O23" i="3"/>
  <c r="O41" i="3"/>
  <c r="O68" i="3"/>
  <c r="O69" i="3"/>
  <c r="O50" i="3"/>
  <c r="O77" i="3"/>
  <c r="O85" i="3"/>
  <c r="O103" i="3"/>
  <c r="O107" i="3"/>
  <c r="C6" i="3"/>
  <c r="C7" i="3"/>
  <c r="C23" i="3"/>
  <c r="C41" i="3"/>
  <c r="C68" i="3"/>
  <c r="C50" i="3"/>
  <c r="C77" i="3"/>
  <c r="C85" i="3"/>
  <c r="C103" i="3"/>
  <c r="C107" i="3"/>
  <c r="P103" i="3"/>
  <c r="P102" i="3"/>
  <c r="P101" i="3"/>
  <c r="C97" i="3"/>
  <c r="E97" i="3"/>
  <c r="F97" i="3"/>
  <c r="G97" i="3"/>
  <c r="H97" i="3"/>
  <c r="I97" i="3"/>
  <c r="J97" i="3"/>
  <c r="K97" i="3"/>
  <c r="L97" i="3"/>
  <c r="M97" i="3"/>
  <c r="N97" i="3"/>
  <c r="O97" i="3"/>
  <c r="P97" i="3"/>
  <c r="P95" i="3"/>
  <c r="C78" i="3"/>
  <c r="C79" i="3"/>
  <c r="C86" i="3"/>
  <c r="C87" i="3"/>
  <c r="D66" i="3"/>
  <c r="D70" i="3"/>
  <c r="D71" i="3"/>
  <c r="D78" i="3"/>
  <c r="D79" i="3"/>
  <c r="D86" i="3"/>
  <c r="D87" i="3"/>
  <c r="E66" i="3"/>
  <c r="E78" i="3"/>
  <c r="E79" i="3"/>
  <c r="E86" i="3"/>
  <c r="E87" i="3"/>
  <c r="F66" i="3"/>
  <c r="F70" i="3"/>
  <c r="F71" i="3"/>
  <c r="F78" i="3"/>
  <c r="F79" i="3"/>
  <c r="F86" i="3"/>
  <c r="F87" i="3"/>
  <c r="G66" i="3"/>
  <c r="G78" i="3"/>
  <c r="G79" i="3"/>
  <c r="G86" i="3"/>
  <c r="G87" i="3"/>
  <c r="H66" i="3"/>
  <c r="H78" i="3"/>
  <c r="H79" i="3"/>
  <c r="H86" i="3"/>
  <c r="H87" i="3"/>
  <c r="I66" i="3"/>
  <c r="I78" i="3"/>
  <c r="I79" i="3"/>
  <c r="I86" i="3"/>
  <c r="I87" i="3"/>
  <c r="J66" i="3"/>
  <c r="J78" i="3"/>
  <c r="J79" i="3"/>
  <c r="J86" i="3"/>
  <c r="J87" i="3"/>
  <c r="K66" i="3"/>
  <c r="K78" i="3"/>
  <c r="K79" i="3"/>
  <c r="K86" i="3"/>
  <c r="K87" i="3"/>
  <c r="L66" i="3"/>
  <c r="L78" i="3"/>
  <c r="L79" i="3"/>
  <c r="L86" i="3"/>
  <c r="L87" i="3"/>
  <c r="M78" i="3"/>
  <c r="M79" i="3"/>
  <c r="M86" i="3"/>
  <c r="M87" i="3"/>
  <c r="N78" i="3"/>
  <c r="N79" i="3"/>
  <c r="N80" i="3"/>
  <c r="N86" i="3"/>
  <c r="N87" i="3"/>
  <c r="P87" i="3"/>
  <c r="O66" i="3"/>
  <c r="O70" i="3"/>
  <c r="O71" i="3"/>
  <c r="O78" i="3"/>
  <c r="O79" i="3"/>
  <c r="O86" i="3"/>
  <c r="O87" i="3"/>
  <c r="P86" i="3"/>
  <c r="P85" i="3"/>
  <c r="P84" i="3"/>
  <c r="P83" i="3"/>
  <c r="P78" i="3"/>
  <c r="P77" i="3"/>
  <c r="P76" i="3"/>
  <c r="P75" i="3"/>
  <c r="P68" i="3"/>
  <c r="P65" i="3"/>
  <c r="P63" i="3"/>
  <c r="P60" i="3"/>
  <c r="D39" i="3"/>
  <c r="E39" i="3"/>
  <c r="F39" i="3"/>
  <c r="G39" i="3"/>
  <c r="H39" i="3"/>
  <c r="I39" i="3"/>
  <c r="J39" i="3"/>
  <c r="K39" i="3"/>
  <c r="L39" i="3"/>
  <c r="O39" i="3"/>
  <c r="C51" i="3"/>
  <c r="C52" i="3"/>
  <c r="D51" i="3"/>
  <c r="D52" i="3"/>
  <c r="E51" i="3"/>
  <c r="E52" i="3"/>
  <c r="F51" i="3"/>
  <c r="F52" i="3"/>
  <c r="G51" i="3"/>
  <c r="G52" i="3"/>
  <c r="H51" i="3"/>
  <c r="H52" i="3"/>
  <c r="I51" i="3"/>
  <c r="I52" i="3"/>
  <c r="J51" i="3"/>
  <c r="J52" i="3"/>
  <c r="K51" i="3"/>
  <c r="K52" i="3"/>
  <c r="L51" i="3"/>
  <c r="L52" i="3"/>
  <c r="M51" i="3"/>
  <c r="M52" i="3"/>
  <c r="N51" i="3"/>
  <c r="N52" i="3"/>
  <c r="O51" i="3"/>
  <c r="O52" i="3"/>
  <c r="P50" i="3"/>
  <c r="P49" i="3"/>
  <c r="P48" i="3"/>
  <c r="D42" i="3"/>
  <c r="D43" i="3"/>
  <c r="D44" i="3"/>
  <c r="D45" i="3"/>
  <c r="E42" i="3"/>
  <c r="E43" i="3"/>
  <c r="E44" i="3"/>
  <c r="E45" i="3"/>
  <c r="F42" i="3"/>
  <c r="F43" i="3"/>
  <c r="F44" i="3"/>
  <c r="F45" i="3"/>
  <c r="G42" i="3"/>
  <c r="G43" i="3"/>
  <c r="G44" i="3"/>
  <c r="G45" i="3"/>
  <c r="O42" i="3"/>
  <c r="O43" i="3"/>
  <c r="O44" i="3"/>
  <c r="O45" i="3"/>
  <c r="P41" i="3"/>
  <c r="P38" i="3"/>
  <c r="P36" i="3"/>
  <c r="P33" i="3"/>
  <c r="C19" i="3"/>
  <c r="C21" i="3"/>
  <c r="D19" i="3"/>
  <c r="D21" i="3"/>
  <c r="D27" i="3"/>
  <c r="D29" i="3"/>
  <c r="D24" i="3"/>
  <c r="D25" i="3"/>
  <c r="E19" i="3"/>
  <c r="E21" i="3"/>
  <c r="E27" i="3"/>
  <c r="E29" i="3"/>
  <c r="E24" i="3"/>
  <c r="E25" i="3"/>
  <c r="F19" i="3"/>
  <c r="F21" i="3"/>
  <c r="F27" i="3"/>
  <c r="F29" i="3"/>
  <c r="F24" i="3"/>
  <c r="F25" i="3"/>
  <c r="G19" i="3"/>
  <c r="G21" i="3"/>
  <c r="G27" i="3"/>
  <c r="G29" i="3"/>
  <c r="G24" i="3"/>
  <c r="G25" i="3"/>
  <c r="H19" i="3"/>
  <c r="H21" i="3"/>
  <c r="H27" i="3"/>
  <c r="H29" i="3"/>
  <c r="H24" i="3"/>
  <c r="H25" i="3"/>
  <c r="I19" i="3"/>
  <c r="I21" i="3"/>
  <c r="I27" i="3"/>
  <c r="I29" i="3"/>
  <c r="I24" i="3"/>
  <c r="I25" i="3"/>
  <c r="J19" i="3"/>
  <c r="J21" i="3"/>
  <c r="J27" i="3"/>
  <c r="J29" i="3"/>
  <c r="J24" i="3"/>
  <c r="J25" i="3"/>
  <c r="K19" i="3"/>
  <c r="K21" i="3"/>
  <c r="K27" i="3"/>
  <c r="K29" i="3"/>
  <c r="K24" i="3"/>
  <c r="K25" i="3"/>
  <c r="L19" i="3"/>
  <c r="L21" i="3"/>
  <c r="L27" i="3"/>
  <c r="L29" i="3"/>
  <c r="M6" i="2"/>
  <c r="L24" i="3"/>
  <c r="L25" i="3"/>
  <c r="M19" i="3"/>
  <c r="M21" i="3"/>
  <c r="N19" i="3"/>
  <c r="N20" i="3"/>
  <c r="N21" i="3"/>
  <c r="O24" i="3"/>
  <c r="O25" i="3"/>
  <c r="P23" i="3"/>
  <c r="P15" i="3"/>
  <c r="P18" i="3"/>
  <c r="O21" i="3"/>
  <c r="P19" i="3"/>
  <c r="P20" i="3"/>
  <c r="P21" i="3"/>
  <c r="N12" i="10"/>
  <c r="N13" i="10"/>
  <c r="N14" i="10"/>
  <c r="N16" i="10"/>
  <c r="F12" i="10"/>
  <c r="F13" i="10"/>
  <c r="F14" i="10"/>
  <c r="F16" i="10"/>
  <c r="G12" i="10"/>
  <c r="G13" i="10"/>
  <c r="G14" i="10"/>
  <c r="G16" i="10"/>
  <c r="H12" i="10"/>
  <c r="H13" i="10"/>
  <c r="H14" i="10"/>
  <c r="H16" i="10"/>
  <c r="I12" i="10"/>
  <c r="I13" i="10"/>
  <c r="I14" i="10"/>
  <c r="I16" i="10"/>
  <c r="J12" i="10"/>
  <c r="J13" i="10"/>
  <c r="J14" i="10"/>
  <c r="J16" i="10"/>
  <c r="K12" i="10"/>
  <c r="K13" i="10"/>
  <c r="K14" i="10"/>
  <c r="K16" i="10"/>
  <c r="L13" i="10"/>
  <c r="L14" i="10"/>
  <c r="L16" i="10"/>
  <c r="L17" i="10"/>
  <c r="L18" i="10"/>
  <c r="M12" i="10"/>
  <c r="M13" i="10"/>
  <c r="M14" i="10"/>
  <c r="M16" i="10"/>
  <c r="E12" i="10"/>
  <c r="E13" i="10"/>
  <c r="E14" i="10"/>
  <c r="E16" i="10"/>
  <c r="D12" i="10"/>
  <c r="D13" i="10"/>
  <c r="D14" i="10"/>
  <c r="D16" i="10"/>
  <c r="C12" i="10"/>
  <c r="C13" i="10"/>
  <c r="C14" i="10"/>
  <c r="C16" i="10"/>
  <c r="D15" i="16"/>
  <c r="D16" i="16"/>
  <c r="E16" i="16"/>
  <c r="C80" i="3"/>
  <c r="P34" i="17"/>
  <c r="P35" i="17"/>
  <c r="P36" i="17"/>
  <c r="P39" i="17"/>
  <c r="P42" i="17"/>
  <c r="P46" i="17"/>
  <c r="Q6" i="15"/>
  <c r="Q7" i="15"/>
  <c r="P9" i="15"/>
  <c r="C14" i="16"/>
  <c r="C15" i="16"/>
  <c r="C16" i="16"/>
  <c r="E21" i="10"/>
  <c r="G21" i="10"/>
  <c r="K21" i="10"/>
  <c r="N20" i="10"/>
  <c r="C21" i="10"/>
  <c r="H6" i="2"/>
  <c r="E6" i="2"/>
  <c r="F6" i="2"/>
  <c r="G6" i="2"/>
  <c r="I6" i="2"/>
  <c r="J6" i="2"/>
  <c r="K6" i="2"/>
  <c r="L6" i="2"/>
  <c r="G54" i="3"/>
  <c r="G56" i="3"/>
  <c r="H7" i="2"/>
  <c r="H10" i="2"/>
  <c r="D54" i="3"/>
  <c r="D56" i="3"/>
  <c r="E7" i="2"/>
  <c r="E10" i="2"/>
  <c r="E54" i="3"/>
  <c r="E56" i="3"/>
  <c r="F7" i="2"/>
  <c r="F10" i="2"/>
  <c r="F54" i="3"/>
  <c r="F56" i="3"/>
  <c r="G7" i="2"/>
  <c r="G10" i="2"/>
  <c r="C28" i="2"/>
  <c r="O19" i="11"/>
  <c r="O18" i="11"/>
  <c r="F30" i="13"/>
  <c r="G30" i="13"/>
  <c r="H30" i="13"/>
  <c r="I30" i="13"/>
  <c r="J30" i="13"/>
  <c r="K30" i="13"/>
  <c r="L30" i="13"/>
  <c r="M30" i="13"/>
  <c r="N30" i="13"/>
  <c r="O30" i="13"/>
  <c r="E30" i="13"/>
  <c r="D30" i="13"/>
  <c r="D22" i="13"/>
  <c r="D31" i="13"/>
  <c r="D32" i="13"/>
  <c r="E22" i="13"/>
  <c r="E31" i="13"/>
  <c r="E32" i="13"/>
  <c r="F22" i="13"/>
  <c r="F31" i="13"/>
  <c r="F32" i="13"/>
  <c r="G22" i="13"/>
  <c r="G31" i="13"/>
  <c r="G32" i="13"/>
  <c r="H22" i="13"/>
  <c r="H31" i="13"/>
  <c r="H32" i="13"/>
  <c r="I22" i="13"/>
  <c r="I31" i="13"/>
  <c r="I32" i="13"/>
  <c r="J22" i="13"/>
  <c r="J31" i="13"/>
  <c r="J32" i="13"/>
  <c r="K22" i="13"/>
  <c r="K31" i="13"/>
  <c r="K32" i="13"/>
  <c r="K16" i="13"/>
  <c r="K52" i="13"/>
  <c r="L22" i="13"/>
  <c r="L31" i="13"/>
  <c r="L32" i="13"/>
  <c r="L16" i="13"/>
  <c r="M22" i="13"/>
  <c r="M31" i="13"/>
  <c r="M32" i="13"/>
  <c r="N22" i="13"/>
  <c r="N31" i="13"/>
  <c r="N32" i="13"/>
  <c r="O22" i="13"/>
  <c r="O31" i="13"/>
  <c r="O32" i="13"/>
  <c r="C7" i="11"/>
  <c r="C8" i="11"/>
  <c r="C38" i="5"/>
  <c r="C9" i="11"/>
  <c r="C12" i="11"/>
  <c r="C13" i="11"/>
  <c r="C14" i="11"/>
  <c r="C18" i="11"/>
  <c r="C19" i="11"/>
  <c r="D7" i="11"/>
  <c r="D8" i="11"/>
  <c r="D38" i="5"/>
  <c r="D9" i="11"/>
  <c r="D12" i="11"/>
  <c r="D13" i="11"/>
  <c r="D14" i="11"/>
  <c r="D18" i="11"/>
  <c r="D19" i="11"/>
  <c r="E7" i="11"/>
  <c r="E8" i="11"/>
  <c r="E38" i="5"/>
  <c r="E9" i="11"/>
  <c r="E12" i="11"/>
  <c r="E13" i="11"/>
  <c r="E14" i="11"/>
  <c r="E15" i="11"/>
  <c r="E18" i="11"/>
  <c r="E19" i="11"/>
  <c r="F7" i="11"/>
  <c r="F8" i="11"/>
  <c r="F38" i="5"/>
  <c r="F9" i="11"/>
  <c r="F12" i="11"/>
  <c r="F13" i="11"/>
  <c r="F14" i="11"/>
  <c r="F15" i="11"/>
  <c r="F18" i="11"/>
  <c r="F19" i="11"/>
  <c r="G7" i="11"/>
  <c r="G8" i="11"/>
  <c r="G38" i="5"/>
  <c r="G9" i="11"/>
  <c r="G12" i="11"/>
  <c r="G13" i="11"/>
  <c r="G14" i="11"/>
  <c r="G15" i="11"/>
  <c r="G18" i="11"/>
  <c r="G19" i="11"/>
  <c r="H7" i="11"/>
  <c r="H8" i="11"/>
  <c r="H38" i="5"/>
  <c r="H9" i="11"/>
  <c r="H12" i="11"/>
  <c r="H13" i="11"/>
  <c r="H14" i="11"/>
  <c r="H15" i="11"/>
  <c r="H18" i="11"/>
  <c r="H19" i="11"/>
  <c r="I7" i="11"/>
  <c r="I8" i="11"/>
  <c r="I38" i="5"/>
  <c r="I9" i="11"/>
  <c r="I12" i="11"/>
  <c r="I13" i="11"/>
  <c r="I14" i="11"/>
  <c r="I18" i="11"/>
  <c r="I19" i="11"/>
  <c r="J7" i="11"/>
  <c r="J8" i="11"/>
  <c r="J38" i="5"/>
  <c r="J9" i="11"/>
  <c r="J12" i="11"/>
  <c r="J13" i="11"/>
  <c r="J14" i="11"/>
  <c r="J15" i="11"/>
  <c r="J18" i="11"/>
  <c r="J19" i="11"/>
  <c r="K7" i="11"/>
  <c r="K8" i="11"/>
  <c r="K38" i="5"/>
  <c r="K9" i="11"/>
  <c r="K12" i="11"/>
  <c r="K13" i="11"/>
  <c r="K14" i="11"/>
  <c r="K15" i="11"/>
  <c r="K18" i="11"/>
  <c r="K19" i="11"/>
  <c r="L7" i="11"/>
  <c r="L8" i="11"/>
  <c r="L38" i="5"/>
  <c r="L9" i="11"/>
  <c r="L12" i="11"/>
  <c r="L13" i="11"/>
  <c r="L14" i="11"/>
  <c r="L18" i="11"/>
  <c r="L19" i="11"/>
  <c r="M7" i="11"/>
  <c r="M8" i="11"/>
  <c r="M38" i="5"/>
  <c r="M9" i="11"/>
  <c r="M12" i="11"/>
  <c r="M13" i="11"/>
  <c r="M14" i="11"/>
  <c r="M15" i="11"/>
  <c r="M18" i="11"/>
  <c r="M19" i="11"/>
  <c r="N7" i="11"/>
  <c r="N38" i="5"/>
  <c r="N9" i="11"/>
  <c r="O7" i="11"/>
  <c r="O8" i="11"/>
  <c r="O38" i="5"/>
  <c r="O9" i="11"/>
  <c r="O12" i="11"/>
  <c r="O13" i="11"/>
  <c r="O14" i="11"/>
  <c r="O15" i="11"/>
  <c r="E7" i="17"/>
  <c r="D29" i="13"/>
  <c r="D37" i="13"/>
  <c r="D42" i="13"/>
  <c r="D48" i="13"/>
  <c r="D49" i="13"/>
  <c r="E37" i="13"/>
  <c r="F37" i="13"/>
  <c r="G37" i="13"/>
  <c r="H37" i="13"/>
  <c r="I37" i="13"/>
  <c r="J37" i="13"/>
  <c r="K37" i="13"/>
  <c r="L37" i="13"/>
  <c r="M37" i="13"/>
  <c r="N37" i="13"/>
  <c r="O37" i="13"/>
  <c r="E29" i="13"/>
  <c r="F29" i="13"/>
  <c r="G29" i="13"/>
  <c r="H29" i="13"/>
  <c r="I29" i="13"/>
  <c r="J29" i="13"/>
  <c r="K29" i="13"/>
  <c r="L29" i="13"/>
  <c r="M29" i="13"/>
  <c r="N29" i="13"/>
  <c r="O29" i="13"/>
  <c r="E42" i="13"/>
  <c r="F42" i="13"/>
  <c r="G42" i="13"/>
  <c r="H42" i="13"/>
  <c r="I42" i="13"/>
  <c r="J42" i="13"/>
  <c r="K42" i="13"/>
  <c r="L42" i="13"/>
  <c r="M42" i="13"/>
  <c r="N42" i="13"/>
  <c r="O42" i="13"/>
  <c r="F16" i="13"/>
  <c r="F52" i="13"/>
  <c r="G16" i="13"/>
  <c r="H16" i="13"/>
  <c r="H52" i="13"/>
  <c r="I16" i="13"/>
  <c r="N16" i="13"/>
  <c r="N52" i="13"/>
  <c r="O16" i="13"/>
  <c r="E48" i="13"/>
  <c r="C66" i="13"/>
  <c r="D55" i="8"/>
  <c r="F48" i="13"/>
  <c r="G48" i="13"/>
  <c r="H48" i="13"/>
  <c r="I48" i="13"/>
  <c r="J48" i="13"/>
  <c r="K48" i="13"/>
  <c r="L48" i="13"/>
  <c r="M48" i="13"/>
  <c r="N48" i="13"/>
  <c r="O48" i="13"/>
  <c r="C70" i="13"/>
  <c r="P48" i="13"/>
  <c r="P6" i="14"/>
  <c r="E49" i="13"/>
  <c r="C67" i="13"/>
  <c r="D56" i="8"/>
  <c r="F49" i="13"/>
  <c r="G49" i="13"/>
  <c r="H49" i="13"/>
  <c r="I49" i="13"/>
  <c r="J49" i="13"/>
  <c r="K49" i="13"/>
  <c r="L49" i="13"/>
  <c r="M49" i="13"/>
  <c r="N49" i="13"/>
  <c r="O49" i="13"/>
  <c r="C71" i="13"/>
  <c r="N56" i="8"/>
  <c r="P49" i="13"/>
  <c r="C75" i="13"/>
  <c r="O56" i="8"/>
  <c r="P7" i="3"/>
  <c r="D24" i="5"/>
  <c r="E24" i="5"/>
  <c r="F24" i="5"/>
  <c r="G24" i="5"/>
  <c r="H24" i="5"/>
  <c r="I24" i="5"/>
  <c r="J24" i="5"/>
  <c r="K24" i="5"/>
  <c r="L24" i="5"/>
  <c r="M24" i="5"/>
  <c r="N23" i="5"/>
  <c r="N24" i="5"/>
  <c r="P24" i="5"/>
  <c r="C24" i="5"/>
  <c r="E10" i="5"/>
  <c r="F10" i="5"/>
  <c r="G10" i="5"/>
  <c r="H10" i="5"/>
  <c r="I10" i="5"/>
  <c r="J10" i="5"/>
  <c r="K10" i="5"/>
  <c r="L10" i="5"/>
  <c r="M10" i="5"/>
  <c r="D10" i="5"/>
  <c r="C10" i="5"/>
  <c r="O54" i="3"/>
  <c r="O56" i="3"/>
  <c r="P7" i="2"/>
  <c r="P10" i="2"/>
  <c r="C17" i="16"/>
  <c r="D17" i="16"/>
  <c r="E17" i="16"/>
  <c r="F17" i="16"/>
  <c r="N7" i="5"/>
  <c r="P7" i="5"/>
  <c r="N8" i="5"/>
  <c r="P8" i="5"/>
  <c r="N9" i="5"/>
  <c r="N10" i="5"/>
  <c r="P10" i="5"/>
  <c r="N13" i="5"/>
  <c r="P13" i="5"/>
  <c r="N14" i="5"/>
  <c r="P14" i="5"/>
  <c r="N15" i="5"/>
  <c r="P15" i="5"/>
  <c r="C16" i="5"/>
  <c r="L16" i="5"/>
  <c r="N16" i="5"/>
  <c r="P16" i="5"/>
  <c r="N21" i="5"/>
  <c r="P21" i="5"/>
  <c r="N22" i="5"/>
  <c r="P22" i="5"/>
  <c r="N27" i="5"/>
  <c r="P27" i="5"/>
  <c r="N28" i="5"/>
  <c r="P28" i="5"/>
  <c r="N29" i="5"/>
  <c r="P29" i="5"/>
  <c r="C30" i="5"/>
  <c r="D30" i="5"/>
  <c r="I30" i="5"/>
  <c r="L30" i="5"/>
  <c r="N30" i="5"/>
  <c r="P30" i="5"/>
  <c r="N35" i="5"/>
  <c r="P35" i="5"/>
  <c r="N36" i="5"/>
  <c r="N8" i="11"/>
  <c r="P36" i="5"/>
  <c r="N37" i="5"/>
  <c r="P37" i="5"/>
  <c r="N41" i="5"/>
  <c r="P41" i="5"/>
  <c r="N42" i="5"/>
  <c r="N13" i="11"/>
  <c r="N43" i="5"/>
  <c r="P43" i="5"/>
  <c r="C44" i="5"/>
  <c r="C15" i="11"/>
  <c r="D44" i="5"/>
  <c r="D15" i="11"/>
  <c r="I44" i="5"/>
  <c r="I15" i="11"/>
  <c r="L44" i="5"/>
  <c r="L15" i="11"/>
  <c r="N44" i="5"/>
  <c r="N15" i="11"/>
  <c r="N47" i="5"/>
  <c r="N18" i="11"/>
  <c r="N48" i="5"/>
  <c r="N19" i="11"/>
  <c r="F7" i="17"/>
  <c r="G7" i="17"/>
  <c r="H7" i="17"/>
  <c r="I7" i="17"/>
  <c r="J7" i="17"/>
  <c r="K7" i="17"/>
  <c r="L7" i="17"/>
  <c r="M7" i="17"/>
  <c r="N7" i="17"/>
  <c r="O7" i="17"/>
  <c r="P7" i="17"/>
  <c r="E8" i="17"/>
  <c r="F8" i="17"/>
  <c r="G8" i="17"/>
  <c r="H8" i="17"/>
  <c r="I8" i="17"/>
  <c r="J8" i="17"/>
  <c r="K8" i="17"/>
  <c r="L8" i="17"/>
  <c r="M8" i="17"/>
  <c r="N8" i="17"/>
  <c r="O8" i="17"/>
  <c r="P8" i="17"/>
  <c r="E9" i="17"/>
  <c r="F9" i="17"/>
  <c r="G9" i="17"/>
  <c r="H9" i="17"/>
  <c r="I9" i="17"/>
  <c r="J9" i="17"/>
  <c r="K9" i="17"/>
  <c r="L9" i="17"/>
  <c r="M9" i="17"/>
  <c r="N9" i="17"/>
  <c r="O9" i="17"/>
  <c r="P23" i="17"/>
  <c r="P9" i="17"/>
  <c r="P26" i="17"/>
  <c r="P29" i="17"/>
  <c r="P6" i="3"/>
  <c r="P6" i="2"/>
  <c r="P14" i="2"/>
  <c r="P15" i="2"/>
  <c r="P16" i="2"/>
  <c r="D16" i="13"/>
  <c r="D52" i="13"/>
  <c r="E16" i="13"/>
  <c r="E52" i="13"/>
  <c r="J16" i="13"/>
  <c r="J52" i="13"/>
  <c r="M16" i="13"/>
  <c r="M52" i="13"/>
  <c r="C57" i="13"/>
  <c r="C33" i="8"/>
  <c r="E33" i="8"/>
  <c r="G33" i="8"/>
  <c r="I33" i="8"/>
  <c r="K33" i="8"/>
  <c r="M33" i="8"/>
  <c r="N20" i="8"/>
  <c r="L20" i="8"/>
  <c r="J20" i="8"/>
  <c r="H20" i="8"/>
  <c r="F20" i="8"/>
  <c r="D20" i="8"/>
  <c r="O46" i="8"/>
  <c r="C46" i="8"/>
  <c r="D46" i="8"/>
  <c r="E46" i="8"/>
  <c r="F46" i="8"/>
  <c r="G46" i="8"/>
  <c r="H46" i="8"/>
  <c r="I46" i="8"/>
  <c r="J46" i="8"/>
  <c r="K46" i="8"/>
  <c r="L46" i="8"/>
  <c r="M46" i="8"/>
  <c r="N46" i="8"/>
  <c r="D33" i="8"/>
  <c r="F33" i="8"/>
  <c r="H33" i="8"/>
  <c r="J33" i="8"/>
  <c r="L33" i="8"/>
  <c r="N33" i="8"/>
  <c r="C20" i="8"/>
  <c r="M20" i="8"/>
  <c r="K20" i="8"/>
  <c r="I20" i="8"/>
  <c r="G20" i="8"/>
  <c r="E20" i="8"/>
  <c r="N7" i="8"/>
  <c r="M7" i="8"/>
  <c r="L7" i="8"/>
  <c r="K7" i="8"/>
  <c r="J7" i="8"/>
  <c r="I7" i="8"/>
  <c r="H7" i="8"/>
  <c r="G7" i="8"/>
  <c r="F7" i="8"/>
  <c r="E7" i="8"/>
  <c r="D7" i="8"/>
  <c r="C7" i="8"/>
  <c r="O52" i="13"/>
  <c r="I52" i="13"/>
  <c r="G52" i="13"/>
  <c r="N38" i="13"/>
  <c r="N39" i="13"/>
  <c r="N43" i="13"/>
  <c r="N45" i="13"/>
  <c r="N44" i="13"/>
  <c r="L52" i="13"/>
  <c r="L38" i="13"/>
  <c r="L39" i="13"/>
  <c r="L43" i="13"/>
  <c r="L45" i="13"/>
  <c r="L44" i="13"/>
  <c r="K43" i="13"/>
  <c r="K45" i="13"/>
  <c r="K38" i="13"/>
  <c r="K6" i="14"/>
  <c r="K39" i="13"/>
  <c r="K44" i="13"/>
  <c r="J38" i="13"/>
  <c r="J39" i="13"/>
  <c r="J6" i="14"/>
  <c r="J43" i="13"/>
  <c r="J45" i="13"/>
  <c r="J44" i="13"/>
  <c r="H38" i="13"/>
  <c r="H39" i="13"/>
  <c r="H43" i="13"/>
  <c r="H45" i="13"/>
  <c r="H44" i="13"/>
  <c r="F38" i="13"/>
  <c r="F39" i="13"/>
  <c r="F6" i="14"/>
  <c r="F43" i="13"/>
  <c r="F45" i="13"/>
  <c r="F44" i="13"/>
  <c r="E43" i="13"/>
  <c r="E45" i="13"/>
  <c r="E38" i="13"/>
  <c r="E6" i="14"/>
  <c r="E39" i="13"/>
  <c r="E44" i="13"/>
  <c r="P56" i="8"/>
  <c r="N55" i="8"/>
  <c r="P55" i="8"/>
  <c r="H6" i="14"/>
  <c r="C62" i="13"/>
  <c r="O43" i="13"/>
  <c r="O45" i="13"/>
  <c r="O38" i="13"/>
  <c r="O6" i="14"/>
  <c r="O39" i="13"/>
  <c r="O44" i="13"/>
  <c r="M43" i="13"/>
  <c r="M45" i="13"/>
  <c r="M38" i="13"/>
  <c r="M6" i="14"/>
  <c r="M39" i="13"/>
  <c r="M44" i="13"/>
  <c r="I43" i="13"/>
  <c r="I45" i="13"/>
  <c r="I38" i="13"/>
  <c r="I6" i="14"/>
  <c r="I39" i="13"/>
  <c r="I44" i="13"/>
  <c r="G43" i="13"/>
  <c r="G45" i="13"/>
  <c r="G38" i="13"/>
  <c r="G6" i="14"/>
  <c r="G39" i="13"/>
  <c r="G44" i="13"/>
  <c r="D38" i="13"/>
  <c r="D39" i="13"/>
  <c r="C59" i="13"/>
  <c r="D43" i="13"/>
  <c r="D45" i="13"/>
  <c r="D44" i="13"/>
  <c r="N14" i="11"/>
  <c r="N12" i="11"/>
  <c r="C74" i="13"/>
  <c r="O55" i="8"/>
  <c r="N21" i="10"/>
  <c r="M21" i="10"/>
  <c r="M23" i="10"/>
  <c r="M24" i="10"/>
  <c r="M28" i="10"/>
  <c r="M29" i="10"/>
  <c r="I21" i="10"/>
  <c r="P52" i="3"/>
  <c r="O72" i="3"/>
  <c r="O89" i="3"/>
  <c r="O91" i="3"/>
  <c r="P8" i="2"/>
  <c r="P11" i="2"/>
  <c r="P48" i="5"/>
  <c r="P47" i="5"/>
  <c r="P44" i="5"/>
  <c r="P42" i="5"/>
  <c r="P38" i="5"/>
  <c r="P23" i="5"/>
  <c r="P9" i="5"/>
  <c r="K23" i="10"/>
  <c r="K24" i="10"/>
  <c r="K28" i="10"/>
  <c r="K29" i="10"/>
  <c r="D21" i="10"/>
  <c r="D23" i="10"/>
  <c r="D24" i="10"/>
  <c r="D28" i="10"/>
  <c r="D29" i="10"/>
  <c r="F21" i="10"/>
  <c r="H21" i="10"/>
  <c r="J21" i="10"/>
  <c r="L21" i="10"/>
  <c r="N17" i="10"/>
  <c r="N18" i="10"/>
  <c r="O9" i="15"/>
  <c r="F17" i="10"/>
  <c r="F18" i="10"/>
  <c r="G9" i="15"/>
  <c r="G17" i="10"/>
  <c r="G18" i="10"/>
  <c r="H9" i="15"/>
  <c r="H17" i="10"/>
  <c r="H18" i="10"/>
  <c r="I9" i="15"/>
  <c r="I17" i="10"/>
  <c r="I18" i="10"/>
  <c r="J9" i="15"/>
  <c r="J17" i="10"/>
  <c r="J18" i="10"/>
  <c r="K9" i="15"/>
  <c r="K17" i="10"/>
  <c r="K18" i="10"/>
  <c r="L9" i="15"/>
  <c r="M17" i="10"/>
  <c r="M18" i="10"/>
  <c r="N9" i="15"/>
  <c r="E17" i="10"/>
  <c r="E18" i="10"/>
  <c r="F9" i="15"/>
  <c r="D17" i="10"/>
  <c r="D18" i="10"/>
  <c r="E9" i="15"/>
  <c r="D72" i="3"/>
  <c r="F72" i="3"/>
  <c r="C17" i="10"/>
  <c r="C18" i="10"/>
  <c r="D9" i="15"/>
  <c r="P79" i="3"/>
  <c r="O80" i="3"/>
  <c r="O110" i="3"/>
  <c r="M80" i="3"/>
  <c r="L80" i="3"/>
  <c r="K80" i="3"/>
  <c r="J80" i="3"/>
  <c r="I80" i="3"/>
  <c r="H80" i="3"/>
  <c r="G80" i="3"/>
  <c r="F80" i="3"/>
  <c r="E80" i="3"/>
  <c r="D80" i="3"/>
  <c r="P80" i="3"/>
  <c r="O105" i="3"/>
  <c r="N22" i="3"/>
  <c r="N37" i="3"/>
  <c r="N39" i="3"/>
  <c r="N64" i="3"/>
  <c r="N66" i="3"/>
  <c r="P51" i="3"/>
  <c r="K110" i="3"/>
  <c r="I110" i="3"/>
  <c r="G110" i="3"/>
  <c r="E110" i="3"/>
  <c r="P107" i="3"/>
  <c r="C22" i="3"/>
  <c r="C37" i="3"/>
  <c r="C64" i="3"/>
  <c r="N106" i="3"/>
  <c r="M22" i="3"/>
  <c r="M37" i="3"/>
  <c r="M39" i="3"/>
  <c r="M64" i="3"/>
  <c r="M66" i="3"/>
  <c r="L110" i="3"/>
  <c r="J110" i="3"/>
  <c r="H110" i="3"/>
  <c r="F110" i="3"/>
  <c r="D110" i="3"/>
  <c r="L40" i="3"/>
  <c r="K40" i="3"/>
  <c r="J40" i="3"/>
  <c r="I40" i="3"/>
  <c r="H40" i="3"/>
  <c r="G69" i="3"/>
  <c r="E106" i="3"/>
  <c r="E69" i="3"/>
  <c r="C106" i="3"/>
  <c r="O106" i="3"/>
  <c r="M106" i="3"/>
  <c r="L106" i="3"/>
  <c r="K106" i="3"/>
  <c r="J106" i="3"/>
  <c r="I106" i="3"/>
  <c r="H106" i="3"/>
  <c r="G106" i="3"/>
  <c r="F106" i="3"/>
  <c r="F105" i="3"/>
  <c r="D106" i="3"/>
  <c r="D105" i="3"/>
  <c r="E105" i="3"/>
  <c r="E108" i="3"/>
  <c r="E112" i="3"/>
  <c r="E114" i="3"/>
  <c r="F8" i="15"/>
  <c r="F10" i="15"/>
  <c r="E70" i="3"/>
  <c r="E71" i="3"/>
  <c r="E72" i="3"/>
  <c r="E89" i="3"/>
  <c r="E91" i="3"/>
  <c r="F8" i="2"/>
  <c r="F11" i="2"/>
  <c r="G105" i="3"/>
  <c r="G108" i="3"/>
  <c r="G112" i="3"/>
  <c r="G114" i="3"/>
  <c r="H8" i="15"/>
  <c r="H10" i="15"/>
  <c r="G70" i="3"/>
  <c r="G71" i="3"/>
  <c r="G72" i="3"/>
  <c r="G89" i="3"/>
  <c r="G91" i="3"/>
  <c r="H8" i="2"/>
  <c r="H11" i="2"/>
  <c r="I67" i="3"/>
  <c r="I69" i="3"/>
  <c r="I42" i="3"/>
  <c r="I43" i="3"/>
  <c r="I44" i="3"/>
  <c r="I45" i="3"/>
  <c r="I54" i="3"/>
  <c r="I56" i="3"/>
  <c r="J7" i="2"/>
  <c r="K67" i="3"/>
  <c r="K69" i="3"/>
  <c r="K42" i="3"/>
  <c r="K43" i="3"/>
  <c r="K44" i="3"/>
  <c r="K45" i="3"/>
  <c r="K54" i="3"/>
  <c r="K56" i="3"/>
  <c r="L7" i="2"/>
  <c r="L10" i="2"/>
  <c r="C39" i="3"/>
  <c r="P37" i="3"/>
  <c r="N110" i="3"/>
  <c r="D89" i="3"/>
  <c r="D91" i="3"/>
  <c r="E8" i="2"/>
  <c r="E11" i="2"/>
  <c r="D108" i="3"/>
  <c r="D112" i="3"/>
  <c r="D114" i="3"/>
  <c r="E8" i="15"/>
  <c r="E10" i="15"/>
  <c r="F108" i="3"/>
  <c r="F112" i="3"/>
  <c r="F114" i="3"/>
  <c r="G8" i="15"/>
  <c r="G10" i="15"/>
  <c r="P106" i="3"/>
  <c r="H67" i="3"/>
  <c r="H69" i="3"/>
  <c r="H42" i="3"/>
  <c r="H43" i="3"/>
  <c r="H44" i="3"/>
  <c r="H45" i="3"/>
  <c r="H54" i="3"/>
  <c r="H56" i="3"/>
  <c r="I7" i="2"/>
  <c r="J67" i="3"/>
  <c r="J69" i="3"/>
  <c r="J42" i="3"/>
  <c r="J43" i="3"/>
  <c r="J44" i="3"/>
  <c r="J45" i="3"/>
  <c r="J54" i="3"/>
  <c r="J56" i="3"/>
  <c r="K7" i="2"/>
  <c r="K10" i="2"/>
  <c r="L67" i="3"/>
  <c r="L69" i="3"/>
  <c r="L42" i="3"/>
  <c r="L43" i="3"/>
  <c r="L44" i="3"/>
  <c r="L45" i="3"/>
  <c r="L54" i="3"/>
  <c r="L56" i="3"/>
  <c r="M7" i="2"/>
  <c r="M110" i="3"/>
  <c r="M40" i="3"/>
  <c r="M24" i="3"/>
  <c r="M25" i="3"/>
  <c r="M27" i="3"/>
  <c r="M29" i="3"/>
  <c r="N6" i="2"/>
  <c r="C66" i="3"/>
  <c r="P64" i="3"/>
  <c r="C40" i="3"/>
  <c r="P22" i="3"/>
  <c r="C24" i="3"/>
  <c r="O108" i="3"/>
  <c r="O112" i="3"/>
  <c r="O114" i="3"/>
  <c r="P8" i="15"/>
  <c r="P10" i="15"/>
  <c r="F89" i="3"/>
  <c r="F91" i="3"/>
  <c r="G8" i="2"/>
  <c r="G11" i="2"/>
  <c r="J23" i="10"/>
  <c r="J24" i="10"/>
  <c r="J28" i="10"/>
  <c r="J29" i="10"/>
  <c r="F23" i="10"/>
  <c r="F24" i="10"/>
  <c r="F28" i="10"/>
  <c r="F29" i="10"/>
  <c r="G23" i="10"/>
  <c r="G24" i="10"/>
  <c r="G28" i="10"/>
  <c r="G29" i="10"/>
  <c r="I23" i="10"/>
  <c r="I24" i="10"/>
  <c r="I28" i="10"/>
  <c r="I29" i="10"/>
  <c r="N23" i="10"/>
  <c r="N24" i="10"/>
  <c r="N28" i="10"/>
  <c r="N29" i="10"/>
  <c r="E23" i="10"/>
  <c r="E24" i="10"/>
  <c r="E28" i="10"/>
  <c r="E29" i="10"/>
  <c r="C58" i="13"/>
  <c r="L6" i="14"/>
  <c r="Q6" i="14"/>
  <c r="N6" i="14"/>
  <c r="C63" i="13"/>
  <c r="P20" i="8"/>
  <c r="P46" i="8"/>
  <c r="N40" i="3"/>
  <c r="N24" i="3"/>
  <c r="N25" i="3"/>
  <c r="N27" i="3"/>
  <c r="N29" i="3"/>
  <c r="O6" i="2"/>
  <c r="H23" i="10"/>
  <c r="H24" i="10"/>
  <c r="H28" i="10"/>
  <c r="H29" i="10"/>
  <c r="C23" i="10"/>
  <c r="C24" i="10"/>
  <c r="C28" i="10"/>
  <c r="C29" i="10"/>
  <c r="C9" i="8"/>
  <c r="C22" i="8"/>
  <c r="E9" i="8"/>
  <c r="G9" i="8"/>
  <c r="I9" i="8"/>
  <c r="K9" i="8"/>
  <c r="M9" i="8"/>
  <c r="D22" i="8"/>
  <c r="F22" i="8"/>
  <c r="H22" i="8"/>
  <c r="J22" i="8"/>
  <c r="L22" i="8"/>
  <c r="N22" i="8"/>
  <c r="D35" i="8"/>
  <c r="F35" i="8"/>
  <c r="H35" i="8"/>
  <c r="J35" i="8"/>
  <c r="L35" i="8"/>
  <c r="N35" i="8"/>
  <c r="D48" i="8"/>
  <c r="F48" i="8"/>
  <c r="H48" i="8"/>
  <c r="J48" i="8"/>
  <c r="L48" i="8"/>
  <c r="N48" i="8"/>
  <c r="F9" i="8"/>
  <c r="D9" i="8"/>
  <c r="H9" i="8"/>
  <c r="L9" i="8"/>
  <c r="E22" i="8"/>
  <c r="I22" i="8"/>
  <c r="M22" i="8"/>
  <c r="E35" i="8"/>
  <c r="I35" i="8"/>
  <c r="M35" i="8"/>
  <c r="E48" i="8"/>
  <c r="I48" i="8"/>
  <c r="M48" i="8"/>
  <c r="J9" i="8"/>
  <c r="N9" i="8"/>
  <c r="C48" i="8"/>
  <c r="G22" i="8"/>
  <c r="C35" i="8"/>
  <c r="K35" i="8"/>
  <c r="G48" i="8"/>
  <c r="K22" i="8"/>
  <c r="G35" i="8"/>
  <c r="K48" i="8"/>
  <c r="O48" i="8"/>
  <c r="D51" i="8"/>
  <c r="F51" i="8"/>
  <c r="H51" i="8"/>
  <c r="J51" i="8"/>
  <c r="L51" i="8"/>
  <c r="N51" i="8"/>
  <c r="D12" i="8"/>
  <c r="F12" i="8"/>
  <c r="H12" i="8"/>
  <c r="J12" i="8"/>
  <c r="L12" i="8"/>
  <c r="N12" i="8"/>
  <c r="C25" i="8"/>
  <c r="E25" i="8"/>
  <c r="G25" i="8"/>
  <c r="I25" i="8"/>
  <c r="K25" i="8"/>
  <c r="M25" i="8"/>
  <c r="D38" i="8"/>
  <c r="F38" i="8"/>
  <c r="H38" i="8"/>
  <c r="J38" i="8"/>
  <c r="L38" i="8"/>
  <c r="N38" i="8"/>
  <c r="C51" i="8"/>
  <c r="E51" i="8"/>
  <c r="G51" i="8"/>
  <c r="I51" i="8"/>
  <c r="K51" i="8"/>
  <c r="M51" i="8"/>
  <c r="O51" i="8"/>
  <c r="E12" i="8"/>
  <c r="I12" i="8"/>
  <c r="M12" i="8"/>
  <c r="D25" i="8"/>
  <c r="H25" i="8"/>
  <c r="L25" i="8"/>
  <c r="C38" i="8"/>
  <c r="G38" i="8"/>
  <c r="K38" i="8"/>
  <c r="C12" i="8"/>
  <c r="G12" i="8"/>
  <c r="K12" i="8"/>
  <c r="F25" i="8"/>
  <c r="J25" i="8"/>
  <c r="N25" i="8"/>
  <c r="E38" i="8"/>
  <c r="I38" i="8"/>
  <c r="M38" i="8"/>
  <c r="D6" i="14"/>
  <c r="P7" i="8"/>
  <c r="P33" i="8"/>
  <c r="P12" i="8"/>
  <c r="P51" i="8"/>
  <c r="P22" i="8"/>
  <c r="R6" i="14"/>
  <c r="P38" i="8"/>
  <c r="P35" i="8"/>
  <c r="P48" i="8"/>
  <c r="P9" i="8"/>
  <c r="N67" i="3"/>
  <c r="N69" i="3"/>
  <c r="N42" i="3"/>
  <c r="N43" i="3"/>
  <c r="N44" i="3"/>
  <c r="N45" i="3"/>
  <c r="N54" i="3"/>
  <c r="N56" i="3"/>
  <c r="O7" i="2"/>
  <c r="O10" i="2"/>
  <c r="C13" i="8"/>
  <c r="D13" i="8"/>
  <c r="F13" i="8"/>
  <c r="H13" i="8"/>
  <c r="J13" i="8"/>
  <c r="L13" i="8"/>
  <c r="N13" i="8"/>
  <c r="E26" i="8"/>
  <c r="G26" i="8"/>
  <c r="I26" i="8"/>
  <c r="K26" i="8"/>
  <c r="M26" i="8"/>
  <c r="C39" i="8"/>
  <c r="E39" i="8"/>
  <c r="G39" i="8"/>
  <c r="I39" i="8"/>
  <c r="K39" i="8"/>
  <c r="M39" i="8"/>
  <c r="C52" i="8"/>
  <c r="E52" i="8"/>
  <c r="G52" i="8"/>
  <c r="I52" i="8"/>
  <c r="K52" i="8"/>
  <c r="M52" i="8"/>
  <c r="O52" i="8"/>
  <c r="C26" i="8"/>
  <c r="G13" i="8"/>
  <c r="K13" i="8"/>
  <c r="E13" i="8"/>
  <c r="I13" i="8"/>
  <c r="M13" i="8"/>
  <c r="F26" i="8"/>
  <c r="J26" i="8"/>
  <c r="N26" i="8"/>
  <c r="F39" i="8"/>
  <c r="J39" i="8"/>
  <c r="N39" i="8"/>
  <c r="F52" i="8"/>
  <c r="J52" i="8"/>
  <c r="N52" i="8"/>
  <c r="D26" i="8"/>
  <c r="L26" i="8"/>
  <c r="H39" i="8"/>
  <c r="D52" i="8"/>
  <c r="L52" i="8"/>
  <c r="H26" i="8"/>
  <c r="D39" i="8"/>
  <c r="L39" i="8"/>
  <c r="H52" i="8"/>
  <c r="M10" i="2"/>
  <c r="I10" i="2"/>
  <c r="P39" i="3"/>
  <c r="K105" i="3"/>
  <c r="K108" i="3"/>
  <c r="K112" i="3"/>
  <c r="K114" i="3"/>
  <c r="L8" i="15"/>
  <c r="L10" i="15"/>
  <c r="K70" i="3"/>
  <c r="K71" i="3"/>
  <c r="K72" i="3"/>
  <c r="K89" i="3"/>
  <c r="K91" i="3"/>
  <c r="L8" i="2"/>
  <c r="L11" i="2"/>
  <c r="I105" i="3"/>
  <c r="I108" i="3"/>
  <c r="I112" i="3"/>
  <c r="I114" i="3"/>
  <c r="J8" i="15"/>
  <c r="J10" i="15"/>
  <c r="I70" i="3"/>
  <c r="I71" i="3"/>
  <c r="I72" i="3"/>
  <c r="I89" i="3"/>
  <c r="I91" i="3"/>
  <c r="J8" i="2"/>
  <c r="J11" i="2"/>
  <c r="P25" i="8"/>
  <c r="C8" i="8"/>
  <c r="D8" i="8"/>
  <c r="D15" i="8"/>
  <c r="E14" i="2"/>
  <c r="F8" i="8"/>
  <c r="F15" i="8"/>
  <c r="G14" i="2"/>
  <c r="H8" i="8"/>
  <c r="H15" i="8"/>
  <c r="I14" i="2"/>
  <c r="J8" i="8"/>
  <c r="J15" i="8"/>
  <c r="K14" i="2"/>
  <c r="L8" i="8"/>
  <c r="L15" i="8"/>
  <c r="M14" i="2"/>
  <c r="N8" i="8"/>
  <c r="N15" i="8"/>
  <c r="O14" i="2"/>
  <c r="E21" i="8"/>
  <c r="E28" i="8"/>
  <c r="F15" i="2"/>
  <c r="G21" i="8"/>
  <c r="G28" i="8"/>
  <c r="H15" i="2"/>
  <c r="I21" i="8"/>
  <c r="I28" i="8"/>
  <c r="J15" i="2"/>
  <c r="K21" i="8"/>
  <c r="K28" i="8"/>
  <c r="L15" i="2"/>
  <c r="M21" i="8"/>
  <c r="M28" i="8"/>
  <c r="N15" i="2"/>
  <c r="C34" i="8"/>
  <c r="E34" i="8"/>
  <c r="E41" i="8"/>
  <c r="F16" i="2"/>
  <c r="G34" i="8"/>
  <c r="G41" i="8"/>
  <c r="H16" i="2"/>
  <c r="I34" i="8"/>
  <c r="I41" i="8"/>
  <c r="J16" i="2"/>
  <c r="K34" i="8"/>
  <c r="K41" i="8"/>
  <c r="L16" i="2"/>
  <c r="M34" i="8"/>
  <c r="M41" i="8"/>
  <c r="N16" i="2"/>
  <c r="C47" i="8"/>
  <c r="E47" i="8"/>
  <c r="E58" i="8"/>
  <c r="G47" i="8"/>
  <c r="G58" i="8"/>
  <c r="I47" i="8"/>
  <c r="I58" i="8"/>
  <c r="K47" i="8"/>
  <c r="K58" i="8"/>
  <c r="M47" i="8"/>
  <c r="M58" i="8"/>
  <c r="O47" i="8"/>
  <c r="O58" i="8"/>
  <c r="E8" i="8"/>
  <c r="E15" i="8"/>
  <c r="F14" i="2"/>
  <c r="I8" i="8"/>
  <c r="I15" i="8"/>
  <c r="J14" i="2"/>
  <c r="C21" i="8"/>
  <c r="G8" i="8"/>
  <c r="G15" i="8"/>
  <c r="H14" i="2"/>
  <c r="K8" i="8"/>
  <c r="K15" i="8"/>
  <c r="L14" i="2"/>
  <c r="D21" i="8"/>
  <c r="D28" i="8"/>
  <c r="E15" i="2"/>
  <c r="H21" i="8"/>
  <c r="H28" i="8"/>
  <c r="I15" i="2"/>
  <c r="L21" i="8"/>
  <c r="L28" i="8"/>
  <c r="M15" i="2"/>
  <c r="D34" i="8"/>
  <c r="D41" i="8"/>
  <c r="E16" i="2"/>
  <c r="H34" i="8"/>
  <c r="H41" i="8"/>
  <c r="I16" i="2"/>
  <c r="L34" i="8"/>
  <c r="L41" i="8"/>
  <c r="M16" i="2"/>
  <c r="D47" i="8"/>
  <c r="D58" i="8"/>
  <c r="H47" i="8"/>
  <c r="H58" i="8"/>
  <c r="L47" i="8"/>
  <c r="L58" i="8"/>
  <c r="M8" i="8"/>
  <c r="M15" i="8"/>
  <c r="N14" i="2"/>
  <c r="N21" i="8"/>
  <c r="N28" i="8"/>
  <c r="O15" i="2"/>
  <c r="J21" i="8"/>
  <c r="J28" i="8"/>
  <c r="K15" i="2"/>
  <c r="F34" i="8"/>
  <c r="F41" i="8"/>
  <c r="G16" i="2"/>
  <c r="N34" i="8"/>
  <c r="N41" i="8"/>
  <c r="O16" i="2"/>
  <c r="J47" i="8"/>
  <c r="J58" i="8"/>
  <c r="F21" i="8"/>
  <c r="F28" i="8"/>
  <c r="G15" i="2"/>
  <c r="J34" i="8"/>
  <c r="J41" i="8"/>
  <c r="K16" i="2"/>
  <c r="F47" i="8"/>
  <c r="F58" i="8"/>
  <c r="N47" i="8"/>
  <c r="N58" i="8"/>
  <c r="C25" i="3"/>
  <c r="P24" i="3"/>
  <c r="C67" i="3"/>
  <c r="C42" i="3"/>
  <c r="P40" i="3"/>
  <c r="C110" i="3"/>
  <c r="P110" i="3"/>
  <c r="P66" i="3"/>
  <c r="M67" i="3"/>
  <c r="M69" i="3"/>
  <c r="M42" i="3"/>
  <c r="M43" i="3"/>
  <c r="M44" i="3"/>
  <c r="M45" i="3"/>
  <c r="M54" i="3"/>
  <c r="M56" i="3"/>
  <c r="N7" i="2"/>
  <c r="N10" i="2"/>
  <c r="L105" i="3"/>
  <c r="L108" i="3"/>
  <c r="L112" i="3"/>
  <c r="L114" i="3"/>
  <c r="M8" i="15"/>
  <c r="L70" i="3"/>
  <c r="L71" i="3"/>
  <c r="L72" i="3"/>
  <c r="L89" i="3"/>
  <c r="L91" i="3"/>
  <c r="M8" i="2"/>
  <c r="M11" i="2"/>
  <c r="J105" i="3"/>
  <c r="J108" i="3"/>
  <c r="J112" i="3"/>
  <c r="J114" i="3"/>
  <c r="K8" i="15"/>
  <c r="K10" i="15"/>
  <c r="J70" i="3"/>
  <c r="J71" i="3"/>
  <c r="J72" i="3"/>
  <c r="J89" i="3"/>
  <c r="J91" i="3"/>
  <c r="K8" i="2"/>
  <c r="K11" i="2"/>
  <c r="H105" i="3"/>
  <c r="H108" i="3"/>
  <c r="H112" i="3"/>
  <c r="H114" i="3"/>
  <c r="I8" i="15"/>
  <c r="I10" i="15"/>
  <c r="H70" i="3"/>
  <c r="H71" i="3"/>
  <c r="H72" i="3"/>
  <c r="H89" i="3"/>
  <c r="H91" i="3"/>
  <c r="I8" i="2"/>
  <c r="I11" i="2"/>
  <c r="J10" i="2"/>
  <c r="M105" i="3"/>
  <c r="M108" i="3"/>
  <c r="M112" i="3"/>
  <c r="M114" i="3"/>
  <c r="N8" i="15"/>
  <c r="N10" i="15"/>
  <c r="M70" i="3"/>
  <c r="M71" i="3"/>
  <c r="M72" i="3"/>
  <c r="M89" i="3"/>
  <c r="M91" i="3"/>
  <c r="N8" i="2"/>
  <c r="N11" i="2"/>
  <c r="C69" i="3"/>
  <c r="P67" i="3"/>
  <c r="P25" i="3"/>
  <c r="C27" i="3"/>
  <c r="P21" i="8"/>
  <c r="C28" i="8"/>
  <c r="I23" i="2"/>
  <c r="P52" i="8"/>
  <c r="P39" i="8"/>
  <c r="P13" i="8"/>
  <c r="N105" i="3"/>
  <c r="N108" i="3"/>
  <c r="N112" i="3"/>
  <c r="N114" i="3"/>
  <c r="O8" i="15"/>
  <c r="O10" i="15"/>
  <c r="N70" i="3"/>
  <c r="N71" i="3"/>
  <c r="N72" i="3"/>
  <c r="N89" i="3"/>
  <c r="N91" i="3"/>
  <c r="O8" i="2"/>
  <c r="O11" i="2"/>
  <c r="C43" i="3"/>
  <c r="P42" i="3"/>
  <c r="P47" i="8"/>
  <c r="C58" i="8"/>
  <c r="P58" i="8"/>
  <c r="P34" i="8"/>
  <c r="C41" i="8"/>
  <c r="P8" i="8"/>
  <c r="C15" i="8"/>
  <c r="P26" i="8"/>
  <c r="P41" i="8"/>
  <c r="D16" i="2"/>
  <c r="Q16" i="2"/>
  <c r="P43" i="3"/>
  <c r="C44" i="3"/>
  <c r="D15" i="2"/>
  <c r="P28" i="8"/>
  <c r="C29" i="3"/>
  <c r="P27" i="3"/>
  <c r="P15" i="8"/>
  <c r="D14" i="2"/>
  <c r="Q14" i="2"/>
  <c r="C105" i="3"/>
  <c r="C70" i="3"/>
  <c r="P69" i="3"/>
  <c r="C108" i="3"/>
  <c r="P105" i="3"/>
  <c r="P29" i="3"/>
  <c r="D6" i="2"/>
  <c r="P70" i="3"/>
  <c r="C71" i="3"/>
  <c r="C45" i="3"/>
  <c r="P44" i="3"/>
  <c r="P45" i="3"/>
  <c r="P54" i="3"/>
  <c r="C54" i="3"/>
  <c r="C56" i="3"/>
  <c r="C112" i="3"/>
  <c r="P108" i="3"/>
  <c r="C72" i="3"/>
  <c r="P71" i="3"/>
  <c r="C89" i="3"/>
  <c r="P72" i="3"/>
  <c r="P112" i="3"/>
  <c r="C114" i="3"/>
  <c r="P56" i="3"/>
  <c r="D7" i="2"/>
  <c r="D10" i="2"/>
  <c r="C91" i="3"/>
  <c r="P89" i="3"/>
  <c r="P114" i="3"/>
  <c r="D8" i="15"/>
  <c r="D10" i="15"/>
  <c r="P91" i="3"/>
  <c r="D8" i="2"/>
  <c r="D11" i="2"/>
  <c r="D24" i="2"/>
  <c r="L24" i="2"/>
  <c r="J23" i="2"/>
  <c r="J24" i="2"/>
  <c r="L23" i="2"/>
  <c r="M23" i="2"/>
  <c r="N23" i="2"/>
  <c r="H23" i="2"/>
  <c r="M24" i="2"/>
  <c r="E24" i="2"/>
  <c r="H24" i="2"/>
  <c r="Q8" i="2"/>
  <c r="D23" i="2"/>
  <c r="Q7" i="2"/>
  <c r="Q6" i="2"/>
  <c r="N24" i="2"/>
  <c r="K24" i="2"/>
  <c r="K23" i="2"/>
  <c r="I24" i="2"/>
  <c r="F23" i="2"/>
  <c r="G24" i="2"/>
  <c r="G23" i="2"/>
  <c r="Q11" i="2"/>
  <c r="F24" i="2"/>
  <c r="E23" i="2"/>
  <c r="Q10" i="2"/>
  <c r="Q31" i="21"/>
  <c r="M31" i="21"/>
  <c r="C41" i="21"/>
  <c r="C47" i="21"/>
  <c r="F41" i="21"/>
  <c r="F47" i="21"/>
  <c r="H41" i="21"/>
  <c r="H47" i="21"/>
  <c r="J41" i="21"/>
  <c r="J47" i="21"/>
  <c r="L41" i="21"/>
  <c r="L47" i="21"/>
  <c r="C42" i="21"/>
  <c r="C48" i="21"/>
  <c r="G41" i="21"/>
  <c r="G47" i="21"/>
  <c r="I41" i="21"/>
  <c r="I47" i="21"/>
  <c r="K41" i="21"/>
  <c r="K47" i="21"/>
  <c r="E46" i="22"/>
  <c r="M76" i="22"/>
  <c r="M105" i="22"/>
  <c r="M75" i="22"/>
  <c r="M104" i="22"/>
  <c r="M30" i="22"/>
  <c r="G42" i="22"/>
  <c r="G48" i="22"/>
  <c r="I42" i="22"/>
  <c r="I48" i="22"/>
  <c r="K42" i="22"/>
  <c r="K48" i="22"/>
  <c r="O108" i="22"/>
  <c r="M71" i="22"/>
  <c r="M100" i="22"/>
  <c r="M46" i="22"/>
  <c r="E76" i="22"/>
  <c r="E105" i="22"/>
  <c r="E75" i="22"/>
  <c r="E104" i="22"/>
  <c r="F42" i="22"/>
  <c r="F48" i="22"/>
  <c r="H42" i="22"/>
  <c r="H48" i="22"/>
  <c r="J42" i="22"/>
  <c r="J48" i="22"/>
  <c r="L42" i="22"/>
  <c r="L48" i="22"/>
  <c r="G101" i="22"/>
  <c r="I72" i="22"/>
  <c r="I101" i="22"/>
  <c r="I111" i="22"/>
  <c r="K72" i="22"/>
  <c r="K101" i="22"/>
  <c r="K111" i="22"/>
  <c r="D111" i="22"/>
  <c r="G111" i="22"/>
  <c r="N111" i="22"/>
  <c r="M71" i="21"/>
  <c r="M100" i="21"/>
  <c r="M46" i="21"/>
  <c r="M105" i="21"/>
  <c r="F42" i="21"/>
  <c r="F48" i="21"/>
  <c r="H42" i="21"/>
  <c r="H48" i="21"/>
  <c r="H72" i="21"/>
  <c r="H101" i="21"/>
  <c r="H111" i="21"/>
  <c r="J48" i="21"/>
  <c r="L48" i="21"/>
  <c r="E71" i="21"/>
  <c r="E100" i="21"/>
  <c r="E46" i="21"/>
  <c r="E76" i="21"/>
  <c r="E105" i="21"/>
  <c r="E75" i="21"/>
  <c r="E104" i="21"/>
  <c r="G42" i="21"/>
  <c r="G48" i="21"/>
  <c r="I42" i="21"/>
  <c r="I48" i="21"/>
  <c r="K42" i="21"/>
  <c r="K48" i="21"/>
  <c r="G72" i="21"/>
  <c r="G101" i="21"/>
  <c r="I72" i="21"/>
  <c r="I101" i="21"/>
  <c r="I111" i="21"/>
  <c r="K72" i="21"/>
  <c r="K101" i="21"/>
  <c r="N111" i="21"/>
  <c r="O24" i="2"/>
  <c r="O23" i="2"/>
  <c r="Q15" i="2"/>
  <c r="M41" i="22"/>
  <c r="M47" i="22"/>
  <c r="M72" i="22"/>
  <c r="M101" i="22"/>
  <c r="Q23" i="2"/>
  <c r="M9" i="15"/>
  <c r="M10" i="15"/>
  <c r="Q10" i="15"/>
  <c r="Q11" i="15"/>
  <c r="C15" i="15"/>
  <c r="L23" i="10"/>
  <c r="L24" i="10"/>
  <c r="L28" i="10"/>
  <c r="L29" i="10"/>
  <c r="P18" i="15"/>
  <c r="P10" i="14"/>
  <c r="P14" i="14"/>
  <c r="P15" i="14"/>
  <c r="O18" i="15"/>
  <c r="O10" i="14"/>
  <c r="O14" i="14"/>
  <c r="O15" i="14"/>
  <c r="N18" i="15"/>
  <c r="N10" i="14"/>
  <c r="N14" i="14"/>
  <c r="N15" i="14"/>
  <c r="M18" i="15"/>
  <c r="M10" i="14"/>
  <c r="M14" i="14"/>
  <c r="M15" i="14"/>
  <c r="K18" i="15"/>
  <c r="K10" i="14"/>
  <c r="K14" i="14"/>
  <c r="K15" i="14"/>
  <c r="J18" i="15"/>
  <c r="J10" i="14"/>
  <c r="J14" i="14"/>
  <c r="J15" i="14"/>
  <c r="I18" i="15"/>
  <c r="I10" i="14"/>
  <c r="I14" i="14"/>
  <c r="I15" i="14"/>
  <c r="H18" i="15"/>
  <c r="H10" i="14"/>
  <c r="H14" i="14"/>
  <c r="H15" i="14"/>
  <c r="G18" i="15"/>
  <c r="G10" i="14"/>
  <c r="G14" i="14"/>
  <c r="G15" i="14"/>
  <c r="E18" i="15"/>
  <c r="E10" i="14"/>
  <c r="E14" i="14"/>
  <c r="E15" i="14"/>
  <c r="L18" i="15"/>
  <c r="L10" i="14"/>
  <c r="L14" i="14"/>
  <c r="L15" i="14"/>
  <c r="D18" i="15"/>
  <c r="D10" i="14"/>
  <c r="F18" i="15"/>
  <c r="F10" i="14"/>
  <c r="F14" i="14"/>
  <c r="F15" i="14"/>
  <c r="Q10" i="14"/>
  <c r="Q14" i="14"/>
  <c r="Q15" i="14"/>
  <c r="D14" i="14"/>
  <c r="D15" i="14"/>
  <c r="R10" i="14"/>
  <c r="R14" i="14"/>
  <c r="R15" i="14"/>
  <c r="M111" i="22"/>
  <c r="F111" i="22"/>
  <c r="H111" i="22"/>
  <c r="J111" i="22"/>
  <c r="L111" i="22"/>
  <c r="O104" i="22"/>
  <c r="O105" i="22"/>
  <c r="C41" i="22"/>
  <c r="C47" i="22"/>
  <c r="C72" i="22"/>
  <c r="C101" i="22"/>
  <c r="C111" i="22"/>
  <c r="D7" i="21"/>
  <c r="D9" i="21"/>
  <c r="D38" i="21"/>
  <c r="D11" i="21"/>
  <c r="D50" i="21"/>
  <c r="D13" i="21"/>
  <c r="D15" i="21"/>
  <c r="D17" i="21"/>
  <c r="E8" i="22"/>
  <c r="D8" i="21"/>
  <c r="D10" i="21"/>
  <c r="D49" i="21"/>
  <c r="D12" i="21"/>
  <c r="D51" i="21"/>
  <c r="D14" i="21"/>
  <c r="E42" i="21"/>
  <c r="E48" i="21"/>
  <c r="E72" i="21"/>
  <c r="E101" i="21"/>
  <c r="E111" i="21"/>
  <c r="C72" i="21"/>
  <c r="C101" i="21"/>
  <c r="F72" i="21"/>
  <c r="F101" i="21"/>
  <c r="F111" i="21"/>
  <c r="J72" i="21"/>
  <c r="J101" i="21"/>
  <c r="L72" i="21"/>
  <c r="L101" i="21"/>
  <c r="L111" i="21"/>
  <c r="M41" i="21"/>
  <c r="M47" i="21"/>
  <c r="M72" i="21"/>
  <c r="M101" i="21"/>
  <c r="M111" i="21"/>
  <c r="M34" i="21"/>
  <c r="M42" i="21"/>
  <c r="M48" i="21"/>
  <c r="C111" i="21"/>
  <c r="G111" i="21"/>
  <c r="J111" i="21"/>
  <c r="K111" i="21"/>
  <c r="M75" i="21"/>
  <c r="M104" i="21"/>
  <c r="D37" i="21"/>
  <c r="D75" i="21"/>
  <c r="D104" i="21"/>
  <c r="O104" i="21"/>
  <c r="D76" i="21"/>
  <c r="D105" i="21"/>
  <c r="O105" i="21"/>
  <c r="E71" i="22"/>
  <c r="E100" i="22"/>
  <c r="E37" i="22"/>
  <c r="E19" i="22"/>
  <c r="D46" i="21"/>
  <c r="D19" i="21"/>
  <c r="D71" i="21"/>
  <c r="D100" i="21"/>
  <c r="O100" i="21"/>
  <c r="D42" i="21"/>
  <c r="D48" i="21"/>
  <c r="D41" i="21"/>
  <c r="D47" i="21"/>
  <c r="D72" i="21"/>
  <c r="D101" i="21"/>
  <c r="D111" i="21"/>
  <c r="O111" i="21"/>
  <c r="Q19" i="2"/>
  <c r="E41" i="22"/>
  <c r="E47" i="22"/>
  <c r="E72" i="22"/>
  <c r="E101" i="22"/>
  <c r="O101" i="22"/>
  <c r="E42" i="22"/>
  <c r="E48" i="22"/>
  <c r="O100" i="22"/>
  <c r="O101" i="21"/>
  <c r="E111" i="22"/>
  <c r="O111" i="22"/>
  <c r="Q20" i="2"/>
  <c r="Q24" i="2"/>
  <c r="C29" i="2"/>
  <c r="C30" i="2"/>
</calcChain>
</file>

<file path=xl/comments1.xml><?xml version="1.0" encoding="utf-8"?>
<comments xmlns="http://schemas.openxmlformats.org/spreadsheetml/2006/main">
  <authors>
    <author>BPostema</author>
  </authors>
  <commentList>
    <comment ref="F2" authorId="0">
      <text>
        <r>
          <rPr>
            <sz val="8"/>
            <color indexed="81"/>
            <rFont val="Tahoma"/>
            <family val="2"/>
          </rPr>
          <t>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O2" authorId="0">
      <text>
        <r>
          <rPr>
            <sz val="8"/>
            <color indexed="81"/>
            <rFont val="Tahoma"/>
            <family val="2"/>
          </rPr>
          <t>voorheen Essent Netwerk B.V. &amp; Inframosane N.V.</t>
        </r>
      </text>
    </comment>
    <comment ref="Q2" authorId="0">
      <text>
        <r>
          <rPr>
            <sz val="8"/>
            <color indexed="81"/>
            <rFont val="Tahoma"/>
            <family val="2"/>
          </rPr>
          <t>voorheen gezamenlijke netbeheerders ENECO en ONS Netbeheer N.V.</t>
        </r>
      </text>
    </comment>
  </commentList>
</comments>
</file>

<file path=xl/comments10.xml><?xml version="1.0" encoding="utf-8"?>
<comments xmlns="http://schemas.openxmlformats.org/spreadsheetml/2006/main">
  <authors>
    <author>BPostema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</commentList>
</comments>
</file>

<file path=xl/comments11.xml><?xml version="1.0" encoding="utf-8"?>
<comments xmlns="http://schemas.openxmlformats.org/spreadsheetml/2006/main">
  <authors>
    <author>BPostema</author>
    <author>Sari, Mahir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  <comment ref="A12" authorId="1">
      <text>
        <r>
          <rPr>
            <sz val="8"/>
            <color indexed="81"/>
            <rFont val="Tahoma"/>
            <family val="2"/>
          </rPr>
          <t>De wijziging betreft de resterende afschrijvingstermijn bij RENDO Netbeheer B.V. In plaats van 20 jaar is 15 jaar opgenomen.</t>
        </r>
      </text>
    </comment>
  </commentList>
</comments>
</file>

<file path=xl/comments2.xml><?xml version="1.0" encoding="utf-8"?>
<comments xmlns="http://schemas.openxmlformats.org/spreadsheetml/2006/main">
  <authors>
    <author>BPostema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O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</commentList>
</comments>
</file>

<file path=xl/comments3.xml><?xml version="1.0" encoding="utf-8"?>
<comments xmlns="http://schemas.openxmlformats.org/spreadsheetml/2006/main">
  <authors>
    <author>BPostema</author>
    <author>Sari, Mahir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O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  <comment ref="A18" authorId="1">
      <text>
        <r>
          <rPr>
            <sz val="8"/>
            <color indexed="81"/>
            <rFont val="Tahoma"/>
            <family val="2"/>
          </rPr>
          <t>De totale SO's over de jaren 2005 en 2006 worden hier aangepast.</t>
        </r>
      </text>
    </comment>
    <comment ref="A24" authorId="1">
      <text>
        <r>
          <rPr>
            <sz val="8"/>
            <color indexed="81"/>
            <rFont val="Tahoma"/>
            <family val="2"/>
          </rPr>
          <t>Hier worden de gewijzigde SO's meegenomen in de berekening van de productiviteitsverandering 2005-2006. Let op: de wijziging betreft alleen op totaal.
NB. De doelzoekfunctie wordt niet aangepast.</t>
        </r>
      </text>
    </comment>
  </commentList>
</comments>
</file>

<file path=xl/comments4.xml><?xml version="1.0" encoding="utf-8"?>
<comments xmlns="http://schemas.openxmlformats.org/spreadsheetml/2006/main">
  <authors>
    <author>BPostema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</commentList>
</comments>
</file>

<file path=xl/comments5.xml><?xml version="1.0" encoding="utf-8"?>
<comments xmlns="http://schemas.openxmlformats.org/spreadsheetml/2006/main">
  <authors>
    <author>BPostema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</commentList>
</comments>
</file>

<file path=xl/comments6.xml><?xml version="1.0" encoding="utf-8"?>
<comments xmlns="http://schemas.openxmlformats.org/spreadsheetml/2006/main">
  <authors>
    <author>Sari, Mahir</author>
  </authors>
  <commentList>
    <comment ref="D7" authorId="0">
      <text>
        <r>
          <rPr>
            <sz val="8"/>
            <color indexed="81"/>
            <rFont val="Tahoma"/>
            <family val="2"/>
          </rPr>
          <t>DELTA heeft alleen een totaalgetal opgegeven (179190). Dit is op basis van gegevens 2006 verdeeld.</t>
        </r>
      </text>
    </comment>
  </commentList>
</comments>
</file>

<file path=xl/comments7.xml><?xml version="1.0" encoding="utf-8"?>
<comments xmlns="http://schemas.openxmlformats.org/spreadsheetml/2006/main">
  <authors>
    <author>BPostema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O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</commentList>
</comments>
</file>

<file path=xl/comments8.xml><?xml version="1.0" encoding="utf-8"?>
<comments xmlns="http://schemas.openxmlformats.org/spreadsheetml/2006/main">
  <authors>
    <author>BPostema</author>
  </authors>
  <commentList>
    <comment ref="G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P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</commentList>
</comments>
</file>

<file path=xl/comments9.xml><?xml version="1.0" encoding="utf-8"?>
<comments xmlns="http://schemas.openxmlformats.org/spreadsheetml/2006/main">
  <authors>
    <author>BPostema</author>
  </authors>
  <commentList>
    <comment ref="E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ENBU B.V., ENECO Edelnet Delfland B.V., ENECO Netbeheer Amstelland B.V., ENECO Netbeheer B.V., ENECO Netbeheer Midden-Holland B.V., ENECO Netbeheer Midden-Kennemerland B.V., ENECO Netbeheer NOF B.V., ENECO Netbeheer Weert N.V., ENECO Netbeheer Zeist en Omstreken B.V. &amp; ENECO Netbeheer Zuid-Kennemerland B.V.</t>
        </r>
      </text>
    </comment>
    <comment ref="N2" authorId="0">
      <text>
        <r>
          <rPr>
            <b/>
            <sz val="8"/>
            <color indexed="81"/>
            <rFont val="Tahoma"/>
            <family val="2"/>
          </rPr>
          <t>BPostema:</t>
        </r>
        <r>
          <rPr>
            <sz val="8"/>
            <color indexed="81"/>
            <rFont val="Tahoma"/>
            <family val="2"/>
          </rPr>
          <t xml:space="preserve">
Essent Netwerk B.V. &amp; Inframosane N.V.</t>
        </r>
      </text>
    </comment>
  </commentList>
</comments>
</file>

<file path=xl/sharedStrings.xml><?xml version="1.0" encoding="utf-8"?>
<sst xmlns="http://schemas.openxmlformats.org/spreadsheetml/2006/main" count="781" uniqueCount="281">
  <si>
    <t>SBAB</t>
  </si>
  <si>
    <t>SFRL</t>
  </si>
  <si>
    <t>SLIM</t>
  </si>
  <si>
    <t>SNRD</t>
  </si>
  <si>
    <t>B.V. Netbeheer Haarlemmermeer</t>
  </si>
  <si>
    <t>DELTA Netwerkbedrijf B.V.</t>
  </si>
  <si>
    <t>InfraMosane N.V.</t>
  </si>
  <si>
    <t>Intergas Energie B.V.</t>
  </si>
  <si>
    <t>N.V. Continuon Netbeheer</t>
  </si>
  <si>
    <t>Netbeheerder Centraal Overijssel B.V.</t>
  </si>
  <si>
    <t>NRE Netwerk B.V.</t>
  </si>
  <si>
    <t>Obragas Net N.V.</t>
  </si>
  <si>
    <t>ONS Netbeheer B.V.</t>
  </si>
  <si>
    <t>RENDO Netbeheer B.V.</t>
  </si>
  <si>
    <t>Westland Energie Infrastructuur B.V.</t>
  </si>
  <si>
    <t>Zebra Gasnetwerk B.V.</t>
  </si>
  <si>
    <t>Essent Groep</t>
  </si>
  <si>
    <t>Volumes</t>
  </si>
  <si>
    <t>Gecorrigeerde Volumes verbruiksafhankelijk tarief (TAVTv)</t>
  </si>
  <si>
    <t>Kleinverbruik</t>
  </si>
  <si>
    <t>Vastrecht (TOVT)</t>
  </si>
  <si>
    <t>Capaciteitsafhankelijk tarief (TAVTc)</t>
  </si>
  <si>
    <t>Verbruiksafhankelijk tarief (TAVTv)</t>
  </si>
  <si>
    <t>Grootverbruik</t>
  </si>
  <si>
    <t>Capaciteitsafhankelijk tarief (TAVTc) lage druk</t>
  </si>
  <si>
    <t>Capaciteitsafhankelijk tarief (TAVTc) hoge druk</t>
  </si>
  <si>
    <t>Capaciteitsafhankelijk tarief (TAVTc) standaard</t>
  </si>
  <si>
    <t>Gestandaardiseerde Economische Kosten</t>
  </si>
  <si>
    <t>Samengestelde Output</t>
  </si>
  <si>
    <t>Alle bedragen x 1000 EUR</t>
  </si>
  <si>
    <t>Gegevens 2004</t>
  </si>
  <si>
    <t>CPI 2004</t>
  </si>
  <si>
    <t>CPI 2005</t>
  </si>
  <si>
    <t>CPI 2006</t>
  </si>
  <si>
    <t>CPI 2007</t>
  </si>
  <si>
    <t>Totale afschrijvingen 2004</t>
  </si>
  <si>
    <t>Eindstand GAW 2004</t>
  </si>
  <si>
    <t>Gestandaardiseerde Economische Kosten  2004</t>
  </si>
  <si>
    <t>Totaal CAPEX 2004</t>
  </si>
  <si>
    <t>Productiviteitsmeting</t>
  </si>
  <si>
    <t>Totaal OPEX 2006</t>
  </si>
  <si>
    <t>Eindstand GAW 2005</t>
  </si>
  <si>
    <t>Gestandaardiseerde Economische Kosten  2005</t>
  </si>
  <si>
    <t>Totale afschrijvingen 2006</t>
  </si>
  <si>
    <t>Eindstand GAW 2006</t>
  </si>
  <si>
    <t>Totaal CAPEX 2006</t>
  </si>
  <si>
    <t>Gestandaardiseerde Economische Kosten  2006</t>
  </si>
  <si>
    <t>Essent netwerk B.V.</t>
  </si>
  <si>
    <t>Essent Netwerk B.V.</t>
  </si>
  <si>
    <t>Capaciteitsafhankelijk tarief (TAVTc) EHD</t>
  </si>
  <si>
    <t>EHD (&gt;= 16 bar)</t>
  </si>
  <si>
    <t>Gestandaardiseerde Economische Kosten 2004</t>
  </si>
  <si>
    <t>Gestandaardiseerde Economische Kosten 2005</t>
  </si>
  <si>
    <t>Gestandaardiseerde Economische Kosten 2006</t>
  </si>
  <si>
    <t>Kostendata</t>
  </si>
  <si>
    <t>Outputdata</t>
  </si>
  <si>
    <t>Samengestelde Output 2004</t>
  </si>
  <si>
    <t>Samengestelde Output 2005</t>
  </si>
  <si>
    <t>Samengestelde Output 2006</t>
  </si>
  <si>
    <t>prijzen 2004</t>
  </si>
  <si>
    <t>prijzen 2005</t>
  </si>
  <si>
    <t>prijzen 2006</t>
  </si>
  <si>
    <t>Productiviteitsverandering</t>
  </si>
  <si>
    <t>PV 2005</t>
  </si>
  <si>
    <t>PV 2006</t>
  </si>
  <si>
    <t>Totaal</t>
  </si>
  <si>
    <t>PV2004-2006</t>
  </si>
  <si>
    <t>(rechterdeel formule)</t>
  </si>
  <si>
    <t>(linkerdeel formule)</t>
  </si>
  <si>
    <t>(verschil)</t>
  </si>
  <si>
    <t>Afschrijvingen inv &lt; 2004</t>
  </si>
  <si>
    <t>Eindstand inv &lt; 2004</t>
  </si>
  <si>
    <t>Sectortarieven 2007</t>
  </si>
  <si>
    <t>Nacalculatie 2005</t>
  </si>
  <si>
    <t>Nacalculatie 2006</t>
  </si>
  <si>
    <t>Totaal bedrag nacalculatie in tarieven 2007</t>
  </si>
  <si>
    <t>Tarieven 2007 gecorrigeerd voor nacalculaties</t>
  </si>
  <si>
    <t>ORV</t>
  </si>
  <si>
    <t>Geschatte ORV-component 2010</t>
  </si>
  <si>
    <t>Totale geschatte ORV kosten 2010</t>
  </si>
  <si>
    <t>Rekenvolumina</t>
  </si>
  <si>
    <t>Rekenvolumina 2008-2010</t>
  </si>
  <si>
    <t>Sectortarieven</t>
  </si>
  <si>
    <t>x-factor</t>
  </si>
  <si>
    <t>Begininkomsten 2007</t>
  </si>
  <si>
    <t>Eindinkomsten 2010</t>
  </si>
  <si>
    <t>x-factor derde reguleringsperiode</t>
  </si>
  <si>
    <t>x-factor onafgerond</t>
  </si>
  <si>
    <t>Efficiënte kosten 2007</t>
  </si>
  <si>
    <t>LET OP: DEZE CEL WORDT NIET AUTOMATISCH BEREKEND. BEREKEN ALS VOLGT:</t>
  </si>
  <si>
    <r>
      <t xml:space="preserve">Voer </t>
    </r>
    <r>
      <rPr>
        <sz val="10"/>
        <color indexed="10"/>
        <rFont val="Arial"/>
        <family val="2"/>
      </rPr>
      <t>doelzoeken</t>
    </r>
    <r>
      <rPr>
        <sz val="10"/>
        <rFont val="Arial"/>
        <family val="2"/>
      </rPr>
      <t xml:space="preserve"> uit met volgende inputs:</t>
    </r>
  </si>
  <si>
    <t>PV2007-2010</t>
  </si>
  <si>
    <t>cpi2007</t>
  </si>
  <si>
    <t>Kosten 2006</t>
  </si>
  <si>
    <t>ORV 2006</t>
  </si>
  <si>
    <t>Eindinkomsten</t>
  </si>
  <si>
    <t>Efficiënte kosten per output 2010</t>
  </si>
  <si>
    <t>SO2004</t>
  </si>
  <si>
    <t>SO2005</t>
  </si>
  <si>
    <t>SO2006</t>
  </si>
  <si>
    <t>SO2007</t>
  </si>
  <si>
    <t>Gedoogbelastingen 2003</t>
  </si>
  <si>
    <t>CPI</t>
  </si>
  <si>
    <t>Geschatte gedoogbelastingen 2006</t>
  </si>
  <si>
    <t>Jaarlijkse cpi</t>
  </si>
  <si>
    <t>cpi-tabel</t>
  </si>
  <si>
    <t>naar\van</t>
  </si>
  <si>
    <t>correctiefactor</t>
  </si>
  <si>
    <t>Gezamenlijke netbeheerders ENECO</t>
  </si>
  <si>
    <t>Geschatte kosten lokale heffingen 2010</t>
  </si>
  <si>
    <t>Precariokosten 2006</t>
  </si>
  <si>
    <t>Verbruiksafhankelijk tarief (TAVTv) (inc graaddagencorrectie)</t>
  </si>
  <si>
    <t>Totale kosten lokale heffingen 2006 (prijzen 2007)</t>
  </si>
  <si>
    <t>Totale kosten lokale heffingen 2006 (prijzen 2006)</t>
  </si>
  <si>
    <t>Tarieven</t>
  </si>
  <si>
    <t>ENECO Netbeheer B.V.</t>
  </si>
  <si>
    <t>EUR/jaar</t>
  </si>
  <si>
    <t>EUR/m3/h/jr</t>
  </si>
  <si>
    <t>EUR/m3</t>
  </si>
  <si>
    <t>Kosten 2006 - ORV</t>
  </si>
  <si>
    <t>Capaciteitsafhankelijk tarief (TAVTc) gestandaardiseerd</t>
  </si>
  <si>
    <t>Afgekochte precario</t>
  </si>
  <si>
    <t>Tarieven 2007</t>
  </si>
  <si>
    <t>Nacalculatiebedragen 2007 in prijzen 2007</t>
  </si>
  <si>
    <t>Sectorgemiddelde mu,K 2e periode</t>
  </si>
  <si>
    <t>Graaddagen</t>
  </si>
  <si>
    <t>2006 tbv productiviteitsmeting (oude WACC, geen EHD)</t>
  </si>
  <si>
    <t>2006 tbv eindinkomsten (nieuwe WACC, wel EHD)</t>
  </si>
  <si>
    <t>Totaal OPEX &lt; 16 bar 2006</t>
  </si>
  <si>
    <t>Afschrijvingen afgekochte precariorechten</t>
  </si>
  <si>
    <t>GAW afgekochte precario ultimo 2006</t>
  </si>
  <si>
    <t>Resterende afschrijvingstermijn per 1-1-2004</t>
  </si>
  <si>
    <t>Inkomsten 2007 ( = tarieven*rekenvolumina 2007 ) (ex. EHD)</t>
  </si>
  <si>
    <r>
      <t xml:space="preserve">1. Argument 1 is </t>
    </r>
    <r>
      <rPr>
        <sz val="10"/>
        <color indexed="10"/>
        <rFont val="Arial"/>
        <family val="2"/>
      </rPr>
      <t>C26</t>
    </r>
    <r>
      <rPr>
        <sz val="10"/>
        <rFont val="Arial"/>
        <family val="2"/>
      </rPr>
      <t xml:space="preserve"> (deze cel moet een waarde krijgen)</t>
    </r>
  </si>
  <si>
    <r>
      <t xml:space="preserve">2. Argument 2 is </t>
    </r>
    <r>
      <rPr>
        <sz val="10"/>
        <color indexed="10"/>
        <rFont val="Arial"/>
        <family val="2"/>
      </rPr>
      <t>0</t>
    </r>
    <r>
      <rPr>
        <sz val="10"/>
        <rFont val="Arial"/>
        <family val="2"/>
      </rPr>
      <t xml:space="preserve"> (dit is de waarde die C26 moet krijgen)</t>
    </r>
  </si>
  <si>
    <r>
      <t xml:space="preserve">3. Argument 3 is </t>
    </r>
    <r>
      <rPr>
        <sz val="10"/>
        <color indexed="10"/>
        <rFont val="Arial"/>
        <family val="2"/>
      </rPr>
      <t>C22</t>
    </r>
    <r>
      <rPr>
        <sz val="10"/>
        <rFont val="Arial"/>
        <family val="2"/>
      </rPr>
      <t xml:space="preserve"> (de cel waarmee je de waarde van C26 berekent)</t>
    </r>
  </si>
  <si>
    <t>Totaal CAPEX 2005 (prijzen 2005)</t>
  </si>
  <si>
    <t>Totale afschrijving inv 2004</t>
  </si>
  <si>
    <t>WACC* GAW 2004</t>
  </si>
  <si>
    <t>CAPEX 2004 (prijzen 2004)</t>
  </si>
  <si>
    <t>CAPEX 2004 (prijzen 2005)</t>
  </si>
  <si>
    <t>WACC* GAW 2005</t>
  </si>
  <si>
    <t>CAPEX 2005 (prijzen 2005)</t>
  </si>
  <si>
    <t>CAPEX 2004 (prijzen 2006)</t>
  </si>
  <si>
    <t>CAPEX 2005 (prijzen 2006)</t>
  </si>
  <si>
    <t>WACC* GAW 2006</t>
  </si>
  <si>
    <t>CAPEX 2006 (prijzen 2006)</t>
  </si>
  <si>
    <t>Totaal CAPEX 2006 (prijzen 2006)</t>
  </si>
  <si>
    <t>Nieuwe WACC over boekwaarde 2006 inv 2004</t>
  </si>
  <si>
    <t>Nieuwe WACC over boekwaarde 2006 inv 2005</t>
  </si>
  <si>
    <t>Nieuwe WACC over boekwaarde 2006 inv 2006</t>
  </si>
  <si>
    <t>WACC over GAW 2006</t>
  </si>
  <si>
    <t>jaar</t>
  </si>
  <si>
    <t>Graaddagencorrectiefactoren</t>
  </si>
  <si>
    <t>Inkomsten vastrecht 2007</t>
  </si>
  <si>
    <t>Inkomsten niet vastrecht 2007</t>
  </si>
  <si>
    <t>Inkomsten niet vastrecht 2007 - Nacalculatie 2007</t>
  </si>
  <si>
    <t>Grootverbruik (tbv sectortarieven)</t>
  </si>
  <si>
    <t>Rekenvolumina 2005-2007</t>
  </si>
  <si>
    <t>reële WACC 2001-2007</t>
  </si>
  <si>
    <t>reële WACC 2008-2010</t>
  </si>
  <si>
    <t>Totale precariokosten 2006 (prijspeil 2006)</t>
  </si>
  <si>
    <t>Totale CAPEX precario 2006 (prijspeil 2004)</t>
  </si>
  <si>
    <t>Totale CAPEX precario 2006 (prijspeil 2006)</t>
  </si>
  <si>
    <t>Afgekochte precario begin 2004</t>
  </si>
  <si>
    <t>Gestandaardiseerde afschrijvingen &lt;2004</t>
  </si>
  <si>
    <t>EHD (&gt;= 16 bar) Delta netwerk</t>
  </si>
  <si>
    <t>EHD (&gt;= 16 bar) Essent netwerk</t>
  </si>
  <si>
    <t>EHD (&gt;= 16 bar) Zebra netwerk</t>
  </si>
  <si>
    <t>OPEX precario 2006</t>
  </si>
  <si>
    <t>WACC over afgekochte precario (prijspeil 2004)</t>
  </si>
  <si>
    <t>Gestandaardiseerde activawaarde 1-1-2004</t>
  </si>
  <si>
    <t>Aqfschrijvingen inv 2004</t>
  </si>
  <si>
    <t>Som investerigen en desinvesteringen inv 2004</t>
  </si>
  <si>
    <t>Eindstand inv 2004</t>
  </si>
  <si>
    <t>OPEX 2004</t>
  </si>
  <si>
    <t>OPEX 2005</t>
  </si>
  <si>
    <t>investeringsjaar 2004 en eerder</t>
  </si>
  <si>
    <t>Investeringsjaar 2005</t>
  </si>
  <si>
    <t>Som investerigen en desinvesteringen inv 2005</t>
  </si>
  <si>
    <t>Afschrijvingen inv 2005</t>
  </si>
  <si>
    <t>Afschrijvingen inv 2004</t>
  </si>
  <si>
    <t>Investeringsjaar 2006</t>
  </si>
  <si>
    <t>Som investerigen en desinvesteringen inv 2006</t>
  </si>
  <si>
    <t>Afschrijvingen inv 2006</t>
  </si>
  <si>
    <t>OPEX &gt;= 16 bar 2006</t>
  </si>
  <si>
    <t>Investeringsjaar 2006, &gt;= 16 bar</t>
  </si>
  <si>
    <t>Som investerigen en desinvesteringen inv 2006 &gt;= 16 bar</t>
  </si>
  <si>
    <t>Beginstand inv 2006 &gt;= 16 bar</t>
  </si>
  <si>
    <t>Afschrijvingen inv 2006 &gt;= 16 bar</t>
  </si>
  <si>
    <t>Eindstand GAW 2006 &gt;= 16 bar</t>
  </si>
  <si>
    <t>Data</t>
  </si>
  <si>
    <t>Cogas Infra &amp; Beheer B.V.</t>
  </si>
  <si>
    <t>Stedin B.V.</t>
  </si>
  <si>
    <t>Endinet Haarlemmermeer B.V.</t>
  </si>
  <si>
    <t>Endinet Regio Eindhoven B.V.</t>
  </si>
  <si>
    <t>Liander N.V.</t>
  </si>
  <si>
    <t>Endinet Oost-Brabant N.V.</t>
  </si>
  <si>
    <t>Enexis B.V.</t>
  </si>
  <si>
    <t>Inframosane</t>
  </si>
  <si>
    <t>Essent</t>
  </si>
  <si>
    <t>ONS</t>
  </si>
  <si>
    <t>Eneco</t>
  </si>
  <si>
    <t>Productiviteitsdata 2005</t>
  </si>
  <si>
    <t>Aantal afnemers per categorie met een verbruik &lt; 170.000 m3 per jaar</t>
  </si>
  <si>
    <t>&lt; 10 m3/h, jaarverbruik &lt; 500 Nm3</t>
  </si>
  <si>
    <t>&lt; 10 m3/h, jaarverbruik vanaf 500 Nm3 en &lt; 7.500 Nm3</t>
  </si>
  <si>
    <t>&lt; 10 m3/h, jaarverbruik vanaf 7.500 Nm3</t>
  </si>
  <si>
    <t>10 – 16 m3/h</t>
  </si>
  <si>
    <t>16 – 25 m3/h</t>
  </si>
  <si>
    <t>25 – 40 m3/h</t>
  </si>
  <si>
    <t>40 – 65 m3/h</t>
  </si>
  <si>
    <t>65 – 100 m3/h</t>
  </si>
  <si>
    <t>100 – 160 m3/h</t>
  </si>
  <si>
    <t>160 – 250 m3/h</t>
  </si>
  <si>
    <t>&gt; 250 m3/h</t>
  </si>
  <si>
    <t>Telemetriegrootverbruik</t>
  </si>
  <si>
    <t>Volumes &lt; 10 m3/h, &gt; 500 Nm3 per jaar aanpassen naar nieuwe indeling op basis van productiviteitsdata 2007</t>
  </si>
  <si>
    <t>Volumes productiviteitsdata 2007</t>
  </si>
  <si>
    <t>&lt; 10 m3/h, jaarverbruik vanaf 500 Nm3 en &lt; 4.000 Nm3</t>
  </si>
  <si>
    <t>&lt; 10 m3/h, jaarverbruik vanaf 4000 Nm3 en &lt; 7.500 Nm3</t>
  </si>
  <si>
    <t>Berekening aandeel  vanaf 500 Nm3 en &lt; 4.000 Nm3</t>
  </si>
  <si>
    <t>Volumes productiviteitsdata 2005</t>
  </si>
  <si>
    <t>Aangepaste volumes 2005</t>
  </si>
  <si>
    <t>&lt; 10 m3/h, jaarverbruik vanaf 4.000 Nm3</t>
  </si>
  <si>
    <t>Volumes 2006 naar nieuwe indeling</t>
  </si>
  <si>
    <t>Rekencapaciteiten</t>
  </si>
  <si>
    <t>Volumes 2005 voor bepalen SO 2005</t>
  </si>
  <si>
    <t>Profielgrootverbruikers</t>
  </si>
  <si>
    <t>Wegingsfactoren</t>
  </si>
  <si>
    <t>Profielgrootverbruik</t>
  </si>
  <si>
    <t>Telemetriegrootverbruik (&lt; 16 bar)</t>
  </si>
  <si>
    <t>Berekening SO 2006</t>
  </si>
  <si>
    <t>Productiviteitsdata 2006</t>
  </si>
  <si>
    <t>Volumes productiviteitsdata 2006</t>
  </si>
  <si>
    <t>Aangepaste volumes 2006</t>
  </si>
  <si>
    <t>Volumes 2006 voor bepalen SO 2006</t>
  </si>
  <si>
    <t>Aanpassing Samengestelde Output (totaal)</t>
  </si>
  <si>
    <t>Aangepaste SO 2005 (totaal)</t>
  </si>
  <si>
    <t>Aangepaste SO 2006 (totaal)</t>
  </si>
  <si>
    <t>Legenda celkleuren</t>
  </si>
  <si>
    <t>Data en input</t>
  </si>
  <si>
    <t>Berekende waarde</t>
  </si>
  <si>
    <t>Waarde die zonder berekening wordt overgenomen uit een andere cel</t>
  </si>
  <si>
    <t>Berekende of overgenomen waarde en tevens resultaat</t>
  </si>
  <si>
    <t>Waarde of berekening die speciale aandacht vraagt (toelichting in opmerking)</t>
  </si>
  <si>
    <t>Bron wegingsfactoren: NG4R</t>
  </si>
  <si>
    <t>Zaaknummer</t>
  </si>
  <si>
    <t>Kenmerk</t>
  </si>
  <si>
    <t>Toelichting bij dit bestand</t>
  </si>
  <si>
    <t xml:space="preserve">Cogas Infra &amp; Beheer B.V. </t>
  </si>
  <si>
    <t xml:space="preserve">DELTA Netwerkbedrijf B.V. </t>
  </si>
  <si>
    <t xml:space="preserve">Enexis B.V. </t>
  </si>
  <si>
    <t xml:space="preserve">Liander N.V. </t>
  </si>
  <si>
    <t xml:space="preserve">Endinet B.V. </t>
  </si>
  <si>
    <t xml:space="preserve">RENDO Netbeheer B.V. </t>
  </si>
  <si>
    <t xml:space="preserve">Stedin Netbeheer B.V. </t>
  </si>
  <si>
    <t xml:space="preserve">Westland Infra Netbeheer B.V. </t>
  </si>
  <si>
    <t xml:space="preserve">Zebra Gasnetwerk B.V. </t>
  </si>
  <si>
    <t>Waarde of berekening die (vooralsnog) kennelijk onjuist of onvolledig is</t>
  </si>
  <si>
    <t>Toelichting bij berekening gewijzigde x-factoren, q-factoren en rekenvolumina NG5R d.d. 11 september 2014</t>
  </si>
  <si>
    <t>Herstel x-factorbesluiten 2014-2016 Gas</t>
  </si>
  <si>
    <t>14.0731.52</t>
  </si>
  <si>
    <t>14.0733.52</t>
  </si>
  <si>
    <t>14.0735.52</t>
  </si>
  <si>
    <t>14.0737.52</t>
  </si>
  <si>
    <t>14.0739.52</t>
  </si>
  <si>
    <t>14.0741.52</t>
  </si>
  <si>
    <t>14.0743.52</t>
  </si>
  <si>
    <t>14.0745.52</t>
  </si>
  <si>
    <t>14.0746.52</t>
  </si>
  <si>
    <t>ACM/DE/2014/205162</t>
  </si>
  <si>
    <t>ACM/DE/2014/205164</t>
  </si>
  <si>
    <t>ACM/DE/2014/205166</t>
  </si>
  <si>
    <t>ACM/DE/2014/205168</t>
  </si>
  <si>
    <t>ACM/DE/2014/205170</t>
  </si>
  <si>
    <t>ACM/DE/2014/205172</t>
  </si>
  <si>
    <t>ACM/DE/2014/205174</t>
  </si>
  <si>
    <t>ACM/DE/2014/205176</t>
  </si>
  <si>
    <t>ACM/DE/2014/205177</t>
  </si>
  <si>
    <t>Dit bestand bevat het rekenmodel waarmee ACM de productiviteit 2005-2006 berekent ten behoeve van de x-factoren. Deze x-factoren heeft ACM vastgesteld in de volgende x-factorbesluiten.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</si>
</sst>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_-* #,##0_-;_-* #,##0\-;_-* &quot;-&quot;_-;_-@_-"/>
    <numFmt numFmtId="165" formatCode="_-* #,##0.00_-;_-* #,##0.00\-;_-* &quot;-&quot;??_-;_-@_-"/>
    <numFmt numFmtId="166" formatCode="0.0"/>
    <numFmt numFmtId="167" formatCode="0.00000"/>
    <numFmt numFmtId="168" formatCode="0.0%"/>
    <numFmt numFmtId="169" formatCode="#,##0.0"/>
    <numFmt numFmtId="170" formatCode="#,##0.0000_ ;\-#,##0.0000\ "/>
    <numFmt numFmtId="171" formatCode="_-* #,##0.0_-;_-* #,##0.0\-;_-* &quot;-&quot;?_-;_-@_-"/>
    <numFmt numFmtId="172" formatCode="_-* #,##0.0000_-;_-* #,##0.0000\-;_-* &quot;-&quot;_-;_-@_-"/>
    <numFmt numFmtId="173" formatCode="0.000"/>
    <numFmt numFmtId="174" formatCode="#,##0.00_ ;\-#,##0.00\ "/>
    <numFmt numFmtId="175" formatCode="#,##0_ ;\-#,##0\ "/>
    <numFmt numFmtId="176" formatCode="_-* #,##0.0000_-;_-* #,##0.0000\-;_-* &quot;-&quot;????_-;_-@_-"/>
    <numFmt numFmtId="177" formatCode="0.0000"/>
    <numFmt numFmtId="178" formatCode="_-* #,##0.00000_-;_-* #,##0.00000\-;_-* &quot;-&quot;??_-;_-@_-"/>
    <numFmt numFmtId="179" formatCode="_(* #,##0_);_(* \(#,##0\);_(* &quot;-&quot;??_);_(@_)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name val="ScalaSans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ScalaSans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8"/>
      <name val="ScalaSans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color indexed="8"/>
      <name val="MS Sans Serif"/>
      <family val="2"/>
    </font>
    <font>
      <sz val="9.5"/>
      <color theme="1"/>
      <name val="Arial"/>
      <family val="2"/>
    </font>
    <font>
      <b/>
      <sz val="10"/>
      <color theme="1"/>
      <name val="Arial"/>
      <family val="2"/>
    </font>
    <font>
      <sz val="9.5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gray125">
        <fgColor indexed="22"/>
        <bgColor indexed="42"/>
      </patternFill>
    </fill>
    <fill>
      <patternFill patternType="solid">
        <fgColor indexed="40"/>
        <bgColor indexed="64"/>
      </patternFill>
    </fill>
    <fill>
      <patternFill patternType="gray125">
        <bgColor indexed="22"/>
      </patternFill>
    </fill>
    <fill>
      <patternFill patternType="gray125">
        <bgColor indexed="40"/>
      </patternFill>
    </fill>
    <fill>
      <patternFill patternType="gray125">
        <bgColor indexed="9"/>
      </patternFill>
    </fill>
    <fill>
      <patternFill patternType="solid">
        <fgColor indexed="41"/>
        <bgColor indexed="64"/>
      </patternFill>
    </fill>
    <fill>
      <patternFill patternType="gray125"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indexed="43"/>
        <bgColor indexed="22"/>
      </patternFill>
    </fill>
    <fill>
      <patternFill patternType="gray125">
        <bgColor indexed="41"/>
      </patternFill>
    </fill>
    <fill>
      <patternFill patternType="gray125">
        <bgColor indexed="43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339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0" fontId="3" fillId="2" borderId="0" xfId="0" applyFont="1" applyFill="1"/>
    <xf numFmtId="0" fontId="6" fillId="3" borderId="1" xfId="0" applyFont="1" applyFill="1" applyBorder="1"/>
    <xf numFmtId="0" fontId="9" fillId="2" borderId="0" xfId="0" applyFont="1" applyFill="1"/>
    <xf numFmtId="3" fontId="9" fillId="4" borderId="0" xfId="0" applyNumberFormat="1" applyFont="1" applyFill="1" applyBorder="1" applyAlignment="1">
      <alignment horizontal="right"/>
    </xf>
    <xf numFmtId="3" fontId="9" fillId="5" borderId="0" xfId="0" applyNumberFormat="1" applyFont="1" applyFill="1"/>
    <xf numFmtId="3" fontId="9" fillId="4" borderId="0" xfId="3" applyNumberFormat="1" applyFont="1" applyFill="1" applyBorder="1" applyAlignment="1" applyProtection="1">
      <alignment horizontal="right"/>
      <protection locked="0"/>
    </xf>
    <xf numFmtId="3" fontId="9" fillId="4" borderId="0" xfId="8" applyNumberFormat="1" applyFont="1" applyFill="1" applyBorder="1" applyAlignment="1" applyProtection="1">
      <alignment horizontal="right"/>
    </xf>
    <xf numFmtId="164" fontId="9" fillId="4" borderId="0" xfId="8" applyNumberFormat="1" applyFont="1" applyFill="1" applyBorder="1" applyAlignment="1" applyProtection="1">
      <alignment horizontal="right"/>
    </xf>
    <xf numFmtId="164" fontId="9" fillId="4" borderId="0" xfId="0" applyNumberFormat="1" applyFont="1" applyFill="1" applyBorder="1" applyAlignment="1">
      <alignment horizontal="right"/>
    </xf>
    <xf numFmtId="3" fontId="9" fillId="5" borderId="0" xfId="8" applyNumberFormat="1" applyFont="1" applyFill="1" applyBorder="1" applyAlignment="1" applyProtection="1">
      <alignment horizontal="right"/>
    </xf>
    <xf numFmtId="3" fontId="9" fillId="6" borderId="0" xfId="0" applyNumberFormat="1" applyFont="1" applyFill="1" applyBorder="1" applyAlignment="1">
      <alignment horizontal="right"/>
    </xf>
    <xf numFmtId="3" fontId="9" fillId="6" borderId="0" xfId="3" applyNumberFormat="1" applyFont="1" applyFill="1" applyBorder="1" applyAlignment="1" applyProtection="1">
      <alignment horizontal="right"/>
      <protection locked="0"/>
    </xf>
    <xf numFmtId="164" fontId="9" fillId="6" borderId="0" xfId="8" applyNumberFormat="1" applyFont="1" applyFill="1" applyBorder="1" applyAlignment="1" applyProtection="1">
      <alignment horizontal="right"/>
    </xf>
    <xf numFmtId="39" fontId="9" fillId="2" borderId="0" xfId="7" applyNumberFormat="1" applyFont="1" applyFill="1" applyBorder="1" applyAlignment="1" applyProtection="1"/>
    <xf numFmtId="39" fontId="9" fillId="2" borderId="0" xfId="8" applyNumberFormat="1" applyFont="1" applyFill="1" applyBorder="1" applyAlignment="1" applyProtection="1"/>
    <xf numFmtId="0" fontId="11" fillId="3" borderId="1" xfId="0" applyFont="1" applyFill="1" applyBorder="1"/>
    <xf numFmtId="0" fontId="2" fillId="3" borderId="1" xfId="0" applyFont="1" applyFill="1" applyBorder="1" applyAlignment="1">
      <alignment horizontal="center" textRotation="90"/>
    </xf>
    <xf numFmtId="0" fontId="2" fillId="7" borderId="1" xfId="0" applyFont="1" applyFill="1" applyBorder="1" applyAlignment="1">
      <alignment horizontal="left"/>
    </xf>
    <xf numFmtId="0" fontId="3" fillId="7" borderId="1" xfId="0" applyFont="1" applyFill="1" applyBorder="1"/>
    <xf numFmtId="0" fontId="12" fillId="2" borderId="0" xfId="0" applyFont="1" applyFill="1"/>
    <xf numFmtId="0" fontId="9" fillId="4" borderId="0" xfId="0" applyFont="1" applyFill="1"/>
    <xf numFmtId="39" fontId="10" fillId="2" borderId="0" xfId="8" applyNumberFormat="1" applyFont="1" applyFill="1" applyBorder="1" applyAlignment="1" applyProtection="1"/>
    <xf numFmtId="39" fontId="13" fillId="2" borderId="0" xfId="8" applyNumberFormat="1" applyFont="1" applyFill="1" applyBorder="1" applyAlignment="1" applyProtection="1"/>
    <xf numFmtId="0" fontId="2" fillId="8" borderId="1" xfId="0" applyFont="1" applyFill="1" applyBorder="1" applyAlignment="1">
      <alignment horizontal="center" textRotation="90"/>
    </xf>
    <xf numFmtId="0" fontId="3" fillId="9" borderId="1" xfId="0" applyFont="1" applyFill="1" applyBorder="1"/>
    <xf numFmtId="0" fontId="9" fillId="10" borderId="0" xfId="0" applyFont="1" applyFill="1"/>
    <xf numFmtId="0" fontId="3" fillId="10" borderId="0" xfId="0" applyFont="1" applyFill="1"/>
    <xf numFmtId="164" fontId="9" fillId="6" borderId="0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right"/>
    </xf>
    <xf numFmtId="164" fontId="9" fillId="2" borderId="0" xfId="0" applyNumberFormat="1" applyFont="1" applyFill="1"/>
    <xf numFmtId="0" fontId="0" fillId="4" borderId="0" xfId="0" applyFill="1"/>
    <xf numFmtId="0" fontId="0" fillId="5" borderId="0" xfId="0" applyFill="1"/>
    <xf numFmtId="3" fontId="5" fillId="11" borderId="0" xfId="0" applyNumberFormat="1" applyFont="1" applyFill="1"/>
    <xf numFmtId="0" fontId="11" fillId="3" borderId="1" xfId="0" applyFont="1" applyFill="1" applyBorder="1" applyAlignment="1">
      <alignment wrapText="1"/>
    </xf>
    <xf numFmtId="3" fontId="5" fillId="2" borderId="0" xfId="0" applyNumberFormat="1" applyFont="1" applyFill="1" applyBorder="1"/>
    <xf numFmtId="164" fontId="14" fillId="2" borderId="0" xfId="0" applyNumberFormat="1" applyFont="1" applyFill="1" applyBorder="1"/>
    <xf numFmtId="164" fontId="14" fillId="2" borderId="0" xfId="5" applyNumberFormat="1" applyFont="1" applyFill="1" applyBorder="1"/>
    <xf numFmtId="164" fontId="5" fillId="2" borderId="0" xfId="0" applyNumberFormat="1" applyFont="1" applyFill="1" applyBorder="1"/>
    <xf numFmtId="0" fontId="5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6" fillId="2" borderId="0" xfId="0" applyFont="1" applyFill="1" applyBorder="1"/>
    <xf numFmtId="0" fontId="14" fillId="2" borderId="0" xfId="0" applyFont="1" applyFill="1" applyBorder="1" applyAlignment="1">
      <alignment horizontal="right"/>
    </xf>
    <xf numFmtId="169" fontId="5" fillId="2" borderId="0" xfId="0" applyNumberFormat="1" applyFont="1" applyFill="1" applyBorder="1"/>
    <xf numFmtId="0" fontId="17" fillId="2" borderId="0" xfId="0" applyFont="1" applyFill="1" applyBorder="1"/>
    <xf numFmtId="0" fontId="16" fillId="2" borderId="0" xfId="0" applyFont="1" applyFill="1" applyBorder="1" applyAlignment="1">
      <alignment horizontal="left"/>
    </xf>
    <xf numFmtId="0" fontId="18" fillId="2" borderId="0" xfId="0" applyFont="1" applyFill="1" applyBorder="1"/>
    <xf numFmtId="0" fontId="0" fillId="10" borderId="0" xfId="0" applyFill="1"/>
    <xf numFmtId="0" fontId="5" fillId="10" borderId="0" xfId="0" applyFont="1" applyFill="1"/>
    <xf numFmtId="0" fontId="3" fillId="10" borderId="0" xfId="0" applyFont="1" applyFill="1" applyBorder="1"/>
    <xf numFmtId="0" fontId="19" fillId="2" borderId="0" xfId="2" applyNumberFormat="1" applyFont="1" applyFill="1" applyBorder="1" applyAlignment="1">
      <alignment horizontal="left" vertical="center"/>
    </xf>
    <xf numFmtId="3" fontId="5" fillId="4" borderId="0" xfId="0" applyNumberFormat="1" applyFont="1" applyFill="1" applyBorder="1"/>
    <xf numFmtId="168" fontId="5" fillId="4" borderId="0" xfId="5" applyNumberFormat="1" applyFont="1" applyFill="1" applyBorder="1"/>
    <xf numFmtId="164" fontId="5" fillId="4" borderId="0" xfId="0" applyNumberFormat="1" applyFont="1" applyFill="1" applyBorder="1" applyAlignment="1" applyProtection="1">
      <alignment horizontal="center"/>
      <protection locked="0"/>
    </xf>
    <xf numFmtId="0" fontId="5" fillId="12" borderId="0" xfId="0" applyFont="1" applyFill="1"/>
    <xf numFmtId="164" fontId="5" fillId="4" borderId="0" xfId="0" applyNumberFormat="1" applyFont="1" applyFill="1" applyBorder="1"/>
    <xf numFmtId="164" fontId="5" fillId="5" borderId="0" xfId="0" applyNumberFormat="1" applyFont="1" applyFill="1" applyBorder="1"/>
    <xf numFmtId="164" fontId="9" fillId="5" borderId="0" xfId="0" applyNumberFormat="1" applyFont="1" applyFill="1" applyBorder="1"/>
    <xf numFmtId="164" fontId="9" fillId="11" borderId="0" xfId="5" applyNumberFormat="1" applyFont="1" applyFill="1" applyBorder="1"/>
    <xf numFmtId="164" fontId="5" fillId="4" borderId="0" xfId="0" applyNumberFormat="1" applyFont="1" applyFill="1" applyBorder="1" applyAlignment="1" applyProtection="1">
      <alignment horizontal="center"/>
    </xf>
    <xf numFmtId="164" fontId="5" fillId="5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left"/>
    </xf>
    <xf numFmtId="164" fontId="5" fillId="11" borderId="0" xfId="0" applyNumberFormat="1" applyFont="1" applyFill="1" applyBorder="1"/>
    <xf numFmtId="1" fontId="5" fillId="12" borderId="0" xfId="0" applyNumberFormat="1" applyFont="1" applyFill="1"/>
    <xf numFmtId="0" fontId="9" fillId="12" borderId="0" xfId="0" applyFont="1" applyFill="1"/>
    <xf numFmtId="0" fontId="2" fillId="2" borderId="0" xfId="0" applyFont="1" applyFill="1"/>
    <xf numFmtId="0" fontId="20" fillId="2" borderId="0" xfId="0" applyFont="1" applyFill="1"/>
    <xf numFmtId="164" fontId="9" fillId="2" borderId="0" xfId="0" applyNumberFormat="1" applyFont="1" applyFill="1" applyBorder="1"/>
    <xf numFmtId="0" fontId="4" fillId="2" borderId="0" xfId="0" applyFont="1" applyFill="1" applyBorder="1"/>
    <xf numFmtId="3" fontId="3" fillId="2" borderId="0" xfId="0" applyNumberFormat="1" applyFont="1" applyFill="1"/>
    <xf numFmtId="174" fontId="5" fillId="4" borderId="0" xfId="0" applyNumberFormat="1" applyFont="1" applyFill="1" applyBorder="1"/>
    <xf numFmtId="170" fontId="5" fillId="4" borderId="0" xfId="0" applyNumberFormat="1" applyFont="1" applyFill="1" applyBorder="1"/>
    <xf numFmtId="175" fontId="5" fillId="5" borderId="0" xfId="0" applyNumberFormat="1" applyFont="1" applyFill="1" applyBorder="1"/>
    <xf numFmtId="175" fontId="5" fillId="4" borderId="0" xfId="0" applyNumberFormat="1" applyFont="1" applyFill="1" applyBorder="1"/>
    <xf numFmtId="165" fontId="5" fillId="5" borderId="0" xfId="0" applyNumberFormat="1" applyFont="1" applyFill="1" applyBorder="1"/>
    <xf numFmtId="176" fontId="5" fillId="5" borderId="0" xfId="0" applyNumberFormat="1" applyFont="1" applyFill="1" applyBorder="1"/>
    <xf numFmtId="10" fontId="0" fillId="2" borderId="0" xfId="0" applyNumberFormat="1" applyFill="1"/>
    <xf numFmtId="164" fontId="5" fillId="12" borderId="0" xfId="0" applyNumberFormat="1" applyFont="1" applyFill="1" applyBorder="1" applyAlignment="1" applyProtection="1">
      <alignment horizontal="center"/>
    </xf>
    <xf numFmtId="164" fontId="5" fillId="11" borderId="0" xfId="0" applyNumberFormat="1" applyFont="1" applyFill="1" applyBorder="1" applyAlignment="1" applyProtection="1">
      <alignment horizontal="center"/>
    </xf>
    <xf numFmtId="9" fontId="0" fillId="2" borderId="0" xfId="0" applyNumberFormat="1" applyFill="1"/>
    <xf numFmtId="164" fontId="5" fillId="4" borderId="0" xfId="0" applyNumberFormat="1" applyFont="1" applyFill="1" applyBorder="1" applyAlignment="1">
      <alignment horizontal="right"/>
    </xf>
    <xf numFmtId="165" fontId="5" fillId="11" borderId="0" xfId="0" applyNumberFormat="1" applyFont="1" applyFill="1" applyBorder="1"/>
    <xf numFmtId="176" fontId="5" fillId="11" borderId="0" xfId="0" applyNumberFormat="1" applyFont="1" applyFill="1" applyBorder="1"/>
    <xf numFmtId="0" fontId="20" fillId="2" borderId="1" xfId="0" applyFont="1" applyFill="1" applyBorder="1"/>
    <xf numFmtId="164" fontId="5" fillId="12" borderId="0" xfId="0" applyNumberFormat="1" applyFont="1" applyFill="1" applyBorder="1"/>
    <xf numFmtId="10" fontId="5" fillId="5" borderId="0" xfId="0" applyNumberFormat="1" applyFont="1" applyFill="1"/>
    <xf numFmtId="172" fontId="5" fillId="11" borderId="0" xfId="0" applyNumberFormat="1" applyFont="1" applyFill="1"/>
    <xf numFmtId="0" fontId="0" fillId="13" borderId="0" xfId="0" applyFill="1"/>
    <xf numFmtId="173" fontId="0" fillId="5" borderId="0" xfId="0" applyNumberFormat="1" applyFill="1"/>
    <xf numFmtId="171" fontId="0" fillId="2" borderId="0" xfId="0" applyNumberFormat="1" applyFill="1"/>
    <xf numFmtId="164" fontId="0" fillId="2" borderId="0" xfId="0" applyNumberFormat="1" applyFill="1"/>
    <xf numFmtId="167" fontId="5" fillId="5" borderId="0" xfId="0" applyNumberFormat="1" applyFont="1" applyFill="1"/>
    <xf numFmtId="164" fontId="5" fillId="5" borderId="0" xfId="0" applyNumberFormat="1" applyFont="1" applyFill="1"/>
    <xf numFmtId="0" fontId="5" fillId="2" borderId="0" xfId="0" applyFont="1" applyFill="1"/>
    <xf numFmtId="168" fontId="5" fillId="5" borderId="0" xfId="0" applyNumberFormat="1" applyFont="1" applyFill="1"/>
    <xf numFmtId="3" fontId="5" fillId="5" borderId="0" xfId="0" applyNumberFormat="1" applyFont="1" applyFill="1" applyBorder="1"/>
    <xf numFmtId="169" fontId="5" fillId="4" borderId="0" xfId="0" applyNumberFormat="1" applyFont="1" applyFill="1" applyBorder="1"/>
    <xf numFmtId="168" fontId="5" fillId="2" borderId="0" xfId="0" applyNumberFormat="1" applyFont="1" applyFill="1"/>
    <xf numFmtId="165" fontId="5" fillId="14" borderId="0" xfId="0" applyNumberFormat="1" applyFont="1" applyFill="1" applyBorder="1"/>
    <xf numFmtId="176" fontId="5" fillId="14" borderId="0" xfId="0" applyNumberFormat="1" applyFont="1" applyFill="1" applyBorder="1"/>
    <xf numFmtId="0" fontId="12" fillId="2" borderId="0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5" borderId="0" xfId="0" applyFont="1" applyFill="1"/>
    <xf numFmtId="167" fontId="9" fillId="4" borderId="0" xfId="3" applyNumberFormat="1" applyFont="1" applyFill="1" applyBorder="1" applyAlignment="1" applyProtection="1">
      <alignment horizontal="center"/>
      <protection locked="0"/>
    </xf>
    <xf numFmtId="167" fontId="9" fillId="4" borderId="0" xfId="0" applyNumberFormat="1" applyFont="1" applyFill="1" applyBorder="1"/>
    <xf numFmtId="167" fontId="9" fillId="4" borderId="0" xfId="3" applyNumberFormat="1" applyFont="1" applyFill="1" applyBorder="1" applyAlignment="1" applyProtection="1">
      <alignment horizontal="right"/>
      <protection locked="0"/>
    </xf>
    <xf numFmtId="167" fontId="9" fillId="4" borderId="0" xfId="0" applyNumberFormat="1" applyFont="1" applyFill="1" applyBorder="1" applyAlignment="1">
      <alignment horizontal="right"/>
    </xf>
    <xf numFmtId="167" fontId="9" fillId="15" borderId="0" xfId="0" applyNumberFormat="1" applyFont="1" applyFill="1" applyBorder="1" applyAlignment="1">
      <alignment horizontal="right"/>
    </xf>
    <xf numFmtId="167" fontId="9" fillId="6" borderId="0" xfId="3" applyNumberFormat="1" applyFont="1" applyFill="1" applyBorder="1" applyAlignment="1" applyProtection="1">
      <alignment horizontal="right"/>
      <protection locked="0"/>
    </xf>
    <xf numFmtId="167" fontId="9" fillId="4" borderId="0" xfId="3" applyNumberFormat="1" applyFont="1" applyFill="1" applyBorder="1" applyAlignment="1" applyProtection="1">
      <alignment horizontal="right"/>
    </xf>
    <xf numFmtId="167" fontId="9" fillId="6" borderId="0" xfId="3" applyNumberFormat="1" applyFont="1" applyFill="1" applyBorder="1" applyAlignment="1" applyProtection="1">
      <alignment horizontal="right"/>
    </xf>
    <xf numFmtId="167" fontId="9" fillId="16" borderId="0" xfId="0" applyNumberFormat="1" applyFont="1" applyFill="1" applyBorder="1" applyAlignment="1">
      <alignment horizontal="right"/>
    </xf>
    <xf numFmtId="167" fontId="9" fillId="6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9" fillId="4" borderId="0" xfId="0" applyFont="1" applyFill="1" applyAlignment="1">
      <alignment horizontal="right"/>
    </xf>
    <xf numFmtId="10" fontId="5" fillId="2" borderId="0" xfId="0" applyNumberFormat="1" applyFont="1" applyFill="1"/>
    <xf numFmtId="3" fontId="9" fillId="11" borderId="0" xfId="0" applyNumberFormat="1" applyFont="1" applyFill="1"/>
    <xf numFmtId="3" fontId="5" fillId="11" borderId="0" xfId="0" applyNumberFormat="1" applyFont="1" applyFill="1" applyBorder="1"/>
    <xf numFmtId="170" fontId="5" fillId="5" borderId="0" xfId="0" applyNumberFormat="1" applyFont="1" applyFill="1" applyBorder="1"/>
    <xf numFmtId="3" fontId="9" fillId="5" borderId="0" xfId="0" applyNumberFormat="1" applyFont="1" applyFill="1" applyBorder="1" applyAlignment="1">
      <alignment horizontal="right"/>
    </xf>
    <xf numFmtId="172" fontId="0" fillId="2" borderId="0" xfId="0" applyNumberFormat="1" applyFill="1"/>
    <xf numFmtId="172" fontId="5" fillId="2" borderId="0" xfId="0" applyNumberFormat="1" applyFont="1" applyFill="1" applyBorder="1"/>
    <xf numFmtId="0" fontId="0" fillId="7" borderId="1" xfId="0" applyFill="1" applyBorder="1"/>
    <xf numFmtId="0" fontId="2" fillId="7" borderId="1" xfId="0" applyFont="1" applyFill="1" applyBorder="1"/>
    <xf numFmtId="2" fontId="0" fillId="5" borderId="0" xfId="0" applyNumberFormat="1" applyFill="1"/>
    <xf numFmtId="164" fontId="9" fillId="16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 applyAlignment="1" applyProtection="1">
      <alignment horizontal="center"/>
    </xf>
    <xf numFmtId="164" fontId="5" fillId="10" borderId="0" xfId="0" applyNumberFormat="1" applyFont="1" applyFill="1" applyBorder="1" applyAlignment="1" applyProtection="1">
      <alignment horizontal="center"/>
    </xf>
    <xf numFmtId="0" fontId="15" fillId="2" borderId="0" xfId="0" applyFont="1" applyFill="1"/>
    <xf numFmtId="0" fontId="9" fillId="4" borderId="2" xfId="0" applyFont="1" applyFill="1" applyBorder="1" applyAlignment="1">
      <alignment wrapText="1"/>
    </xf>
    <xf numFmtId="0" fontId="2" fillId="2" borderId="0" xfId="0" applyFont="1" applyFill="1" applyBorder="1"/>
    <xf numFmtId="0" fontId="0" fillId="3" borderId="1" xfId="0" applyFill="1" applyBorder="1"/>
    <xf numFmtId="0" fontId="0" fillId="2" borderId="2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2" xfId="0" applyFill="1" applyBorder="1"/>
    <xf numFmtId="168" fontId="5" fillId="2" borderId="0" xfId="5" applyNumberFormat="1" applyFont="1" applyFill="1" applyBorder="1"/>
    <xf numFmtId="178" fontId="5" fillId="11" borderId="0" xfId="0" applyNumberFormat="1" applyFont="1" applyFill="1" applyBorder="1"/>
    <xf numFmtId="165" fontId="5" fillId="2" borderId="0" xfId="0" applyNumberFormat="1" applyFont="1" applyFill="1" applyBorder="1"/>
    <xf numFmtId="39" fontId="22" fillId="2" borderId="0" xfId="8" applyNumberFormat="1" applyFont="1" applyFill="1" applyBorder="1" applyAlignment="1" applyProtection="1"/>
    <xf numFmtId="176" fontId="5" fillId="2" borderId="0" xfId="0" applyNumberFormat="1" applyFont="1" applyFill="1" applyBorder="1"/>
    <xf numFmtId="166" fontId="0" fillId="2" borderId="0" xfId="0" applyNumberFormat="1" applyFill="1"/>
    <xf numFmtId="3" fontId="9" fillId="4" borderId="0" xfId="0" applyNumberFormat="1" applyFont="1" applyFill="1"/>
    <xf numFmtId="164" fontId="5" fillId="17" borderId="0" xfId="0" applyNumberFormat="1" applyFont="1" applyFill="1" applyBorder="1"/>
    <xf numFmtId="167" fontId="5" fillId="18" borderId="0" xfId="0" applyNumberFormat="1" applyFont="1" applyFill="1"/>
    <xf numFmtId="166" fontId="20" fillId="11" borderId="1" xfId="0" applyNumberFormat="1" applyFont="1" applyFill="1" applyBorder="1"/>
    <xf numFmtId="166" fontId="20" fillId="17" borderId="1" xfId="0" applyNumberFormat="1" applyFont="1" applyFill="1" applyBorder="1"/>
    <xf numFmtId="177" fontId="0" fillId="4" borderId="2" xfId="0" applyNumberFormat="1" applyFill="1" applyBorder="1"/>
    <xf numFmtId="173" fontId="0" fillId="4" borderId="0" xfId="0" applyNumberFormat="1" applyFill="1"/>
    <xf numFmtId="164" fontId="9" fillId="4" borderId="0" xfId="5" applyNumberFormat="1" applyFont="1" applyFill="1" applyBorder="1"/>
    <xf numFmtId="164" fontId="9" fillId="4" borderId="0" xfId="0" applyNumberFormat="1" applyFont="1" applyFill="1" applyBorder="1"/>
    <xf numFmtId="0" fontId="4" fillId="2" borderId="0" xfId="0" applyFont="1" applyFill="1" applyBorder="1" applyAlignment="1">
      <alignment horizontal="left"/>
    </xf>
    <xf numFmtId="168" fontId="20" fillId="19" borderId="0" xfId="0" applyNumberFormat="1" applyFont="1" applyFill="1"/>
    <xf numFmtId="0" fontId="3" fillId="2" borderId="0" xfId="1" applyFont="1" applyFill="1"/>
    <xf numFmtId="0" fontId="3" fillId="10" borderId="0" xfId="1" applyFont="1" applyFill="1"/>
    <xf numFmtId="0" fontId="2" fillId="3" borderId="1" xfId="1" applyFont="1" applyFill="1" applyBorder="1"/>
    <xf numFmtId="0" fontId="2" fillId="3" borderId="1" xfId="1" applyFont="1" applyFill="1" applyBorder="1" applyAlignment="1">
      <alignment horizontal="center" textRotation="90"/>
    </xf>
    <xf numFmtId="0" fontId="2" fillId="8" borderId="1" xfId="1" applyFont="1" applyFill="1" applyBorder="1" applyAlignment="1">
      <alignment horizontal="center" textRotation="90"/>
    </xf>
    <xf numFmtId="0" fontId="3" fillId="2" borderId="0" xfId="1" applyFont="1" applyFill="1" applyBorder="1"/>
    <xf numFmtId="0" fontId="3" fillId="10" borderId="0" xfId="1" applyFont="1" applyFill="1" applyBorder="1"/>
    <xf numFmtId="0" fontId="2" fillId="7" borderId="1" xfId="1" applyFont="1" applyFill="1" applyBorder="1" applyAlignment="1">
      <alignment horizontal="left"/>
    </xf>
    <xf numFmtId="0" fontId="3" fillId="7" borderId="1" xfId="1" applyFont="1" applyFill="1" applyBorder="1"/>
    <xf numFmtId="39" fontId="2" fillId="2" borderId="0" xfId="8" applyNumberFormat="1" applyFont="1" applyFill="1" applyBorder="1" applyAlignment="1" applyProtection="1">
      <alignment horizontal="left"/>
    </xf>
    <xf numFmtId="39" fontId="3" fillId="2" borderId="0" xfId="8" applyNumberFormat="1" applyFont="1" applyFill="1" applyBorder="1" applyAlignment="1" applyProtection="1">
      <alignment horizontal="right"/>
    </xf>
    <xf numFmtId="179" fontId="3" fillId="2" borderId="0" xfId="4" applyNumberFormat="1" applyFont="1" applyFill="1" applyBorder="1" applyAlignment="1" applyProtection="1">
      <alignment horizontal="right"/>
    </xf>
    <xf numFmtId="39" fontId="3" fillId="2" borderId="0" xfId="7" applyNumberFormat="1" applyFont="1" applyFill="1" applyBorder="1" applyAlignment="1" applyProtection="1"/>
    <xf numFmtId="164" fontId="3" fillId="12" borderId="3" xfId="3" applyNumberFormat="1" applyFont="1" applyFill="1" applyBorder="1" applyAlignment="1" applyProtection="1">
      <alignment horizontal="center"/>
      <protection locked="0"/>
    </xf>
    <xf numFmtId="164" fontId="3" fillId="2" borderId="0" xfId="1" applyNumberFormat="1" applyFont="1" applyFill="1" applyBorder="1"/>
    <xf numFmtId="164" fontId="3" fillId="2" borderId="0" xfId="3" applyNumberFormat="1" applyFont="1" applyFill="1" applyBorder="1" applyAlignment="1" applyProtection="1">
      <alignment horizontal="center"/>
      <protection locked="0"/>
    </xf>
    <xf numFmtId="164" fontId="3" fillId="1" borderId="4" xfId="3" applyNumberFormat="1" applyFont="1" applyFill="1" applyBorder="1" applyAlignment="1" applyProtection="1">
      <alignment horizontal="center"/>
      <protection locked="0"/>
    </xf>
    <xf numFmtId="39" fontId="2" fillId="2" borderId="0" xfId="8" applyNumberFormat="1" applyFont="1" applyFill="1" applyBorder="1" applyAlignment="1" applyProtection="1"/>
    <xf numFmtId="164" fontId="3" fillId="5" borderId="0" xfId="1" applyNumberFormat="1" applyFont="1" applyFill="1" applyBorder="1" applyAlignment="1" applyProtection="1">
      <alignment horizontal="center"/>
    </xf>
    <xf numFmtId="164" fontId="2" fillId="1" borderId="2" xfId="1" applyNumberFormat="1" applyFont="1" applyFill="1" applyBorder="1" applyAlignment="1" applyProtection="1">
      <alignment horizontal="center"/>
    </xf>
    <xf numFmtId="0" fontId="2" fillId="2" borderId="0" xfId="1" applyFont="1" applyFill="1"/>
    <xf numFmtId="0" fontId="3" fillId="20" borderId="0" xfId="1" applyFont="1" applyFill="1"/>
    <xf numFmtId="0" fontId="3" fillId="21" borderId="0" xfId="1" applyFont="1" applyFill="1"/>
    <xf numFmtId="39" fontId="3" fillId="2" borderId="0" xfId="8" applyNumberFormat="1" applyFont="1" applyFill="1" applyBorder="1" applyAlignment="1" applyProtection="1"/>
    <xf numFmtId="3" fontId="3" fillId="20" borderId="0" xfId="1" applyNumberFormat="1" applyFont="1" applyFill="1"/>
    <xf numFmtId="3" fontId="3" fillId="2" borderId="0" xfId="1" applyNumberFormat="1" applyFont="1" applyFill="1" applyBorder="1"/>
    <xf numFmtId="0" fontId="2" fillId="2" borderId="0" xfId="1" applyFont="1" applyFill="1" applyBorder="1"/>
    <xf numFmtId="164" fontId="3" fillId="4" borderId="0" xfId="3" applyNumberFormat="1" applyFont="1" applyFill="1" applyBorder="1" applyAlignment="1" applyProtection="1">
      <alignment horizontal="center"/>
      <protection locked="0"/>
    </xf>
    <xf numFmtId="164" fontId="3" fillId="5" borderId="0" xfId="3" applyNumberFormat="1" applyFont="1" applyFill="1" applyBorder="1" applyAlignment="1" applyProtection="1">
      <alignment horizontal="center"/>
      <protection locked="0"/>
    </xf>
    <xf numFmtId="164" fontId="23" fillId="12" borderId="3" xfId="3" applyNumberFormat="1" applyFont="1" applyFill="1" applyBorder="1" applyAlignment="1" applyProtection="1">
      <alignment horizontal="center"/>
      <protection locked="0"/>
    </xf>
    <xf numFmtId="9" fontId="3" fillId="22" borderId="0" xfId="5" applyFont="1" applyFill="1" applyBorder="1"/>
    <xf numFmtId="164" fontId="3" fillId="19" borderId="0" xfId="1" applyNumberFormat="1" applyFont="1" applyFill="1" applyBorder="1"/>
    <xf numFmtId="164" fontId="3" fillId="22" borderId="0" xfId="1" applyNumberFormat="1" applyFont="1" applyFill="1" applyBorder="1"/>
    <xf numFmtId="164" fontId="3" fillId="19" borderId="0" xfId="3" applyNumberFormat="1" applyFont="1" applyFill="1" applyBorder="1" applyAlignment="1" applyProtection="1">
      <alignment horizontal="center"/>
      <protection locked="0"/>
    </xf>
    <xf numFmtId="0" fontId="2" fillId="20" borderId="0" xfId="1" applyFont="1" applyFill="1" applyBorder="1" applyAlignment="1">
      <alignment horizontal="left"/>
    </xf>
    <xf numFmtId="0" fontId="3" fillId="20" borderId="0" xfId="1" applyFont="1" applyFill="1" applyBorder="1"/>
    <xf numFmtId="0" fontId="3" fillId="4" borderId="0" xfId="1" applyFont="1" applyFill="1" applyBorder="1"/>
    <xf numFmtId="0" fontId="3" fillId="23" borderId="0" xfId="1" applyFont="1" applyFill="1" applyBorder="1"/>
    <xf numFmtId="164" fontId="3" fillId="22" borderId="0" xfId="1" applyNumberFormat="1" applyFont="1" applyFill="1"/>
    <xf numFmtId="164" fontId="3" fillId="20" borderId="0" xfId="1" applyNumberFormat="1" applyFont="1" applyFill="1"/>
    <xf numFmtId="0" fontId="2" fillId="20" borderId="0" xfId="1" applyFont="1" applyFill="1"/>
    <xf numFmtId="164" fontId="3" fillId="19" borderId="0" xfId="1" applyNumberFormat="1" applyFont="1" applyFill="1"/>
    <xf numFmtId="165" fontId="3" fillId="7" borderId="1" xfId="2" applyFont="1" applyFill="1" applyBorder="1"/>
    <xf numFmtId="165" fontId="3" fillId="2" borderId="0" xfId="2" applyFont="1" applyFill="1"/>
    <xf numFmtId="165" fontId="3" fillId="23" borderId="0" xfId="2" applyFont="1" applyFill="1" applyBorder="1"/>
    <xf numFmtId="165" fontId="3" fillId="20" borderId="0" xfId="2" applyFont="1" applyFill="1" applyBorder="1"/>
    <xf numFmtId="165" fontId="3" fillId="20" borderId="0" xfId="2" applyFont="1" applyFill="1"/>
    <xf numFmtId="3" fontId="3" fillId="22" borderId="0" xfId="1" applyNumberFormat="1" applyFont="1" applyFill="1"/>
    <xf numFmtId="3" fontId="3" fillId="24" borderId="0" xfId="1" applyNumberFormat="1" applyFont="1" applyFill="1"/>
    <xf numFmtId="0" fontId="0" fillId="25" borderId="0" xfId="0" applyFill="1"/>
    <xf numFmtId="3" fontId="5" fillId="19" borderId="0" xfId="0" applyNumberFormat="1" applyFont="1" applyFill="1"/>
    <xf numFmtId="0" fontId="0" fillId="26" borderId="0" xfId="0" applyFill="1"/>
    <xf numFmtId="0" fontId="0" fillId="20" borderId="0" xfId="0" applyFill="1"/>
    <xf numFmtId="164" fontId="3" fillId="27" borderId="0" xfId="3" applyNumberFormat="1" applyFont="1" applyFill="1" applyBorder="1" applyAlignment="1" applyProtection="1">
      <alignment horizontal="center"/>
      <protection locked="0"/>
    </xf>
    <xf numFmtId="3" fontId="3" fillId="4" borderId="0" xfId="3" applyNumberFormat="1" applyFont="1" applyFill="1" applyBorder="1" applyAlignment="1" applyProtection="1">
      <alignment horizontal="right"/>
      <protection locked="0"/>
    </xf>
    <xf numFmtId="3" fontId="3" fillId="4" borderId="0" xfId="0" applyNumberFormat="1" applyFont="1" applyFill="1" applyBorder="1" applyAlignment="1">
      <alignment horizontal="right"/>
    </xf>
    <xf numFmtId="3" fontId="3" fillId="4" borderId="0" xfId="0" applyNumberFormat="1" applyFont="1" applyFill="1" applyBorder="1"/>
    <xf numFmtId="3" fontId="3" fillId="4" borderId="0" xfId="1" applyNumberFormat="1" applyFont="1" applyFill="1" applyBorder="1" applyAlignment="1">
      <alignment horizontal="right"/>
    </xf>
    <xf numFmtId="3" fontId="3" fillId="4" borderId="0" xfId="8" applyNumberFormat="1" applyFont="1" applyFill="1" applyBorder="1" applyAlignment="1" applyProtection="1">
      <alignment horizontal="right"/>
    </xf>
    <xf numFmtId="3" fontId="3" fillId="5" borderId="0" xfId="0" applyNumberFormat="1" applyFont="1" applyFill="1" applyBorder="1" applyAlignment="1">
      <alignment horizontal="right"/>
    </xf>
    <xf numFmtId="0" fontId="2" fillId="20" borderId="0" xfId="0" applyFont="1" applyFill="1"/>
    <xf numFmtId="0" fontId="3" fillId="21" borderId="0" xfId="1" applyFont="1" applyFill="1" applyBorder="1"/>
    <xf numFmtId="0" fontId="20" fillId="3" borderId="1" xfId="0" applyFont="1" applyFill="1" applyBorder="1"/>
    <xf numFmtId="0" fontId="24" fillId="3" borderId="1" xfId="0" applyFont="1" applyFill="1" applyBorder="1"/>
    <xf numFmtId="0" fontId="27" fillId="20" borderId="5" xfId="0" applyFont="1" applyFill="1" applyBorder="1" applyAlignment="1"/>
    <xf numFmtId="0" fontId="26" fillId="0" borderId="6" xfId="0" applyFont="1" applyBorder="1"/>
    <xf numFmtId="0" fontId="28" fillId="0" borderId="6" xfId="0" applyFont="1" applyBorder="1"/>
    <xf numFmtId="0" fontId="26" fillId="0" borderId="7" xfId="0" applyFont="1" applyBorder="1"/>
    <xf numFmtId="0" fontId="28" fillId="0" borderId="7" xfId="0" applyFont="1" applyBorder="1"/>
    <xf numFmtId="0" fontId="0" fillId="7" borderId="1" xfId="1" applyFont="1" applyFill="1" applyBorder="1"/>
    <xf numFmtId="0" fontId="2" fillId="7" borderId="1" xfId="1" applyFont="1" applyFill="1" applyBorder="1"/>
    <xf numFmtId="0" fontId="1" fillId="4" borderId="2" xfId="6" applyFont="1" applyFill="1" applyBorder="1"/>
    <xf numFmtId="0" fontId="1" fillId="2" borderId="0" xfId="6" applyFont="1" applyFill="1" applyBorder="1"/>
    <xf numFmtId="0" fontId="1" fillId="5" borderId="2" xfId="6" applyFont="1" applyFill="1" applyBorder="1"/>
    <xf numFmtId="0" fontId="1" fillId="14" borderId="2" xfId="6" applyFont="1" applyFill="1" applyBorder="1"/>
    <xf numFmtId="0" fontId="23" fillId="2" borderId="0" xfId="6" applyFont="1" applyFill="1" applyBorder="1"/>
    <xf numFmtId="0" fontId="1" fillId="11" borderId="2" xfId="6" applyFont="1" applyFill="1" applyBorder="1"/>
    <xf numFmtId="0" fontId="1" fillId="28" borderId="2" xfId="6" applyFont="1" applyFill="1" applyBorder="1"/>
    <xf numFmtId="0" fontId="1" fillId="29" borderId="2" xfId="6" applyFont="1" applyFill="1" applyBorder="1"/>
    <xf numFmtId="0" fontId="1" fillId="0" borderId="0" xfId="0" applyFont="1" applyAlignment="1">
      <alignment horizontal="left" wrapText="1"/>
    </xf>
  </cellXfs>
  <cellStyles count="9">
    <cellStyle name="_x000d__x000a_JournalTemplate=C:\COMFO\CTALK\JOURSTD.TPL_x000d__x000a_LbStateAddress=3 3 0 251 1 89 2 311_x000d__x000a_LbStateJou" xfId="1"/>
    <cellStyle name="Komma" xfId="2" builtinId="3"/>
    <cellStyle name="Komma_Tarievenmand 2002" xfId="3"/>
    <cellStyle name="Komma_Tarievenmandje - definitief3" xfId="4"/>
    <cellStyle name="Procent" xfId="5" builtinId="5"/>
    <cellStyle name="Standaard" xfId="0" builtinId="0"/>
    <cellStyle name="Standaard_20100727 Rekenmodel NE5R v1.9" xfId="6"/>
    <cellStyle name="Standaard_Tabellen - CIV2" xfId="7"/>
    <cellStyle name="Standaard_Tarievenmand 200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D32"/>
  <sheetViews>
    <sheetView showGridLines="0" tabSelected="1" zoomScale="85" zoomScaleNormal="85" workbookViewId="0"/>
  </sheetViews>
  <sheetFormatPr defaultRowHeight="12.75" x14ac:dyDescent="0.2"/>
  <cols>
    <col min="1" max="1" width="2.5703125" customWidth="1"/>
    <col min="2" max="2" width="75.28515625" customWidth="1"/>
    <col min="3" max="3" width="15" customWidth="1"/>
    <col min="4" max="4" width="27" customWidth="1"/>
    <col min="5" max="5" width="2.5703125" customWidth="1"/>
    <col min="6" max="6" width="21.42578125" customWidth="1"/>
    <col min="7" max="15" width="14.85546875" customWidth="1"/>
  </cols>
  <sheetData>
    <row r="2" spans="2:4" s="220" customFormat="1" ht="18" x14ac:dyDescent="0.25">
      <c r="B2" s="221" t="s">
        <v>260</v>
      </c>
    </row>
    <row r="4" spans="2:4" s="129" customFormat="1" x14ac:dyDescent="0.2">
      <c r="B4" s="129" t="s">
        <v>249</v>
      </c>
    </row>
    <row r="6" spans="2:4" ht="12.75" customHeight="1" x14ac:dyDescent="0.2">
      <c r="B6" s="237" t="s">
        <v>280</v>
      </c>
      <c r="C6" s="237"/>
      <c r="D6" s="237"/>
    </row>
    <row r="7" spans="2:4" x14ac:dyDescent="0.2">
      <c r="B7" s="237"/>
      <c r="C7" s="237"/>
      <c r="D7" s="237"/>
    </row>
    <row r="8" spans="2:4" x14ac:dyDescent="0.2">
      <c r="B8" s="218"/>
      <c r="C8" s="210"/>
      <c r="D8" s="210"/>
    </row>
    <row r="9" spans="2:4" x14ac:dyDescent="0.2">
      <c r="B9" s="222" t="s">
        <v>261</v>
      </c>
      <c r="C9" s="222" t="s">
        <v>247</v>
      </c>
      <c r="D9" s="222" t="s">
        <v>248</v>
      </c>
    </row>
    <row r="10" spans="2:4" x14ac:dyDescent="0.2">
      <c r="B10" s="223" t="s">
        <v>250</v>
      </c>
      <c r="C10" s="224" t="s">
        <v>262</v>
      </c>
      <c r="D10" s="223" t="s">
        <v>271</v>
      </c>
    </row>
    <row r="11" spans="2:4" x14ac:dyDescent="0.2">
      <c r="B11" s="223" t="s">
        <v>251</v>
      </c>
      <c r="C11" s="224" t="s">
        <v>263</v>
      </c>
      <c r="D11" s="223" t="s">
        <v>272</v>
      </c>
    </row>
    <row r="12" spans="2:4" x14ac:dyDescent="0.2">
      <c r="B12" s="223" t="s">
        <v>252</v>
      </c>
      <c r="C12" s="224" t="s">
        <v>264</v>
      </c>
      <c r="D12" s="223" t="s">
        <v>273</v>
      </c>
    </row>
    <row r="13" spans="2:4" x14ac:dyDescent="0.2">
      <c r="B13" s="223" t="s">
        <v>253</v>
      </c>
      <c r="C13" s="224" t="s">
        <v>265</v>
      </c>
      <c r="D13" s="223" t="s">
        <v>274</v>
      </c>
    </row>
    <row r="14" spans="2:4" x14ac:dyDescent="0.2">
      <c r="B14" s="223" t="s">
        <v>254</v>
      </c>
      <c r="C14" s="224" t="s">
        <v>266</v>
      </c>
      <c r="D14" s="223" t="s">
        <v>275</v>
      </c>
    </row>
    <row r="15" spans="2:4" x14ac:dyDescent="0.2">
      <c r="B15" s="223" t="s">
        <v>255</v>
      </c>
      <c r="C15" s="224" t="s">
        <v>267</v>
      </c>
      <c r="D15" s="223" t="s">
        <v>276</v>
      </c>
    </row>
    <row r="16" spans="2:4" x14ac:dyDescent="0.2">
      <c r="B16" s="223" t="s">
        <v>256</v>
      </c>
      <c r="C16" s="224" t="s">
        <v>268</v>
      </c>
      <c r="D16" s="223" t="s">
        <v>277</v>
      </c>
    </row>
    <row r="17" spans="2:4" x14ac:dyDescent="0.2">
      <c r="B17" s="223" t="s">
        <v>257</v>
      </c>
      <c r="C17" s="224" t="s">
        <v>269</v>
      </c>
      <c r="D17" s="223" t="s">
        <v>278</v>
      </c>
    </row>
    <row r="18" spans="2:4" x14ac:dyDescent="0.2">
      <c r="B18" s="225" t="s">
        <v>258</v>
      </c>
      <c r="C18" s="226" t="s">
        <v>270</v>
      </c>
      <c r="D18" s="225" t="s">
        <v>279</v>
      </c>
    </row>
    <row r="20" spans="2:4" s="227" customFormat="1" x14ac:dyDescent="0.2">
      <c r="B20" s="228" t="s">
        <v>240</v>
      </c>
    </row>
    <row r="22" spans="2:4" x14ac:dyDescent="0.2">
      <c r="B22" s="229" t="s">
        <v>241</v>
      </c>
    </row>
    <row r="23" spans="2:4" x14ac:dyDescent="0.2">
      <c r="B23" s="230"/>
    </row>
    <row r="24" spans="2:4" x14ac:dyDescent="0.2">
      <c r="B24" s="231" t="s">
        <v>242</v>
      </c>
    </row>
    <row r="25" spans="2:4" x14ac:dyDescent="0.2">
      <c r="B25" s="230"/>
    </row>
    <row r="26" spans="2:4" x14ac:dyDescent="0.2">
      <c r="B26" s="232" t="s">
        <v>243</v>
      </c>
    </row>
    <row r="27" spans="2:4" x14ac:dyDescent="0.2">
      <c r="B27" s="233"/>
    </row>
    <row r="28" spans="2:4" x14ac:dyDescent="0.2">
      <c r="B28" s="234" t="s">
        <v>244</v>
      </c>
    </row>
    <row r="30" spans="2:4" x14ac:dyDescent="0.2">
      <c r="B30" s="235" t="s">
        <v>245</v>
      </c>
    </row>
    <row r="32" spans="2:4" x14ac:dyDescent="0.2">
      <c r="B32" s="236" t="s">
        <v>259</v>
      </c>
    </row>
  </sheetData>
  <mergeCells count="1">
    <mergeCell ref="B6:D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8"/>
  <dimension ref="B2:W46"/>
  <sheetViews>
    <sheetView showGridLines="0" zoomScale="85" zoomScaleNormal="85" workbookViewId="0"/>
  </sheetViews>
  <sheetFormatPr defaultRowHeight="12.75" x14ac:dyDescent="0.2"/>
  <cols>
    <col min="1" max="1" width="2.7109375" style="3" customWidth="1"/>
    <col min="2" max="2" width="45.140625" style="3" bestFit="1" customWidth="1"/>
    <col min="3" max="3" width="6.7109375" style="3" customWidth="1"/>
    <col min="4" max="4" width="10.140625" style="3" customWidth="1"/>
    <col min="5" max="6" width="9.5703125" style="3" bestFit="1" customWidth="1"/>
    <col min="7" max="7" width="12.140625" style="3" bestFit="1" customWidth="1"/>
    <col min="8" max="10" width="10.7109375" style="3" bestFit="1" customWidth="1"/>
    <col min="11" max="11" width="12.140625" style="3" bestFit="1" customWidth="1"/>
    <col min="12" max="12" width="10.7109375" style="3" bestFit="1" customWidth="1"/>
    <col min="13" max="13" width="9.85546875" style="3" bestFit="1" customWidth="1"/>
    <col min="14" max="16" width="10.7109375" style="3" bestFit="1" customWidth="1"/>
    <col min="17" max="17" width="9.85546875" style="3" customWidth="1"/>
    <col min="18" max="21" width="10.7109375" style="29" bestFit="1" customWidth="1"/>
    <col min="22" max="23" width="12.140625" style="29" bestFit="1" customWidth="1"/>
    <col min="24" max="16384" width="9.140625" style="3"/>
  </cols>
  <sheetData>
    <row r="2" spans="2:23" s="4" customFormat="1" ht="190.5" x14ac:dyDescent="0.3">
      <c r="B2" s="18" t="s">
        <v>114</v>
      </c>
      <c r="C2" s="18"/>
      <c r="D2" s="18"/>
      <c r="E2" s="19" t="s">
        <v>9</v>
      </c>
      <c r="F2" s="19" t="s">
        <v>5</v>
      </c>
      <c r="G2" s="19" t="s">
        <v>115</v>
      </c>
      <c r="H2" s="19" t="s">
        <v>4</v>
      </c>
      <c r="I2" s="19" t="s">
        <v>7</v>
      </c>
      <c r="J2" s="19" t="s">
        <v>10</v>
      </c>
      <c r="K2" s="19" t="s">
        <v>8</v>
      </c>
      <c r="L2" s="19" t="s">
        <v>11</v>
      </c>
      <c r="M2" s="19" t="s">
        <v>12</v>
      </c>
      <c r="N2" s="19" t="s">
        <v>13</v>
      </c>
      <c r="O2" s="19" t="s">
        <v>14</v>
      </c>
      <c r="P2" s="19" t="s">
        <v>16</v>
      </c>
      <c r="Q2" s="19" t="s">
        <v>15</v>
      </c>
      <c r="R2" s="26" t="s">
        <v>48</v>
      </c>
      <c r="S2" s="26" t="s">
        <v>6</v>
      </c>
      <c r="T2" s="26" t="s">
        <v>0</v>
      </c>
      <c r="U2" s="26" t="s">
        <v>1</v>
      </c>
      <c r="V2" s="26" t="s">
        <v>2</v>
      </c>
      <c r="W2" s="26" t="s">
        <v>3</v>
      </c>
    </row>
    <row r="4" spans="2:23" s="21" customFormat="1" x14ac:dyDescent="0.2">
      <c r="B4" s="20">
        <v>2004</v>
      </c>
      <c r="C4" s="20"/>
      <c r="R4" s="27"/>
      <c r="S4" s="27"/>
      <c r="T4" s="27"/>
      <c r="U4" s="27"/>
      <c r="V4" s="27"/>
      <c r="W4" s="27"/>
    </row>
    <row r="6" spans="2:23" s="5" customFormat="1" ht="11.25" x14ac:dyDescent="0.2">
      <c r="B6" s="104" t="s">
        <v>19</v>
      </c>
      <c r="C6" s="104"/>
      <c r="D6" s="105"/>
      <c r="R6" s="28"/>
      <c r="S6" s="28"/>
      <c r="T6" s="28"/>
      <c r="U6" s="28"/>
      <c r="V6" s="28"/>
      <c r="W6" s="28"/>
    </row>
    <row r="7" spans="2:23" s="5" customFormat="1" ht="11.25" x14ac:dyDescent="0.2">
      <c r="B7" s="16" t="s">
        <v>20</v>
      </c>
      <c r="C7" s="16"/>
      <c r="D7" s="106" t="s">
        <v>116</v>
      </c>
      <c r="E7" s="107">
        <f>E21/(1-$C$10+CPI!$C$7)</f>
        <v>29.001341877690848</v>
      </c>
      <c r="F7" s="107">
        <f>F21/(1-$C$10+CPI!$C$7)</f>
        <v>57.385633928196789</v>
      </c>
      <c r="G7" s="107">
        <f>G21/(1-$C$10+CPI!$C$7)</f>
        <v>43.563717799254768</v>
      </c>
      <c r="H7" s="107">
        <f>H21/(1-$C$10+CPI!$C$7)</f>
        <v>29.618391704875762</v>
      </c>
      <c r="I7" s="107">
        <f>I21/(1-$C$10+CPI!$C$7)</f>
        <v>42.627858894690988</v>
      </c>
      <c r="J7" s="107">
        <f>J21/(1-$C$10+CPI!$C$7)</f>
        <v>40.313922042747571</v>
      </c>
      <c r="K7" s="107">
        <f>K21/(1-$C$10+CPI!$C$7)</f>
        <v>37.022989631094703</v>
      </c>
      <c r="L7" s="107">
        <f>L21/(1-$C$10+CPI!$C$7)</f>
        <v>29.618391704875762</v>
      </c>
      <c r="M7" s="107">
        <f>M21/(1-$C$10+CPI!$C$7)</f>
        <v>63.525279708686661</v>
      </c>
      <c r="N7" s="107">
        <f>N21/(1-$C$10+CPI!$C$7)</f>
        <v>18.449789832828863</v>
      </c>
      <c r="O7" s="107">
        <f>O21/(1-$C$10+CPI!$C$7)</f>
        <v>35.994573252453186</v>
      </c>
      <c r="P7" s="107">
        <f>P21/(1-$C$10+CPI!$C$7)</f>
        <v>18.511494815547351</v>
      </c>
      <c r="R7" s="28"/>
      <c r="S7" s="28"/>
      <c r="T7" s="28"/>
      <c r="U7" s="28"/>
      <c r="V7" s="28"/>
      <c r="W7" s="28"/>
    </row>
    <row r="8" spans="2:23" s="5" customFormat="1" ht="11.25" x14ac:dyDescent="0.2">
      <c r="B8" s="17" t="s">
        <v>21</v>
      </c>
      <c r="C8" s="17"/>
      <c r="D8" s="106" t="s">
        <v>117</v>
      </c>
      <c r="E8" s="107">
        <f>E22/(1-$C$10+CPI!$C$7)</f>
        <v>14.130441042534478</v>
      </c>
      <c r="F8" s="107">
        <f>F22/(1-$C$10+CPI!$C$7)</f>
        <v>0</v>
      </c>
      <c r="G8" s="107">
        <f>G22/(1-$C$10+CPI!$C$7)</f>
        <v>9.859942030225568</v>
      </c>
      <c r="H8" s="107">
        <f>H22/(1-$C$10+CPI!$C$7)</f>
        <v>14.202430189039385</v>
      </c>
      <c r="I8" s="107">
        <f>I22/(1-$C$10+CPI!$C$7)</f>
        <v>11.056401645137113</v>
      </c>
      <c r="J8" s="107">
        <f>J22/(1-$C$10+CPI!$C$7)</f>
        <v>10.633825355153311</v>
      </c>
      <c r="K8" s="107">
        <f>K22/(1-$C$10+CPI!$C$7)</f>
        <v>11.847356681950304</v>
      </c>
      <c r="L8" s="107">
        <f>L22/(1-$C$10+CPI!$C$7)</f>
        <v>15.724486429428833</v>
      </c>
      <c r="M8" s="107">
        <f>M22/(1-$C$10+CPI!$C$7)</f>
        <v>3.0852491359245584</v>
      </c>
      <c r="N8" s="107">
        <f>N22/(1-$C$10+CPI!$C$7)</f>
        <v>19.740452388023968</v>
      </c>
      <c r="O8" s="107">
        <f>O22/(1-$C$10+CPI!$C$7)</f>
        <v>4.7080901814208769</v>
      </c>
      <c r="P8" s="107">
        <f>P22/(1-$C$10+CPI!$C$7)</f>
        <v>12.340996543698234</v>
      </c>
      <c r="R8" s="28"/>
      <c r="S8" s="28"/>
      <c r="T8" s="28"/>
      <c r="U8" s="28"/>
      <c r="V8" s="28"/>
      <c r="W8" s="28"/>
    </row>
    <row r="9" spans="2:23" s="5" customFormat="1" ht="11.25" x14ac:dyDescent="0.2">
      <c r="B9" s="17" t="s">
        <v>22</v>
      </c>
      <c r="C9" s="17"/>
      <c r="D9" s="17" t="s">
        <v>118</v>
      </c>
      <c r="E9" s="107">
        <f>E23/(1-$C$10+CPI!$C$7)</f>
        <v>1.0832309716231127E-2</v>
      </c>
      <c r="F9" s="107">
        <f>F23/(1-$C$10+CPI!$C$7)</f>
        <v>2.3857203151725969E-2</v>
      </c>
      <c r="G9" s="107">
        <f>G23/(1-$C$10+CPI!$C$7)</f>
        <v>1.300123985878609E-2</v>
      </c>
      <c r="H9" s="107">
        <f>H23/(1-$C$10+CPI!$C$7)</f>
        <v>1.2394474195387594E-2</v>
      </c>
      <c r="I9" s="107">
        <f>I23/(1-$C$10+CPI!$C$7)</f>
        <v>1.1806220026804645E-2</v>
      </c>
      <c r="J9" s="107">
        <f>J23/(1-$C$10+CPI!$C$7)</f>
        <v>1.0769576317133992E-2</v>
      </c>
      <c r="K9" s="107">
        <f>K23/(1-$C$10+CPI!$C$7)</f>
        <v>1.2768766336394174E-2</v>
      </c>
      <c r="L9" s="107">
        <f>L23/(1-$C$10+CPI!$C$7)</f>
        <v>1.1642701822600642E-2</v>
      </c>
      <c r="M9" s="107">
        <f>M23/(1-$C$10+CPI!$C$7)</f>
        <v>1.5426245679622792E-2</v>
      </c>
      <c r="N9" s="107">
        <f>N23/(1-$C$10+CPI!$C$7)</f>
        <v>1.2793499750300502E-2</v>
      </c>
      <c r="O9" s="107">
        <f>O23/(1-$C$10+CPI!$C$7)</f>
        <v>1.6536935368555633E-2</v>
      </c>
      <c r="P9" s="107">
        <f>P23/(1-$C$10+CPI!$C$7)</f>
        <v>2.613385466908048E-2</v>
      </c>
      <c r="R9" s="28"/>
      <c r="S9" s="28"/>
      <c r="T9" s="28"/>
      <c r="U9" s="28"/>
      <c r="V9" s="28"/>
      <c r="W9" s="28"/>
    </row>
    <row r="10" spans="2:23" s="5" customFormat="1" ht="11.25" x14ac:dyDescent="0.2">
      <c r="B10" s="106" t="s">
        <v>124</v>
      </c>
      <c r="C10" s="135">
        <v>3.8631199999999997E-2</v>
      </c>
      <c r="R10" s="28"/>
      <c r="S10" s="28"/>
      <c r="T10" s="28"/>
      <c r="U10" s="28"/>
      <c r="V10" s="28"/>
      <c r="W10" s="28"/>
    </row>
    <row r="11" spans="2:23" s="5" customFormat="1" ht="11.25" x14ac:dyDescent="0.2">
      <c r="B11" s="105"/>
      <c r="C11" s="105"/>
      <c r="D11" s="17"/>
      <c r="R11" s="28"/>
      <c r="S11" s="28"/>
      <c r="T11" s="28"/>
      <c r="U11" s="28"/>
      <c r="V11" s="28"/>
      <c r="W11" s="28"/>
    </row>
    <row r="12" spans="2:23" s="5" customFormat="1" ht="11.25" x14ac:dyDescent="0.2">
      <c r="B12" s="104" t="s">
        <v>23</v>
      </c>
      <c r="C12" s="104"/>
      <c r="D12" s="17"/>
      <c r="R12" s="28"/>
      <c r="S12" s="28"/>
      <c r="T12" s="28"/>
      <c r="U12" s="28"/>
      <c r="V12" s="28"/>
      <c r="W12" s="28"/>
    </row>
    <row r="13" spans="2:23" s="5" customFormat="1" ht="11.25" x14ac:dyDescent="0.2">
      <c r="B13" s="24" t="s">
        <v>20</v>
      </c>
      <c r="C13" s="24"/>
      <c r="D13" s="106" t="s">
        <v>116</v>
      </c>
      <c r="E13" s="108">
        <v>19.920000000000002</v>
      </c>
      <c r="F13" s="108">
        <v>648</v>
      </c>
      <c r="G13" s="108">
        <v>612.56318802289741</v>
      </c>
      <c r="H13" s="108">
        <v>1020</v>
      </c>
      <c r="I13" s="108">
        <v>1299.81</v>
      </c>
      <c r="J13" s="109">
        <v>600</v>
      </c>
      <c r="K13" s="109">
        <v>1140</v>
      </c>
      <c r="L13" s="109">
        <v>1020</v>
      </c>
      <c r="M13" s="109">
        <v>1457.26</v>
      </c>
      <c r="N13" s="108">
        <v>668.04</v>
      </c>
      <c r="O13" s="109">
        <v>58</v>
      </c>
      <c r="P13" s="23">
        <v>1447.2304964539007</v>
      </c>
      <c r="R13" s="28"/>
      <c r="S13" s="28"/>
      <c r="T13" s="28"/>
      <c r="U13" s="28"/>
      <c r="V13" s="28"/>
      <c r="W13" s="28"/>
    </row>
    <row r="14" spans="2:23" s="5" customFormat="1" ht="11.25" x14ac:dyDescent="0.2">
      <c r="B14" s="25" t="s">
        <v>24</v>
      </c>
      <c r="C14" s="25"/>
      <c r="D14" s="106" t="s">
        <v>117</v>
      </c>
      <c r="E14" s="108">
        <v>26.81</v>
      </c>
      <c r="F14" s="108"/>
      <c r="G14" s="108"/>
      <c r="H14" s="108"/>
      <c r="I14" s="108"/>
      <c r="J14" s="109"/>
      <c r="K14" s="109">
        <v>46.53</v>
      </c>
      <c r="L14" s="109"/>
      <c r="M14" s="109"/>
      <c r="N14" s="108">
        <v>31.512371179984818</v>
      </c>
      <c r="O14" s="109"/>
      <c r="P14" s="23"/>
      <c r="R14" s="28"/>
      <c r="S14" s="28"/>
      <c r="T14" s="28"/>
      <c r="U14" s="28"/>
      <c r="V14" s="28"/>
      <c r="W14" s="28"/>
    </row>
    <row r="15" spans="2:23" s="5" customFormat="1" ht="11.25" x14ac:dyDescent="0.2">
      <c r="B15" s="25" t="s">
        <v>25</v>
      </c>
      <c r="C15" s="25"/>
      <c r="D15" s="106" t="s">
        <v>117</v>
      </c>
      <c r="E15" s="108">
        <v>18.190000000000001</v>
      </c>
      <c r="F15" s="108"/>
      <c r="G15" s="108"/>
      <c r="H15" s="108"/>
      <c r="I15" s="108"/>
      <c r="J15" s="109"/>
      <c r="K15" s="109">
        <v>20.66</v>
      </c>
      <c r="L15" s="109"/>
      <c r="M15" s="109"/>
      <c r="N15" s="108">
        <v>30.74946035355941</v>
      </c>
      <c r="O15" s="109"/>
      <c r="P15" s="23"/>
      <c r="R15" s="28"/>
      <c r="S15" s="28"/>
      <c r="T15" s="28"/>
      <c r="U15" s="28"/>
      <c r="V15" s="28"/>
      <c r="W15" s="28"/>
    </row>
    <row r="16" spans="2:23" s="5" customFormat="1" ht="11.25" x14ac:dyDescent="0.2">
      <c r="B16" s="25" t="s">
        <v>26</v>
      </c>
      <c r="C16" s="25"/>
      <c r="D16" s="106" t="s">
        <v>117</v>
      </c>
      <c r="E16" s="108"/>
      <c r="F16" s="108">
        <v>27.096490985127538</v>
      </c>
      <c r="G16" s="108">
        <v>25.784947189494861</v>
      </c>
      <c r="H16" s="108">
        <v>33.479999999999997</v>
      </c>
      <c r="I16" s="108">
        <v>27.41</v>
      </c>
      <c r="J16" s="109">
        <v>25.99</v>
      </c>
      <c r="K16" s="109">
        <v>26.77</v>
      </c>
      <c r="L16" s="109">
        <v>26</v>
      </c>
      <c r="M16" s="109">
        <v>22.2</v>
      </c>
      <c r="N16" s="108"/>
      <c r="O16" s="109">
        <v>27.21</v>
      </c>
      <c r="P16" s="23">
        <v>24.284787610411637</v>
      </c>
      <c r="R16" s="28"/>
      <c r="S16" s="28"/>
      <c r="T16" s="28"/>
      <c r="U16" s="28"/>
      <c r="V16" s="28"/>
      <c r="W16" s="28"/>
    </row>
    <row r="17" spans="2:23" x14ac:dyDescent="0.2">
      <c r="B17" s="2"/>
      <c r="C17" s="2"/>
      <c r="D17" s="2"/>
    </row>
    <row r="18" spans="2:23" s="21" customFormat="1" x14ac:dyDescent="0.2">
      <c r="B18" s="20">
        <v>2005</v>
      </c>
      <c r="C18" s="20"/>
      <c r="R18" s="27"/>
      <c r="S18" s="27"/>
      <c r="T18" s="27"/>
      <c r="U18" s="27"/>
      <c r="V18" s="27"/>
      <c r="W18" s="27"/>
    </row>
    <row r="20" spans="2:23" s="5" customFormat="1" ht="11.25" x14ac:dyDescent="0.2">
      <c r="B20" s="104" t="s">
        <v>19</v>
      </c>
      <c r="C20" s="104"/>
      <c r="D20" s="105"/>
      <c r="R20" s="28"/>
      <c r="S20" s="28"/>
      <c r="T20" s="28"/>
      <c r="U20" s="28"/>
      <c r="V20" s="28"/>
      <c r="W20" s="28"/>
    </row>
    <row r="21" spans="2:23" s="5" customFormat="1" ht="11.25" x14ac:dyDescent="0.2">
      <c r="B21" s="16" t="s">
        <v>20</v>
      </c>
      <c r="C21" s="16"/>
      <c r="D21" s="106" t="s">
        <v>116</v>
      </c>
      <c r="E21" s="110">
        <v>28.2</v>
      </c>
      <c r="F21" s="110">
        <v>55.8</v>
      </c>
      <c r="G21" s="110">
        <v>42.36</v>
      </c>
      <c r="H21" s="110">
        <v>28.8</v>
      </c>
      <c r="I21" s="110">
        <v>41.45</v>
      </c>
      <c r="J21" s="111">
        <v>39.200000000000003</v>
      </c>
      <c r="K21" s="111">
        <v>36</v>
      </c>
      <c r="L21" s="111">
        <v>28.8</v>
      </c>
      <c r="M21" s="111">
        <v>61.77</v>
      </c>
      <c r="N21" s="110">
        <v>17.940000000000001</v>
      </c>
      <c r="O21" s="111">
        <v>35</v>
      </c>
      <c r="P21" s="112">
        <v>18</v>
      </c>
      <c r="R21" s="113">
        <v>18</v>
      </c>
      <c r="S21" s="113">
        <v>18</v>
      </c>
      <c r="T21" s="28"/>
      <c r="U21" s="28"/>
      <c r="V21" s="28"/>
      <c r="W21" s="28"/>
    </row>
    <row r="22" spans="2:23" s="5" customFormat="1" ht="11.25" x14ac:dyDescent="0.2">
      <c r="B22" s="17" t="s">
        <v>21</v>
      </c>
      <c r="C22" s="17"/>
      <c r="D22" s="106" t="s">
        <v>117</v>
      </c>
      <c r="E22" s="114">
        <v>13.74</v>
      </c>
      <c r="F22" s="114">
        <v>0</v>
      </c>
      <c r="G22" s="114">
        <v>9.5875000000000004</v>
      </c>
      <c r="H22" s="114">
        <v>13.81</v>
      </c>
      <c r="I22" s="114">
        <v>10.7509</v>
      </c>
      <c r="J22" s="111">
        <v>10.34</v>
      </c>
      <c r="K22" s="111">
        <v>11.52</v>
      </c>
      <c r="L22" s="111">
        <v>15.29</v>
      </c>
      <c r="M22" s="111">
        <v>3</v>
      </c>
      <c r="N22" s="114">
        <v>19.195</v>
      </c>
      <c r="O22" s="111">
        <v>4.5780000000000003</v>
      </c>
      <c r="P22" s="112">
        <v>12</v>
      </c>
      <c r="R22" s="115">
        <v>12</v>
      </c>
      <c r="S22" s="115">
        <v>12</v>
      </c>
      <c r="T22" s="28"/>
      <c r="U22" s="28"/>
      <c r="V22" s="28"/>
      <c r="W22" s="28"/>
    </row>
    <row r="23" spans="2:23" s="5" customFormat="1" ht="11.25" x14ac:dyDescent="0.2">
      <c r="B23" s="17" t="s">
        <v>22</v>
      </c>
      <c r="C23" s="17"/>
      <c r="D23" s="17" t="s">
        <v>118</v>
      </c>
      <c r="E23" s="111">
        <v>1.0533000000000001E-2</v>
      </c>
      <c r="F23" s="111">
        <v>2.3198E-2</v>
      </c>
      <c r="G23" s="111">
        <v>1.2642E-2</v>
      </c>
      <c r="H23" s="111">
        <v>1.2052E-2</v>
      </c>
      <c r="I23" s="111">
        <v>1.1480000000000001E-2</v>
      </c>
      <c r="J23" s="111">
        <v>1.0472E-2</v>
      </c>
      <c r="K23" s="111">
        <v>1.241595E-2</v>
      </c>
      <c r="L23" s="111">
        <v>1.1320999999999999E-2</v>
      </c>
      <c r="M23" s="111">
        <v>1.4999999999999999E-2</v>
      </c>
      <c r="N23" s="111">
        <v>1.244E-2</v>
      </c>
      <c r="O23" s="111">
        <v>1.6080000000000001E-2</v>
      </c>
      <c r="P23" s="116">
        <f>(SUM(Volumes!S23:V23)*Tarieven!R23+Volumes!R23*Tarieven!S23)/SUM(Volumes!R23:V23)</f>
        <v>2.5411744903948184E-2</v>
      </c>
      <c r="R23" s="117">
        <v>2.5593000000000001E-2</v>
      </c>
      <c r="S23" s="117">
        <v>1.848E-2</v>
      </c>
      <c r="T23" s="28"/>
      <c r="U23" s="28"/>
      <c r="V23" s="28"/>
      <c r="W23" s="28"/>
    </row>
    <row r="24" spans="2:23" s="5" customFormat="1" ht="11.25" x14ac:dyDescent="0.2">
      <c r="B24" s="105"/>
      <c r="C24" s="105"/>
      <c r="D24" s="17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R24" s="119"/>
      <c r="S24" s="119"/>
      <c r="T24" s="28"/>
      <c r="U24" s="28"/>
      <c r="V24" s="28"/>
      <c r="W24" s="28"/>
    </row>
    <row r="25" spans="2:23" s="5" customFormat="1" ht="11.25" x14ac:dyDescent="0.2">
      <c r="B25" s="104" t="s">
        <v>23</v>
      </c>
      <c r="C25" s="104"/>
      <c r="D25" s="17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R25" s="119"/>
      <c r="S25" s="119"/>
      <c r="T25" s="28"/>
      <c r="U25" s="28"/>
      <c r="V25" s="28"/>
      <c r="W25" s="28"/>
    </row>
    <row r="26" spans="2:23" s="5" customFormat="1" ht="11.25" x14ac:dyDescent="0.2">
      <c r="B26" s="24" t="s">
        <v>20</v>
      </c>
      <c r="C26" s="24"/>
      <c r="D26" s="106" t="s">
        <v>116</v>
      </c>
      <c r="E26" s="110">
        <v>19.93</v>
      </c>
      <c r="F26" s="110">
        <v>655.08000000000004</v>
      </c>
      <c r="G26" s="110">
        <v>660</v>
      </c>
      <c r="H26" s="110">
        <v>1045.5</v>
      </c>
      <c r="I26" s="110">
        <v>1299.9100000000001</v>
      </c>
      <c r="J26" s="111">
        <v>600</v>
      </c>
      <c r="K26" s="111">
        <v>1152.54</v>
      </c>
      <c r="L26" s="111">
        <v>1045.5</v>
      </c>
      <c r="M26" s="111">
        <v>2625</v>
      </c>
      <c r="N26" s="110">
        <v>675</v>
      </c>
      <c r="O26" s="111">
        <v>60</v>
      </c>
      <c r="P26" s="116">
        <f>(SUM(Volumes!S27:V27)*Tarieven!R26+Volumes!R27*Tarieven!S26)/SUM(Volumes!R27:V27)</f>
        <v>1321.4945054945056</v>
      </c>
      <c r="R26" s="113">
        <v>1325</v>
      </c>
      <c r="S26" s="113">
        <v>1122</v>
      </c>
      <c r="T26" s="28"/>
      <c r="U26" s="28"/>
      <c r="V26" s="28"/>
      <c r="W26" s="28"/>
    </row>
    <row r="27" spans="2:23" s="5" customFormat="1" ht="11.25" x14ac:dyDescent="0.2">
      <c r="B27" s="25" t="s">
        <v>24</v>
      </c>
      <c r="C27" s="25"/>
      <c r="D27" s="106" t="s">
        <v>117</v>
      </c>
      <c r="E27" s="110">
        <v>27.368237619236268</v>
      </c>
      <c r="F27" s="110">
        <v>60.72</v>
      </c>
      <c r="G27" s="110"/>
      <c r="H27" s="110"/>
      <c r="I27" s="110"/>
      <c r="J27" s="111"/>
      <c r="K27" s="111">
        <v>47.04</v>
      </c>
      <c r="L27" s="111"/>
      <c r="M27" s="111"/>
      <c r="N27" s="110">
        <v>41.5</v>
      </c>
      <c r="O27" s="111"/>
      <c r="P27" s="112"/>
      <c r="R27" s="113"/>
      <c r="S27" s="113"/>
      <c r="T27" s="28"/>
      <c r="U27" s="28"/>
      <c r="V27" s="28"/>
      <c r="W27" s="28"/>
    </row>
    <row r="28" spans="2:23" s="5" customFormat="1" ht="11.25" x14ac:dyDescent="0.2">
      <c r="B28" s="25" t="s">
        <v>25</v>
      </c>
      <c r="C28" s="25"/>
      <c r="D28" s="106" t="s">
        <v>117</v>
      </c>
      <c r="E28" s="110">
        <v>18.568752043786191</v>
      </c>
      <c r="F28" s="110">
        <v>17.16</v>
      </c>
      <c r="G28" s="110"/>
      <c r="H28" s="110"/>
      <c r="I28" s="110"/>
      <c r="J28" s="111"/>
      <c r="K28" s="111">
        <v>20.889996</v>
      </c>
      <c r="L28" s="111"/>
      <c r="M28" s="111"/>
      <c r="N28" s="110">
        <v>26.2</v>
      </c>
      <c r="O28" s="111"/>
      <c r="P28" s="112"/>
      <c r="R28" s="113"/>
      <c r="S28" s="113"/>
      <c r="T28" s="28"/>
      <c r="U28" s="28"/>
      <c r="V28" s="28"/>
      <c r="W28" s="28"/>
    </row>
    <row r="29" spans="2:23" s="5" customFormat="1" ht="11.25" x14ac:dyDescent="0.2">
      <c r="B29" s="25" t="s">
        <v>26</v>
      </c>
      <c r="C29" s="25"/>
      <c r="D29" s="106" t="s">
        <v>117</v>
      </c>
      <c r="E29" s="110"/>
      <c r="F29" s="110"/>
      <c r="G29" s="110">
        <v>25.78</v>
      </c>
      <c r="H29" s="110">
        <v>34.32</v>
      </c>
      <c r="I29" s="110">
        <v>27.41</v>
      </c>
      <c r="J29" s="111">
        <v>26.38</v>
      </c>
      <c r="K29" s="111"/>
      <c r="L29" s="111">
        <v>34.32</v>
      </c>
      <c r="M29" s="111">
        <v>14.837303893085416</v>
      </c>
      <c r="N29" s="110"/>
      <c r="O29" s="111">
        <v>27.81</v>
      </c>
      <c r="P29" s="116">
        <f>(SUM(Volumes!S30:V30)*Tarieven!R29+Volumes!R30*Tarieven!S29)/SUM(Volumes!R30:V30)</f>
        <v>25.882112546742135</v>
      </c>
      <c r="R29" s="113">
        <v>26</v>
      </c>
      <c r="S29" s="113">
        <v>22.56</v>
      </c>
      <c r="T29" s="28"/>
      <c r="U29" s="28"/>
      <c r="V29" s="28"/>
      <c r="W29" s="28"/>
    </row>
    <row r="30" spans="2:23" s="5" customFormat="1" ht="11.25" x14ac:dyDescent="0.2">
      <c r="B30" s="25"/>
      <c r="C30" s="25"/>
      <c r="D30" s="105"/>
      <c r="E30" s="31"/>
      <c r="F30" s="31"/>
      <c r="G30" s="32"/>
      <c r="H30" s="32"/>
      <c r="I30" s="32"/>
      <c r="J30" s="32"/>
      <c r="K30" s="32"/>
      <c r="L30" s="32"/>
      <c r="M30" s="32"/>
      <c r="N30" s="32"/>
      <c r="O30" s="32"/>
      <c r="P30" s="33"/>
      <c r="R30" s="28"/>
      <c r="S30" s="28"/>
      <c r="T30" s="28"/>
      <c r="U30" s="28"/>
      <c r="V30" s="28"/>
      <c r="W30" s="28"/>
    </row>
    <row r="31" spans="2:23" s="21" customFormat="1" x14ac:dyDescent="0.2">
      <c r="B31" s="20">
        <v>2006</v>
      </c>
      <c r="C31" s="20"/>
      <c r="R31" s="27"/>
      <c r="S31" s="27"/>
      <c r="T31" s="27"/>
      <c r="U31" s="27"/>
      <c r="V31" s="27"/>
      <c r="W31" s="27"/>
    </row>
    <row r="33" spans="2:23" s="5" customFormat="1" ht="11.25" x14ac:dyDescent="0.2">
      <c r="B33" s="104" t="s">
        <v>19</v>
      </c>
      <c r="C33" s="104"/>
      <c r="D33" s="105"/>
      <c r="R33" s="28"/>
      <c r="S33" s="28"/>
      <c r="T33" s="28"/>
      <c r="U33" s="28"/>
      <c r="V33" s="28"/>
      <c r="W33" s="28"/>
    </row>
    <row r="34" spans="2:23" s="5" customFormat="1" ht="11.25" x14ac:dyDescent="0.2">
      <c r="B34" s="16" t="s">
        <v>20</v>
      </c>
      <c r="C34" s="16"/>
      <c r="D34" s="106" t="s">
        <v>116</v>
      </c>
      <c r="E34" s="110">
        <v>28.56</v>
      </c>
      <c r="F34" s="110">
        <v>40.56</v>
      </c>
      <c r="G34" s="110">
        <v>30</v>
      </c>
      <c r="H34" s="110">
        <v>27.6</v>
      </c>
      <c r="I34" s="110">
        <v>30</v>
      </c>
      <c r="J34" s="111">
        <v>18</v>
      </c>
      <c r="K34" s="111">
        <v>27.6</v>
      </c>
      <c r="L34" s="111">
        <v>27.6</v>
      </c>
      <c r="M34" s="111">
        <v>18.12</v>
      </c>
      <c r="N34" s="110">
        <v>16.57</v>
      </c>
      <c r="O34" s="111">
        <v>30</v>
      </c>
      <c r="P34" s="116">
        <f>(SUM(Volumes!S35:V35)*Tarieven!R34+Volumes!R35*Tarieven!S34)/SUM(Volumes!R35:V35)</f>
        <v>18</v>
      </c>
      <c r="Q34" s="120"/>
      <c r="R34" s="113">
        <v>18</v>
      </c>
      <c r="S34" s="113">
        <v>18</v>
      </c>
      <c r="T34" s="28"/>
      <c r="U34" s="28"/>
      <c r="V34" s="28"/>
      <c r="W34" s="28"/>
    </row>
    <row r="35" spans="2:23" s="5" customFormat="1" ht="11.25" x14ac:dyDescent="0.2">
      <c r="B35" s="17" t="s">
        <v>21</v>
      </c>
      <c r="C35" s="17"/>
      <c r="D35" s="106" t="s">
        <v>117</v>
      </c>
      <c r="E35" s="114">
        <v>13.94</v>
      </c>
      <c r="F35" s="114">
        <v>5.4</v>
      </c>
      <c r="G35" s="114">
        <v>12.121600000000001</v>
      </c>
      <c r="H35" s="114">
        <v>12.65</v>
      </c>
      <c r="I35" s="114">
        <v>13</v>
      </c>
      <c r="J35" s="111">
        <v>15.47</v>
      </c>
      <c r="K35" s="111">
        <v>13.2</v>
      </c>
      <c r="L35" s="111">
        <v>14.77</v>
      </c>
      <c r="M35" s="111">
        <v>13.08</v>
      </c>
      <c r="N35" s="114">
        <v>18</v>
      </c>
      <c r="O35" s="111">
        <v>8.6280000000000001</v>
      </c>
      <c r="P35" s="116">
        <f>(SUM(Volumes!S36:V36)*Tarieven!R35+Volumes!R36*Tarieven!S35)/SUM(Volumes!R36:V36)</f>
        <v>16.440000000000001</v>
      </c>
      <c r="Q35" s="120"/>
      <c r="R35" s="115">
        <v>16.440000000000001</v>
      </c>
      <c r="S35" s="115">
        <v>16.440000000000001</v>
      </c>
      <c r="T35" s="28"/>
      <c r="U35" s="28"/>
      <c r="V35" s="28"/>
      <c r="W35" s="28"/>
    </row>
    <row r="36" spans="2:23" s="5" customFormat="1" ht="11.25" x14ac:dyDescent="0.2">
      <c r="B36" s="17" t="s">
        <v>22</v>
      </c>
      <c r="C36" s="17"/>
      <c r="D36" s="17" t="s">
        <v>118</v>
      </c>
      <c r="E36" s="111">
        <v>1.0725E-2</v>
      </c>
      <c r="F36" s="111">
        <v>2.0049999999999998E-2</v>
      </c>
      <c r="G36" s="111">
        <v>1.2500000000000001E-2</v>
      </c>
      <c r="H36" s="111">
        <v>1.1200999999999999E-2</v>
      </c>
      <c r="I36" s="111">
        <v>1.137E-2</v>
      </c>
      <c r="J36" s="111">
        <v>1.0749999999999999E-2</v>
      </c>
      <c r="K36" s="111">
        <v>1.2296E-2</v>
      </c>
      <c r="L36" s="111">
        <v>1.098E-2</v>
      </c>
      <c r="M36" s="111">
        <v>1.4999988520550058E-2</v>
      </c>
      <c r="N36" s="111">
        <v>1.1679999999999999E-2</v>
      </c>
      <c r="O36" s="111">
        <v>9.0729999999999995E-3</v>
      </c>
      <c r="P36" s="116">
        <f>(SUM(Volumes!S37:V37)*Tarieven!R36+Volumes!R37*Tarieven!S36)/SUM(Volumes!R37:V37)</f>
        <v>1.1288299999999998E-2</v>
      </c>
      <c r="Q36" s="120"/>
      <c r="R36" s="117">
        <v>1.1288299999999999E-2</v>
      </c>
      <c r="S36" s="117">
        <v>1.1288299999999999E-2</v>
      </c>
      <c r="T36" s="28"/>
      <c r="U36" s="28"/>
      <c r="V36" s="28"/>
      <c r="W36" s="28"/>
    </row>
    <row r="37" spans="2:23" s="5" customFormat="1" ht="11.25" x14ac:dyDescent="0.2">
      <c r="B37" s="105"/>
      <c r="C37" s="105"/>
      <c r="D37" s="17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9"/>
      <c r="S37" s="119"/>
      <c r="T37" s="28"/>
      <c r="U37" s="28"/>
      <c r="V37" s="28"/>
      <c r="W37" s="28"/>
    </row>
    <row r="38" spans="2:23" s="5" customFormat="1" ht="11.25" x14ac:dyDescent="0.2">
      <c r="B38" s="104" t="s">
        <v>23</v>
      </c>
      <c r="C38" s="104"/>
      <c r="D38" s="1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9"/>
      <c r="S38" s="119"/>
      <c r="T38" s="28"/>
      <c r="U38" s="28"/>
      <c r="V38" s="28"/>
      <c r="W38" s="28"/>
    </row>
    <row r="39" spans="2:23" s="5" customFormat="1" ht="11.25" x14ac:dyDescent="0.2">
      <c r="B39" s="24" t="s">
        <v>20</v>
      </c>
      <c r="C39" s="24"/>
      <c r="D39" s="106" t="s">
        <v>116</v>
      </c>
      <c r="E39" s="110">
        <v>20.28</v>
      </c>
      <c r="F39" s="110">
        <v>572.64</v>
      </c>
      <c r="G39" s="110">
        <v>726.24</v>
      </c>
      <c r="H39" s="110">
        <v>1100</v>
      </c>
      <c r="I39" s="110">
        <v>1114.73</v>
      </c>
      <c r="J39" s="111">
        <v>600</v>
      </c>
      <c r="K39" s="111">
        <v>540</v>
      </c>
      <c r="L39" s="111">
        <v>1100</v>
      </c>
      <c r="M39" s="111">
        <v>1458</v>
      </c>
      <c r="N39" s="110">
        <v>630</v>
      </c>
      <c r="O39" s="111">
        <v>58.44</v>
      </c>
      <c r="P39" s="116">
        <f>(Volumes!Q41*Tarieven!R39+Volumes!R41*Tarieven!S39)/SUM(Volumes!Q41:R41)</f>
        <v>1200</v>
      </c>
      <c r="Q39" s="120"/>
      <c r="R39" s="113">
        <v>1200</v>
      </c>
      <c r="S39" s="113">
        <v>1200</v>
      </c>
      <c r="T39" s="28"/>
      <c r="U39" s="28"/>
      <c r="V39" s="28"/>
      <c r="W39" s="28"/>
    </row>
    <row r="40" spans="2:23" s="5" customFormat="1" ht="11.25" x14ac:dyDescent="0.2">
      <c r="B40" s="25" t="s">
        <v>24</v>
      </c>
      <c r="C40" s="25"/>
      <c r="D40" s="106" t="s">
        <v>117</v>
      </c>
      <c r="E40" s="110">
        <v>27.21</v>
      </c>
      <c r="F40" s="110">
        <v>53.64</v>
      </c>
      <c r="G40" s="110"/>
      <c r="H40" s="110"/>
      <c r="I40" s="110"/>
      <c r="J40" s="111"/>
      <c r="K40" s="111">
        <v>40.536000000000001</v>
      </c>
      <c r="L40" s="111"/>
      <c r="M40" s="111"/>
      <c r="N40" s="110">
        <v>38.28</v>
      </c>
      <c r="O40" s="111"/>
      <c r="P40" s="116"/>
      <c r="Q40" s="120"/>
      <c r="R40" s="113"/>
      <c r="S40" s="113"/>
      <c r="T40" s="28"/>
      <c r="U40" s="28"/>
      <c r="V40" s="28"/>
      <c r="W40" s="28"/>
    </row>
    <row r="41" spans="2:23" s="5" customFormat="1" ht="11.25" x14ac:dyDescent="0.2">
      <c r="B41" s="25" t="s">
        <v>25</v>
      </c>
      <c r="C41" s="25"/>
      <c r="D41" s="106" t="s">
        <v>117</v>
      </c>
      <c r="E41" s="110">
        <v>18.46</v>
      </c>
      <c r="F41" s="110">
        <v>15.24</v>
      </c>
      <c r="G41" s="110"/>
      <c r="H41" s="110"/>
      <c r="I41" s="110"/>
      <c r="J41" s="111"/>
      <c r="K41" s="111">
        <v>20.244</v>
      </c>
      <c r="L41" s="111"/>
      <c r="M41" s="111"/>
      <c r="N41" s="110">
        <v>24.24</v>
      </c>
      <c r="O41" s="111"/>
      <c r="P41" s="116"/>
      <c r="Q41" s="120"/>
      <c r="R41" s="113"/>
      <c r="S41" s="113"/>
      <c r="T41" s="28"/>
      <c r="U41" s="28"/>
      <c r="V41" s="28"/>
      <c r="W41" s="28"/>
    </row>
    <row r="42" spans="2:23" s="5" customFormat="1" ht="11.25" x14ac:dyDescent="0.2">
      <c r="B42" s="25" t="s">
        <v>26</v>
      </c>
      <c r="C42" s="25"/>
      <c r="D42" s="106" t="s">
        <v>117</v>
      </c>
      <c r="E42" s="110"/>
      <c r="F42" s="110"/>
      <c r="G42" s="110">
        <v>23.7</v>
      </c>
      <c r="H42" s="110">
        <v>31.95</v>
      </c>
      <c r="I42" s="110">
        <v>23.25</v>
      </c>
      <c r="J42" s="111">
        <v>23.44</v>
      </c>
      <c r="K42" s="111"/>
      <c r="L42" s="111">
        <v>24.69</v>
      </c>
      <c r="M42" s="111">
        <v>19.739999999999998</v>
      </c>
      <c r="N42" s="110"/>
      <c r="O42" s="111">
        <v>24.939</v>
      </c>
      <c r="P42" s="116">
        <f>(Volumes!Q44*Tarieven!R42+Volumes!R44*Tarieven!S42)/SUM(Volumes!Q44:R44)</f>
        <v>24</v>
      </c>
      <c r="Q42" s="120"/>
      <c r="R42" s="113">
        <v>24</v>
      </c>
      <c r="S42" s="113">
        <v>24</v>
      </c>
      <c r="T42" s="28"/>
      <c r="U42" s="28"/>
      <c r="V42" s="28"/>
      <c r="W42" s="28"/>
    </row>
    <row r="44" spans="2:23" x14ac:dyDescent="0.2">
      <c r="B44" s="69" t="s">
        <v>50</v>
      </c>
    </row>
    <row r="45" spans="2:23" x14ac:dyDescent="0.2">
      <c r="B45" s="24" t="s">
        <v>20</v>
      </c>
      <c r="C45" s="24"/>
      <c r="D45" s="106" t="s">
        <v>116</v>
      </c>
      <c r="E45" s="110"/>
      <c r="F45" s="110">
        <v>2228.5714285714284</v>
      </c>
      <c r="G45" s="110"/>
      <c r="H45" s="110"/>
      <c r="I45" s="110"/>
      <c r="J45" s="111"/>
      <c r="K45" s="111"/>
      <c r="L45" s="111"/>
      <c r="M45" s="111"/>
      <c r="N45" s="110"/>
      <c r="O45" s="111"/>
      <c r="P45" s="116"/>
      <c r="Q45" s="120">
        <v>0</v>
      </c>
      <c r="R45" s="113"/>
      <c r="S45" s="113"/>
    </row>
    <row r="46" spans="2:23" s="5" customFormat="1" ht="11.25" x14ac:dyDescent="0.2">
      <c r="B46" s="25" t="s">
        <v>49</v>
      </c>
      <c r="C46" s="25"/>
      <c r="D46" s="106" t="s">
        <v>117</v>
      </c>
      <c r="E46" s="110"/>
      <c r="F46" s="110">
        <v>47.09</v>
      </c>
      <c r="G46" s="110"/>
      <c r="H46" s="110"/>
      <c r="I46" s="110"/>
      <c r="J46" s="111"/>
      <c r="K46" s="111"/>
      <c r="L46" s="111"/>
      <c r="M46" s="111"/>
      <c r="N46" s="110"/>
      <c r="O46" s="111"/>
      <c r="P46" s="116">
        <f>(Volumes!Q48*Tarieven!R46+Volumes!R48*Tarieven!S46)/SUM(Volumes!Q48:R48)</f>
        <v>12.466862975</v>
      </c>
      <c r="Q46" s="120">
        <v>21.78</v>
      </c>
      <c r="R46" s="113">
        <v>12.466862975</v>
      </c>
      <c r="S46" s="113"/>
      <c r="T46" s="28"/>
      <c r="U46" s="28"/>
      <c r="V46" s="28"/>
      <c r="W46" s="28"/>
    </row>
  </sheetData>
  <phoneticPr fontId="5" type="noConversion"/>
  <pageMargins left="0.75" right="0.75" top="1" bottom="1" header="0.5" footer="0.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9"/>
  <dimension ref="B2:U32"/>
  <sheetViews>
    <sheetView showGridLines="0" zoomScale="85" zoomScaleNormal="85" workbookViewId="0"/>
  </sheetViews>
  <sheetFormatPr defaultRowHeight="12.75" x14ac:dyDescent="0.2"/>
  <cols>
    <col min="1" max="1" width="2.7109375" style="1" customWidth="1"/>
    <col min="2" max="2" width="43.28515625" style="1" bestFit="1" customWidth="1"/>
    <col min="3" max="3" width="11.28515625" style="1" bestFit="1" customWidth="1"/>
    <col min="4" max="4" width="10.7109375" style="1" bestFit="1" customWidth="1"/>
    <col min="5" max="5" width="12.140625" style="1" bestFit="1" customWidth="1"/>
    <col min="6" max="8" width="10.7109375" style="1" bestFit="1" customWidth="1"/>
    <col min="9" max="9" width="12.140625" style="1" bestFit="1" customWidth="1"/>
    <col min="10" max="10" width="10.7109375" style="1" bestFit="1" customWidth="1"/>
    <col min="11" max="11" width="9.85546875" style="1" bestFit="1" customWidth="1"/>
    <col min="12" max="13" width="10.7109375" style="1" bestFit="1" customWidth="1"/>
    <col min="14" max="14" width="12.140625" style="1" bestFit="1" customWidth="1"/>
    <col min="15" max="15" width="7.7109375" style="1" bestFit="1" customWidth="1"/>
    <col min="16" max="19" width="10.7109375" style="1" bestFit="1" customWidth="1"/>
    <col min="20" max="21" width="12.140625" style="1" bestFit="1" customWidth="1"/>
    <col min="22" max="16384" width="9.140625" style="1"/>
  </cols>
  <sheetData>
    <row r="2" spans="2:21" s="4" customFormat="1" ht="190.5" x14ac:dyDescent="0.3">
      <c r="B2" s="18" t="s">
        <v>80</v>
      </c>
      <c r="C2" s="19" t="s">
        <v>9</v>
      </c>
      <c r="D2" s="19" t="s">
        <v>5</v>
      </c>
      <c r="E2" s="19" t="s">
        <v>108</v>
      </c>
      <c r="F2" s="19" t="s">
        <v>4</v>
      </c>
      <c r="G2" s="19" t="s">
        <v>7</v>
      </c>
      <c r="H2" s="19" t="s">
        <v>10</v>
      </c>
      <c r="I2" s="19" t="s">
        <v>8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16</v>
      </c>
      <c r="O2" s="19" t="s">
        <v>15</v>
      </c>
      <c r="P2" s="26" t="s">
        <v>48</v>
      </c>
      <c r="Q2" s="26" t="s">
        <v>6</v>
      </c>
      <c r="R2" s="26" t="s">
        <v>0</v>
      </c>
      <c r="S2" s="26" t="s">
        <v>1</v>
      </c>
      <c r="T2" s="26" t="s">
        <v>2</v>
      </c>
      <c r="U2" s="26" t="s">
        <v>3</v>
      </c>
    </row>
    <row r="4" spans="2:21" s="21" customFormat="1" x14ac:dyDescent="0.2">
      <c r="B4" s="20" t="s">
        <v>81</v>
      </c>
      <c r="P4" s="27"/>
      <c r="Q4" s="27"/>
      <c r="R4" s="27"/>
      <c r="S4" s="27"/>
      <c r="T4" s="27"/>
      <c r="U4" s="27"/>
    </row>
    <row r="6" spans="2:21" x14ac:dyDescent="0.2">
      <c r="B6" s="22" t="s">
        <v>19</v>
      </c>
    </row>
    <row r="7" spans="2:21" x14ac:dyDescent="0.2">
      <c r="B7" s="16" t="s">
        <v>20</v>
      </c>
      <c r="C7" s="66">
        <f>Volumes!C35</f>
        <v>130211</v>
      </c>
      <c r="D7" s="66">
        <f>Volumes!D35</f>
        <v>180185.5</v>
      </c>
      <c r="E7" s="66">
        <f>Volumes!E35</f>
        <v>1720635.3654119612</v>
      </c>
      <c r="F7" s="66">
        <f>Volumes!F35</f>
        <v>56521.730149999981</v>
      </c>
      <c r="G7" s="66">
        <f>Volumes!G35</f>
        <v>142306.75</v>
      </c>
      <c r="H7" s="66">
        <f>Volumes!H35</f>
        <v>181979.83859677674</v>
      </c>
      <c r="I7" s="66">
        <f>Volumes!I35</f>
        <v>2088925.4</v>
      </c>
      <c r="J7" s="66">
        <f>Volumes!J35</f>
        <v>192454.82636000001</v>
      </c>
      <c r="K7" s="66">
        <f>Volumes!K35</f>
        <v>34133</v>
      </c>
      <c r="L7" s="66">
        <f>Volumes!L35</f>
        <v>97580</v>
      </c>
      <c r="M7" s="66">
        <f>Volumes!M35</f>
        <v>47622.787666666671</v>
      </c>
      <c r="N7" s="66">
        <f>Volumes!N35</f>
        <v>1809028.4247601843</v>
      </c>
      <c r="O7" s="66">
        <f>Volumes!O35</f>
        <v>0</v>
      </c>
    </row>
    <row r="8" spans="2:21" x14ac:dyDescent="0.2">
      <c r="B8" s="17" t="s">
        <v>21</v>
      </c>
      <c r="C8" s="66">
        <f>Volumes!C36</f>
        <v>594606</v>
      </c>
      <c r="D8" s="66">
        <f>Volumes!D36</f>
        <v>795166.25</v>
      </c>
      <c r="E8" s="66">
        <f>Volumes!E36</f>
        <v>7719174.5866882261</v>
      </c>
      <c r="F8" s="66">
        <f>Volumes!F36</f>
        <v>261272.95170999994</v>
      </c>
      <c r="G8" s="66">
        <f>Volumes!G36</f>
        <v>658742.6</v>
      </c>
      <c r="H8" s="66">
        <f>Volumes!H36</f>
        <v>832345.36772691889</v>
      </c>
      <c r="I8" s="66">
        <f>Volumes!I36</f>
        <v>9230237.0999999996</v>
      </c>
      <c r="J8" s="66">
        <f>Volumes!J36</f>
        <v>889853.65997499996</v>
      </c>
      <c r="K8" s="66">
        <f>Volumes!K36</f>
        <v>148897</v>
      </c>
      <c r="L8" s="66">
        <f>Volumes!L36</f>
        <v>437715.5</v>
      </c>
      <c r="M8" s="66">
        <f>Volumes!M36</f>
        <v>343751.85501768091</v>
      </c>
      <c r="N8" s="66">
        <f>Volumes!N36</f>
        <v>8099464.8865281474</v>
      </c>
      <c r="O8" s="66">
        <f>Volumes!O36</f>
        <v>0</v>
      </c>
    </row>
    <row r="9" spans="2:21" x14ac:dyDescent="0.2">
      <c r="B9" s="17" t="s">
        <v>111</v>
      </c>
      <c r="C9" s="66">
        <f>Volumes!C38*Graaddagen!$G$8</f>
        <v>347007232.07464045</v>
      </c>
      <c r="D9" s="66">
        <f>Volumes!D38*Graaddagen!$G$8</f>
        <v>390103652.91665804</v>
      </c>
      <c r="E9" s="66">
        <f>Volumes!E38*Graaddagen!$G$8</f>
        <v>3715147542.8508596</v>
      </c>
      <c r="F9" s="66">
        <f>Volumes!F38*Graaddagen!$G$8</f>
        <v>131619450.5092259</v>
      </c>
      <c r="G9" s="66">
        <f>Volumes!G38*Graaddagen!$G$8</f>
        <v>366286859.43055099</v>
      </c>
      <c r="H9" s="66">
        <f>Volumes!H38*Graaddagen!$G$8</f>
        <v>470127267.39606053</v>
      </c>
      <c r="I9" s="66">
        <f>Volumes!I38*Graaddagen!$G$8</f>
        <v>4802921081.6011028</v>
      </c>
      <c r="J9" s="66">
        <f>Volumes!J38*Graaddagen!$G$8</f>
        <v>525950182.3640033</v>
      </c>
      <c r="K9" s="66">
        <f>Volumes!K38*Graaddagen!$G$8</f>
        <v>61370087.334307946</v>
      </c>
      <c r="L9" s="66">
        <f>Volumes!L38*Graaddagen!$G$8</f>
        <v>253498294.83599502</v>
      </c>
      <c r="M9" s="66">
        <f>Volumes!M38*Graaddagen!$G$8</f>
        <v>140992449.14650711</v>
      </c>
      <c r="N9" s="66">
        <f>Volumes!N38*Graaddagen!$G$8</f>
        <v>4722439933.3489923</v>
      </c>
      <c r="O9" s="66">
        <f>Volumes!O38</f>
        <v>0</v>
      </c>
    </row>
    <row r="11" spans="2:21" x14ac:dyDescent="0.2">
      <c r="B11" s="22" t="s">
        <v>23</v>
      </c>
    </row>
    <row r="12" spans="2:21" x14ac:dyDescent="0.2">
      <c r="B12" s="24" t="s">
        <v>20</v>
      </c>
      <c r="C12" s="66">
        <f>Volumes!C41</f>
        <v>106</v>
      </c>
      <c r="D12" s="66">
        <f>Volumes!D41</f>
        <v>152</v>
      </c>
      <c r="E12" s="66">
        <f>Volumes!E41</f>
        <v>2067</v>
      </c>
      <c r="F12" s="66">
        <f>Volumes!F41</f>
        <v>109.33730909090913</v>
      </c>
      <c r="G12" s="66">
        <f>Volumes!G41</f>
        <v>175</v>
      </c>
      <c r="H12" s="66">
        <f>Volumes!H41</f>
        <v>172.16442543003163</v>
      </c>
      <c r="I12" s="66">
        <f>Volumes!I41</f>
        <v>2629.2666666666669</v>
      </c>
      <c r="J12" s="66">
        <f>Volumes!J41</f>
        <v>333.17878181818031</v>
      </c>
      <c r="K12" s="66">
        <f>Volumes!K41</f>
        <v>21</v>
      </c>
      <c r="L12" s="66">
        <f>Volumes!L41</f>
        <v>80.67</v>
      </c>
      <c r="M12" s="66">
        <f>Volumes!M41</f>
        <v>1353.5484257357973</v>
      </c>
      <c r="N12" s="66">
        <f>Volumes!N41</f>
        <v>3722.1666666666665</v>
      </c>
      <c r="O12" s="66">
        <f>Volumes!O41</f>
        <v>0</v>
      </c>
    </row>
    <row r="13" spans="2:21" x14ac:dyDescent="0.2">
      <c r="B13" s="25" t="s">
        <v>24</v>
      </c>
      <c r="C13" s="66">
        <f>Volumes!C42</f>
        <v>10617</v>
      </c>
      <c r="D13" s="66">
        <f>Volumes!D42</f>
        <v>11614</v>
      </c>
      <c r="E13" s="66">
        <f>Volumes!E42</f>
        <v>0</v>
      </c>
      <c r="F13" s="66">
        <f>Volumes!F42</f>
        <v>0</v>
      </c>
      <c r="G13" s="66">
        <f>Volumes!G42</f>
        <v>0</v>
      </c>
      <c r="H13" s="66">
        <f>Volumes!H42</f>
        <v>0</v>
      </c>
      <c r="I13" s="66">
        <f>Volumes!I42</f>
        <v>174789.65</v>
      </c>
      <c r="J13" s="66">
        <f>Volumes!J42</f>
        <v>0</v>
      </c>
      <c r="K13" s="66">
        <f>Volumes!K42</f>
        <v>0</v>
      </c>
      <c r="L13" s="66">
        <f>Volumes!L42</f>
        <v>10176</v>
      </c>
      <c r="M13" s="66">
        <f>Volumes!M42</f>
        <v>0</v>
      </c>
      <c r="N13" s="66">
        <f>Volumes!N42</f>
        <v>0</v>
      </c>
      <c r="O13" s="66">
        <f>Volumes!O42</f>
        <v>0</v>
      </c>
    </row>
    <row r="14" spans="2:21" x14ac:dyDescent="0.2">
      <c r="B14" s="25" t="s">
        <v>25</v>
      </c>
      <c r="C14" s="66">
        <f>Volumes!C43</f>
        <v>23267</v>
      </c>
      <c r="D14" s="66">
        <f>Volumes!D43</f>
        <v>36755</v>
      </c>
      <c r="E14" s="66">
        <f>Volumes!E43</f>
        <v>0</v>
      </c>
      <c r="F14" s="66">
        <f>Volumes!F43</f>
        <v>0</v>
      </c>
      <c r="G14" s="66">
        <f>Volumes!G43</f>
        <v>0</v>
      </c>
      <c r="H14" s="66">
        <f>Volumes!H43</f>
        <v>0</v>
      </c>
      <c r="I14" s="66">
        <f>Volumes!I43</f>
        <v>522313.5</v>
      </c>
      <c r="J14" s="66">
        <f>Volumes!J43</f>
        <v>0</v>
      </c>
      <c r="K14" s="66">
        <f>Volumes!K43</f>
        <v>0</v>
      </c>
      <c r="L14" s="66">
        <f>Volumes!L43</f>
        <v>18527</v>
      </c>
      <c r="M14" s="66">
        <f>Volumes!M43</f>
        <v>0</v>
      </c>
      <c r="N14" s="66">
        <f>Volumes!N43</f>
        <v>0</v>
      </c>
      <c r="O14" s="66">
        <f>Volumes!O43</f>
        <v>0</v>
      </c>
    </row>
    <row r="15" spans="2:21" x14ac:dyDescent="0.2">
      <c r="B15" s="25" t="s">
        <v>26</v>
      </c>
      <c r="C15" s="66">
        <f>Volumes!C44</f>
        <v>33884</v>
      </c>
      <c r="D15" s="66">
        <f>Volumes!D44</f>
        <v>48369</v>
      </c>
      <c r="E15" s="66">
        <f>Volumes!E44</f>
        <v>648774</v>
      </c>
      <c r="F15" s="66">
        <f>Volumes!F44</f>
        <v>31514.306928439313</v>
      </c>
      <c r="G15" s="66">
        <f>Volumes!G44</f>
        <v>50663</v>
      </c>
      <c r="H15" s="66">
        <f>Volumes!H44</f>
        <v>55830</v>
      </c>
      <c r="I15" s="66">
        <f>Volumes!I44</f>
        <v>697103.15</v>
      </c>
      <c r="J15" s="66">
        <f>Volumes!J44</f>
        <v>87282.403137081594</v>
      </c>
      <c r="K15" s="66">
        <f>Volumes!K44</f>
        <v>6883</v>
      </c>
      <c r="L15" s="66">
        <f>Volumes!L44</f>
        <v>28703</v>
      </c>
      <c r="M15" s="66">
        <f>Volumes!M44</f>
        <v>343602.85324779456</v>
      </c>
      <c r="N15" s="66">
        <f>Volumes!N44</f>
        <v>697166</v>
      </c>
      <c r="O15" s="66">
        <f>Volumes!O44</f>
        <v>0</v>
      </c>
    </row>
    <row r="17" spans="2:21" x14ac:dyDescent="0.2">
      <c r="B17" s="69" t="s">
        <v>50</v>
      </c>
    </row>
    <row r="18" spans="2:21" x14ac:dyDescent="0.2">
      <c r="B18" s="24" t="s">
        <v>20</v>
      </c>
      <c r="C18" s="66">
        <f>Volumes!C47</f>
        <v>0</v>
      </c>
      <c r="D18" s="66">
        <f>Volumes!D47</f>
        <v>13</v>
      </c>
      <c r="E18" s="66">
        <f>Volumes!E47</f>
        <v>0</v>
      </c>
      <c r="F18" s="66">
        <f>Volumes!F47</f>
        <v>0</v>
      </c>
      <c r="G18" s="66">
        <f>Volumes!G47</f>
        <v>0</v>
      </c>
      <c r="H18" s="66">
        <f>Volumes!H47</f>
        <v>0</v>
      </c>
      <c r="I18" s="66">
        <f>Volumes!I47</f>
        <v>0</v>
      </c>
      <c r="J18" s="66">
        <f>Volumes!J47</f>
        <v>0</v>
      </c>
      <c r="K18" s="66">
        <f>Volumes!K47</f>
        <v>0</v>
      </c>
      <c r="L18" s="66">
        <f>Volumes!L47</f>
        <v>0</v>
      </c>
      <c r="M18" s="66">
        <f>Volumes!M47</f>
        <v>0</v>
      </c>
      <c r="N18" s="66">
        <f>Volumes!N47</f>
        <v>1</v>
      </c>
      <c r="O18" s="66">
        <f>Volumes!O47</f>
        <v>2</v>
      </c>
    </row>
    <row r="19" spans="2:21" x14ac:dyDescent="0.2">
      <c r="B19" s="25" t="s">
        <v>49</v>
      </c>
      <c r="C19" s="66">
        <f>Volumes!C48</f>
        <v>0</v>
      </c>
      <c r="D19" s="66">
        <f>Volumes!D48</f>
        <v>79900</v>
      </c>
      <c r="E19" s="66">
        <f>Volumes!E48</f>
        <v>0</v>
      </c>
      <c r="F19" s="66">
        <f>Volumes!F48</f>
        <v>0</v>
      </c>
      <c r="G19" s="66">
        <f>Volumes!G48</f>
        <v>0</v>
      </c>
      <c r="H19" s="66">
        <f>Volumes!H48</f>
        <v>0</v>
      </c>
      <c r="I19" s="66">
        <f>Volumes!I48</f>
        <v>0</v>
      </c>
      <c r="J19" s="66">
        <f>Volumes!J48</f>
        <v>0</v>
      </c>
      <c r="K19" s="66">
        <f>Volumes!K48</f>
        <v>0</v>
      </c>
      <c r="L19" s="66">
        <f>Volumes!L48</f>
        <v>0</v>
      </c>
      <c r="M19" s="66">
        <f>Volumes!M48</f>
        <v>0</v>
      </c>
      <c r="N19" s="66">
        <f>Volumes!N48</f>
        <v>39838.706561740451</v>
      </c>
      <c r="O19" s="66">
        <f>Volumes!O48</f>
        <v>447622.45179063361</v>
      </c>
    </row>
    <row r="21" spans="2:21" s="21" customFormat="1" x14ac:dyDescent="0.2">
      <c r="B21" s="20" t="s">
        <v>158</v>
      </c>
      <c r="P21" s="27"/>
      <c r="Q21" s="27"/>
      <c r="R21" s="27"/>
      <c r="S21" s="27"/>
      <c r="T21" s="27"/>
      <c r="U21" s="27"/>
    </row>
    <row r="23" spans="2:21" x14ac:dyDescent="0.2">
      <c r="B23" s="22" t="s">
        <v>19</v>
      </c>
    </row>
    <row r="24" spans="2:21" x14ac:dyDescent="0.2">
      <c r="B24" s="16" t="s">
        <v>20</v>
      </c>
      <c r="C24" s="59">
        <v>127065</v>
      </c>
      <c r="D24" s="59">
        <v>176502</v>
      </c>
      <c r="E24" s="59">
        <v>1770965.61</v>
      </c>
      <c r="F24" s="59">
        <v>51317</v>
      </c>
      <c r="G24" s="59">
        <v>141289</v>
      </c>
      <c r="H24" s="59">
        <v>180807</v>
      </c>
      <c r="I24" s="59">
        <v>2047084</v>
      </c>
      <c r="J24" s="59">
        <v>186833</v>
      </c>
      <c r="K24" s="59">
        <v>34668</v>
      </c>
      <c r="L24" s="59">
        <v>94852</v>
      </c>
      <c r="M24" s="59">
        <v>45891.5</v>
      </c>
      <c r="N24" s="59">
        <v>1744593.4219203463</v>
      </c>
    </row>
    <row r="25" spans="2:21" x14ac:dyDescent="0.2">
      <c r="B25" s="17" t="s">
        <v>21</v>
      </c>
      <c r="C25" s="59">
        <v>583313</v>
      </c>
      <c r="D25" s="59">
        <v>790158.5</v>
      </c>
      <c r="E25" s="59">
        <v>7890407.6399999997</v>
      </c>
      <c r="F25" s="59">
        <v>234042</v>
      </c>
      <c r="G25" s="59">
        <v>656974</v>
      </c>
      <c r="H25" s="59">
        <v>826981</v>
      </c>
      <c r="I25" s="59">
        <v>9156626.5</v>
      </c>
      <c r="J25" s="59">
        <v>856041</v>
      </c>
      <c r="K25" s="59">
        <v>149671</v>
      </c>
      <c r="L25" s="59">
        <v>429895.5</v>
      </c>
      <c r="M25" s="59">
        <v>369501.13187357358</v>
      </c>
      <c r="N25" s="59">
        <v>7058134.4004053734</v>
      </c>
    </row>
    <row r="26" spans="2:21" x14ac:dyDescent="0.2">
      <c r="B26" s="17" t="s">
        <v>22</v>
      </c>
      <c r="C26" s="59">
        <v>367077640.94396269</v>
      </c>
      <c r="D26" s="59">
        <v>408848533.75898248</v>
      </c>
      <c r="E26" s="59">
        <v>3973008547.4125433</v>
      </c>
      <c r="F26" s="59">
        <v>130327801.93178369</v>
      </c>
      <c r="G26" s="59">
        <v>375166803.64636582</v>
      </c>
      <c r="H26" s="59">
        <v>497768249.52633172</v>
      </c>
      <c r="I26" s="59">
        <v>4900902553.6645193</v>
      </c>
      <c r="J26" s="59">
        <v>543966680.5229243</v>
      </c>
      <c r="K26" s="59">
        <v>59820630.240207814</v>
      </c>
      <c r="L26" s="59">
        <v>267073227.7679565</v>
      </c>
      <c r="M26" s="59">
        <v>167719786.87324974</v>
      </c>
      <c r="N26" s="59">
        <v>4838976370.9419384</v>
      </c>
    </row>
    <row r="28" spans="2:21" x14ac:dyDescent="0.2">
      <c r="B28" s="22" t="s">
        <v>23</v>
      </c>
      <c r="C28" s="83"/>
      <c r="D28" s="83"/>
      <c r="E28" s="83"/>
      <c r="F28" s="83"/>
      <c r="H28" s="83"/>
      <c r="I28" s="83"/>
      <c r="J28" s="83"/>
      <c r="K28" s="83"/>
      <c r="L28" s="83"/>
      <c r="M28" s="83"/>
      <c r="N28" s="83"/>
    </row>
    <row r="29" spans="2:21" x14ac:dyDescent="0.2">
      <c r="B29" s="24" t="s">
        <v>20</v>
      </c>
      <c r="C29" s="84">
        <v>90</v>
      </c>
      <c r="D29" s="84">
        <v>150</v>
      </c>
      <c r="E29" s="84">
        <v>2271</v>
      </c>
      <c r="F29" s="84">
        <v>121</v>
      </c>
      <c r="G29" s="84">
        <v>175</v>
      </c>
      <c r="H29" s="84">
        <v>159</v>
      </c>
      <c r="I29" s="84">
        <v>2438</v>
      </c>
      <c r="J29" s="84">
        <v>298</v>
      </c>
      <c r="K29" s="84">
        <v>21</v>
      </c>
      <c r="L29" s="84">
        <v>72</v>
      </c>
      <c r="M29" s="84">
        <v>1462</v>
      </c>
      <c r="N29" s="84">
        <v>2256</v>
      </c>
    </row>
    <row r="30" spans="2:21" x14ac:dyDescent="0.2">
      <c r="B30" s="25" t="s">
        <v>24</v>
      </c>
      <c r="C30" s="84">
        <v>5051</v>
      </c>
      <c r="D30" s="84">
        <v>6339.8381194287085</v>
      </c>
      <c r="E30" s="84"/>
      <c r="F30" s="84"/>
      <c r="G30" s="84"/>
      <c r="H30" s="84"/>
      <c r="I30" s="84">
        <v>130123</v>
      </c>
      <c r="J30" s="84"/>
      <c r="K30" s="84"/>
      <c r="L30" s="84">
        <v>3366</v>
      </c>
      <c r="M30" s="84"/>
      <c r="N30" s="84"/>
    </row>
    <row r="31" spans="2:21" x14ac:dyDescent="0.2">
      <c r="B31" s="25" t="s">
        <v>25</v>
      </c>
      <c r="C31" s="84">
        <v>21414</v>
      </c>
      <c r="D31" s="84">
        <v>27720.43950521588</v>
      </c>
      <c r="E31" s="84"/>
      <c r="F31" s="84"/>
      <c r="G31" s="84"/>
      <c r="H31" s="84"/>
      <c r="I31" s="84">
        <v>445108</v>
      </c>
      <c r="J31" s="84"/>
      <c r="K31" s="84"/>
      <c r="L31" s="84">
        <v>21788</v>
      </c>
      <c r="M31" s="84"/>
      <c r="N31" s="84"/>
    </row>
    <row r="32" spans="2:21" x14ac:dyDescent="0.2">
      <c r="B32" s="25" t="s">
        <v>26</v>
      </c>
      <c r="C32" s="84"/>
      <c r="D32" s="84"/>
      <c r="E32" s="84">
        <v>613528.42130953865</v>
      </c>
      <c r="F32" s="84">
        <v>33688</v>
      </c>
      <c r="G32" s="84">
        <v>49014</v>
      </c>
      <c r="H32" s="84">
        <v>46122.58</v>
      </c>
      <c r="I32" s="84"/>
      <c r="J32" s="84">
        <v>73939</v>
      </c>
      <c r="K32" s="84">
        <v>6582</v>
      </c>
      <c r="L32" s="84"/>
      <c r="M32" s="84">
        <v>351814.15210160252</v>
      </c>
      <c r="N32" s="84">
        <v>630940</v>
      </c>
    </row>
  </sheetData>
  <phoneticPr fontId="5" type="noConversion"/>
  <pageMargins left="0.75" right="0.75" top="1" bottom="1" header="0.5" footer="0.5"/>
  <headerFooter alignWithMargins="0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0"/>
  <dimension ref="B2:V51"/>
  <sheetViews>
    <sheetView showGridLines="0" zoomScale="85" zoomScaleNormal="85" workbookViewId="0">
      <pane ySplit="2" topLeftCell="A3" activePane="bottomLeft" state="frozen"/>
      <selection activeCell="B8" sqref="B8"/>
      <selection pane="bottomLeft" activeCell="A3" sqref="A3"/>
    </sheetView>
  </sheetViews>
  <sheetFormatPr defaultRowHeight="12.75" x14ac:dyDescent="0.2"/>
  <cols>
    <col min="1" max="1" width="2.7109375" style="3" customWidth="1"/>
    <col min="2" max="2" width="45.140625" style="3" bestFit="1" customWidth="1"/>
    <col min="3" max="4" width="9.5703125" style="3" bestFit="1" customWidth="1"/>
    <col min="5" max="5" width="12.140625" style="3" bestFit="1" customWidth="1"/>
    <col min="6" max="8" width="10.7109375" style="3" bestFit="1" customWidth="1"/>
    <col min="9" max="9" width="12.140625" style="3" bestFit="1" customWidth="1"/>
    <col min="10" max="10" width="10.7109375" style="3" bestFit="1" customWidth="1"/>
    <col min="11" max="11" width="10.85546875" style="3" bestFit="1" customWidth="1"/>
    <col min="12" max="14" width="10.7109375" style="3" bestFit="1" customWidth="1"/>
    <col min="15" max="15" width="7.7109375" style="3" bestFit="1" customWidth="1"/>
    <col min="16" max="16" width="11.85546875" style="3" bestFit="1" customWidth="1"/>
    <col min="17" max="19" width="10.7109375" style="29" bestFit="1" customWidth="1"/>
    <col min="20" max="22" width="12.140625" style="29" bestFit="1" customWidth="1"/>
    <col min="23" max="16384" width="9.140625" style="3"/>
  </cols>
  <sheetData>
    <row r="2" spans="2:22" s="4" customFormat="1" ht="190.5" x14ac:dyDescent="0.3">
      <c r="B2" s="18" t="s">
        <v>17</v>
      </c>
      <c r="C2" s="19" t="s">
        <v>9</v>
      </c>
      <c r="D2" s="19" t="s">
        <v>5</v>
      </c>
      <c r="E2" s="19" t="s">
        <v>108</v>
      </c>
      <c r="F2" s="19" t="s">
        <v>4</v>
      </c>
      <c r="G2" s="19" t="s">
        <v>7</v>
      </c>
      <c r="H2" s="19" t="s">
        <v>10</v>
      </c>
      <c r="I2" s="19" t="s">
        <v>8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16</v>
      </c>
      <c r="O2" s="19" t="s">
        <v>15</v>
      </c>
      <c r="P2" s="19" t="s">
        <v>65</v>
      </c>
      <c r="Q2" s="26" t="s">
        <v>47</v>
      </c>
      <c r="R2" s="26" t="s">
        <v>6</v>
      </c>
      <c r="S2" s="26" t="s">
        <v>0</v>
      </c>
      <c r="T2" s="26" t="s">
        <v>1</v>
      </c>
      <c r="U2" s="26" t="s">
        <v>2</v>
      </c>
      <c r="V2" s="26" t="s">
        <v>3</v>
      </c>
    </row>
    <row r="4" spans="2:22" s="21" customFormat="1" x14ac:dyDescent="0.2">
      <c r="B4" s="20">
        <v>2004</v>
      </c>
      <c r="Q4" s="27"/>
      <c r="R4" s="27"/>
      <c r="S4" s="27"/>
      <c r="T4" s="27"/>
      <c r="U4" s="27"/>
      <c r="V4" s="27"/>
    </row>
    <row r="6" spans="2:22" s="5" customFormat="1" ht="11.25" x14ac:dyDescent="0.2">
      <c r="B6" s="22" t="s">
        <v>19</v>
      </c>
      <c r="Q6" s="28"/>
      <c r="R6" s="28"/>
      <c r="S6" s="28"/>
      <c r="T6" s="28"/>
      <c r="U6" s="28"/>
      <c r="V6" s="28"/>
    </row>
    <row r="7" spans="2:22" s="5" customFormat="1" ht="11.25" x14ac:dyDescent="0.2">
      <c r="B7" s="16" t="s">
        <v>20</v>
      </c>
      <c r="C7" s="6">
        <v>127521</v>
      </c>
      <c r="D7" s="6">
        <v>177635</v>
      </c>
      <c r="E7" s="6">
        <v>1781667</v>
      </c>
      <c r="F7" s="6">
        <v>53923</v>
      </c>
      <c r="G7" s="6">
        <v>141287</v>
      </c>
      <c r="H7" s="6">
        <v>181495</v>
      </c>
      <c r="I7" s="6">
        <v>2060232</v>
      </c>
      <c r="J7" s="6">
        <v>189122</v>
      </c>
      <c r="K7" s="6">
        <v>34683</v>
      </c>
      <c r="L7" s="6">
        <v>95301</v>
      </c>
      <c r="M7" s="6">
        <v>45926.441926103769</v>
      </c>
      <c r="N7" s="7">
        <f>SUM(Q7:V7)</f>
        <v>1773526</v>
      </c>
      <c r="P7" s="7">
        <f>SUM(C7:N7)</f>
        <v>6662318.441926104</v>
      </c>
      <c r="Q7" s="28"/>
      <c r="R7" s="13">
        <v>47452</v>
      </c>
      <c r="S7" s="28"/>
      <c r="T7" s="13">
        <v>1726074</v>
      </c>
      <c r="U7" s="28"/>
      <c r="V7" s="28"/>
    </row>
    <row r="8" spans="2:22" s="5" customFormat="1" ht="11.25" x14ac:dyDescent="0.2">
      <c r="B8" s="17" t="s">
        <v>21</v>
      </c>
      <c r="C8" s="8">
        <v>563888</v>
      </c>
      <c r="D8" s="8">
        <v>790036.18023559311</v>
      </c>
      <c r="E8" s="8">
        <v>7938171.5</v>
      </c>
      <c r="F8" s="8">
        <v>239908</v>
      </c>
      <c r="G8" s="8">
        <v>656966</v>
      </c>
      <c r="H8" s="8">
        <v>860684</v>
      </c>
      <c r="I8" s="8">
        <v>9215435.6926616151</v>
      </c>
      <c r="J8" s="8">
        <v>849271</v>
      </c>
      <c r="K8" s="8">
        <v>151196</v>
      </c>
      <c r="L8" s="8">
        <v>430807</v>
      </c>
      <c r="M8" s="8">
        <v>356248.86210201081</v>
      </c>
      <c r="N8" s="7">
        <f>SUM(Q8:V8)</f>
        <v>7969311.5182076013</v>
      </c>
      <c r="P8" s="7">
        <f t="shared" ref="P8:P16" si="0">SUM(C8:N8)</f>
        <v>30021923.753206819</v>
      </c>
      <c r="Q8" s="28"/>
      <c r="R8" s="14">
        <v>205835</v>
      </c>
      <c r="S8" s="28"/>
      <c r="T8" s="14">
        <v>7763476.5182076013</v>
      </c>
      <c r="U8" s="28"/>
      <c r="V8" s="28"/>
    </row>
    <row r="9" spans="2:22" s="5" customFormat="1" ht="11.25" x14ac:dyDescent="0.2">
      <c r="B9" s="17" t="s">
        <v>22</v>
      </c>
      <c r="C9" s="9">
        <v>381158927</v>
      </c>
      <c r="D9" s="9">
        <v>381373760</v>
      </c>
      <c r="E9" s="10">
        <v>3964090591</v>
      </c>
      <c r="F9" s="10">
        <v>124469068</v>
      </c>
      <c r="G9" s="10">
        <v>377097707</v>
      </c>
      <c r="H9" s="11">
        <v>487807432</v>
      </c>
      <c r="I9" s="11">
        <v>4626300773.0644827</v>
      </c>
      <c r="J9" s="11">
        <v>528005776</v>
      </c>
      <c r="K9" s="11">
        <v>65122678</v>
      </c>
      <c r="L9" s="10">
        <v>247498883</v>
      </c>
      <c r="M9" s="11">
        <v>160392008.30907023</v>
      </c>
      <c r="N9" s="7">
        <f>SUM(Q9:V9)</f>
        <v>4361214373.6207743</v>
      </c>
      <c r="P9" s="7">
        <f t="shared" si="0"/>
        <v>15704531976.994328</v>
      </c>
      <c r="Q9" s="28"/>
      <c r="R9" s="15">
        <v>120319049</v>
      </c>
      <c r="S9" s="28"/>
      <c r="T9" s="30">
        <v>4240895324.6207743</v>
      </c>
      <c r="U9" s="28"/>
      <c r="V9" s="28"/>
    </row>
    <row r="10" spans="2:22" s="5" customFormat="1" ht="11.25" x14ac:dyDescent="0.2">
      <c r="B10" s="17" t="s">
        <v>18</v>
      </c>
      <c r="C10" s="12">
        <f>C9*Graaddagen!$C$8</f>
        <v>385996334.7612052</v>
      </c>
      <c r="D10" s="12">
        <f>D9*Graaddagen!$C$8</f>
        <v>386213894.27434176</v>
      </c>
      <c r="E10" s="12">
        <f>E9*Graaddagen!$C$8</f>
        <v>4014400110.8161893</v>
      </c>
      <c r="F10" s="12">
        <f>F9*Graaddagen!$C$8</f>
        <v>126048744.06927696</v>
      </c>
      <c r="G10" s="12">
        <f>G9*Graaddagen!$C$8</f>
        <v>381883572.54152644</v>
      </c>
      <c r="H10" s="12">
        <f>H9*Graaddagen!$C$8</f>
        <v>493998349.46349257</v>
      </c>
      <c r="I10" s="12">
        <f>I9*Graaddagen!$C$8</f>
        <v>4685014610.4693508</v>
      </c>
      <c r="J10" s="12">
        <f>J9*Graaddagen!$C$8</f>
        <v>534706863.28368729</v>
      </c>
      <c r="K10" s="12">
        <f>K9*Graaddagen!$C$8</f>
        <v>65949170.378040694</v>
      </c>
      <c r="L10" s="12">
        <f>L9*Graaddagen!$C$8</f>
        <v>250639969.12629667</v>
      </c>
      <c r="M10" s="12">
        <f>M9*Graaddagen!$C$8</f>
        <v>162427593.70631212</v>
      </c>
      <c r="N10" s="12">
        <f>N9*Graaddagen!$C$8</f>
        <v>4416563916.199461</v>
      </c>
      <c r="P10" s="7">
        <f t="shared" si="0"/>
        <v>15903843129.08918</v>
      </c>
      <c r="Q10" s="28"/>
      <c r="R10" s="28"/>
      <c r="S10" s="28"/>
      <c r="T10" s="28"/>
      <c r="U10" s="28"/>
      <c r="V10" s="28"/>
    </row>
    <row r="11" spans="2:22" s="5" customFormat="1" ht="11.25" x14ac:dyDescent="0.2">
      <c r="Q11" s="28"/>
      <c r="R11" s="28"/>
      <c r="S11" s="28"/>
      <c r="T11" s="28"/>
      <c r="U11" s="28"/>
      <c r="V11" s="28"/>
    </row>
    <row r="12" spans="2:22" s="5" customFormat="1" ht="11.25" x14ac:dyDescent="0.2">
      <c r="B12" s="22" t="s">
        <v>23</v>
      </c>
      <c r="Q12" s="28"/>
      <c r="R12" s="28"/>
      <c r="S12" s="28"/>
      <c r="T12" s="28"/>
      <c r="U12" s="28"/>
      <c r="V12" s="28"/>
    </row>
    <row r="13" spans="2:22" s="5" customFormat="1" ht="11.25" x14ac:dyDescent="0.2">
      <c r="B13" s="24" t="s">
        <v>20</v>
      </c>
      <c r="C13" s="8">
        <v>89.5</v>
      </c>
      <c r="D13" s="6">
        <v>149.66666666666669</v>
      </c>
      <c r="E13" s="11">
        <v>2271</v>
      </c>
      <c r="F13" s="11">
        <v>121</v>
      </c>
      <c r="G13" s="11">
        <v>175</v>
      </c>
      <c r="H13" s="11">
        <v>159.41666666666671</v>
      </c>
      <c r="I13" s="11">
        <v>2438</v>
      </c>
      <c r="J13" s="11">
        <v>298</v>
      </c>
      <c r="K13" s="11">
        <v>21</v>
      </c>
      <c r="L13" s="11">
        <v>72</v>
      </c>
      <c r="M13" s="11">
        <v>1462</v>
      </c>
      <c r="N13" s="131">
        <f>SUM(R13:V13)</f>
        <v>2256</v>
      </c>
      <c r="P13" s="7">
        <f t="shared" si="0"/>
        <v>9512.5833333333321</v>
      </c>
      <c r="Q13" s="28"/>
      <c r="R13" s="68">
        <v>46</v>
      </c>
      <c r="S13" s="68">
        <v>533</v>
      </c>
      <c r="T13" s="68">
        <v>157</v>
      </c>
      <c r="U13" s="68">
        <v>740</v>
      </c>
      <c r="V13" s="68">
        <v>780</v>
      </c>
    </row>
    <row r="14" spans="2:22" s="5" customFormat="1" ht="11.25" x14ac:dyDescent="0.2">
      <c r="B14" s="25" t="s">
        <v>24</v>
      </c>
      <c r="C14" s="9">
        <v>6296</v>
      </c>
      <c r="D14" s="6"/>
      <c r="E14" s="11"/>
      <c r="F14" s="11"/>
      <c r="G14" s="11"/>
      <c r="H14" s="11"/>
      <c r="I14" s="11">
        <v>164320</v>
      </c>
      <c r="J14" s="11"/>
      <c r="K14" s="11"/>
      <c r="L14" s="11">
        <v>8409.7626923076914</v>
      </c>
      <c r="M14" s="11"/>
      <c r="N14" s="131">
        <f>SUM(R14:V14)</f>
        <v>0</v>
      </c>
      <c r="P14" s="7">
        <f t="shared" si="0"/>
        <v>179025.7626923077</v>
      </c>
      <c r="Q14" s="28"/>
      <c r="R14" s="28"/>
      <c r="S14" s="28"/>
      <c r="T14" s="28"/>
      <c r="U14" s="28"/>
      <c r="V14" s="28"/>
    </row>
    <row r="15" spans="2:22" s="5" customFormat="1" ht="11.25" x14ac:dyDescent="0.2">
      <c r="B15" s="25" t="s">
        <v>25</v>
      </c>
      <c r="C15" s="6">
        <v>31560</v>
      </c>
      <c r="D15" s="6"/>
      <c r="E15" s="11"/>
      <c r="F15" s="11"/>
      <c r="G15" s="11"/>
      <c r="H15" s="11"/>
      <c r="I15" s="11">
        <v>530911</v>
      </c>
      <c r="J15" s="11"/>
      <c r="K15" s="11"/>
      <c r="L15" s="11">
        <v>19267.937307692308</v>
      </c>
      <c r="M15" s="11"/>
      <c r="N15" s="131">
        <f>SUM(R15:V15)</f>
        <v>0</v>
      </c>
      <c r="P15" s="7">
        <f t="shared" si="0"/>
        <v>581738.93730769237</v>
      </c>
      <c r="Q15" s="28"/>
      <c r="R15" s="28"/>
      <c r="S15" s="28"/>
      <c r="T15" s="28"/>
      <c r="U15" s="28"/>
      <c r="V15" s="28"/>
    </row>
    <row r="16" spans="2:22" s="5" customFormat="1" ht="11.25" x14ac:dyDescent="0.2">
      <c r="B16" s="25" t="s">
        <v>26</v>
      </c>
      <c r="C16" s="125">
        <f>SUM(C14:C15)</f>
        <v>37856</v>
      </c>
      <c r="D16" s="6">
        <v>48142.666666666664</v>
      </c>
      <c r="E16" s="11">
        <v>694441</v>
      </c>
      <c r="F16" s="11">
        <v>36144</v>
      </c>
      <c r="G16" s="11">
        <v>50575</v>
      </c>
      <c r="H16" s="11">
        <v>50474</v>
      </c>
      <c r="I16" s="11">
        <v>695231</v>
      </c>
      <c r="J16" s="11">
        <v>81858</v>
      </c>
      <c r="K16" s="11">
        <v>6582</v>
      </c>
      <c r="L16" s="125">
        <f>SUM(L14:L15)</f>
        <v>27677.699999999997</v>
      </c>
      <c r="M16" s="11">
        <v>351814</v>
      </c>
      <c r="N16" s="131">
        <f>SUM(R16:V16)</f>
        <v>758025.58333333337</v>
      </c>
      <c r="P16" s="7">
        <f t="shared" si="0"/>
        <v>2838820.9499999997</v>
      </c>
      <c r="Q16" s="28"/>
      <c r="R16" s="68">
        <v>24765</v>
      </c>
      <c r="S16" s="68">
        <v>168752</v>
      </c>
      <c r="T16" s="68">
        <v>55131.333333333336</v>
      </c>
      <c r="U16" s="68">
        <v>250162</v>
      </c>
      <c r="V16" s="68">
        <v>259215.25</v>
      </c>
    </row>
    <row r="17" spans="2:22" x14ac:dyDescent="0.2">
      <c r="B17" s="2"/>
      <c r="V17" s="28"/>
    </row>
    <row r="18" spans="2:22" s="21" customFormat="1" x14ac:dyDescent="0.2">
      <c r="B18" s="20">
        <v>2005</v>
      </c>
      <c r="Q18" s="27"/>
      <c r="R18" s="27"/>
      <c r="S18" s="27"/>
      <c r="T18" s="27"/>
      <c r="U18" s="27"/>
      <c r="V18" s="27"/>
    </row>
    <row r="20" spans="2:22" s="5" customFormat="1" ht="11.25" x14ac:dyDescent="0.2">
      <c r="B20" s="22" t="s">
        <v>19</v>
      </c>
      <c r="Q20" s="28"/>
      <c r="R20" s="28"/>
      <c r="S20" s="28"/>
      <c r="T20" s="28"/>
      <c r="U20" s="28"/>
      <c r="V20" s="28"/>
    </row>
    <row r="21" spans="2:22" s="5" customFormat="1" ht="11.25" x14ac:dyDescent="0.2">
      <c r="B21" s="16" t="s">
        <v>20</v>
      </c>
      <c r="C21" s="6">
        <v>128328.6923076923</v>
      </c>
      <c r="D21" s="6">
        <v>179190</v>
      </c>
      <c r="E21" s="6">
        <v>1754707.0078052287</v>
      </c>
      <c r="F21" s="6">
        <v>55666</v>
      </c>
      <c r="G21" s="6">
        <v>140750</v>
      </c>
      <c r="H21" s="6">
        <v>180293.375510204</v>
      </c>
      <c r="I21" s="6">
        <v>2079301</v>
      </c>
      <c r="J21" s="6">
        <v>191566</v>
      </c>
      <c r="K21" s="6">
        <v>33727</v>
      </c>
      <c r="L21" s="6">
        <v>96070.58</v>
      </c>
      <c r="M21" s="6">
        <v>47089.873704238358</v>
      </c>
      <c r="N21" s="7">
        <f>SUM(Q21:V21)</f>
        <v>1784244.9999999995</v>
      </c>
      <c r="P21" s="7">
        <f>SUM(C21:N21)</f>
        <v>6670934.5293273628</v>
      </c>
      <c r="Q21" s="28"/>
      <c r="R21" s="13">
        <v>47606</v>
      </c>
      <c r="S21" s="13">
        <v>435635.82326220436</v>
      </c>
      <c r="T21" s="13">
        <v>181603.11527567581</v>
      </c>
      <c r="U21" s="13">
        <v>414147.89891597832</v>
      </c>
      <c r="V21" s="13">
        <v>705252.16254614107</v>
      </c>
    </row>
    <row r="22" spans="2:22" s="5" customFormat="1" ht="11.25" x14ac:dyDescent="0.2">
      <c r="B22" s="17" t="s">
        <v>21</v>
      </c>
      <c r="C22" s="8">
        <v>598541.34615384613</v>
      </c>
      <c r="D22" s="8">
        <v>790824.63642733754</v>
      </c>
      <c r="E22" s="8">
        <v>7789385.6534904875</v>
      </c>
      <c r="F22" s="8">
        <v>254338.75</v>
      </c>
      <c r="G22" s="8">
        <v>648494</v>
      </c>
      <c r="H22" s="8">
        <v>824631.76742495596</v>
      </c>
      <c r="I22" s="8">
        <v>9300733.4521087054</v>
      </c>
      <c r="J22" s="8">
        <v>878807.5</v>
      </c>
      <c r="K22" s="8">
        <v>147275.5</v>
      </c>
      <c r="L22" s="8">
        <v>434605.95</v>
      </c>
      <c r="M22" s="8">
        <v>357887.25778351357</v>
      </c>
      <c r="N22" s="7">
        <f>SUM(Q22:V22)</f>
        <v>8077042.3017162811</v>
      </c>
      <c r="P22" s="7">
        <f t="shared" ref="P22:P30" si="1">SUM(C22:N22)</f>
        <v>30102568.11510513</v>
      </c>
      <c r="Q22" s="28"/>
      <c r="R22" s="14">
        <v>210543</v>
      </c>
      <c r="S22" s="14">
        <v>1973311.0332629459</v>
      </c>
      <c r="T22" s="14">
        <v>822612.40217777283</v>
      </c>
      <c r="U22" s="14">
        <v>1875976.6178404437</v>
      </c>
      <c r="V22" s="14">
        <v>3194599.2484351192</v>
      </c>
    </row>
    <row r="23" spans="2:22" s="5" customFormat="1" ht="11.25" x14ac:dyDescent="0.2">
      <c r="B23" s="17" t="s">
        <v>22</v>
      </c>
      <c r="C23" s="9">
        <v>339600100</v>
      </c>
      <c r="D23" s="9">
        <v>366192957.14310122</v>
      </c>
      <c r="E23" s="10">
        <v>3596361820.0346298</v>
      </c>
      <c r="F23" s="10">
        <v>124177907</v>
      </c>
      <c r="G23" s="10">
        <v>322774454.88</v>
      </c>
      <c r="H23" s="11">
        <v>439607349</v>
      </c>
      <c r="I23" s="11">
        <v>4551567526</v>
      </c>
      <c r="J23" s="11">
        <v>505135217</v>
      </c>
      <c r="K23" s="11">
        <v>57175614</v>
      </c>
      <c r="L23" s="10">
        <v>236614609</v>
      </c>
      <c r="M23" s="11">
        <v>135769536</v>
      </c>
      <c r="N23" s="7">
        <f>SUM(Q23:V23)</f>
        <v>4210974256</v>
      </c>
      <c r="P23" s="7">
        <f t="shared" si="1"/>
        <v>14885951346.057732</v>
      </c>
      <c r="Q23" s="28"/>
      <c r="R23" s="15">
        <v>107305011</v>
      </c>
      <c r="S23" s="15">
        <v>992569262</v>
      </c>
      <c r="T23" s="30">
        <v>411669442</v>
      </c>
      <c r="U23" s="30">
        <v>1035889266</v>
      </c>
      <c r="V23" s="30">
        <v>1663541275</v>
      </c>
    </row>
    <row r="24" spans="2:22" s="5" customFormat="1" ht="11.25" x14ac:dyDescent="0.2">
      <c r="B24" s="17" t="s">
        <v>18</v>
      </c>
      <c r="C24" s="12">
        <f>C23*Graaddagen!$D$8</f>
        <v>358398477.8079648</v>
      </c>
      <c r="D24" s="12">
        <f>D23*Graaddagen!$D$8</f>
        <v>386463368.01457</v>
      </c>
      <c r="E24" s="12">
        <f>E23*Graaddagen!$D$8</f>
        <v>3795436461.7298203</v>
      </c>
      <c r="F24" s="12">
        <f>F23*Graaddagen!$D$8</f>
        <v>131051707.12899971</v>
      </c>
      <c r="G24" s="12">
        <f>G23*Graaddagen!$D$8</f>
        <v>340641458.30430442</v>
      </c>
      <c r="H24" s="12">
        <f>H23*Graaddagen!$D$8</f>
        <v>463941573.38232452</v>
      </c>
      <c r="I24" s="12">
        <f>I23*Graaddagen!$D$8</f>
        <v>4803517057.1462269</v>
      </c>
      <c r="J24" s="12">
        <f>J23*Graaddagen!$D$8</f>
        <v>533096700.67822707</v>
      </c>
      <c r="K24" s="12">
        <f>K23*Graaddagen!$D$8</f>
        <v>60340538.843586206</v>
      </c>
      <c r="L24" s="12">
        <f>L23*Graaddagen!$D$8</f>
        <v>249712281.27649775</v>
      </c>
      <c r="M24" s="12">
        <f>M23*Graaddagen!$D$8</f>
        <v>143284984.4128246</v>
      </c>
      <c r="N24" s="12">
        <f>N23*Graaddagen!$D$8</f>
        <v>4444070432.9560766</v>
      </c>
      <c r="P24" s="7">
        <f t="shared" si="1"/>
        <v>15709955041.681419</v>
      </c>
      <c r="Q24" s="28"/>
      <c r="R24" s="28"/>
      <c r="S24" s="28"/>
      <c r="T24" s="28"/>
      <c r="U24" s="28"/>
      <c r="V24" s="28"/>
    </row>
    <row r="25" spans="2:22" s="5" customFormat="1" ht="11.25" x14ac:dyDescent="0.2">
      <c r="Q25" s="28"/>
      <c r="R25" s="28"/>
      <c r="S25" s="28"/>
      <c r="T25" s="28"/>
      <c r="U25" s="28"/>
      <c r="V25" s="28"/>
    </row>
    <row r="26" spans="2:22" s="5" customFormat="1" ht="11.25" x14ac:dyDescent="0.2">
      <c r="B26" s="22" t="s">
        <v>23</v>
      </c>
      <c r="Q26" s="28"/>
      <c r="R26" s="28"/>
      <c r="S26" s="28"/>
      <c r="T26" s="28"/>
      <c r="U26" s="28"/>
      <c r="V26" s="28"/>
    </row>
    <row r="27" spans="2:22" s="5" customFormat="1" ht="11.25" x14ac:dyDescent="0.2">
      <c r="B27" s="24" t="s">
        <v>20</v>
      </c>
      <c r="C27" s="8">
        <v>111</v>
      </c>
      <c r="D27" s="6">
        <v>155</v>
      </c>
      <c r="E27" s="11">
        <v>2273</v>
      </c>
      <c r="F27" s="11">
        <v>118</v>
      </c>
      <c r="G27" s="11">
        <v>175</v>
      </c>
      <c r="H27" s="11">
        <v>173</v>
      </c>
      <c r="I27" s="11">
        <v>2668</v>
      </c>
      <c r="J27" s="11">
        <v>318</v>
      </c>
      <c r="K27" s="11">
        <v>21</v>
      </c>
      <c r="L27" s="11">
        <v>71</v>
      </c>
      <c r="M27" s="11">
        <v>1514.7186666666666</v>
      </c>
      <c r="N27" s="60">
        <f>SUM(Q27:V27)</f>
        <v>3185</v>
      </c>
      <c r="P27" s="7">
        <f t="shared" si="1"/>
        <v>10782.718666666668</v>
      </c>
      <c r="Q27" s="28"/>
      <c r="R27" s="30">
        <v>55</v>
      </c>
      <c r="S27" s="30">
        <v>755</v>
      </c>
      <c r="T27" s="30">
        <v>222</v>
      </c>
      <c r="U27" s="30">
        <v>1048</v>
      </c>
      <c r="V27" s="30">
        <v>1105</v>
      </c>
    </row>
    <row r="28" spans="2:22" s="5" customFormat="1" ht="11.25" x14ac:dyDescent="0.2">
      <c r="B28" s="25" t="s">
        <v>24</v>
      </c>
      <c r="C28" s="9">
        <v>9683</v>
      </c>
      <c r="D28" s="6">
        <v>11622</v>
      </c>
      <c r="E28" s="11"/>
      <c r="F28" s="11"/>
      <c r="G28" s="11"/>
      <c r="H28" s="11"/>
      <c r="I28" s="11">
        <v>178152</v>
      </c>
      <c r="J28" s="11"/>
      <c r="K28" s="11"/>
      <c r="L28" s="11">
        <v>8453</v>
      </c>
      <c r="M28" s="11"/>
      <c r="N28" s="60">
        <f>SUM(Q28:V28)</f>
        <v>0</v>
      </c>
      <c r="P28" s="7">
        <f t="shared" si="1"/>
        <v>207910</v>
      </c>
      <c r="Q28" s="28"/>
      <c r="R28" s="30"/>
      <c r="S28" s="30"/>
      <c r="T28" s="30"/>
      <c r="U28" s="30"/>
      <c r="V28" s="30"/>
    </row>
    <row r="29" spans="2:22" s="5" customFormat="1" ht="11.25" x14ac:dyDescent="0.2">
      <c r="B29" s="25" t="s">
        <v>25</v>
      </c>
      <c r="C29" s="6">
        <v>29331</v>
      </c>
      <c r="D29" s="6">
        <v>37265</v>
      </c>
      <c r="E29" s="11"/>
      <c r="F29" s="11"/>
      <c r="G29" s="11"/>
      <c r="H29" s="11"/>
      <c r="I29" s="11">
        <v>521292</v>
      </c>
      <c r="J29" s="11"/>
      <c r="K29" s="11"/>
      <c r="L29" s="11">
        <v>19367</v>
      </c>
      <c r="M29" s="11"/>
      <c r="N29" s="60">
        <f>SUM(Q29:V29)</f>
        <v>0</v>
      </c>
      <c r="P29" s="7">
        <f t="shared" si="1"/>
        <v>607255</v>
      </c>
      <c r="Q29" s="28"/>
      <c r="R29" s="30"/>
      <c r="S29" s="30"/>
      <c r="T29" s="30"/>
      <c r="U29" s="30"/>
      <c r="V29" s="30"/>
    </row>
    <row r="30" spans="2:22" s="5" customFormat="1" ht="11.25" x14ac:dyDescent="0.2">
      <c r="B30" s="25" t="s">
        <v>26</v>
      </c>
      <c r="C30" s="125">
        <f>SUM(C28:C29)</f>
        <v>39014</v>
      </c>
      <c r="D30" s="125">
        <f>SUM(D28:D29)</f>
        <v>48887</v>
      </c>
      <c r="E30" s="11">
        <v>656704</v>
      </c>
      <c r="F30" s="11">
        <v>35419</v>
      </c>
      <c r="G30" s="11">
        <v>50663</v>
      </c>
      <c r="H30" s="11">
        <v>52368.406551400796</v>
      </c>
      <c r="I30" s="125">
        <f>SUM(I28:I29)</f>
        <v>699444</v>
      </c>
      <c r="J30" s="11">
        <v>83577</v>
      </c>
      <c r="K30" s="11">
        <v>6884</v>
      </c>
      <c r="L30" s="125">
        <f>SUM(L28:L29)</f>
        <v>27820</v>
      </c>
      <c r="M30" s="11">
        <v>368998.71644765261</v>
      </c>
      <c r="N30" s="60">
        <f>SUM(Q30:V30)</f>
        <v>733011</v>
      </c>
      <c r="P30" s="7">
        <f t="shared" si="1"/>
        <v>2802790.1229990534</v>
      </c>
      <c r="Q30" s="28"/>
      <c r="R30" s="30">
        <v>25120</v>
      </c>
      <c r="S30" s="30">
        <v>162913.46452710591</v>
      </c>
      <c r="T30" s="30">
        <v>53223.881893737875</v>
      </c>
      <c r="U30" s="30">
        <v>241506.8154038463</v>
      </c>
      <c r="V30" s="30">
        <v>250246.83817530988</v>
      </c>
    </row>
    <row r="31" spans="2:22" s="5" customFormat="1" ht="11.25" x14ac:dyDescent="0.2">
      <c r="B31" s="25"/>
      <c r="C31" s="31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3"/>
      <c r="Q31" s="28"/>
      <c r="R31" s="28"/>
      <c r="S31" s="28"/>
      <c r="T31" s="28"/>
      <c r="U31" s="28"/>
      <c r="V31" s="28"/>
    </row>
    <row r="32" spans="2:22" s="21" customFormat="1" x14ac:dyDescent="0.2">
      <c r="B32" s="20">
        <v>2006</v>
      </c>
      <c r="Q32" s="27"/>
      <c r="R32" s="27"/>
      <c r="S32" s="27"/>
      <c r="T32" s="27"/>
      <c r="U32" s="27"/>
      <c r="V32" s="27"/>
    </row>
    <row r="34" spans="2:22" s="5" customFormat="1" ht="11.25" x14ac:dyDescent="0.2">
      <c r="B34" s="22" t="s">
        <v>19</v>
      </c>
      <c r="Q34" s="28"/>
      <c r="R34" s="28"/>
      <c r="S34" s="28"/>
      <c r="T34" s="28"/>
      <c r="U34" s="28"/>
      <c r="V34" s="28"/>
    </row>
    <row r="35" spans="2:22" s="5" customFormat="1" ht="11.25" x14ac:dyDescent="0.2">
      <c r="B35" s="16" t="s">
        <v>20</v>
      </c>
      <c r="C35" s="6">
        <v>130211</v>
      </c>
      <c r="D35" s="6">
        <v>180185.5</v>
      </c>
      <c r="E35" s="6">
        <v>1720635.3654119612</v>
      </c>
      <c r="F35" s="6">
        <v>56521.730149999981</v>
      </c>
      <c r="G35" s="6">
        <v>142306.75</v>
      </c>
      <c r="H35" s="6">
        <v>181979.83859677674</v>
      </c>
      <c r="I35" s="6">
        <v>2088925.4</v>
      </c>
      <c r="J35" s="6">
        <v>192454.82636000001</v>
      </c>
      <c r="K35" s="6">
        <v>34133</v>
      </c>
      <c r="L35" s="6">
        <v>97580</v>
      </c>
      <c r="M35" s="6">
        <v>47622.787666666671</v>
      </c>
      <c r="N35" s="60">
        <f>SUM(Q35:V35)</f>
        <v>1809028.4247601843</v>
      </c>
      <c r="O35" s="23">
        <v>0</v>
      </c>
      <c r="P35" s="7">
        <f>SUM(C35:O35)</f>
        <v>6681584.6229455881</v>
      </c>
      <c r="Q35" s="68">
        <v>1761944.9332541861</v>
      </c>
      <c r="R35" s="13">
        <v>47083.491505998216</v>
      </c>
      <c r="S35" s="28"/>
      <c r="T35" s="28"/>
      <c r="U35" s="28"/>
      <c r="V35" s="28"/>
    </row>
    <row r="36" spans="2:22" s="5" customFormat="1" ht="11.25" x14ac:dyDescent="0.2">
      <c r="B36" s="17" t="s">
        <v>21</v>
      </c>
      <c r="C36" s="8">
        <v>594606</v>
      </c>
      <c r="D36" s="6">
        <v>795166.25</v>
      </c>
      <c r="E36" s="8">
        <v>7719174.5866882261</v>
      </c>
      <c r="F36" s="8">
        <v>261272.95170999994</v>
      </c>
      <c r="G36" s="8">
        <v>658742.6</v>
      </c>
      <c r="H36" s="8">
        <v>832345.36772691889</v>
      </c>
      <c r="I36" s="8">
        <v>9230237.0999999996</v>
      </c>
      <c r="J36" s="8">
        <v>889853.65997499996</v>
      </c>
      <c r="K36" s="8">
        <v>148897</v>
      </c>
      <c r="L36" s="8">
        <v>437715.5</v>
      </c>
      <c r="M36" s="8">
        <v>343751.85501768091</v>
      </c>
      <c r="N36" s="60">
        <f>SUM(Q36:V36)</f>
        <v>8099464.8865281474</v>
      </c>
      <c r="O36" s="23">
        <v>0</v>
      </c>
      <c r="P36" s="7">
        <f t="shared" ref="P36:P48" si="2">SUM(C36:O36)</f>
        <v>30011227.757645972</v>
      </c>
      <c r="Q36" s="68">
        <v>7892009.0776684703</v>
      </c>
      <c r="R36" s="14">
        <v>207455.80885967749</v>
      </c>
      <c r="S36" s="28"/>
      <c r="T36" s="28"/>
      <c r="U36" s="28"/>
      <c r="V36" s="28"/>
    </row>
    <row r="37" spans="2:22" s="5" customFormat="1" ht="11.25" x14ac:dyDescent="0.2">
      <c r="B37" s="17" t="s">
        <v>22</v>
      </c>
      <c r="C37" s="9">
        <v>325090772</v>
      </c>
      <c r="D37" s="9">
        <v>365465287.07337695</v>
      </c>
      <c r="E37" s="10">
        <v>3480504356</v>
      </c>
      <c r="F37" s="10">
        <v>123306562</v>
      </c>
      <c r="G37" s="10">
        <v>343152726.80000001</v>
      </c>
      <c r="H37" s="11">
        <v>440434729.21959591</v>
      </c>
      <c r="I37" s="11">
        <v>4499575737.7671232</v>
      </c>
      <c r="J37" s="11">
        <v>492731952</v>
      </c>
      <c r="K37" s="11">
        <v>57494044</v>
      </c>
      <c r="L37" s="10">
        <v>237487720</v>
      </c>
      <c r="M37" s="11">
        <v>132087576.00000007</v>
      </c>
      <c r="N37" s="7">
        <f>SUM(Q37:R37)</f>
        <v>4424177659</v>
      </c>
      <c r="O37" s="23"/>
      <c r="P37" s="7">
        <f t="shared" si="2"/>
        <v>14921509121.860096</v>
      </c>
      <c r="Q37" s="68">
        <v>4316977852</v>
      </c>
      <c r="R37" s="15">
        <v>107199807</v>
      </c>
      <c r="S37" s="28"/>
      <c r="T37" s="28"/>
      <c r="U37" s="28"/>
      <c r="V37" s="28"/>
    </row>
    <row r="38" spans="2:22" s="5" customFormat="1" ht="11.25" x14ac:dyDescent="0.2">
      <c r="B38" s="17" t="s">
        <v>18</v>
      </c>
      <c r="C38" s="12">
        <f>C37*Graaddagen!$E$8</f>
        <v>349644111.20735896</v>
      </c>
      <c r="D38" s="12">
        <f>D37*Graaddagen!$E$8</f>
        <v>393068018.17159295</v>
      </c>
      <c r="E38" s="12">
        <f>E37*Graaddagen!$E$8</f>
        <v>3743378640.4338822</v>
      </c>
      <c r="F38" s="12">
        <f>F37*Graaddagen!$E$8</f>
        <v>132619615.78080446</v>
      </c>
      <c r="G38" s="12">
        <f>G37*Graaddagen!$E$8</f>
        <v>369070242.85010362</v>
      </c>
      <c r="H38" s="12">
        <f>H37*Graaddagen!$E$8</f>
        <v>473699725.45034105</v>
      </c>
      <c r="I38" s="12">
        <f>I37*Graaddagen!$E$8</f>
        <v>4839418079.950243</v>
      </c>
      <c r="J38" s="12">
        <f>J37*Graaddagen!$E$8</f>
        <v>529946834.11224931</v>
      </c>
      <c r="K38" s="12">
        <f>K37*Graaddagen!$E$8</f>
        <v>61836433.530315004</v>
      </c>
      <c r="L38" s="12">
        <f>L37*Graaddagen!$E$8</f>
        <v>255424607.32186556</v>
      </c>
      <c r="M38" s="12">
        <f>M37*Graaddagen!$E$8</f>
        <v>142063839.05617139</v>
      </c>
      <c r="N38" s="12">
        <f>N37*Graaddagen!$E$8</f>
        <v>4758325362.1376524</v>
      </c>
      <c r="O38" s="12">
        <f>O37*Graaddagen!$E$8</f>
        <v>0</v>
      </c>
      <c r="P38" s="7">
        <f t="shared" si="2"/>
        <v>16048495510.002579</v>
      </c>
      <c r="Q38" s="28"/>
      <c r="R38" s="28"/>
      <c r="S38" s="28"/>
      <c r="T38" s="28"/>
      <c r="U38" s="28"/>
      <c r="V38" s="28"/>
    </row>
    <row r="39" spans="2:22" s="5" customFormat="1" ht="11.25" x14ac:dyDescent="0.2">
      <c r="Q39" s="28"/>
      <c r="R39" s="28"/>
      <c r="S39" s="28"/>
      <c r="T39" s="28"/>
      <c r="U39" s="28"/>
      <c r="V39" s="28"/>
    </row>
    <row r="40" spans="2:22" s="5" customFormat="1" ht="11.25" x14ac:dyDescent="0.2">
      <c r="B40" s="22" t="s">
        <v>23</v>
      </c>
      <c r="Q40" s="28"/>
      <c r="R40" s="28"/>
      <c r="S40" s="28"/>
      <c r="T40" s="28"/>
      <c r="U40" s="28"/>
      <c r="V40" s="28"/>
    </row>
    <row r="41" spans="2:22" s="5" customFormat="1" ht="11.25" x14ac:dyDescent="0.2">
      <c r="B41" s="24" t="s">
        <v>20</v>
      </c>
      <c r="C41" s="8">
        <v>106</v>
      </c>
      <c r="D41" s="6">
        <v>152</v>
      </c>
      <c r="E41" s="11">
        <v>2067</v>
      </c>
      <c r="F41" s="11">
        <v>109.33730909090913</v>
      </c>
      <c r="G41" s="11">
        <v>175</v>
      </c>
      <c r="H41" s="11">
        <v>172.16442543003163</v>
      </c>
      <c r="I41" s="11">
        <v>2629.2666666666669</v>
      </c>
      <c r="J41" s="11">
        <v>333.17878181818031</v>
      </c>
      <c r="K41" s="11">
        <v>21</v>
      </c>
      <c r="L41" s="11">
        <v>80.67</v>
      </c>
      <c r="M41" s="11">
        <v>1353.5484257357973</v>
      </c>
      <c r="N41" s="60">
        <f>SUM(Q41:V41)</f>
        <v>3722.1666666666665</v>
      </c>
      <c r="O41" s="23"/>
      <c r="P41" s="7">
        <f t="shared" si="2"/>
        <v>10921.332275408253</v>
      </c>
      <c r="Q41" s="30">
        <v>3672.1666666666665</v>
      </c>
      <c r="R41" s="30">
        <v>50</v>
      </c>
      <c r="S41" s="28"/>
      <c r="T41" s="28"/>
      <c r="U41" s="28"/>
      <c r="V41" s="28"/>
    </row>
    <row r="42" spans="2:22" s="5" customFormat="1" ht="11.25" x14ac:dyDescent="0.2">
      <c r="B42" s="25" t="s">
        <v>24</v>
      </c>
      <c r="C42" s="9">
        <v>10617</v>
      </c>
      <c r="D42" s="6">
        <v>11614</v>
      </c>
      <c r="E42" s="11"/>
      <c r="F42" s="11"/>
      <c r="G42" s="11"/>
      <c r="H42" s="11"/>
      <c r="I42" s="11">
        <v>174789.65</v>
      </c>
      <c r="J42" s="11"/>
      <c r="K42" s="11"/>
      <c r="L42" s="11">
        <v>10176</v>
      </c>
      <c r="M42" s="11"/>
      <c r="N42" s="60">
        <f>SUM(Q42:V42)</f>
        <v>0</v>
      </c>
      <c r="O42" s="23"/>
      <c r="P42" s="7">
        <f t="shared" si="2"/>
        <v>207196.65</v>
      </c>
      <c r="Q42" s="30"/>
      <c r="R42" s="30"/>
      <c r="S42" s="28"/>
      <c r="T42" s="28"/>
      <c r="U42" s="28"/>
      <c r="V42" s="28"/>
    </row>
    <row r="43" spans="2:22" s="5" customFormat="1" ht="11.25" x14ac:dyDescent="0.2">
      <c r="B43" s="25" t="s">
        <v>25</v>
      </c>
      <c r="C43" s="6">
        <v>23267</v>
      </c>
      <c r="D43" s="6">
        <v>36755</v>
      </c>
      <c r="E43" s="11"/>
      <c r="F43" s="11"/>
      <c r="G43" s="11"/>
      <c r="H43" s="11"/>
      <c r="I43" s="11">
        <v>522313.5</v>
      </c>
      <c r="J43" s="11"/>
      <c r="K43" s="11"/>
      <c r="L43" s="11">
        <v>18527</v>
      </c>
      <c r="M43" s="11"/>
      <c r="N43" s="60">
        <f>SUM(Q43:V43)</f>
        <v>0</v>
      </c>
      <c r="O43" s="23"/>
      <c r="P43" s="7">
        <f t="shared" si="2"/>
        <v>600862.5</v>
      </c>
      <c r="Q43" s="30"/>
      <c r="R43" s="30"/>
      <c r="S43" s="28"/>
      <c r="T43" s="28"/>
      <c r="U43" s="28"/>
      <c r="V43" s="28"/>
    </row>
    <row r="44" spans="2:22" s="5" customFormat="1" ht="11.25" x14ac:dyDescent="0.2">
      <c r="B44" s="25" t="s">
        <v>26</v>
      </c>
      <c r="C44" s="125">
        <f>SUM(C42:C43)</f>
        <v>33884</v>
      </c>
      <c r="D44" s="125">
        <f>SUM(D42:D43)</f>
        <v>48369</v>
      </c>
      <c r="E44" s="11">
        <v>648774</v>
      </c>
      <c r="F44" s="11">
        <v>31514.306928439313</v>
      </c>
      <c r="G44" s="11">
        <v>50663</v>
      </c>
      <c r="H44" s="11">
        <v>55830</v>
      </c>
      <c r="I44" s="125">
        <f>SUM(I42:I43)</f>
        <v>697103.15</v>
      </c>
      <c r="J44" s="11">
        <v>87282.403137081594</v>
      </c>
      <c r="K44" s="11">
        <v>6883</v>
      </c>
      <c r="L44" s="125">
        <f>SUM(L42:L43)</f>
        <v>28703</v>
      </c>
      <c r="M44" s="11">
        <v>343602.85324779456</v>
      </c>
      <c r="N44" s="60">
        <f>SUM(Q44:V44)</f>
        <v>697166</v>
      </c>
      <c r="O44" s="23"/>
      <c r="P44" s="7">
        <f t="shared" si="2"/>
        <v>2729774.7133133155</v>
      </c>
      <c r="Q44" s="30">
        <v>674352</v>
      </c>
      <c r="R44" s="30">
        <v>22814</v>
      </c>
      <c r="S44" s="28"/>
      <c r="T44" s="28"/>
      <c r="U44" s="28"/>
      <c r="V44" s="28"/>
    </row>
    <row r="45" spans="2:22" x14ac:dyDescent="0.2">
      <c r="S45" s="28"/>
      <c r="T45" s="28"/>
      <c r="U45" s="28"/>
      <c r="V45" s="28"/>
    </row>
    <row r="46" spans="2:22" x14ac:dyDescent="0.2">
      <c r="B46" s="69" t="s">
        <v>50</v>
      </c>
    </row>
    <row r="47" spans="2:22" x14ac:dyDescent="0.2">
      <c r="B47" s="24" t="s">
        <v>20</v>
      </c>
      <c r="C47" s="6"/>
      <c r="D47" s="6">
        <v>13</v>
      </c>
      <c r="E47" s="11"/>
      <c r="F47" s="11"/>
      <c r="G47" s="11"/>
      <c r="H47" s="11"/>
      <c r="I47" s="11"/>
      <c r="J47" s="11"/>
      <c r="K47" s="11"/>
      <c r="L47" s="11"/>
      <c r="M47" s="11"/>
      <c r="N47" s="60">
        <f>SUM(Q47:V47)</f>
        <v>1</v>
      </c>
      <c r="O47" s="23">
        <v>2</v>
      </c>
      <c r="P47" s="7">
        <f t="shared" si="2"/>
        <v>16</v>
      </c>
      <c r="Q47" s="30">
        <v>1</v>
      </c>
      <c r="R47" s="30"/>
    </row>
    <row r="48" spans="2:22" s="5" customFormat="1" ht="11.25" x14ac:dyDescent="0.2">
      <c r="B48" s="25" t="s">
        <v>49</v>
      </c>
      <c r="C48" s="6"/>
      <c r="D48" s="6">
        <v>79900</v>
      </c>
      <c r="E48" s="11"/>
      <c r="F48" s="11"/>
      <c r="G48" s="11"/>
      <c r="H48" s="11"/>
      <c r="I48" s="11"/>
      <c r="J48" s="11"/>
      <c r="K48" s="11"/>
      <c r="L48" s="11"/>
      <c r="M48" s="11"/>
      <c r="N48" s="60">
        <f>SUM(Q48:V48)</f>
        <v>39838.706561740451</v>
      </c>
      <c r="O48" s="59">
        <v>447622.45179063361</v>
      </c>
      <c r="P48" s="7">
        <f t="shared" si="2"/>
        <v>567361.1583523741</v>
      </c>
      <c r="Q48" s="30">
        <v>39838.706561740451</v>
      </c>
      <c r="R48" s="30"/>
      <c r="S48" s="28"/>
      <c r="T48" s="28"/>
      <c r="U48" s="28"/>
      <c r="V48" s="28"/>
    </row>
    <row r="49" spans="3:16" x14ac:dyDescent="0.2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x14ac:dyDescent="0.2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x14ac:dyDescent="0.2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</sheetData>
  <phoneticPr fontId="5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1">
    <tabColor theme="6" tint="0.39997558519241921"/>
  </sheetPr>
  <dimension ref="A2:AH29"/>
  <sheetViews>
    <sheetView showGridLines="0" zoomScale="85" zoomScaleNormal="85" workbookViewId="0"/>
  </sheetViews>
  <sheetFormatPr defaultRowHeight="12.75" x14ac:dyDescent="0.2"/>
  <cols>
    <col min="1" max="1" width="4.85546875" style="1" customWidth="1"/>
    <col min="2" max="2" width="42.85546875" style="1" bestFit="1" customWidth="1"/>
    <col min="3" max="8" width="9.7109375" style="1" customWidth="1"/>
    <col min="9" max="9" width="10.7109375" style="1" bestFit="1" customWidth="1"/>
    <col min="10" max="15" width="9.7109375" style="1" customWidth="1"/>
    <col min="16" max="17" width="9.7109375" style="51" customWidth="1"/>
    <col min="18" max="16384" width="9.140625" style="1"/>
  </cols>
  <sheetData>
    <row r="2" spans="1:34" s="4" customFormat="1" ht="190.5" x14ac:dyDescent="0.3">
      <c r="B2" s="18" t="s">
        <v>77</v>
      </c>
      <c r="C2" s="19" t="s">
        <v>9</v>
      </c>
      <c r="D2" s="19" t="s">
        <v>5</v>
      </c>
      <c r="E2" s="19" t="s">
        <v>108</v>
      </c>
      <c r="F2" s="19" t="s">
        <v>4</v>
      </c>
      <c r="G2" s="19" t="s">
        <v>7</v>
      </c>
      <c r="H2" s="19" t="s">
        <v>10</v>
      </c>
      <c r="I2" s="19" t="s">
        <v>8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16</v>
      </c>
      <c r="O2" s="19" t="s">
        <v>15</v>
      </c>
      <c r="P2" s="26" t="s">
        <v>48</v>
      </c>
      <c r="Q2" s="26" t="s">
        <v>6</v>
      </c>
    </row>
    <row r="4" spans="1:34" s="21" customFormat="1" x14ac:dyDescent="0.2">
      <c r="B4" s="20" t="s">
        <v>94</v>
      </c>
      <c r="P4" s="27"/>
      <c r="Q4" s="27"/>
    </row>
    <row r="6" spans="1:34" x14ac:dyDescent="0.2">
      <c r="B6" s="69" t="s">
        <v>110</v>
      </c>
    </row>
    <row r="7" spans="1:34" x14ac:dyDescent="0.2">
      <c r="B7" s="2" t="s">
        <v>169</v>
      </c>
      <c r="C7" s="63">
        <v>0</v>
      </c>
      <c r="D7" s="63">
        <v>281741.38</v>
      </c>
      <c r="E7" s="63">
        <v>12426632.999999998</v>
      </c>
      <c r="F7" s="63">
        <v>0</v>
      </c>
      <c r="G7" s="63">
        <v>0</v>
      </c>
      <c r="H7" s="63">
        <v>0</v>
      </c>
      <c r="I7" s="63">
        <v>6290409</v>
      </c>
      <c r="J7" s="63">
        <v>0</v>
      </c>
      <c r="K7" s="63">
        <v>0</v>
      </c>
      <c r="L7" s="63">
        <v>80145</v>
      </c>
      <c r="M7" s="63">
        <v>0</v>
      </c>
      <c r="N7" s="60"/>
      <c r="O7" s="132"/>
      <c r="P7" s="81"/>
      <c r="Q7" s="81"/>
    </row>
    <row r="8" spans="1:34" x14ac:dyDescent="0.2">
      <c r="B8" s="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0"/>
      <c r="O8" s="132"/>
      <c r="P8" s="81"/>
      <c r="Q8" s="81"/>
    </row>
    <row r="9" spans="1:34" s="134" customFormat="1" x14ac:dyDescent="0.2">
      <c r="B9" s="72" t="s">
        <v>121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41"/>
      <c r="O9" s="132"/>
      <c r="P9" s="133"/>
      <c r="Q9" s="133"/>
    </row>
    <row r="10" spans="1:34" s="44" customFormat="1" x14ac:dyDescent="0.2">
      <c r="B10" s="54" t="s">
        <v>164</v>
      </c>
      <c r="C10" s="55">
        <v>15575.338</v>
      </c>
      <c r="D10" s="55"/>
      <c r="E10" s="55"/>
      <c r="F10" s="55"/>
      <c r="G10" s="55">
        <v>13895</v>
      </c>
      <c r="H10" s="55"/>
      <c r="I10" s="55"/>
      <c r="J10" s="55"/>
      <c r="K10" s="55"/>
      <c r="L10" s="55">
        <v>21756.598999999998</v>
      </c>
      <c r="M10" s="55"/>
      <c r="N10" s="55"/>
      <c r="O10" s="132"/>
      <c r="P10" s="51"/>
      <c r="Q10" s="51"/>
      <c r="R10" s="38"/>
      <c r="S10" s="38"/>
      <c r="T10" s="38"/>
      <c r="U10" s="38"/>
      <c r="V10" s="38"/>
      <c r="AB10" s="38"/>
      <c r="AC10" s="38"/>
      <c r="AD10" s="38"/>
      <c r="AE10" s="38"/>
      <c r="AF10" s="38"/>
      <c r="AG10" s="38"/>
      <c r="AH10" s="38"/>
    </row>
    <row r="11" spans="1:34" s="134" customFormat="1" x14ac:dyDescent="0.2">
      <c r="B11" s="7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41"/>
      <c r="O11" s="132"/>
      <c r="P11" s="133"/>
      <c r="Q11" s="133"/>
    </row>
    <row r="12" spans="1:34" x14ac:dyDescent="0.2">
      <c r="A12" s="209"/>
      <c r="B12" s="1" t="s">
        <v>129</v>
      </c>
      <c r="C12" s="64">
        <f>C10*1000/20</f>
        <v>778766.9</v>
      </c>
      <c r="D12" s="64">
        <f t="shared" ref="D12:N12" si="0">D10*1000/20</f>
        <v>0</v>
      </c>
      <c r="E12" s="64">
        <f t="shared" si="0"/>
        <v>0</v>
      </c>
      <c r="F12" s="64">
        <f t="shared" si="0"/>
        <v>0</v>
      </c>
      <c r="G12" s="64">
        <f t="shared" si="0"/>
        <v>694750</v>
      </c>
      <c r="H12" s="64">
        <f t="shared" si="0"/>
        <v>0</v>
      </c>
      <c r="I12" s="64">
        <f t="shared" si="0"/>
        <v>0</v>
      </c>
      <c r="J12" s="64">
        <f t="shared" si="0"/>
        <v>0</v>
      </c>
      <c r="K12" s="64">
        <f t="shared" si="0"/>
        <v>0</v>
      </c>
      <c r="L12" s="64">
        <f>L10*1000/15</f>
        <v>1450439.9333333333</v>
      </c>
      <c r="M12" s="64">
        <f t="shared" si="0"/>
        <v>0</v>
      </c>
      <c r="N12" s="64">
        <f t="shared" si="0"/>
        <v>0</v>
      </c>
      <c r="O12" s="132"/>
      <c r="P12" s="133"/>
      <c r="Q12" s="133"/>
    </row>
    <row r="13" spans="1:34" x14ac:dyDescent="0.2">
      <c r="B13" s="1" t="s">
        <v>130</v>
      </c>
      <c r="C13" s="64">
        <f t="shared" ref="C13:N13" si="1">1000*C10-3*C12</f>
        <v>13239037.300000001</v>
      </c>
      <c r="D13" s="64">
        <f t="shared" si="1"/>
        <v>0</v>
      </c>
      <c r="E13" s="64">
        <f t="shared" si="1"/>
        <v>0</v>
      </c>
      <c r="F13" s="64">
        <f t="shared" si="1"/>
        <v>0</v>
      </c>
      <c r="G13" s="64">
        <f t="shared" si="1"/>
        <v>11810750</v>
      </c>
      <c r="H13" s="64">
        <f t="shared" si="1"/>
        <v>0</v>
      </c>
      <c r="I13" s="64">
        <f t="shared" si="1"/>
        <v>0</v>
      </c>
      <c r="J13" s="64">
        <f t="shared" si="1"/>
        <v>0</v>
      </c>
      <c r="K13" s="64">
        <f t="shared" si="1"/>
        <v>0</v>
      </c>
      <c r="L13" s="64">
        <f t="shared" si="1"/>
        <v>17405279.199999999</v>
      </c>
      <c r="M13" s="64">
        <f t="shared" si="1"/>
        <v>0</v>
      </c>
      <c r="N13" s="64">
        <f t="shared" si="1"/>
        <v>0</v>
      </c>
      <c r="O13" s="132"/>
      <c r="P13" s="133"/>
      <c r="Q13" s="133"/>
    </row>
    <row r="14" spans="1:34" x14ac:dyDescent="0.2">
      <c r="B14" s="1" t="s">
        <v>170</v>
      </c>
      <c r="C14" s="64">
        <f>Kosten!$P$11*ORV!C13</f>
        <v>728147.05150000006</v>
      </c>
      <c r="D14" s="64">
        <f>Kosten!$P$11*ORV!D13</f>
        <v>0</v>
      </c>
      <c r="E14" s="64">
        <f>Kosten!$P$11*ORV!E13</f>
        <v>0</v>
      </c>
      <c r="F14" s="64">
        <f>Kosten!$P$11*ORV!F13</f>
        <v>0</v>
      </c>
      <c r="G14" s="64">
        <f>Kosten!$P$11*ORV!G13</f>
        <v>649591.25</v>
      </c>
      <c r="H14" s="64">
        <f>Kosten!$P$11*ORV!H13</f>
        <v>0</v>
      </c>
      <c r="I14" s="64">
        <f>Kosten!$P$11*ORV!I13</f>
        <v>0</v>
      </c>
      <c r="J14" s="64">
        <f>Kosten!$P$11*ORV!J13</f>
        <v>0</v>
      </c>
      <c r="K14" s="64">
        <f>Kosten!$P$11*ORV!K13</f>
        <v>0</v>
      </c>
      <c r="L14" s="64">
        <f>Kosten!$P$11*ORV!L13</f>
        <v>957290.35599999991</v>
      </c>
      <c r="M14" s="64">
        <f>Kosten!$P$11*ORV!M13</f>
        <v>0</v>
      </c>
      <c r="N14" s="64">
        <f>Kosten!$P$11*ORV!N13</f>
        <v>0</v>
      </c>
      <c r="O14" s="132"/>
      <c r="P14" s="133"/>
      <c r="Q14" s="133"/>
    </row>
    <row r="15" spans="1:34" x14ac:dyDescent="0.2"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3"/>
      <c r="Q15" s="133"/>
    </row>
    <row r="16" spans="1:34" x14ac:dyDescent="0.2">
      <c r="B16" s="1" t="s">
        <v>162</v>
      </c>
      <c r="C16" s="64">
        <f>SUM(C12,C14)</f>
        <v>1506913.9515</v>
      </c>
      <c r="D16" s="64">
        <f t="shared" ref="D16:N16" si="2">SUM(D12,D14)</f>
        <v>0</v>
      </c>
      <c r="E16" s="64">
        <f t="shared" si="2"/>
        <v>0</v>
      </c>
      <c r="F16" s="64">
        <f t="shared" si="2"/>
        <v>0</v>
      </c>
      <c r="G16" s="64">
        <f t="shared" si="2"/>
        <v>1344341.25</v>
      </c>
      <c r="H16" s="64">
        <f t="shared" si="2"/>
        <v>0</v>
      </c>
      <c r="I16" s="64">
        <f t="shared" si="2"/>
        <v>0</v>
      </c>
      <c r="J16" s="64">
        <f t="shared" si="2"/>
        <v>0</v>
      </c>
      <c r="K16" s="64">
        <f t="shared" si="2"/>
        <v>0</v>
      </c>
      <c r="L16" s="64">
        <f t="shared" si="2"/>
        <v>2407730.2893333333</v>
      </c>
      <c r="M16" s="64">
        <f t="shared" si="2"/>
        <v>0</v>
      </c>
      <c r="N16" s="64">
        <f t="shared" si="2"/>
        <v>0</v>
      </c>
      <c r="O16" s="132"/>
    </row>
    <row r="17" spans="2:17" x14ac:dyDescent="0.2">
      <c r="B17" s="1" t="s">
        <v>163</v>
      </c>
      <c r="C17" s="64">
        <f>(1+CPI!$D$16)*ORV!C16</f>
        <v>1550912.8250558968</v>
      </c>
      <c r="D17" s="64">
        <f>(1+CPI!$D$16)*ORV!D16</f>
        <v>0</v>
      </c>
      <c r="E17" s="64">
        <f>(1+CPI!$D$16)*ORV!E16</f>
        <v>0</v>
      </c>
      <c r="F17" s="64">
        <f>(1+CPI!$D$16)*ORV!F16</f>
        <v>0</v>
      </c>
      <c r="G17" s="64">
        <f>(1+CPI!$D$16)*ORV!G16</f>
        <v>1383593.3258174998</v>
      </c>
      <c r="H17" s="64">
        <f>(1+CPI!$D$16)*ORV!H16</f>
        <v>0</v>
      </c>
      <c r="I17" s="64">
        <f>(1+CPI!$D$16)*ORV!I16</f>
        <v>0</v>
      </c>
      <c r="J17" s="64">
        <f>(1+CPI!$D$16)*ORV!J16</f>
        <v>0</v>
      </c>
      <c r="K17" s="64">
        <f>(1+CPI!$D$16)*ORV!K16</f>
        <v>0</v>
      </c>
      <c r="L17" s="64">
        <f>(1+CPI!$D$16)*ORV!L16</f>
        <v>2478031.1983212875</v>
      </c>
      <c r="M17" s="64">
        <f>(1+CPI!$D$16)*ORV!M16</f>
        <v>0</v>
      </c>
      <c r="N17" s="64">
        <f>(1+CPI!$D$16)*ORV!N16</f>
        <v>0</v>
      </c>
      <c r="O17" s="132"/>
    </row>
    <row r="18" spans="2:17" x14ac:dyDescent="0.2">
      <c r="B18" s="1" t="s">
        <v>161</v>
      </c>
      <c r="C18" s="64">
        <f>SUM(C7,C17)</f>
        <v>1550912.8250558968</v>
      </c>
      <c r="D18" s="64">
        <f>SUM(D7,D17)</f>
        <v>281741.38</v>
      </c>
      <c r="E18" s="64">
        <f>SUM(E7,E17)</f>
        <v>12426632.999999998</v>
      </c>
      <c r="F18" s="64">
        <f t="shared" ref="F18:N18" si="3">SUM(F7,F17)</f>
        <v>0</v>
      </c>
      <c r="G18" s="64">
        <f t="shared" si="3"/>
        <v>1383593.3258174998</v>
      </c>
      <c r="H18" s="64">
        <f t="shared" si="3"/>
        <v>0</v>
      </c>
      <c r="I18" s="64">
        <f t="shared" si="3"/>
        <v>6290409</v>
      </c>
      <c r="J18" s="64">
        <f t="shared" si="3"/>
        <v>0</v>
      </c>
      <c r="K18" s="64">
        <f t="shared" si="3"/>
        <v>0</v>
      </c>
      <c r="L18" s="64">
        <f t="shared" si="3"/>
        <v>2558176.1983212875</v>
      </c>
      <c r="M18" s="64">
        <f t="shared" si="3"/>
        <v>0</v>
      </c>
      <c r="N18" s="64">
        <f t="shared" si="3"/>
        <v>0</v>
      </c>
      <c r="O18" s="132"/>
    </row>
    <row r="19" spans="2:17" x14ac:dyDescent="0.2"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2:17" x14ac:dyDescent="0.2">
      <c r="B20" s="1" t="s">
        <v>101</v>
      </c>
      <c r="C20" s="63"/>
      <c r="D20" s="63"/>
      <c r="E20" s="63">
        <v>666507.78999999946</v>
      </c>
      <c r="F20" s="63"/>
      <c r="G20" s="63"/>
      <c r="H20" s="63"/>
      <c r="I20" s="63"/>
      <c r="J20" s="63"/>
      <c r="K20" s="63"/>
      <c r="L20" s="63"/>
      <c r="M20" s="63"/>
      <c r="N20" s="60">
        <f>SUM(P20:Q20)</f>
        <v>161764</v>
      </c>
      <c r="O20" s="132"/>
      <c r="P20" s="81">
        <v>161764</v>
      </c>
      <c r="Q20" s="81"/>
    </row>
    <row r="21" spans="2:17" x14ac:dyDescent="0.2">
      <c r="B21" s="1" t="s">
        <v>103</v>
      </c>
      <c r="C21" s="64">
        <f>C20*(1+CPI!$C$16)</f>
        <v>0</v>
      </c>
      <c r="D21" s="64">
        <f>D20*(1+CPI!$C$16)</f>
        <v>0</v>
      </c>
      <c r="E21" s="64">
        <f>E20*(1+CPI!$C$16)</f>
        <v>700373.82262592018</v>
      </c>
      <c r="F21" s="64">
        <f>F20*(1+CPI!$C$16)</f>
        <v>0</v>
      </c>
      <c r="G21" s="64">
        <f>G20*(1+CPI!$C$16)</f>
        <v>0</v>
      </c>
      <c r="H21" s="64">
        <f>H20*(1+CPI!$C$16)</f>
        <v>0</v>
      </c>
      <c r="I21" s="64">
        <f>I20*(1+CPI!$C$16)</f>
        <v>0</v>
      </c>
      <c r="J21" s="64">
        <f>J20*(1+CPI!$C$16)</f>
        <v>0</v>
      </c>
      <c r="K21" s="64">
        <f>K20*(1+CPI!$C$16)</f>
        <v>0</v>
      </c>
      <c r="L21" s="64">
        <f>L20*(1+CPI!$C$16)</f>
        <v>0</v>
      </c>
      <c r="M21" s="64">
        <f>M20*(1+CPI!$C$16)</f>
        <v>0</v>
      </c>
      <c r="N21" s="64">
        <f>N20*(1+CPI!$C$16)</f>
        <v>169983.41616271198</v>
      </c>
      <c r="O21" s="132"/>
    </row>
    <row r="22" spans="2:17" x14ac:dyDescent="0.2"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</row>
    <row r="23" spans="2:17" x14ac:dyDescent="0.2">
      <c r="B23" s="1" t="s">
        <v>113</v>
      </c>
      <c r="C23" s="64">
        <f>C21+C18</f>
        <v>1550912.8250558968</v>
      </c>
      <c r="D23" s="64">
        <f t="shared" ref="D23:N23" si="4">D21+D18</f>
        <v>281741.38</v>
      </c>
      <c r="E23" s="64">
        <f t="shared" si="4"/>
        <v>13127006.822625918</v>
      </c>
      <c r="F23" s="64">
        <f t="shared" si="4"/>
        <v>0</v>
      </c>
      <c r="G23" s="64">
        <f t="shared" si="4"/>
        <v>1383593.3258174998</v>
      </c>
      <c r="H23" s="64">
        <f t="shared" si="4"/>
        <v>0</v>
      </c>
      <c r="I23" s="64">
        <f t="shared" si="4"/>
        <v>6290409</v>
      </c>
      <c r="J23" s="64">
        <f t="shared" si="4"/>
        <v>0</v>
      </c>
      <c r="K23" s="64">
        <f t="shared" si="4"/>
        <v>0</v>
      </c>
      <c r="L23" s="64">
        <f t="shared" si="4"/>
        <v>2558176.1983212875</v>
      </c>
      <c r="M23" s="64">
        <f t="shared" si="4"/>
        <v>0</v>
      </c>
      <c r="N23" s="64">
        <f t="shared" si="4"/>
        <v>169983.41616271198</v>
      </c>
      <c r="O23" s="132"/>
    </row>
    <row r="24" spans="2:17" x14ac:dyDescent="0.2">
      <c r="B24" s="1" t="s">
        <v>112</v>
      </c>
      <c r="C24" s="64">
        <f>C23*(1+CPI!$C$9)</f>
        <v>1572625.6046066794</v>
      </c>
      <c r="D24" s="64">
        <f>D23*(1+CPI!$C$9)</f>
        <v>285685.75932000001</v>
      </c>
      <c r="E24" s="64">
        <f>E23*(1+CPI!$C$9)</f>
        <v>13310784.918142682</v>
      </c>
      <c r="F24" s="64">
        <f>F23*(1+CPI!$C$9)</f>
        <v>0</v>
      </c>
      <c r="G24" s="64">
        <f>G23*(1+CPI!$C$9)</f>
        <v>1402963.6323789449</v>
      </c>
      <c r="H24" s="64">
        <f>H23*(1+CPI!$C$9)</f>
        <v>0</v>
      </c>
      <c r="I24" s="64">
        <f>I23*(1+CPI!$C$9)</f>
        <v>6378474.7259999998</v>
      </c>
      <c r="J24" s="64">
        <f>J23*(1+CPI!$C$9)</f>
        <v>0</v>
      </c>
      <c r="K24" s="64">
        <f>K23*(1+CPI!$C$9)</f>
        <v>0</v>
      </c>
      <c r="L24" s="64">
        <f>L23*(1+CPI!$C$9)</f>
        <v>2593990.6650977856</v>
      </c>
      <c r="M24" s="64">
        <f>M23*(1+CPI!$C$9)</f>
        <v>0</v>
      </c>
      <c r="N24" s="64">
        <f>N23*(1+CPI!$C$9)</f>
        <v>172363.18398898994</v>
      </c>
      <c r="O24" s="132"/>
    </row>
    <row r="26" spans="2:17" s="21" customFormat="1" x14ac:dyDescent="0.2">
      <c r="B26" s="20" t="s">
        <v>78</v>
      </c>
      <c r="P26" s="27"/>
      <c r="Q26" s="27"/>
    </row>
    <row r="28" spans="2:17" x14ac:dyDescent="0.2">
      <c r="B28" s="1" t="s">
        <v>109</v>
      </c>
      <c r="C28" s="64">
        <f>C24</f>
        <v>1572625.6046066794</v>
      </c>
      <c r="D28" s="64">
        <f t="shared" ref="D28:N28" si="5">D24</f>
        <v>285685.75932000001</v>
      </c>
      <c r="E28" s="64">
        <f t="shared" si="5"/>
        <v>13310784.918142682</v>
      </c>
      <c r="F28" s="64">
        <f t="shared" si="5"/>
        <v>0</v>
      </c>
      <c r="G28" s="64">
        <f t="shared" si="5"/>
        <v>1402963.6323789449</v>
      </c>
      <c r="H28" s="64">
        <f t="shared" si="5"/>
        <v>0</v>
      </c>
      <c r="I28" s="64">
        <f t="shared" si="5"/>
        <v>6378474.7259999998</v>
      </c>
      <c r="J28" s="64">
        <f t="shared" si="5"/>
        <v>0</v>
      </c>
      <c r="K28" s="64">
        <f t="shared" si="5"/>
        <v>0</v>
      </c>
      <c r="L28" s="64">
        <f t="shared" si="5"/>
        <v>2593990.6650977856</v>
      </c>
      <c r="M28" s="64">
        <f t="shared" si="5"/>
        <v>0</v>
      </c>
      <c r="N28" s="64">
        <f t="shared" si="5"/>
        <v>172363.18398898994</v>
      </c>
      <c r="O28" s="132"/>
    </row>
    <row r="29" spans="2:17" x14ac:dyDescent="0.2">
      <c r="B29" s="1" t="s">
        <v>79</v>
      </c>
      <c r="C29" s="82">
        <f>C28</f>
        <v>1572625.6046066794</v>
      </c>
      <c r="D29" s="82">
        <f t="shared" ref="D29:N29" si="6">D28</f>
        <v>285685.75932000001</v>
      </c>
      <c r="E29" s="82">
        <f t="shared" si="6"/>
        <v>13310784.918142682</v>
      </c>
      <c r="F29" s="82">
        <f t="shared" si="6"/>
        <v>0</v>
      </c>
      <c r="G29" s="82">
        <f t="shared" si="6"/>
        <v>1402963.6323789449</v>
      </c>
      <c r="H29" s="82">
        <f t="shared" si="6"/>
        <v>0</v>
      </c>
      <c r="I29" s="82">
        <f t="shared" si="6"/>
        <v>6378474.7259999998</v>
      </c>
      <c r="J29" s="82">
        <f t="shared" si="6"/>
        <v>0</v>
      </c>
      <c r="K29" s="82">
        <f t="shared" si="6"/>
        <v>0</v>
      </c>
      <c r="L29" s="82">
        <f t="shared" si="6"/>
        <v>2593990.6650977856</v>
      </c>
      <c r="M29" s="82">
        <f t="shared" si="6"/>
        <v>0</v>
      </c>
      <c r="N29" s="82">
        <f t="shared" si="6"/>
        <v>172363.18398898994</v>
      </c>
      <c r="O29" s="132"/>
    </row>
  </sheetData>
  <phoneticPr fontId="5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B2:S17"/>
  <sheetViews>
    <sheetView showGridLines="0" zoomScale="85" zoomScaleNormal="85" workbookViewId="0"/>
  </sheetViews>
  <sheetFormatPr defaultRowHeight="12.75" x14ac:dyDescent="0.2"/>
  <cols>
    <col min="1" max="16384" width="9.140625" style="1"/>
  </cols>
  <sheetData>
    <row r="2" spans="2:19" s="4" customFormat="1" ht="20.25" x14ac:dyDescent="0.3">
      <c r="B2" s="18" t="s">
        <v>102</v>
      </c>
      <c r="C2" s="18"/>
      <c r="D2" s="18"/>
    </row>
    <row r="4" spans="2:19" s="21" customFormat="1" x14ac:dyDescent="0.2">
      <c r="B4" s="20" t="s">
        <v>104</v>
      </c>
      <c r="R4" s="27"/>
      <c r="S4" s="27"/>
    </row>
    <row r="6" spans="2:19" x14ac:dyDescent="0.2">
      <c r="B6" s="44" t="s">
        <v>31</v>
      </c>
      <c r="C6" s="153">
        <v>2.1000000000000001E-2</v>
      </c>
    </row>
    <row r="7" spans="2:19" x14ac:dyDescent="0.2">
      <c r="B7" s="44" t="s">
        <v>32</v>
      </c>
      <c r="C7" s="153">
        <v>1.0999999999999999E-2</v>
      </c>
    </row>
    <row r="8" spans="2:19" x14ac:dyDescent="0.2">
      <c r="B8" s="44" t="s">
        <v>33</v>
      </c>
      <c r="C8" s="153">
        <v>1.7999999999999999E-2</v>
      </c>
    </row>
    <row r="9" spans="2:19" x14ac:dyDescent="0.2">
      <c r="B9" s="44" t="s">
        <v>34</v>
      </c>
      <c r="C9" s="153">
        <v>1.4E-2</v>
      </c>
    </row>
    <row r="11" spans="2:19" s="21" customFormat="1" x14ac:dyDescent="0.2">
      <c r="B11" s="20" t="s">
        <v>105</v>
      </c>
      <c r="R11" s="27"/>
      <c r="S11" s="27"/>
    </row>
    <row r="13" spans="2:19" x14ac:dyDescent="0.2">
      <c r="B13" s="1" t="s">
        <v>106</v>
      </c>
      <c r="C13" s="1">
        <v>2003</v>
      </c>
      <c r="D13" s="1">
        <v>2004</v>
      </c>
      <c r="E13" s="1">
        <v>2005</v>
      </c>
      <c r="F13" s="1">
        <v>2006</v>
      </c>
    </row>
    <row r="14" spans="2:19" x14ac:dyDescent="0.2">
      <c r="B14" s="1">
        <v>2004</v>
      </c>
      <c r="C14" s="92">
        <f>C6</f>
        <v>2.1000000000000001E-2</v>
      </c>
      <c r="D14" s="91"/>
      <c r="E14" s="91"/>
      <c r="F14" s="91"/>
    </row>
    <row r="15" spans="2:19" x14ac:dyDescent="0.2">
      <c r="B15" s="1">
        <v>2005</v>
      </c>
      <c r="C15" s="92">
        <f>((1+C14)*(1+C7)-1)</f>
        <v>3.2230999999999899E-2</v>
      </c>
      <c r="D15" s="92">
        <f>C7</f>
        <v>1.0999999999999999E-2</v>
      </c>
      <c r="E15" s="91"/>
      <c r="F15" s="91"/>
    </row>
    <row r="16" spans="2:19" x14ac:dyDescent="0.2">
      <c r="B16" s="1">
        <v>2006</v>
      </c>
      <c r="C16" s="92">
        <f>((1+C15)*(1+C8)-1)</f>
        <v>5.0811157999999912E-2</v>
      </c>
      <c r="D16" s="92">
        <f>((1+D15)*(1+C8)-1)</f>
        <v>2.9197999999999835E-2</v>
      </c>
      <c r="E16" s="92">
        <f>C8</f>
        <v>1.7999999999999999E-2</v>
      </c>
      <c r="F16" s="91"/>
    </row>
    <row r="17" spans="2:6" x14ac:dyDescent="0.2">
      <c r="B17" s="1">
        <v>2007</v>
      </c>
      <c r="C17" s="92">
        <f>((1+C16)*(1+C9)-1)</f>
        <v>6.5522514211999949E-2</v>
      </c>
      <c r="D17" s="92">
        <f>((1+D16)*(1+C9)-1)</f>
        <v>4.3606771999999738E-2</v>
      </c>
      <c r="E17" s="92">
        <f>((1+E16)*(1+C9)-1)</f>
        <v>3.2251999999999947E-2</v>
      </c>
      <c r="F17" s="92">
        <f>C9</f>
        <v>1.4E-2</v>
      </c>
    </row>
  </sheetData>
  <phoneticPr fontId="5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B2:G8"/>
  <sheetViews>
    <sheetView showGridLines="0" zoomScale="85" zoomScaleNormal="85" workbookViewId="0"/>
  </sheetViews>
  <sheetFormatPr defaultRowHeight="12.75" x14ac:dyDescent="0.2"/>
  <cols>
    <col min="1" max="1" width="4.42578125" style="1" customWidth="1"/>
    <col min="2" max="3" width="19.7109375" style="1" customWidth="1"/>
    <col min="4" max="4" width="21" style="1" customWidth="1"/>
    <col min="5" max="8" width="19.7109375" style="1" customWidth="1"/>
    <col min="9" max="9" width="9.140625" style="1"/>
    <col min="10" max="10" width="9.42578125" style="1" bestFit="1" customWidth="1"/>
    <col min="11" max="16384" width="9.140625" style="1"/>
  </cols>
  <sheetData>
    <row r="2" spans="2:7" s="137" customFormat="1" ht="20.25" x14ac:dyDescent="0.3">
      <c r="B2" s="18" t="s">
        <v>125</v>
      </c>
    </row>
    <row r="4" spans="2:7" s="128" customFormat="1" x14ac:dyDescent="0.2">
      <c r="B4" s="129" t="s">
        <v>153</v>
      </c>
    </row>
    <row r="7" spans="2:7" x14ac:dyDescent="0.2">
      <c r="B7" s="139" t="s">
        <v>152</v>
      </c>
      <c r="C7" s="140">
        <v>2004</v>
      </c>
      <c r="D7" s="140">
        <v>2005</v>
      </c>
      <c r="E7" s="140">
        <v>2006</v>
      </c>
      <c r="F7" s="140"/>
      <c r="G7" s="140">
        <v>2009</v>
      </c>
    </row>
    <row r="8" spans="2:7" x14ac:dyDescent="0.2">
      <c r="B8" s="138" t="s">
        <v>107</v>
      </c>
      <c r="C8" s="152">
        <v>1.0126913143535143</v>
      </c>
      <c r="D8" s="152">
        <v>1.0553544530992918</v>
      </c>
      <c r="E8" s="152">
        <v>1.075527641268633</v>
      </c>
      <c r="F8" s="138" t="s">
        <v>107</v>
      </c>
      <c r="G8" s="152">
        <v>0.99245839112343959</v>
      </c>
    </row>
  </sheetData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B2:R22"/>
  <sheetViews>
    <sheetView showGridLines="0" zoomScale="85" zoomScaleNormal="85" workbookViewId="0"/>
  </sheetViews>
  <sheetFormatPr defaultRowHeight="12.75" x14ac:dyDescent="0.2"/>
  <cols>
    <col min="1" max="1" width="2.7109375" style="1" customWidth="1"/>
    <col min="2" max="2" width="35" style="1" bestFit="1" customWidth="1"/>
    <col min="3" max="3" width="5.7109375" style="1" customWidth="1"/>
    <col min="4" max="5" width="9.7109375" style="1" customWidth="1"/>
    <col min="6" max="6" width="10.7109375" style="1" bestFit="1" customWidth="1"/>
    <col min="7" max="9" width="9.7109375" style="1" customWidth="1"/>
    <col min="10" max="10" width="10.7109375" style="1" bestFit="1" customWidth="1"/>
    <col min="11" max="14" width="9.7109375" style="1" customWidth="1"/>
    <col min="15" max="15" width="10.7109375" style="1" bestFit="1" customWidth="1"/>
    <col min="16" max="16" width="9.7109375" style="1" customWidth="1"/>
    <col min="17" max="17" width="10.28515625" style="1" customWidth="1"/>
    <col min="18" max="18" width="11.28515625" style="1" bestFit="1" customWidth="1"/>
    <col min="19" max="16384" width="9.140625" style="1"/>
  </cols>
  <sheetData>
    <row r="2" spans="2:18" s="4" customFormat="1" ht="190.5" x14ac:dyDescent="0.3">
      <c r="B2" s="18" t="s">
        <v>83</v>
      </c>
      <c r="C2" s="18"/>
      <c r="D2" s="19" t="s">
        <v>9</v>
      </c>
      <c r="E2" s="19" t="s">
        <v>5</v>
      </c>
      <c r="F2" s="26" t="s">
        <v>108</v>
      </c>
      <c r="G2" s="19" t="s">
        <v>4</v>
      </c>
      <c r="H2" s="19" t="s">
        <v>7</v>
      </c>
      <c r="I2" s="19" t="s">
        <v>10</v>
      </c>
      <c r="J2" s="19" t="s">
        <v>8</v>
      </c>
      <c r="K2" s="19" t="s">
        <v>11</v>
      </c>
      <c r="L2" s="26" t="s">
        <v>12</v>
      </c>
      <c r="M2" s="19" t="s">
        <v>13</v>
      </c>
      <c r="N2" s="19" t="s">
        <v>14</v>
      </c>
      <c r="O2" s="19" t="s">
        <v>48</v>
      </c>
      <c r="P2" s="19" t="s">
        <v>15</v>
      </c>
      <c r="Q2" s="19" t="s">
        <v>115</v>
      </c>
      <c r="R2" s="19" t="s">
        <v>65</v>
      </c>
    </row>
    <row r="3" spans="2:18" x14ac:dyDescent="0.2">
      <c r="F3" s="51"/>
      <c r="L3" s="51"/>
    </row>
    <row r="4" spans="2:18" s="21" customFormat="1" x14ac:dyDescent="0.2">
      <c r="B4" s="20" t="s">
        <v>84</v>
      </c>
      <c r="F4" s="27"/>
      <c r="L4" s="27"/>
    </row>
    <row r="5" spans="2:18" x14ac:dyDescent="0.2">
      <c r="F5" s="51"/>
      <c r="L5" s="51"/>
    </row>
    <row r="6" spans="2:18" x14ac:dyDescent="0.2">
      <c r="B6" s="1" t="s">
        <v>84</v>
      </c>
      <c r="D6" s="66">
        <f>SUMPRODUCT(Sectortarieven!D37:D49,Rekenvol!C7:C19)</f>
        <v>16710439.152763657</v>
      </c>
      <c r="E6" s="66">
        <f>SUMPRODUCT(Sectortarieven!E37:E49,Rekenvol!D7:D19)</f>
        <v>25175704.630618628</v>
      </c>
      <c r="F6" s="148">
        <f>SUMPRODUCT(Sectortarieven!F37:F49,Rekenvol!E7:E19)</f>
        <v>208292285.555006</v>
      </c>
      <c r="G6" s="66">
        <f>SUMPRODUCT(Sectortarieven!G37:G49,Rekenvol!F7:F19)</f>
        <v>7396475.1852419768</v>
      </c>
      <c r="H6" s="66">
        <f>SUMPRODUCT(Sectortarieven!H37:H49,Rekenvol!G7:G19)</f>
        <v>18301635.767594639</v>
      </c>
      <c r="I6" s="66">
        <f>SUMPRODUCT(Sectortarieven!I37:I49,Rekenvol!H7:H19)</f>
        <v>23293035.97000828</v>
      </c>
      <c r="J6" s="66">
        <f>SUMPRODUCT(Sectortarieven!J37:J49,Rekenvol!I7:I19)</f>
        <v>256023204.10115635</v>
      </c>
      <c r="K6" s="66">
        <f>SUMPRODUCT(Sectortarieven!K37:K49,Rekenvol!J7:J19)</f>
        <v>26320206.618068587</v>
      </c>
      <c r="L6" s="148">
        <f>SUMPRODUCT(Sectortarieven!L37:L49,Rekenvol!K7:K19)</f>
        <v>3664631.6506730854</v>
      </c>
      <c r="M6" s="66">
        <f>SUMPRODUCT(Sectortarieven!M37:M49,Rekenvol!L7:L19)</f>
        <v>12587472.452895015</v>
      </c>
      <c r="N6" s="66">
        <f>SUMPRODUCT(Sectortarieven!N37:N49,Rekenvol!M7:M19)</f>
        <v>15667731.639973711</v>
      </c>
      <c r="O6" s="66">
        <f>SUMPRODUCT(Sectortarieven!O37:O49,Rekenvol!N7:N19)</f>
        <v>242222714.65877348</v>
      </c>
      <c r="P6" s="66">
        <f>SUMPRODUCT(Sectortarieven!P37:P49,Rekenvol!O7:O19)</f>
        <v>9749217</v>
      </c>
      <c r="Q6" s="66">
        <f>F6+L6</f>
        <v>211956917.20567909</v>
      </c>
      <c r="R6" s="66">
        <f>SUM(D6:P6)</f>
        <v>865404754.3827734</v>
      </c>
    </row>
    <row r="7" spans="2:18" x14ac:dyDescent="0.2">
      <c r="F7" s="51"/>
      <c r="L7" s="51"/>
    </row>
    <row r="8" spans="2:18" s="21" customFormat="1" x14ac:dyDescent="0.2">
      <c r="B8" s="20" t="s">
        <v>85</v>
      </c>
      <c r="F8" s="27"/>
      <c r="L8" s="27"/>
    </row>
    <row r="9" spans="2:18" x14ac:dyDescent="0.2">
      <c r="F9" s="51"/>
      <c r="L9" s="51"/>
    </row>
    <row r="10" spans="2:18" x14ac:dyDescent="0.2">
      <c r="B10" s="1" t="s">
        <v>85</v>
      </c>
      <c r="D10" s="66">
        <f>Eindinkomsten!D18</f>
        <v>14812537.527796311</v>
      </c>
      <c r="E10" s="66">
        <f>Eindinkomsten!E18</f>
        <v>20480572.401682358</v>
      </c>
      <c r="F10" s="148">
        <f>Eindinkomsten!F18</f>
        <v>182962766.50074354</v>
      </c>
      <c r="G10" s="66">
        <f>Eindinkomsten!G18</f>
        <v>5994696.0262965439</v>
      </c>
      <c r="H10" s="66">
        <f>Eindinkomsten!H18</f>
        <v>16179378.96735994</v>
      </c>
      <c r="I10" s="66">
        <f>Eindinkomsten!I18</f>
        <v>18571007.396754261</v>
      </c>
      <c r="J10" s="66">
        <f>Eindinkomsten!J18</f>
        <v>211565109.668924</v>
      </c>
      <c r="K10" s="66">
        <f>Eindinkomsten!K18</f>
        <v>20707449.188638069</v>
      </c>
      <c r="L10" s="148">
        <f>Eindinkomsten!L18</f>
        <v>3061159.6887253216</v>
      </c>
      <c r="M10" s="66">
        <f>Eindinkomsten!M18</f>
        <v>12426839.468181998</v>
      </c>
      <c r="N10" s="66">
        <f>Eindinkomsten!N18</f>
        <v>14202391.512952097</v>
      </c>
      <c r="O10" s="66">
        <f>Eindinkomsten!O18</f>
        <v>187702897.07362285</v>
      </c>
      <c r="P10" s="66">
        <f>Eindinkomsten!P18</f>
        <v>7781433.8240236305</v>
      </c>
      <c r="Q10" s="66">
        <f>F10+L10</f>
        <v>186023926.18946886</v>
      </c>
      <c r="R10" s="66">
        <f>SUM(D10:P10)</f>
        <v>716448239.24570084</v>
      </c>
    </row>
    <row r="11" spans="2:18" x14ac:dyDescent="0.2">
      <c r="F11" s="51"/>
      <c r="L11" s="51"/>
    </row>
    <row r="12" spans="2:18" s="21" customFormat="1" x14ac:dyDescent="0.2">
      <c r="B12" s="20" t="s">
        <v>86</v>
      </c>
      <c r="F12" s="27"/>
      <c r="L12" s="27"/>
    </row>
    <row r="13" spans="2:18" x14ac:dyDescent="0.2">
      <c r="F13" s="51"/>
      <c r="L13" s="51"/>
    </row>
    <row r="14" spans="2:18" x14ac:dyDescent="0.2">
      <c r="B14" s="1" t="s">
        <v>87</v>
      </c>
      <c r="D14" s="95">
        <f>100*(1-(D10/D6)^(1/3))</f>
        <v>3.9389786023302564</v>
      </c>
      <c r="E14" s="95">
        <f t="shared" ref="E14:O14" si="0">100*(1-(E10/E6)^(1/3))</f>
        <v>6.6487469367994878</v>
      </c>
      <c r="F14" s="149">
        <f t="shared" si="0"/>
        <v>4.2299212949079017</v>
      </c>
      <c r="G14" s="95">
        <f t="shared" si="0"/>
        <v>6.7646109860861277</v>
      </c>
      <c r="H14" s="95">
        <f t="shared" si="0"/>
        <v>4.0251784684455227</v>
      </c>
      <c r="I14" s="95">
        <f t="shared" si="0"/>
        <v>7.2736591912887398</v>
      </c>
      <c r="J14" s="95">
        <f t="shared" si="0"/>
        <v>6.1599480194422291</v>
      </c>
      <c r="K14" s="95">
        <f t="shared" si="0"/>
        <v>7.6835483202734807</v>
      </c>
      <c r="L14" s="149">
        <f t="shared" si="0"/>
        <v>5.8214746829589821</v>
      </c>
      <c r="M14" s="95">
        <f t="shared" si="0"/>
        <v>0.42720032024301524</v>
      </c>
      <c r="N14" s="95">
        <f t="shared" si="0"/>
        <v>3.2201112017889999</v>
      </c>
      <c r="O14" s="95">
        <f t="shared" si="0"/>
        <v>8.1486868537146826</v>
      </c>
      <c r="P14" s="95">
        <f>100*(1-(P10/P6)^(1/3))</f>
        <v>7.2394538254553664</v>
      </c>
      <c r="Q14" s="95">
        <f>100*(1-(Q10/Q6)^(1/3))</f>
        <v>4.2569913664110448</v>
      </c>
      <c r="R14" s="95">
        <f>100*(1-(R10/R6)^(1/3))</f>
        <v>6.1022510301966033</v>
      </c>
    </row>
    <row r="15" spans="2:18" s="87" customFormat="1" ht="18" x14ac:dyDescent="0.25">
      <c r="B15" s="87" t="s">
        <v>83</v>
      </c>
      <c r="D15" s="150">
        <f>IF(D14&gt;0,ROUNDDOWN(D14,1),ROUNDUP(D14,1))</f>
        <v>3.9</v>
      </c>
      <c r="E15" s="150">
        <f t="shared" ref="E15:O15" si="1">IF(E14&gt;0,ROUNDDOWN(E14,1),ROUNDUP(E14,1))</f>
        <v>6.6</v>
      </c>
      <c r="F15" s="151">
        <f t="shared" si="1"/>
        <v>4.2</v>
      </c>
      <c r="G15" s="150">
        <f t="shared" si="1"/>
        <v>6.7</v>
      </c>
      <c r="H15" s="150">
        <f t="shared" si="1"/>
        <v>4</v>
      </c>
      <c r="I15" s="150">
        <f t="shared" si="1"/>
        <v>7.2</v>
      </c>
      <c r="J15" s="150">
        <f t="shared" si="1"/>
        <v>6.1</v>
      </c>
      <c r="K15" s="150">
        <f t="shared" si="1"/>
        <v>7.6</v>
      </c>
      <c r="L15" s="151">
        <f t="shared" si="1"/>
        <v>5.8</v>
      </c>
      <c r="M15" s="150">
        <f t="shared" si="1"/>
        <v>0.4</v>
      </c>
      <c r="N15" s="150">
        <f t="shared" si="1"/>
        <v>3.2</v>
      </c>
      <c r="O15" s="150">
        <f t="shared" si="1"/>
        <v>8.1</v>
      </c>
      <c r="P15" s="150">
        <f>IF(P14&gt;0,ROUNDDOWN(P14,1),ROUNDUP(P14,1))</f>
        <v>7.2</v>
      </c>
      <c r="Q15" s="150">
        <f>IF(Q14&gt;0,ROUNDDOWN(Q14,1),ROUNDUP(Q14,1))</f>
        <v>4.2</v>
      </c>
      <c r="R15" s="150">
        <f>IF(R14&gt;0,ROUNDDOWN(R14,1),ROUNDUP(R14,1))</f>
        <v>6.1</v>
      </c>
    </row>
    <row r="18" spans="4:18" x14ac:dyDescent="0.2">
      <c r="D18" s="93"/>
      <c r="Q18" s="41"/>
      <c r="R18" s="41"/>
    </row>
    <row r="19" spans="4:18" x14ac:dyDescent="0.2">
      <c r="R19" s="94"/>
    </row>
    <row r="20" spans="4:18" x14ac:dyDescent="0.2"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</row>
    <row r="22" spans="4:18" x14ac:dyDescent="0.2"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</row>
  </sheetData>
  <phoneticPr fontId="5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2"/>
  <dimension ref="B2:R21"/>
  <sheetViews>
    <sheetView showGridLines="0" zoomScale="85" zoomScaleNormal="85" workbookViewId="0"/>
  </sheetViews>
  <sheetFormatPr defaultRowHeight="12.75" x14ac:dyDescent="0.2"/>
  <cols>
    <col min="1" max="1" width="2.7109375" style="1" customWidth="1"/>
    <col min="2" max="2" width="35" style="1" bestFit="1" customWidth="1"/>
    <col min="3" max="3" width="8" style="1" bestFit="1" customWidth="1"/>
    <col min="4" max="5" width="9.7109375" style="1" customWidth="1"/>
    <col min="6" max="6" width="10.7109375" style="1" bestFit="1" customWidth="1"/>
    <col min="7" max="9" width="9.7109375" style="1" customWidth="1"/>
    <col min="10" max="10" width="10.7109375" style="1" bestFit="1" customWidth="1"/>
    <col min="11" max="14" width="9.7109375" style="1" customWidth="1"/>
    <col min="15" max="15" width="10.7109375" style="1" bestFit="1" customWidth="1"/>
    <col min="16" max="16" width="9.7109375" style="1" customWidth="1"/>
    <col min="17" max="17" width="10.7109375" style="1" bestFit="1" customWidth="1"/>
    <col min="18" max="16384" width="9.140625" style="1"/>
  </cols>
  <sheetData>
    <row r="2" spans="2:18" s="4" customFormat="1" ht="190.5" x14ac:dyDescent="0.3">
      <c r="B2" s="18" t="s">
        <v>95</v>
      </c>
      <c r="C2" s="18"/>
      <c r="D2" s="19" t="s">
        <v>9</v>
      </c>
      <c r="E2" s="19" t="s">
        <v>5</v>
      </c>
      <c r="F2" s="19" t="s">
        <v>108</v>
      </c>
      <c r="G2" s="19" t="s">
        <v>4</v>
      </c>
      <c r="H2" s="19" t="s">
        <v>7</v>
      </c>
      <c r="I2" s="19" t="s">
        <v>10</v>
      </c>
      <c r="J2" s="19" t="s">
        <v>8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16</v>
      </c>
      <c r="P2" s="19" t="s">
        <v>15</v>
      </c>
      <c r="Q2" s="19" t="s">
        <v>65</v>
      </c>
    </row>
    <row r="4" spans="2:18" s="21" customFormat="1" x14ac:dyDescent="0.2">
      <c r="B4" s="20" t="s">
        <v>88</v>
      </c>
    </row>
    <row r="6" spans="2:18" x14ac:dyDescent="0.2">
      <c r="B6" s="1" t="s">
        <v>91</v>
      </c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Q6" s="89">
        <f>Productiviteit!$C26</f>
        <v>3.4453782963432794E-2</v>
      </c>
    </row>
    <row r="7" spans="2:18" x14ac:dyDescent="0.2">
      <c r="B7" s="1" t="s">
        <v>92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Q7" s="89">
        <f>CPI!$C$9</f>
        <v>1.4E-2</v>
      </c>
    </row>
    <row r="8" spans="2:18" x14ac:dyDescent="0.2">
      <c r="B8" s="1" t="s">
        <v>93</v>
      </c>
      <c r="D8" s="60">
        <f>Kosten!C114*1000</f>
        <v>17350265.223267373</v>
      </c>
      <c r="E8" s="60">
        <f>Kosten!D114*1000</f>
        <v>20050337.378072772</v>
      </c>
      <c r="F8" s="60">
        <f>Kosten!E114*1000</f>
        <v>215809958.31443205</v>
      </c>
      <c r="G8" s="60">
        <f>Kosten!F114*1000</f>
        <v>7561688.2953169132</v>
      </c>
      <c r="H8" s="60">
        <f>Kosten!G114*1000</f>
        <v>25146812.471127938</v>
      </c>
      <c r="I8" s="60">
        <f>Kosten!H114*1000</f>
        <v>20269856.243252363</v>
      </c>
      <c r="J8" s="60">
        <f>Kosten!I114*1000</f>
        <v>248755114.90487081</v>
      </c>
      <c r="K8" s="60">
        <f>Kosten!J114*1000</f>
        <v>25426594.895353369</v>
      </c>
      <c r="L8" s="60">
        <f>Kosten!K114*1000</f>
        <v>3536745.4289751239</v>
      </c>
      <c r="M8" s="60">
        <f>Kosten!L114*1000</f>
        <v>20738524.817002743</v>
      </c>
      <c r="N8" s="60">
        <f>Kosten!M114*1000</f>
        <v>18300794.153183673</v>
      </c>
      <c r="O8" s="60">
        <f>Kosten!N114*1000</f>
        <v>180445433.49663961</v>
      </c>
      <c r="P8" s="60">
        <f>Kosten!O114*1000</f>
        <v>4465914.1909114132</v>
      </c>
      <c r="Q8" s="41"/>
    </row>
    <row r="9" spans="2:18" x14ac:dyDescent="0.2">
      <c r="B9" s="1" t="s">
        <v>94</v>
      </c>
      <c r="D9" s="60">
        <f>ORV!C18</f>
        <v>1550912.8250558968</v>
      </c>
      <c r="E9" s="60">
        <f>ORV!D18</f>
        <v>281741.38</v>
      </c>
      <c r="F9" s="60">
        <f>ORV!E18</f>
        <v>12426632.999999998</v>
      </c>
      <c r="G9" s="60">
        <f>ORV!F18</f>
        <v>0</v>
      </c>
      <c r="H9" s="60">
        <f>ORV!G18</f>
        <v>1383593.3258174998</v>
      </c>
      <c r="I9" s="60">
        <f>ORV!H18</f>
        <v>0</v>
      </c>
      <c r="J9" s="60">
        <f>ORV!I18</f>
        <v>6290409</v>
      </c>
      <c r="K9" s="60">
        <f>ORV!J18</f>
        <v>0</v>
      </c>
      <c r="L9" s="60">
        <f>ORV!K18</f>
        <v>0</v>
      </c>
      <c r="M9" s="60">
        <f>ORV!L18</f>
        <v>2558176.1983212875</v>
      </c>
      <c r="N9" s="60">
        <f>ORV!M18</f>
        <v>0</v>
      </c>
      <c r="O9" s="60">
        <f>ORV!N18</f>
        <v>0</v>
      </c>
      <c r="P9" s="60">
        <f>ORV!O18</f>
        <v>0</v>
      </c>
      <c r="Q9" s="41"/>
    </row>
    <row r="10" spans="2:18" x14ac:dyDescent="0.2">
      <c r="B10" s="1" t="s">
        <v>119</v>
      </c>
      <c r="D10" s="60">
        <f>D8-D9</f>
        <v>15799352.398211475</v>
      </c>
      <c r="E10" s="60">
        <f t="shared" ref="E10:P10" si="0">E8-E9</f>
        <v>19768595.998072773</v>
      </c>
      <c r="F10" s="60">
        <f t="shared" si="0"/>
        <v>203383325.31443205</v>
      </c>
      <c r="G10" s="60">
        <f t="shared" si="0"/>
        <v>7561688.2953169132</v>
      </c>
      <c r="H10" s="60">
        <f t="shared" si="0"/>
        <v>23763219.145310439</v>
      </c>
      <c r="I10" s="60">
        <f t="shared" si="0"/>
        <v>20269856.243252363</v>
      </c>
      <c r="J10" s="60">
        <f t="shared" si="0"/>
        <v>242464705.90487081</v>
      </c>
      <c r="K10" s="60">
        <f t="shared" si="0"/>
        <v>25426594.895353369</v>
      </c>
      <c r="L10" s="60">
        <f t="shared" si="0"/>
        <v>3536745.4289751239</v>
      </c>
      <c r="M10" s="60">
        <f t="shared" si="0"/>
        <v>18180348.618681457</v>
      </c>
      <c r="N10" s="60">
        <f t="shared" si="0"/>
        <v>18300794.153183673</v>
      </c>
      <c r="O10" s="60">
        <f t="shared" si="0"/>
        <v>180445433.49663961</v>
      </c>
      <c r="P10" s="60">
        <f t="shared" si="0"/>
        <v>4465914.1909114132</v>
      </c>
      <c r="Q10" s="60">
        <f>SUM(D10:P10)</f>
        <v>783366574.08321142</v>
      </c>
      <c r="R10" s="126"/>
    </row>
    <row r="11" spans="2:18" x14ac:dyDescent="0.2">
      <c r="B11" s="1" t="s">
        <v>88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127"/>
      <c r="P11" s="41"/>
      <c r="Q11" s="66">
        <f>(1-Q6+Q7)*Q10</f>
        <v>767343764.19610548</v>
      </c>
    </row>
    <row r="13" spans="2:18" s="21" customFormat="1" x14ac:dyDescent="0.2">
      <c r="B13" s="20" t="s">
        <v>85</v>
      </c>
    </row>
    <row r="15" spans="2:18" x14ac:dyDescent="0.2">
      <c r="B15" s="1" t="s">
        <v>96</v>
      </c>
      <c r="C15" s="90">
        <f>(Q11/SUM(SO!C58:O58))*(1-Productiviteit!C26)^3</f>
        <v>0.79815987520060638</v>
      </c>
    </row>
    <row r="18" spans="2:16" x14ac:dyDescent="0.2">
      <c r="B18" s="69" t="s">
        <v>85</v>
      </c>
      <c r="D18" s="66">
        <f>$C15*SO!C58+ORV!C29</f>
        <v>14812537.527796311</v>
      </c>
      <c r="E18" s="66">
        <f>$C15*SO!D58+ORV!D29</f>
        <v>20480572.401682358</v>
      </c>
      <c r="F18" s="66">
        <f>$C15*SO!E58+ORV!E29</f>
        <v>182962766.50074354</v>
      </c>
      <c r="G18" s="66">
        <f>$C15*SO!F58+ORV!F29</f>
        <v>5994696.0262965439</v>
      </c>
      <c r="H18" s="66">
        <f>$C15*SO!G58+ORV!G29</f>
        <v>16179378.96735994</v>
      </c>
      <c r="I18" s="66">
        <f>$C15*SO!H58+ORV!H29</f>
        <v>18571007.396754261</v>
      </c>
      <c r="J18" s="66">
        <f>$C15*SO!I58+ORV!I29</f>
        <v>211565109.668924</v>
      </c>
      <c r="K18" s="66">
        <f>$C15*SO!J58+ORV!J29</f>
        <v>20707449.188638069</v>
      </c>
      <c r="L18" s="66">
        <f>$C15*SO!K58+ORV!K29</f>
        <v>3061159.6887253216</v>
      </c>
      <c r="M18" s="66">
        <f>$C15*SO!L58+ORV!L29</f>
        <v>12426839.468181998</v>
      </c>
      <c r="N18" s="66">
        <f>$C15*SO!M58+ORV!M29</f>
        <v>14202391.512952097</v>
      </c>
      <c r="O18" s="66">
        <f>$C15*SO!N58+ORV!N29</f>
        <v>187702897.07362285</v>
      </c>
      <c r="P18" s="66">
        <f>$C15*SO!O58+ORV!O29</f>
        <v>7781433.8240236305</v>
      </c>
    </row>
    <row r="21" spans="2:16" x14ac:dyDescent="0.2"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</sheetData>
  <phoneticPr fontId="5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3">
    <tabColor theme="6" tint="0.39997558519241921"/>
  </sheetPr>
  <dimension ref="A2:Q30"/>
  <sheetViews>
    <sheetView showGridLines="0" zoomScale="85" zoomScaleNormal="85" workbookViewId="0"/>
  </sheetViews>
  <sheetFormatPr defaultRowHeight="12.75" x14ac:dyDescent="0.2"/>
  <cols>
    <col min="1" max="1" width="5.140625" style="1" customWidth="1"/>
    <col min="2" max="2" width="41.42578125" style="1" bestFit="1" customWidth="1"/>
    <col min="3" max="3" width="16" style="1" bestFit="1" customWidth="1"/>
    <col min="4" max="5" width="11.5703125" style="1" bestFit="1" customWidth="1"/>
    <col min="6" max="6" width="12.5703125" style="1" bestFit="1" customWidth="1"/>
    <col min="7" max="7" width="10.5703125" style="1" bestFit="1" customWidth="1"/>
    <col min="8" max="9" width="11.5703125" style="1" bestFit="1" customWidth="1"/>
    <col min="10" max="10" width="12.5703125" style="1" bestFit="1" customWidth="1"/>
    <col min="11" max="11" width="11.5703125" style="1" bestFit="1" customWidth="1"/>
    <col min="12" max="12" width="10.5703125" style="1" bestFit="1" customWidth="1"/>
    <col min="13" max="14" width="11.5703125" style="1" bestFit="1" customWidth="1"/>
    <col min="15" max="15" width="12.5703125" style="1" bestFit="1" customWidth="1"/>
    <col min="16" max="16" width="9.140625" style="1"/>
    <col min="17" max="17" width="12.5703125" style="1" bestFit="1" customWidth="1"/>
    <col min="18" max="16384" width="9.140625" style="1"/>
  </cols>
  <sheetData>
    <row r="2" spans="2:17" s="4" customFormat="1" ht="190.5" x14ac:dyDescent="0.3">
      <c r="B2" s="37" t="s">
        <v>39</v>
      </c>
      <c r="C2" s="18"/>
      <c r="D2" s="19" t="s">
        <v>9</v>
      </c>
      <c r="E2" s="19" t="s">
        <v>5</v>
      </c>
      <c r="F2" s="19" t="s">
        <v>108</v>
      </c>
      <c r="G2" s="19" t="s">
        <v>4</v>
      </c>
      <c r="H2" s="19" t="s">
        <v>7</v>
      </c>
      <c r="I2" s="19" t="s">
        <v>10</v>
      </c>
      <c r="J2" s="19" t="s">
        <v>8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16</v>
      </c>
      <c r="P2" s="19" t="s">
        <v>15</v>
      </c>
      <c r="Q2" s="19" t="s">
        <v>65</v>
      </c>
    </row>
    <row r="5" spans="2:17" x14ac:dyDescent="0.2">
      <c r="B5" s="69" t="s">
        <v>54</v>
      </c>
    </row>
    <row r="6" spans="2:17" x14ac:dyDescent="0.2">
      <c r="B6" s="1" t="s">
        <v>51</v>
      </c>
      <c r="C6" s="1" t="s">
        <v>59</v>
      </c>
      <c r="D6" s="96">
        <f>Kosten!C29*1000</f>
        <v>17373649.058344055</v>
      </c>
      <c r="E6" s="96">
        <f>Kosten!D29*1000</f>
        <v>17961645.979691189</v>
      </c>
      <c r="F6" s="96">
        <f>Kosten!E29*1000</f>
        <v>245801275.13950789</v>
      </c>
      <c r="G6" s="96">
        <f>Kosten!F29*1000</f>
        <v>6956472.3240271946</v>
      </c>
      <c r="H6" s="96">
        <f>Kosten!G29*1000</f>
        <v>30719586.574020397</v>
      </c>
      <c r="I6" s="96">
        <f>Kosten!H29*1000</f>
        <v>23908083.040912423</v>
      </c>
      <c r="J6" s="96">
        <f>Kosten!I29*1000</f>
        <v>266085576.14681527</v>
      </c>
      <c r="K6" s="96">
        <f>Kosten!J29*1000</f>
        <v>26809847.019702218</v>
      </c>
      <c r="L6" s="96">
        <f>Kosten!K29*1000</f>
        <v>3029796.3422808023</v>
      </c>
      <c r="M6" s="96">
        <f>Kosten!L29*1000</f>
        <v>20346828.059401523</v>
      </c>
      <c r="N6" s="96">
        <f>Kosten!M29*1000</f>
        <v>19134368.042981803</v>
      </c>
      <c r="O6" s="96">
        <f>Kosten!N29*1000</f>
        <v>218916480.22760147</v>
      </c>
      <c r="P6" s="96">
        <f>Kosten!O29*1000</f>
        <v>0</v>
      </c>
      <c r="Q6" s="96">
        <f>SUM(D6:O6)</f>
        <v>897043607.95528626</v>
      </c>
    </row>
    <row r="7" spans="2:17" x14ac:dyDescent="0.2">
      <c r="B7" s="1" t="s">
        <v>52</v>
      </c>
      <c r="C7" s="1" t="s">
        <v>60</v>
      </c>
      <c r="D7" s="96">
        <f>Kosten!C56*1000</f>
        <v>17011215.510152683</v>
      </c>
      <c r="E7" s="96">
        <f>Kosten!D56*1000</f>
        <v>18804801.985318795</v>
      </c>
      <c r="F7" s="96">
        <f>Kosten!E56*1000</f>
        <v>228873833.56746823</v>
      </c>
      <c r="G7" s="96">
        <f>Kosten!F56*1000</f>
        <v>6192674.7390481792</v>
      </c>
      <c r="H7" s="96">
        <f>Kosten!G56*1000</f>
        <v>30631551.65798017</v>
      </c>
      <c r="I7" s="96">
        <f>Kosten!H56*1000</f>
        <v>27094381.895375691</v>
      </c>
      <c r="J7" s="96">
        <f>Kosten!I56*1000</f>
        <v>266482630.99264172</v>
      </c>
      <c r="K7" s="96">
        <f>Kosten!J56*1000</f>
        <v>24366765.505542248</v>
      </c>
      <c r="L7" s="96">
        <f>Kosten!K56*1000</f>
        <v>3458645.0364902038</v>
      </c>
      <c r="M7" s="96">
        <f>Kosten!L56*1000</f>
        <v>21545920.481923368</v>
      </c>
      <c r="N7" s="96">
        <f>Kosten!M56*1000</f>
        <v>19549730.585877839</v>
      </c>
      <c r="O7" s="96">
        <f>Kosten!N56*1000</f>
        <v>199403655.16547808</v>
      </c>
      <c r="P7" s="96">
        <f>Kosten!O56*1000</f>
        <v>0</v>
      </c>
      <c r="Q7" s="96">
        <f>SUM(D7:O7)</f>
        <v>863415807.12329721</v>
      </c>
    </row>
    <row r="8" spans="2:17" x14ac:dyDescent="0.2">
      <c r="B8" s="1" t="s">
        <v>53</v>
      </c>
      <c r="C8" s="1" t="s">
        <v>61</v>
      </c>
      <c r="D8" s="96">
        <f>Kosten!C91*1000</f>
        <v>18551824.802264825</v>
      </c>
      <c r="E8" s="96">
        <f>Kosten!D91*1000</f>
        <v>19490381.374560989</v>
      </c>
      <c r="F8" s="96">
        <f>Kosten!E91*1000</f>
        <v>234710538.13011536</v>
      </c>
      <c r="G8" s="96">
        <f>Kosten!F91*1000</f>
        <v>7953941.0595309073</v>
      </c>
      <c r="H8" s="96">
        <f>Kosten!G91*1000</f>
        <v>28243796.436165348</v>
      </c>
      <c r="I8" s="96">
        <f>Kosten!H91*1000</f>
        <v>22662296.401592642</v>
      </c>
      <c r="J8" s="96">
        <f>Kosten!I91*1000</f>
        <v>271768168.77443784</v>
      </c>
      <c r="K8" s="96">
        <f>Kosten!J91*1000</f>
        <v>27652566.726967908</v>
      </c>
      <c r="L8" s="96">
        <f>Kosten!K91*1000</f>
        <v>3763402.0103757842</v>
      </c>
      <c r="M8" s="96">
        <f>Kosten!L91*1000</f>
        <v>22988338.800975617</v>
      </c>
      <c r="N8" s="96">
        <f>Kosten!M91*1000</f>
        <v>20012610.109609727</v>
      </c>
      <c r="O8" s="96">
        <f>Kosten!N91*1000</f>
        <v>193951473.66128367</v>
      </c>
      <c r="P8" s="96">
        <f>Kosten!O91*1000</f>
        <v>0</v>
      </c>
      <c r="Q8" s="96">
        <f>SUM(D8:O8)</f>
        <v>871749338.28788066</v>
      </c>
    </row>
    <row r="9" spans="2:17" x14ac:dyDescent="0.2"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2:17" x14ac:dyDescent="0.2">
      <c r="B10" s="1" t="s">
        <v>52</v>
      </c>
      <c r="C10" s="1" t="s">
        <v>59</v>
      </c>
      <c r="D10" s="96">
        <f>D7/(1+CPI!$C$7)</f>
        <v>16826128.101041231</v>
      </c>
      <c r="E10" s="96">
        <f>E7/(1+CPI!$C$7)</f>
        <v>18600199.787654597</v>
      </c>
      <c r="F10" s="96">
        <f>F7/(1+CPI!$C$7)</f>
        <v>226383613.81549779</v>
      </c>
      <c r="G10" s="96">
        <f>G7/(1+CPI!$C$7)</f>
        <v>6125296.4777924623</v>
      </c>
      <c r="H10" s="96">
        <f>H7/(1+CPI!$C$7)</f>
        <v>30298270.680494729</v>
      </c>
      <c r="I10" s="96">
        <f>I7/(1+CPI!$C$7)</f>
        <v>26799586.444486346</v>
      </c>
      <c r="J10" s="96">
        <f>J7/(1+CPI!$C$7)</f>
        <v>263583215.6208128</v>
      </c>
      <c r="K10" s="96">
        <f>K7/(1+CPI!$C$7)</f>
        <v>24101647.384314787</v>
      </c>
      <c r="L10" s="96">
        <f>L7/(1+CPI!$C$7)</f>
        <v>3421013.883768748</v>
      </c>
      <c r="M10" s="96">
        <f>M7/(1+CPI!$C$7)</f>
        <v>21311494.04740195</v>
      </c>
      <c r="N10" s="96">
        <f>N7/(1+CPI!$C$7)</f>
        <v>19337023.329256024</v>
      </c>
      <c r="O10" s="96">
        <f>O7/(1+CPI!$C$7)</f>
        <v>197234080.282372</v>
      </c>
      <c r="P10" s="96">
        <f>P7/(1+CPI!$C$7)</f>
        <v>0</v>
      </c>
      <c r="Q10" s="96">
        <f>SUM(D10:O10)</f>
        <v>854021569.85489345</v>
      </c>
    </row>
    <row r="11" spans="2:17" x14ac:dyDescent="0.2">
      <c r="B11" s="1" t="s">
        <v>53</v>
      </c>
      <c r="C11" s="1" t="s">
        <v>60</v>
      </c>
      <c r="D11" s="96">
        <f>D8/(1+CPI!$C$8)</f>
        <v>18223796.465879001</v>
      </c>
      <c r="E11" s="96">
        <f>E8/(1+CPI!$C$8)</f>
        <v>19145757.735325135</v>
      </c>
      <c r="F11" s="96">
        <f>F8/(1+CPI!$C$8)</f>
        <v>230560450.02958286</v>
      </c>
      <c r="G11" s="96">
        <f>G8/(1+CPI!$C$8)</f>
        <v>7813301.6301875319</v>
      </c>
      <c r="H11" s="96">
        <f>H8/(1+CPI!$C$8)</f>
        <v>27744397.285034724</v>
      </c>
      <c r="I11" s="96">
        <f>I8/(1+CPI!$C$8)</f>
        <v>22261587.820817918</v>
      </c>
      <c r="J11" s="96">
        <f>J8/(1+CPI!$C$8)</f>
        <v>266962837.69591144</v>
      </c>
      <c r="K11" s="96">
        <f>K8/(1+CPI!$C$8)</f>
        <v>27163621.539261207</v>
      </c>
      <c r="L11" s="96">
        <f>L8/(1+CPI!$C$8)</f>
        <v>3696858.5563612813</v>
      </c>
      <c r="M11" s="96">
        <f>M8/(1+CPI!$C$8)</f>
        <v>22581865.22689157</v>
      </c>
      <c r="N11" s="96">
        <f>N8/(1+CPI!$C$8)</f>
        <v>19658752.563467316</v>
      </c>
      <c r="O11" s="96">
        <f>O8/(1+CPI!$C$8)</f>
        <v>190522076.28809792</v>
      </c>
      <c r="P11" s="96">
        <f>P8/(1+CPI!$C$8)</f>
        <v>0</v>
      </c>
      <c r="Q11" s="96">
        <f>SUM(D11:O11)</f>
        <v>856335302.83681774</v>
      </c>
    </row>
    <row r="12" spans="2:17" x14ac:dyDescent="0.2"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</row>
    <row r="13" spans="2:17" x14ac:dyDescent="0.2">
      <c r="B13" s="69" t="s">
        <v>55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</row>
    <row r="14" spans="2:17" x14ac:dyDescent="0.2">
      <c r="B14" s="1" t="s">
        <v>56</v>
      </c>
      <c r="D14" s="96">
        <f>SO!C15</f>
        <v>16615370.534638714</v>
      </c>
      <c r="E14" s="96">
        <f>SO!D15</f>
        <v>21331049.379426233</v>
      </c>
      <c r="F14" s="96">
        <f>SO!E15</f>
        <v>221913606.93401149</v>
      </c>
      <c r="G14" s="96">
        <f>SO!F15</f>
        <v>7197782.9930510297</v>
      </c>
      <c r="H14" s="96">
        <f>SO!G15</f>
        <v>18648532.196117952</v>
      </c>
      <c r="I14" s="96">
        <f>SO!H15</f>
        <v>23826725.834101934</v>
      </c>
      <c r="J14" s="96">
        <f>SO!I15</f>
        <v>254731067.43047649</v>
      </c>
      <c r="K14" s="96">
        <f>SO!J15</f>
        <v>25193385.212947343</v>
      </c>
      <c r="L14" s="96">
        <f>SO!K15</f>
        <v>3926892.4598854785</v>
      </c>
      <c r="M14" s="96">
        <f>SO!L15</f>
        <v>12104182.727295626</v>
      </c>
      <c r="N14" s="96">
        <f>SO!M15</f>
        <v>18505945.316239879</v>
      </c>
      <c r="O14" s="96">
        <f>SO!N15</f>
        <v>228616837.2781662</v>
      </c>
      <c r="P14" s="96">
        <f>SO!O15</f>
        <v>0</v>
      </c>
      <c r="Q14" s="96">
        <f>SUM(D14:O14)</f>
        <v>852611378.29635835</v>
      </c>
    </row>
    <row r="15" spans="2:17" x14ac:dyDescent="0.2">
      <c r="B15" s="1" t="s">
        <v>57</v>
      </c>
      <c r="D15" s="96">
        <f>SO!C28</f>
        <v>16885064.478213731</v>
      </c>
      <c r="E15" s="96">
        <f>SO!D28</f>
        <v>21398173.374129187</v>
      </c>
      <c r="F15" s="96">
        <f>SO!E28</f>
        <v>215573867.14206463</v>
      </c>
      <c r="G15" s="96">
        <f>SO!F28</f>
        <v>7489569.5654635737</v>
      </c>
      <c r="H15" s="96">
        <f>SO!G28</f>
        <v>18024697.534329034</v>
      </c>
      <c r="I15" s="96">
        <f>SO!H28</f>
        <v>22955756.461298317</v>
      </c>
      <c r="J15" s="96">
        <f>SO!I28</f>
        <v>258080485.77739516</v>
      </c>
      <c r="K15" s="96">
        <f>SO!J28</f>
        <v>25733971.097826164</v>
      </c>
      <c r="L15" s="96">
        <f>SO!K28</f>
        <v>3790767.3502072659</v>
      </c>
      <c r="M15" s="96">
        <f>SO!L28</f>
        <v>12168719.578411359</v>
      </c>
      <c r="N15" s="96">
        <f>SO!M28</f>
        <v>18813785.493905798</v>
      </c>
      <c r="O15" s="96">
        <f>SO!N28</f>
        <v>230880957.95367226</v>
      </c>
      <c r="P15" s="96">
        <f>SO!O16</f>
        <v>0</v>
      </c>
      <c r="Q15" s="96">
        <f>SUM(D15:O15)</f>
        <v>851795815.80691636</v>
      </c>
    </row>
    <row r="16" spans="2:17" x14ac:dyDescent="0.2">
      <c r="B16" s="1" t="s">
        <v>58</v>
      </c>
      <c r="D16" s="96">
        <f>SO!C41</f>
        <v>16619113.891364656</v>
      </c>
      <c r="E16" s="96">
        <f>SO!D41</f>
        <v>21545271.479727324</v>
      </c>
      <c r="F16" s="96">
        <f>SO!E41</f>
        <v>212886515.56160069</v>
      </c>
      <c r="G16" s="96">
        <f>SO!F41</f>
        <v>7522430.08677518</v>
      </c>
      <c r="H16" s="96">
        <f>SO!G41</f>
        <v>18545897.267377291</v>
      </c>
      <c r="I16" s="96">
        <f>SO!H41</f>
        <v>23309369.922031913</v>
      </c>
      <c r="J16" s="96">
        <f>SO!I41</f>
        <v>257504629.42752248</v>
      </c>
      <c r="K16" s="96">
        <f>SO!J41</f>
        <v>25991077.051284172</v>
      </c>
      <c r="L16" s="96">
        <f>SO!K41</f>
        <v>3840766.0339441146</v>
      </c>
      <c r="M16" s="96">
        <f>SO!L41</f>
        <v>12342094.220292034</v>
      </c>
      <c r="N16" s="96">
        <f>SO!M41</f>
        <v>17806541.776729546</v>
      </c>
      <c r="O16" s="96">
        <f>SO!N41</f>
        <v>234879626.88294464</v>
      </c>
      <c r="P16" s="96">
        <f>SO!O17</f>
        <v>0</v>
      </c>
      <c r="Q16" s="96">
        <f>SUM(D16:O16)</f>
        <v>852793333.60159421</v>
      </c>
    </row>
    <row r="17" spans="1:17" x14ac:dyDescent="0.2"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</row>
    <row r="18" spans="1:17" x14ac:dyDescent="0.2">
      <c r="A18" s="207"/>
      <c r="B18" s="69" t="s">
        <v>237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x14ac:dyDescent="0.2">
      <c r="A19" s="207"/>
      <c r="B19" s="3" t="s">
        <v>238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208">
        <f>'SO 2005'!O111</f>
        <v>748987566.88619578</v>
      </c>
    </row>
    <row r="20" spans="1:17" x14ac:dyDescent="0.2">
      <c r="A20" s="207"/>
      <c r="B20" s="3" t="s">
        <v>239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208">
        <f>'SO 2006'!O111</f>
        <v>745404935.50865972</v>
      </c>
    </row>
    <row r="21" spans="1:17" x14ac:dyDescent="0.2"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</row>
    <row r="22" spans="1:17" x14ac:dyDescent="0.2">
      <c r="B22" s="69" t="s">
        <v>62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</row>
    <row r="23" spans="1:17" x14ac:dyDescent="0.2">
      <c r="B23" s="1" t="s">
        <v>63</v>
      </c>
      <c r="D23" s="98">
        <f>((D6/D14)-(D10/D15))/(D6/D14)</f>
        <v>4.6983425672223168E-2</v>
      </c>
      <c r="E23" s="98">
        <f t="shared" ref="E23:O23" si="0">((E6/E14)-(E10/E15))/(E6/E14)</f>
        <v>-3.2302539851459186E-2</v>
      </c>
      <c r="F23" s="98">
        <f t="shared" si="0"/>
        <v>5.1911941053296017E-2</v>
      </c>
      <c r="G23" s="98">
        <f t="shared" si="0"/>
        <v>0.15378651347330108</v>
      </c>
      <c r="H23" s="98">
        <f t="shared" si="0"/>
        <v>-2.0420426287784413E-2</v>
      </c>
      <c r="I23" s="98">
        <f t="shared" si="0"/>
        <v>-0.16347242742707974</v>
      </c>
      <c r="J23" s="98">
        <f t="shared" si="0"/>
        <v>2.2260486451312549E-2</v>
      </c>
      <c r="K23" s="98">
        <f t="shared" si="0"/>
        <v>0.11989981810204416</v>
      </c>
      <c r="L23" s="98">
        <f t="shared" si="0"/>
        <v>-0.16966979868885282</v>
      </c>
      <c r="M23" s="98">
        <f t="shared" si="0"/>
        <v>-4.1856175066495895E-2</v>
      </c>
      <c r="N23" s="98">
        <f t="shared" si="0"/>
        <v>5.9446102134543136E-3</v>
      </c>
      <c r="O23" s="98">
        <f t="shared" si="0"/>
        <v>0.10787933575740837</v>
      </c>
      <c r="P23" s="98"/>
      <c r="Q23" s="98">
        <f>((Q6/Q14)-(Q10/Q15))/(Q6/Q14)</f>
        <v>4.704826405404916E-2</v>
      </c>
    </row>
    <row r="24" spans="1:17" x14ac:dyDescent="0.2">
      <c r="A24" s="209"/>
      <c r="B24" s="1" t="s">
        <v>64</v>
      </c>
      <c r="D24" s="98">
        <f>((D7/D15)-(D11/D16))/(D7/D15)</f>
        <v>-8.8424650500684626E-2</v>
      </c>
      <c r="E24" s="98">
        <f t="shared" ref="E24:O24" si="1">((E7/E15)-(E11/E16))/(E7/E15)</f>
        <v>-1.1180127060135617E-2</v>
      </c>
      <c r="F24" s="98">
        <f t="shared" si="1"/>
        <v>-2.008562145483966E-2</v>
      </c>
      <c r="G24" s="98">
        <f t="shared" si="1"/>
        <v>-0.25618909619923258</v>
      </c>
      <c r="H24" s="98">
        <f t="shared" si="1"/>
        <v>0.11970865094961697</v>
      </c>
      <c r="I24" s="98">
        <f t="shared" si="1"/>
        <v>0.19083337043563123</v>
      </c>
      <c r="J24" s="98">
        <f t="shared" si="1"/>
        <v>-4.0423437514875626E-3</v>
      </c>
      <c r="K24" s="98">
        <f t="shared" si="1"/>
        <v>-0.10375407312440793</v>
      </c>
      <c r="L24" s="98">
        <f t="shared" si="1"/>
        <v>-5.4960311441705094E-2</v>
      </c>
      <c r="M24" s="98">
        <f t="shared" si="1"/>
        <v>-3.3357947705502072E-2</v>
      </c>
      <c r="N24" s="98">
        <f t="shared" si="1"/>
        <v>-6.2458033769171944E-2</v>
      </c>
      <c r="O24" s="98">
        <f t="shared" si="1"/>
        <v>6.0806759506692336E-2</v>
      </c>
      <c r="P24" s="98"/>
      <c r="Q24" s="98">
        <f>((Q7/Q19)-(Q11/Q20))/(Q7/Q19)</f>
        <v>3.4336984622197176E-3</v>
      </c>
    </row>
    <row r="25" spans="1:17" x14ac:dyDescent="0.2"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</row>
    <row r="26" spans="1:17" s="70" customFormat="1" ht="18" x14ac:dyDescent="0.25">
      <c r="B26" s="70" t="s">
        <v>66</v>
      </c>
      <c r="C26" s="157">
        <v>3.4453782963432794E-2</v>
      </c>
      <c r="D26" s="70" t="s">
        <v>89</v>
      </c>
    </row>
    <row r="27" spans="1:17" x14ac:dyDescent="0.2">
      <c r="D27" s="1" t="s">
        <v>90</v>
      </c>
    </row>
    <row r="28" spans="1:17" x14ac:dyDescent="0.2">
      <c r="B28" s="1" t="s">
        <v>68</v>
      </c>
      <c r="C28" s="130">
        <f>(1-C26)+(1-C26)^2</f>
        <v>1.8978257142701929</v>
      </c>
      <c r="D28" s="1" t="s">
        <v>133</v>
      </c>
    </row>
    <row r="29" spans="1:17" x14ac:dyDescent="0.2">
      <c r="B29" s="1" t="s">
        <v>67</v>
      </c>
      <c r="C29" s="130">
        <f>(1-Q23)+(1-Q23)*(1-Q24)</f>
        <v>1.9026313229816143</v>
      </c>
      <c r="D29" s="1" t="s">
        <v>134</v>
      </c>
      <c r="E29" s="80"/>
      <c r="F29" s="80"/>
      <c r="G29" s="80"/>
      <c r="H29" s="80"/>
      <c r="I29" s="80"/>
      <c r="J29" s="80"/>
      <c r="K29" s="80"/>
      <c r="L29" s="80"/>
      <c r="M29" s="80"/>
      <c r="N29" s="80"/>
    </row>
    <row r="30" spans="1:17" x14ac:dyDescent="0.2">
      <c r="B30" s="1" t="s">
        <v>69</v>
      </c>
      <c r="C30" s="35">
        <f>C29-C28</f>
        <v>4.8056087114214385E-3</v>
      </c>
      <c r="D30" s="1" t="s">
        <v>135</v>
      </c>
    </row>
  </sheetData>
  <phoneticPr fontId="5" type="noConversion"/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4"/>
  <dimension ref="A2:AI114"/>
  <sheetViews>
    <sheetView showGridLines="0" zoomScale="85" zoomScaleNormal="85" workbookViewId="0">
      <pane xSplit="2" ySplit="2" topLeftCell="C3" activePane="bottomRight" state="frozen"/>
      <selection activeCell="B8" sqref="B8"/>
      <selection pane="topRight" activeCell="B8" sqref="B8"/>
      <selection pane="bottomLeft" activeCell="B8" sqref="B8"/>
      <selection pane="bottomRight" activeCell="C3" sqref="C3"/>
    </sheetView>
  </sheetViews>
  <sheetFormatPr defaultRowHeight="12.75" x14ac:dyDescent="0.2"/>
  <cols>
    <col min="1" max="1" width="1.7109375" style="1" customWidth="1"/>
    <col min="2" max="2" width="61" style="1" bestFit="1" customWidth="1"/>
    <col min="3" max="4" width="9.140625" style="1"/>
    <col min="5" max="5" width="10.7109375" style="1" bestFit="1" customWidth="1"/>
    <col min="6" max="8" width="9.140625" style="1"/>
    <col min="9" max="9" width="10.7109375" style="1" bestFit="1" customWidth="1"/>
    <col min="10" max="13" width="9.140625" style="1"/>
    <col min="14" max="14" width="10.7109375" style="1" bestFit="1" customWidth="1"/>
    <col min="15" max="15" width="10.5703125" style="1" bestFit="1" customWidth="1"/>
    <col min="16" max="16" width="10.5703125" style="1" customWidth="1"/>
    <col min="17" max="22" width="9.140625" style="51"/>
    <col min="23" max="16384" width="9.140625" style="1"/>
  </cols>
  <sheetData>
    <row r="2" spans="2:35" s="4" customFormat="1" ht="190.5" x14ac:dyDescent="0.3">
      <c r="B2" s="37" t="s">
        <v>27</v>
      </c>
      <c r="C2" s="19" t="s">
        <v>9</v>
      </c>
      <c r="D2" s="19" t="s">
        <v>5</v>
      </c>
      <c r="E2" s="19" t="s">
        <v>108</v>
      </c>
      <c r="F2" s="19" t="s">
        <v>4</v>
      </c>
      <c r="G2" s="19" t="s">
        <v>7</v>
      </c>
      <c r="H2" s="19" t="s">
        <v>10</v>
      </c>
      <c r="I2" s="19" t="s">
        <v>8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16</v>
      </c>
      <c r="O2" s="19" t="s">
        <v>15</v>
      </c>
      <c r="P2" s="19" t="s">
        <v>65</v>
      </c>
      <c r="Q2" s="26" t="s">
        <v>48</v>
      </c>
      <c r="R2" s="26" t="s">
        <v>6</v>
      </c>
      <c r="S2" s="26" t="s">
        <v>0</v>
      </c>
      <c r="T2" s="26" t="s">
        <v>1</v>
      </c>
      <c r="U2" s="26" t="s">
        <v>2</v>
      </c>
      <c r="V2" s="26" t="s">
        <v>3</v>
      </c>
    </row>
    <row r="4" spans="2:35" s="44" customFormat="1" x14ac:dyDescent="0.2">
      <c r="B4" s="45" t="s">
        <v>29</v>
      </c>
      <c r="C4" s="46"/>
      <c r="D4" s="46"/>
      <c r="E4" s="46"/>
      <c r="F4" s="46"/>
      <c r="G4" s="46"/>
      <c r="H4" s="46"/>
      <c r="I4" s="46"/>
      <c r="J4" s="46"/>
      <c r="K4" s="46"/>
      <c r="L4" s="42"/>
      <c r="M4" s="46"/>
      <c r="N4" s="42"/>
      <c r="O4" s="46"/>
      <c r="P4" s="46"/>
      <c r="Q4" s="51"/>
      <c r="R4" s="51"/>
      <c r="S4" s="51"/>
      <c r="T4" s="51"/>
      <c r="U4" s="51"/>
      <c r="V4" s="51"/>
      <c r="W4" s="42"/>
    </row>
    <row r="5" spans="2:35" s="44" customFormat="1" x14ac:dyDescent="0.2">
      <c r="B5" s="45" t="s">
        <v>30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51"/>
      <c r="R5" s="51"/>
      <c r="S5" s="51"/>
      <c r="T5" s="51"/>
      <c r="U5" s="51"/>
      <c r="V5" s="51"/>
      <c r="W5" s="42"/>
    </row>
    <row r="6" spans="2:35" s="44" customFormat="1" x14ac:dyDescent="0.2">
      <c r="B6" s="54" t="s">
        <v>171</v>
      </c>
      <c r="C6" s="55">
        <f>97044336/1000</f>
        <v>97044.335999999996</v>
      </c>
      <c r="D6" s="55">
        <f>106731371/1000</f>
        <v>106731.371</v>
      </c>
      <c r="E6" s="55">
        <f>1492391474/1000</f>
        <v>1492391.4739999999</v>
      </c>
      <c r="F6" s="55">
        <f>31154900/1000</f>
        <v>31154.9</v>
      </c>
      <c r="G6" s="55">
        <f>234080044/1000</f>
        <v>234080.04399999999</v>
      </c>
      <c r="H6" s="55">
        <f>191483453/1000</f>
        <v>191483.45300000001</v>
      </c>
      <c r="I6" s="55">
        <f>1830713589/1000</f>
        <v>1830713.5889999999</v>
      </c>
      <c r="J6" s="55">
        <f>180271972/1000</f>
        <v>180271.97200000001</v>
      </c>
      <c r="K6" s="55">
        <f>17078619/1000</f>
        <v>17078.618999999999</v>
      </c>
      <c r="L6" s="55">
        <f>177405829/1000</f>
        <v>177405.829</v>
      </c>
      <c r="M6" s="55">
        <f>138005622/1000</f>
        <v>138005.622</v>
      </c>
      <c r="N6" s="55">
        <f>1054368615/1000</f>
        <v>1054368.615</v>
      </c>
      <c r="O6" s="55"/>
      <c r="P6" s="99">
        <f>SUM(C6:O6)</f>
        <v>5550729.824</v>
      </c>
      <c r="Q6" s="51"/>
      <c r="R6" s="51"/>
      <c r="S6" s="51"/>
      <c r="T6" s="51"/>
      <c r="U6" s="51"/>
      <c r="V6" s="51"/>
      <c r="W6" s="38"/>
      <c r="AC6" s="38"/>
      <c r="AD6" s="38"/>
      <c r="AE6" s="38"/>
      <c r="AF6" s="38"/>
      <c r="AG6" s="38"/>
      <c r="AH6" s="38"/>
      <c r="AI6" s="38"/>
    </row>
    <row r="7" spans="2:35" s="44" customFormat="1" x14ac:dyDescent="0.2">
      <c r="B7" s="54" t="s">
        <v>165</v>
      </c>
      <c r="C7" s="99">
        <f t="shared" ref="C7:N7" si="0">C6/C8</f>
        <v>3120.396655948553</v>
      </c>
      <c r="D7" s="99">
        <f t="shared" si="0"/>
        <v>3167.1029970326408</v>
      </c>
      <c r="E7" s="99">
        <f t="shared" si="0"/>
        <v>47078.595394321768</v>
      </c>
      <c r="F7" s="99">
        <f t="shared" si="0"/>
        <v>964.54798761609925</v>
      </c>
      <c r="G7" s="99">
        <f t="shared" si="0"/>
        <v>6209.0197347480098</v>
      </c>
      <c r="H7" s="99">
        <f t="shared" si="0"/>
        <v>5665.1909171597645</v>
      </c>
      <c r="I7" s="99">
        <f t="shared" si="0"/>
        <v>52606.71232758621</v>
      </c>
      <c r="J7" s="99">
        <f t="shared" si="0"/>
        <v>5381.2528955223879</v>
      </c>
      <c r="K7" s="99">
        <f t="shared" si="0"/>
        <v>489.35871060171917</v>
      </c>
      <c r="L7" s="99">
        <f t="shared" si="0"/>
        <v>5441.8965950920247</v>
      </c>
      <c r="M7" s="99">
        <f t="shared" si="0"/>
        <v>4964.2310071942447</v>
      </c>
      <c r="N7" s="99">
        <f t="shared" si="0"/>
        <v>31102.319026548674</v>
      </c>
      <c r="O7" s="99"/>
      <c r="P7" s="99">
        <f>SUM(C7:O7)</f>
        <v>166190.62424937211</v>
      </c>
      <c r="Q7" s="51"/>
      <c r="R7" s="51"/>
      <c r="S7" s="51"/>
      <c r="T7" s="51"/>
      <c r="U7" s="51"/>
      <c r="V7" s="51"/>
      <c r="W7" s="42"/>
      <c r="AC7" s="38"/>
      <c r="AD7" s="38"/>
      <c r="AE7" s="38"/>
      <c r="AF7" s="38"/>
      <c r="AG7" s="38"/>
      <c r="AH7" s="38"/>
      <c r="AI7" s="38"/>
    </row>
    <row r="8" spans="2:35" s="44" customFormat="1" x14ac:dyDescent="0.2">
      <c r="B8" s="54" t="s">
        <v>131</v>
      </c>
      <c r="C8" s="100">
        <v>31.1</v>
      </c>
      <c r="D8" s="100">
        <v>33.700000000000003</v>
      </c>
      <c r="E8" s="100">
        <v>31.7</v>
      </c>
      <c r="F8" s="100">
        <v>32.299999999999997</v>
      </c>
      <c r="G8" s="100">
        <v>37.700000000000003</v>
      </c>
      <c r="H8" s="100">
        <v>33.799999999999997</v>
      </c>
      <c r="I8" s="100">
        <v>34.799999999999997</v>
      </c>
      <c r="J8" s="100">
        <v>33.5</v>
      </c>
      <c r="K8" s="100">
        <v>34.9</v>
      </c>
      <c r="L8" s="100">
        <v>32.6</v>
      </c>
      <c r="M8" s="100">
        <v>27.8</v>
      </c>
      <c r="N8" s="100">
        <v>33.9</v>
      </c>
      <c r="O8" s="100"/>
      <c r="P8" s="100"/>
      <c r="Q8" s="51"/>
      <c r="R8" s="51"/>
      <c r="S8" s="51"/>
      <c r="T8" s="51"/>
      <c r="U8" s="51"/>
      <c r="V8" s="51"/>
      <c r="W8" s="42"/>
      <c r="AC8" s="38"/>
      <c r="AD8" s="38"/>
      <c r="AE8" s="38"/>
      <c r="AF8" s="38"/>
      <c r="AG8" s="38"/>
      <c r="AH8" s="38"/>
      <c r="AI8" s="38"/>
    </row>
    <row r="9" spans="2:35" s="44" customFormat="1" x14ac:dyDescent="0.2">
      <c r="Q9" s="52"/>
      <c r="R9" s="52"/>
      <c r="S9" s="52"/>
      <c r="T9" s="52"/>
      <c r="U9" s="52"/>
      <c r="V9" s="52"/>
      <c r="W9" s="42"/>
      <c r="AC9" s="38"/>
      <c r="AD9" s="38"/>
      <c r="AE9" s="38"/>
      <c r="AF9" s="38"/>
      <c r="AG9" s="38"/>
      <c r="AH9" s="38"/>
      <c r="AI9" s="38"/>
    </row>
    <row r="10" spans="2:35" s="44" customFormat="1" x14ac:dyDescent="0.2">
      <c r="B10" s="54" t="s">
        <v>159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56">
        <v>6.8000000000000005E-2</v>
      </c>
      <c r="Q10" s="52"/>
      <c r="R10" s="52"/>
      <c r="S10" s="52"/>
      <c r="T10" s="52"/>
      <c r="U10" s="52"/>
      <c r="V10" s="52"/>
      <c r="W10" s="42"/>
      <c r="AC10" s="38"/>
      <c r="AD10" s="38"/>
      <c r="AE10" s="38"/>
      <c r="AF10" s="38"/>
      <c r="AG10" s="38"/>
      <c r="AH10" s="38"/>
      <c r="AI10" s="38"/>
    </row>
    <row r="11" spans="2:35" s="44" customFormat="1" x14ac:dyDescent="0.2">
      <c r="B11" s="54" t="s">
        <v>160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56">
        <v>5.5E-2</v>
      </c>
      <c r="Q11" s="52"/>
      <c r="R11" s="52"/>
      <c r="S11" s="52"/>
      <c r="T11" s="52"/>
      <c r="U11" s="52"/>
      <c r="V11" s="52"/>
      <c r="W11" s="42"/>
      <c r="AC11" s="38"/>
      <c r="AD11" s="38"/>
      <c r="AE11" s="38"/>
      <c r="AF11" s="38"/>
      <c r="AG11" s="38"/>
      <c r="AH11" s="38"/>
      <c r="AI11" s="38"/>
    </row>
    <row r="12" spans="2:35" s="44" customFormat="1" x14ac:dyDescent="0.2"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52"/>
      <c r="R12" s="52"/>
      <c r="S12" s="52"/>
      <c r="T12" s="52"/>
      <c r="U12" s="52"/>
      <c r="V12" s="52"/>
      <c r="W12" s="42"/>
      <c r="AC12" s="38"/>
      <c r="AD12" s="38"/>
      <c r="AE12" s="38"/>
      <c r="AF12" s="38"/>
      <c r="AG12" s="38"/>
      <c r="AH12" s="38"/>
      <c r="AI12" s="38"/>
    </row>
    <row r="13" spans="2:35" s="21" customFormat="1" x14ac:dyDescent="0.2">
      <c r="B13" s="20">
        <v>2004</v>
      </c>
      <c r="Q13" s="27"/>
      <c r="R13" s="27"/>
      <c r="S13" s="27"/>
      <c r="T13" s="27"/>
      <c r="U13" s="27"/>
      <c r="V13" s="27"/>
    </row>
    <row r="14" spans="2:35" s="2" customFormat="1" x14ac:dyDescent="0.2">
      <c r="B14" s="43"/>
      <c r="Q14" s="53"/>
      <c r="R14" s="53"/>
      <c r="S14" s="53"/>
      <c r="T14" s="53"/>
      <c r="U14" s="53"/>
      <c r="V14" s="53"/>
    </row>
    <row r="15" spans="2:35" s="44" customFormat="1" x14ac:dyDescent="0.2">
      <c r="B15" s="136" t="s">
        <v>175</v>
      </c>
      <c r="C15" s="154">
        <v>7757</v>
      </c>
      <c r="D15" s="154">
        <v>7462.0527584567662</v>
      </c>
      <c r="E15" s="154">
        <v>98975</v>
      </c>
      <c r="F15" s="154">
        <v>3896.2127799999998</v>
      </c>
      <c r="G15" s="154">
        <v>7299.4308547063811</v>
      </c>
      <c r="H15" s="154">
        <v>5503.5603990629661</v>
      </c>
      <c r="I15" s="154">
        <v>91101.325541264523</v>
      </c>
      <c r="J15" s="154">
        <v>9486.1568907612109</v>
      </c>
      <c r="K15" s="154">
        <v>1368</v>
      </c>
      <c r="L15" s="154">
        <v>2913.6</v>
      </c>
      <c r="M15" s="154">
        <v>5017.9210000000003</v>
      </c>
      <c r="N15" s="154">
        <v>115636.04664915893</v>
      </c>
      <c r="O15" s="154"/>
      <c r="P15" s="99">
        <f>SUM(C15:O15)</f>
        <v>356416.30687341082</v>
      </c>
      <c r="Q15" s="52"/>
      <c r="R15" s="52"/>
      <c r="S15" s="52"/>
      <c r="T15" s="52"/>
      <c r="U15" s="52"/>
      <c r="V15" s="52"/>
      <c r="W15" s="40"/>
      <c r="AC15" s="40"/>
      <c r="AD15" s="40"/>
      <c r="AE15" s="40"/>
      <c r="AF15" s="40"/>
      <c r="AG15" s="40"/>
      <c r="AH15" s="40"/>
      <c r="AI15" s="40"/>
    </row>
    <row r="16" spans="2:35" s="44" customFormat="1" x14ac:dyDescent="0.2">
      <c r="B16" s="49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52"/>
      <c r="R16" s="52"/>
      <c r="S16" s="52"/>
      <c r="T16" s="52"/>
      <c r="U16" s="52"/>
      <c r="V16" s="52"/>
      <c r="W16" s="42"/>
      <c r="AC16" s="38"/>
      <c r="AD16" s="38"/>
      <c r="AE16" s="38"/>
      <c r="AF16" s="38"/>
      <c r="AG16" s="38"/>
      <c r="AH16" s="38"/>
      <c r="AI16" s="38"/>
    </row>
    <row r="17" spans="1:35" s="44" customFormat="1" x14ac:dyDescent="0.2">
      <c r="B17" s="156" t="s">
        <v>177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52"/>
      <c r="R17" s="52"/>
      <c r="S17" s="52"/>
      <c r="T17" s="52"/>
      <c r="U17" s="52"/>
      <c r="V17" s="52"/>
      <c r="W17" s="42"/>
      <c r="AC17" s="38"/>
      <c r="AD17" s="38"/>
      <c r="AE17" s="38"/>
      <c r="AF17" s="38"/>
      <c r="AG17" s="38"/>
      <c r="AH17" s="38"/>
      <c r="AI17" s="38"/>
    </row>
    <row r="18" spans="1:35" x14ac:dyDescent="0.2">
      <c r="B18" s="1" t="s">
        <v>173</v>
      </c>
      <c r="C18" s="59">
        <v>1368.2102500000001</v>
      </c>
      <c r="D18" s="59">
        <v>3590</v>
      </c>
      <c r="E18" s="59">
        <v>18403</v>
      </c>
      <c r="F18" s="59">
        <v>537.32693179292937</v>
      </c>
      <c r="G18" s="59">
        <v>14140.409512308081</v>
      </c>
      <c r="H18" s="59">
        <v>1313.4617456474748</v>
      </c>
      <c r="I18" s="59">
        <v>18439.582978282833</v>
      </c>
      <c r="J18" s="59">
        <v>612.19616489898988</v>
      </c>
      <c r="K18" s="59">
        <v>344.24899999999997</v>
      </c>
      <c r="L18" s="59">
        <v>2448.9377030303026</v>
      </c>
      <c r="M18" s="59">
        <v>1256.3128237373737</v>
      </c>
      <c r="N18" s="60">
        <f>SUM(Q18:V18)</f>
        <v>24039.401502468689</v>
      </c>
      <c r="O18" s="59">
        <v>0</v>
      </c>
      <c r="P18" s="99">
        <f>SUM(C18:O18)</f>
        <v>86493.08861216667</v>
      </c>
      <c r="Q18" s="88">
        <v>0</v>
      </c>
      <c r="R18" s="88">
        <v>247</v>
      </c>
      <c r="S18" s="88">
        <v>4221.22</v>
      </c>
      <c r="T18" s="88">
        <v>4080.6415024686867</v>
      </c>
      <c r="U18" s="88">
        <v>3424.54</v>
      </c>
      <c r="V18" s="88">
        <v>12066</v>
      </c>
    </row>
    <row r="19" spans="1:35" s="44" customFormat="1" x14ac:dyDescent="0.2">
      <c r="B19" s="44" t="s">
        <v>70</v>
      </c>
      <c r="C19" s="64">
        <f>C$7</f>
        <v>3120.396655948553</v>
      </c>
      <c r="D19" s="64">
        <f t="shared" ref="D19:N19" si="1">D$7</f>
        <v>3167.1029970326408</v>
      </c>
      <c r="E19" s="64">
        <f t="shared" si="1"/>
        <v>47078.595394321768</v>
      </c>
      <c r="F19" s="64">
        <f t="shared" si="1"/>
        <v>964.54798761609925</v>
      </c>
      <c r="G19" s="64">
        <f t="shared" si="1"/>
        <v>6209.0197347480098</v>
      </c>
      <c r="H19" s="64">
        <f t="shared" si="1"/>
        <v>5665.1909171597645</v>
      </c>
      <c r="I19" s="64">
        <f t="shared" si="1"/>
        <v>52606.71232758621</v>
      </c>
      <c r="J19" s="64">
        <f t="shared" si="1"/>
        <v>5381.2528955223879</v>
      </c>
      <c r="K19" s="64">
        <f t="shared" si="1"/>
        <v>489.35871060171917</v>
      </c>
      <c r="L19" s="64">
        <f t="shared" si="1"/>
        <v>5441.8965950920247</v>
      </c>
      <c r="M19" s="64">
        <f t="shared" si="1"/>
        <v>4964.2310071942447</v>
      </c>
      <c r="N19" s="64">
        <f t="shared" si="1"/>
        <v>31102.319026548674</v>
      </c>
      <c r="O19" s="64"/>
      <c r="P19" s="99">
        <f>SUM(C19:O19)</f>
        <v>166190.62424937211</v>
      </c>
      <c r="Q19" s="52"/>
      <c r="R19" s="52"/>
      <c r="S19" s="52"/>
      <c r="T19" s="52"/>
      <c r="U19" s="52"/>
      <c r="V19" s="52"/>
      <c r="W19" s="42"/>
      <c r="AC19" s="38"/>
      <c r="AD19" s="38"/>
      <c r="AE19" s="38"/>
      <c r="AF19" s="38"/>
      <c r="AG19" s="38"/>
      <c r="AH19" s="38"/>
      <c r="AI19" s="38"/>
    </row>
    <row r="20" spans="1:35" s="44" customFormat="1" x14ac:dyDescent="0.2">
      <c r="B20" s="44" t="s">
        <v>172</v>
      </c>
      <c r="C20" s="63">
        <v>16.386230000000001</v>
      </c>
      <c r="D20" s="63">
        <v>46</v>
      </c>
      <c r="E20" s="63">
        <v>215</v>
      </c>
      <c r="F20" s="63">
        <v>6.2293882070707074</v>
      </c>
      <c r="G20" s="63">
        <v>754.35848769191909</v>
      </c>
      <c r="H20" s="63">
        <v>14.374504352525253</v>
      </c>
      <c r="I20" s="63">
        <v>212.37902171717175</v>
      </c>
      <c r="J20" s="63">
        <v>8.2389951010101008</v>
      </c>
      <c r="K20" s="63">
        <v>20.959000000000003</v>
      </c>
      <c r="L20" s="63">
        <v>131.25629696969696</v>
      </c>
      <c r="M20" s="63">
        <v>19.972176262626263</v>
      </c>
      <c r="N20" s="60">
        <f>SUM(Q20:V20)</f>
        <v>961.32712353131319</v>
      </c>
      <c r="O20" s="63">
        <v>0</v>
      </c>
      <c r="P20" s="99">
        <f>SUM(C20:O20)</f>
        <v>2406.4812238333334</v>
      </c>
      <c r="Q20" s="58">
        <v>0</v>
      </c>
      <c r="R20" s="58">
        <v>15</v>
      </c>
      <c r="S20" s="58">
        <v>274.99</v>
      </c>
      <c r="T20" s="58">
        <v>163.98712353131313</v>
      </c>
      <c r="U20" s="58">
        <v>165.35</v>
      </c>
      <c r="V20" s="58">
        <v>342</v>
      </c>
      <c r="W20" s="42"/>
      <c r="AC20" s="38"/>
      <c r="AD20" s="38"/>
      <c r="AE20" s="38"/>
      <c r="AF20" s="38"/>
      <c r="AG20" s="38"/>
      <c r="AH20" s="38"/>
      <c r="AI20" s="38"/>
    </row>
    <row r="21" spans="1:35" s="45" customFormat="1" x14ac:dyDescent="0.2">
      <c r="B21" s="43" t="s">
        <v>35</v>
      </c>
      <c r="C21" s="61">
        <f t="shared" ref="C21:P21" si="2">SUM(C19,C20)</f>
        <v>3136.782885948553</v>
      </c>
      <c r="D21" s="61">
        <f t="shared" si="2"/>
        <v>3213.1029970326408</v>
      </c>
      <c r="E21" s="61">
        <f t="shared" si="2"/>
        <v>47293.595394321768</v>
      </c>
      <c r="F21" s="61">
        <f t="shared" si="2"/>
        <v>970.7773758231699</v>
      </c>
      <c r="G21" s="61">
        <f t="shared" si="2"/>
        <v>6963.3782224399292</v>
      </c>
      <c r="H21" s="61">
        <f t="shared" si="2"/>
        <v>5679.5654215122895</v>
      </c>
      <c r="I21" s="61">
        <f t="shared" si="2"/>
        <v>52819.09134930338</v>
      </c>
      <c r="J21" s="61">
        <f t="shared" si="2"/>
        <v>5389.4918906233979</v>
      </c>
      <c r="K21" s="61">
        <f t="shared" si="2"/>
        <v>510.31771060171917</v>
      </c>
      <c r="L21" s="61">
        <f t="shared" si="2"/>
        <v>5573.152892061722</v>
      </c>
      <c r="M21" s="61">
        <f t="shared" si="2"/>
        <v>4984.2031834568706</v>
      </c>
      <c r="N21" s="61">
        <f t="shared" si="2"/>
        <v>32063.646150079985</v>
      </c>
      <c r="O21" s="61">
        <f t="shared" si="2"/>
        <v>0</v>
      </c>
      <c r="P21" s="61">
        <f t="shared" si="2"/>
        <v>168597.10547320545</v>
      </c>
      <c r="Q21" s="52"/>
      <c r="R21" s="52"/>
      <c r="S21" s="52"/>
      <c r="T21" s="52"/>
      <c r="U21" s="52"/>
      <c r="V21" s="52"/>
      <c r="W21" s="39"/>
      <c r="AC21" s="39"/>
      <c r="AD21" s="39"/>
      <c r="AE21" s="39"/>
      <c r="AF21" s="39"/>
      <c r="AG21" s="39"/>
      <c r="AH21" s="39"/>
      <c r="AI21" s="39"/>
    </row>
    <row r="22" spans="1:35" x14ac:dyDescent="0.2">
      <c r="B22" s="2" t="s">
        <v>71</v>
      </c>
      <c r="C22" s="61">
        <f>C6-C$7</f>
        <v>93923.93934405144</v>
      </c>
      <c r="D22" s="61">
        <f t="shared" ref="D22:O22" si="3">D6-D$7</f>
        <v>103564.26800296736</v>
      </c>
      <c r="E22" s="61">
        <f t="shared" si="3"/>
        <v>1445312.8786056782</v>
      </c>
      <c r="F22" s="61">
        <f t="shared" si="3"/>
        <v>30190.352012383901</v>
      </c>
      <c r="G22" s="61">
        <f t="shared" si="3"/>
        <v>227871.024265252</v>
      </c>
      <c r="H22" s="61">
        <f t="shared" si="3"/>
        <v>185818.26208284026</v>
      </c>
      <c r="I22" s="61">
        <f t="shared" si="3"/>
        <v>1778106.8766724137</v>
      </c>
      <c r="J22" s="61">
        <f t="shared" si="3"/>
        <v>174890.71910447761</v>
      </c>
      <c r="K22" s="61">
        <f t="shared" si="3"/>
        <v>16589.26028939828</v>
      </c>
      <c r="L22" s="61">
        <f t="shared" si="3"/>
        <v>171963.93240490797</v>
      </c>
      <c r="M22" s="61">
        <f t="shared" si="3"/>
        <v>133041.39099280577</v>
      </c>
      <c r="N22" s="61">
        <f t="shared" si="3"/>
        <v>1023266.2959734513</v>
      </c>
      <c r="O22" s="61">
        <f t="shared" si="3"/>
        <v>0</v>
      </c>
      <c r="P22" s="99">
        <f>SUM(C22:O22)</f>
        <v>5384539.1997506283</v>
      </c>
    </row>
    <row r="23" spans="1:35" x14ac:dyDescent="0.2">
      <c r="B23" s="2" t="s">
        <v>174</v>
      </c>
      <c r="C23" s="61">
        <f t="shared" ref="C23:O23" si="4">C18</f>
        <v>1368.2102500000001</v>
      </c>
      <c r="D23" s="61">
        <f t="shared" si="4"/>
        <v>3590</v>
      </c>
      <c r="E23" s="61">
        <f t="shared" si="4"/>
        <v>18403</v>
      </c>
      <c r="F23" s="61">
        <f t="shared" si="4"/>
        <v>537.32693179292937</v>
      </c>
      <c r="G23" s="61">
        <f t="shared" si="4"/>
        <v>14140.409512308081</v>
      </c>
      <c r="H23" s="61">
        <f t="shared" si="4"/>
        <v>1313.4617456474748</v>
      </c>
      <c r="I23" s="61">
        <f t="shared" si="4"/>
        <v>18439.582978282833</v>
      </c>
      <c r="J23" s="61">
        <f t="shared" si="4"/>
        <v>612.19616489898988</v>
      </c>
      <c r="K23" s="61">
        <f t="shared" si="4"/>
        <v>344.24899999999997</v>
      </c>
      <c r="L23" s="61">
        <f t="shared" si="4"/>
        <v>2448.9377030303026</v>
      </c>
      <c r="M23" s="61">
        <f t="shared" si="4"/>
        <v>1256.3128237373737</v>
      </c>
      <c r="N23" s="61">
        <f t="shared" si="4"/>
        <v>24039.401502468689</v>
      </c>
      <c r="O23" s="61">
        <f t="shared" si="4"/>
        <v>0</v>
      </c>
      <c r="P23" s="99">
        <f>SUM(C23:O23)</f>
        <v>86493.08861216667</v>
      </c>
    </row>
    <row r="24" spans="1:35" s="45" customFormat="1" x14ac:dyDescent="0.2">
      <c r="B24" s="65" t="s">
        <v>36</v>
      </c>
      <c r="C24" s="61">
        <f t="shared" ref="C24:O24" si="5">SUM(C22,C23)</f>
        <v>95292.149594051443</v>
      </c>
      <c r="D24" s="61">
        <f t="shared" si="5"/>
        <v>107154.26800296736</v>
      </c>
      <c r="E24" s="61">
        <f t="shared" si="5"/>
        <v>1463715.8786056782</v>
      </c>
      <c r="F24" s="61">
        <f t="shared" si="5"/>
        <v>30727.678944176831</v>
      </c>
      <c r="G24" s="61">
        <f t="shared" si="5"/>
        <v>242011.43377756007</v>
      </c>
      <c r="H24" s="61">
        <f t="shared" si="5"/>
        <v>187131.72382848774</v>
      </c>
      <c r="I24" s="61">
        <f t="shared" si="5"/>
        <v>1796546.4596506965</v>
      </c>
      <c r="J24" s="61">
        <f t="shared" si="5"/>
        <v>175502.91526937659</v>
      </c>
      <c r="K24" s="61">
        <f t="shared" si="5"/>
        <v>16933.50928939828</v>
      </c>
      <c r="L24" s="61">
        <f t="shared" si="5"/>
        <v>174412.87010793827</v>
      </c>
      <c r="M24" s="61">
        <f t="shared" si="5"/>
        <v>134297.70381654313</v>
      </c>
      <c r="N24" s="61">
        <f t="shared" si="5"/>
        <v>1047305.6974759201</v>
      </c>
      <c r="O24" s="61">
        <f t="shared" si="5"/>
        <v>0</v>
      </c>
      <c r="P24" s="99">
        <f>SUM(C24:O24)</f>
        <v>5471032.2883627946</v>
      </c>
      <c r="Q24" s="52"/>
      <c r="R24" s="52"/>
      <c r="S24" s="52"/>
      <c r="T24" s="52"/>
      <c r="U24" s="52"/>
      <c r="V24" s="52"/>
      <c r="W24" s="39"/>
      <c r="AC24" s="39"/>
      <c r="AD24" s="39"/>
      <c r="AE24" s="39"/>
      <c r="AF24" s="39"/>
      <c r="AG24" s="39"/>
      <c r="AH24" s="39"/>
      <c r="AI24" s="39"/>
    </row>
    <row r="25" spans="1:35" s="45" customFormat="1" x14ac:dyDescent="0.2">
      <c r="B25" s="136" t="s">
        <v>138</v>
      </c>
      <c r="C25" s="61">
        <f>$P$10*C24</f>
        <v>6479.8661723954983</v>
      </c>
      <c r="D25" s="61">
        <f t="shared" ref="D25:O25" si="6">$P$10*D24</f>
        <v>7286.4902242017815</v>
      </c>
      <c r="E25" s="61">
        <f t="shared" si="6"/>
        <v>99532.67974518612</v>
      </c>
      <c r="F25" s="61">
        <f t="shared" si="6"/>
        <v>2089.4821682040247</v>
      </c>
      <c r="G25" s="61">
        <f t="shared" si="6"/>
        <v>16456.777496874085</v>
      </c>
      <c r="H25" s="61">
        <f t="shared" si="6"/>
        <v>12724.957220337166</v>
      </c>
      <c r="I25" s="61">
        <f t="shared" si="6"/>
        <v>122165.15925624737</v>
      </c>
      <c r="J25" s="61">
        <f t="shared" si="6"/>
        <v>11934.198238317609</v>
      </c>
      <c r="K25" s="61">
        <f t="shared" si="6"/>
        <v>1151.478631679083</v>
      </c>
      <c r="L25" s="61">
        <f t="shared" si="6"/>
        <v>11860.075167339803</v>
      </c>
      <c r="M25" s="61">
        <f t="shared" si="6"/>
        <v>9132.2438595249332</v>
      </c>
      <c r="N25" s="61">
        <f t="shared" si="6"/>
        <v>71216.787428362572</v>
      </c>
      <c r="O25" s="61">
        <f t="shared" si="6"/>
        <v>0</v>
      </c>
      <c r="P25" s="99">
        <f>SUM(C25:O25)</f>
        <v>372030.19560867012</v>
      </c>
      <c r="Q25" s="52"/>
      <c r="R25" s="52"/>
      <c r="S25" s="52"/>
      <c r="T25" s="52"/>
      <c r="U25" s="52"/>
      <c r="V25" s="52"/>
      <c r="W25" s="39"/>
      <c r="AC25" s="39"/>
      <c r="AD25" s="39"/>
      <c r="AE25" s="39"/>
      <c r="AF25" s="39"/>
      <c r="AG25" s="39"/>
      <c r="AH25" s="39"/>
      <c r="AI25" s="39"/>
    </row>
    <row r="26" spans="1:35" s="45" customForma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52"/>
      <c r="R26" s="52"/>
      <c r="S26" s="52"/>
      <c r="T26" s="52"/>
      <c r="U26" s="52"/>
      <c r="V26" s="52"/>
      <c r="W26" s="39"/>
      <c r="AC26" s="39"/>
      <c r="AD26" s="39"/>
      <c r="AE26" s="39"/>
      <c r="AF26" s="39"/>
      <c r="AG26" s="39"/>
      <c r="AH26" s="39"/>
      <c r="AI26" s="39"/>
    </row>
    <row r="27" spans="1:35" s="44" customFormat="1" x14ac:dyDescent="0.2">
      <c r="A27" s="50"/>
      <c r="B27" s="136" t="s">
        <v>38</v>
      </c>
      <c r="C27" s="66">
        <f t="shared" ref="C27:N27" si="7">C21+C25</f>
        <v>9616.6490583440518</v>
      </c>
      <c r="D27" s="66">
        <f t="shared" si="7"/>
        <v>10499.593221234423</v>
      </c>
      <c r="E27" s="66">
        <f t="shared" si="7"/>
        <v>146826.2751395079</v>
      </c>
      <c r="F27" s="66">
        <f t="shared" si="7"/>
        <v>3060.2595440271944</v>
      </c>
      <c r="G27" s="66">
        <f t="shared" si="7"/>
        <v>23420.155719314014</v>
      </c>
      <c r="H27" s="66">
        <f t="shared" si="7"/>
        <v>18404.522641849457</v>
      </c>
      <c r="I27" s="66">
        <f t="shared" si="7"/>
        <v>174984.25060555074</v>
      </c>
      <c r="J27" s="66">
        <f t="shared" si="7"/>
        <v>17323.690128941009</v>
      </c>
      <c r="K27" s="66">
        <f t="shared" si="7"/>
        <v>1661.7963422808023</v>
      </c>
      <c r="L27" s="66">
        <f t="shared" si="7"/>
        <v>17433.228059401525</v>
      </c>
      <c r="M27" s="66">
        <f t="shared" si="7"/>
        <v>14116.447042981803</v>
      </c>
      <c r="N27" s="66">
        <f t="shared" si="7"/>
        <v>103280.43357844255</v>
      </c>
      <c r="O27" s="66"/>
      <c r="P27" s="99">
        <f>SUM(C27:O27)</f>
        <v>540627.30108187546</v>
      </c>
      <c r="Q27" s="52"/>
      <c r="R27" s="52"/>
      <c r="S27" s="52"/>
      <c r="T27" s="52"/>
      <c r="U27" s="52"/>
      <c r="V27" s="52"/>
      <c r="W27" s="41"/>
      <c r="AC27" s="41"/>
      <c r="AD27" s="41"/>
      <c r="AE27" s="41"/>
      <c r="AF27" s="41"/>
      <c r="AG27" s="41"/>
      <c r="AH27" s="41"/>
      <c r="AI27" s="41"/>
    </row>
    <row r="28" spans="1:35" s="44" customFormat="1" x14ac:dyDescent="0.2"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52"/>
      <c r="R28" s="52"/>
      <c r="S28" s="52"/>
      <c r="T28" s="52"/>
      <c r="U28" s="52"/>
      <c r="V28" s="52"/>
      <c r="W28" s="41"/>
      <c r="AC28" s="41"/>
      <c r="AD28" s="41"/>
      <c r="AE28" s="41"/>
      <c r="AF28" s="41"/>
      <c r="AG28" s="41"/>
      <c r="AH28" s="41"/>
      <c r="AI28" s="41"/>
    </row>
    <row r="29" spans="1:35" s="44" customFormat="1" x14ac:dyDescent="0.2">
      <c r="B29" s="45" t="s">
        <v>37</v>
      </c>
      <c r="C29" s="66">
        <f t="shared" ref="C29:N29" si="8">C15+C27</f>
        <v>17373.649058344054</v>
      </c>
      <c r="D29" s="66">
        <f t="shared" si="8"/>
        <v>17961.645979691188</v>
      </c>
      <c r="E29" s="66">
        <f t="shared" si="8"/>
        <v>245801.2751395079</v>
      </c>
      <c r="F29" s="66">
        <f t="shared" si="8"/>
        <v>6956.4723240271942</v>
      </c>
      <c r="G29" s="66">
        <f t="shared" si="8"/>
        <v>30719.586574020395</v>
      </c>
      <c r="H29" s="66">
        <f t="shared" si="8"/>
        <v>23908.083040912425</v>
      </c>
      <c r="I29" s="66">
        <f t="shared" si="8"/>
        <v>266085.57614681526</v>
      </c>
      <c r="J29" s="66">
        <f t="shared" si="8"/>
        <v>26809.847019702218</v>
      </c>
      <c r="K29" s="66">
        <f t="shared" si="8"/>
        <v>3029.7963422808025</v>
      </c>
      <c r="L29" s="66">
        <f t="shared" si="8"/>
        <v>20346.828059401523</v>
      </c>
      <c r="M29" s="66">
        <f t="shared" si="8"/>
        <v>19134.368042981805</v>
      </c>
      <c r="N29" s="66">
        <f t="shared" si="8"/>
        <v>218916.48022760148</v>
      </c>
      <c r="O29" s="66"/>
      <c r="P29" s="99">
        <f>SUM(C29:O29)</f>
        <v>897043.60795528616</v>
      </c>
      <c r="Q29" s="52"/>
      <c r="R29" s="52"/>
      <c r="S29" s="52"/>
      <c r="T29" s="52"/>
      <c r="U29" s="52"/>
      <c r="V29" s="52"/>
      <c r="W29" s="41"/>
      <c r="AC29" s="41"/>
      <c r="AD29" s="41"/>
      <c r="AE29" s="41"/>
      <c r="AF29" s="41"/>
      <c r="AG29" s="41"/>
      <c r="AH29" s="41"/>
      <c r="AI29" s="41"/>
    </row>
    <row r="30" spans="1:35" s="44" customFormat="1" x14ac:dyDescent="0.2"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52"/>
      <c r="R30" s="52"/>
      <c r="S30" s="52"/>
      <c r="T30" s="52"/>
      <c r="U30" s="52"/>
      <c r="V30" s="52"/>
      <c r="W30" s="42"/>
      <c r="AC30" s="38"/>
      <c r="AD30" s="38"/>
      <c r="AE30" s="38"/>
      <c r="AF30" s="38"/>
      <c r="AG30" s="38"/>
      <c r="AH30" s="38"/>
      <c r="AI30" s="38"/>
    </row>
    <row r="31" spans="1:35" s="21" customFormat="1" x14ac:dyDescent="0.2">
      <c r="B31" s="20">
        <v>2005</v>
      </c>
      <c r="Q31" s="27"/>
      <c r="R31" s="27"/>
      <c r="S31" s="27"/>
      <c r="T31" s="27"/>
      <c r="U31" s="27"/>
      <c r="V31" s="27"/>
    </row>
    <row r="32" spans="1:35" s="2" customFormat="1" x14ac:dyDescent="0.2">
      <c r="B32" s="43"/>
      <c r="Q32" s="53"/>
      <c r="R32" s="53"/>
      <c r="S32" s="53"/>
      <c r="T32" s="53"/>
      <c r="U32" s="53"/>
      <c r="V32" s="53"/>
    </row>
    <row r="33" spans="2:35" s="44" customFormat="1" x14ac:dyDescent="0.2">
      <c r="B33" s="136" t="s">
        <v>176</v>
      </c>
      <c r="C33" s="154">
        <v>7449</v>
      </c>
      <c r="D33" s="154">
        <v>8178.4823034907968</v>
      </c>
      <c r="E33" s="154">
        <v>82115.225821594591</v>
      </c>
      <c r="F33" s="154">
        <v>3137.5</v>
      </c>
      <c r="G33" s="154">
        <v>7156.2608870019685</v>
      </c>
      <c r="H33" s="154">
        <v>8725.1282769387617</v>
      </c>
      <c r="I33" s="154">
        <v>91866.471423718904</v>
      </c>
      <c r="J33" s="154">
        <v>7152.59465</v>
      </c>
      <c r="K33" s="154">
        <v>1748.0889999999999</v>
      </c>
      <c r="L33" s="154">
        <v>3944.8339999999994</v>
      </c>
      <c r="M33" s="154">
        <v>5477.5749999999998</v>
      </c>
      <c r="N33" s="154">
        <v>95089</v>
      </c>
      <c r="O33" s="154">
        <v>0</v>
      </c>
      <c r="P33" s="99">
        <f>SUM(C33:O33)</f>
        <v>322040.1613627451</v>
      </c>
      <c r="Q33" s="52"/>
      <c r="R33" s="52"/>
      <c r="S33" s="52"/>
      <c r="T33" s="52"/>
      <c r="U33" s="52"/>
      <c r="V33" s="52"/>
      <c r="W33" s="40"/>
      <c r="AC33" s="40"/>
      <c r="AD33" s="40"/>
      <c r="AE33" s="40"/>
      <c r="AF33" s="40"/>
      <c r="AG33" s="40"/>
      <c r="AH33" s="40"/>
      <c r="AI33" s="40"/>
    </row>
    <row r="34" spans="2:35" s="44" customFormat="1" x14ac:dyDescent="0.2">
      <c r="B34" s="49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52"/>
      <c r="R34" s="52"/>
      <c r="S34" s="52"/>
      <c r="T34" s="52"/>
      <c r="U34" s="52"/>
      <c r="V34" s="52"/>
      <c r="W34" s="42"/>
      <c r="AC34" s="38"/>
      <c r="AD34" s="38"/>
      <c r="AE34" s="38"/>
      <c r="AF34" s="38"/>
      <c r="AG34" s="38"/>
      <c r="AH34" s="38"/>
      <c r="AI34" s="38"/>
    </row>
    <row r="35" spans="2:35" s="44" customFormat="1" x14ac:dyDescent="0.2">
      <c r="B35" s="156" t="s">
        <v>177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52"/>
      <c r="R35" s="52"/>
      <c r="S35" s="52"/>
      <c r="T35" s="52"/>
      <c r="U35" s="52"/>
      <c r="V35" s="52"/>
      <c r="W35" s="42"/>
      <c r="AC35" s="38"/>
      <c r="AD35" s="38"/>
      <c r="AE35" s="38"/>
      <c r="AF35" s="38"/>
      <c r="AG35" s="38"/>
      <c r="AH35" s="38"/>
      <c r="AI35" s="38"/>
    </row>
    <row r="36" spans="2:35" s="44" customFormat="1" x14ac:dyDescent="0.2">
      <c r="B36" s="1" t="s">
        <v>173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60">
        <f>SUM(Q36:V36)</f>
        <v>-211</v>
      </c>
      <c r="O36" s="59">
        <v>0</v>
      </c>
      <c r="P36" s="99">
        <f t="shared" ref="P36:P45" si="9">SUM(C36:O36)</f>
        <v>-211</v>
      </c>
      <c r="Q36" s="88">
        <v>-211</v>
      </c>
      <c r="R36" s="88">
        <v>0</v>
      </c>
      <c r="S36" s="52"/>
      <c r="T36" s="52"/>
      <c r="U36" s="52"/>
      <c r="V36" s="52"/>
      <c r="W36" s="42"/>
      <c r="AC36" s="38"/>
      <c r="AD36" s="38"/>
      <c r="AE36" s="38"/>
      <c r="AF36" s="38"/>
      <c r="AG36" s="38"/>
      <c r="AH36" s="38"/>
      <c r="AI36" s="38"/>
    </row>
    <row r="37" spans="2:35" s="44" customFormat="1" x14ac:dyDescent="0.2">
      <c r="B37" s="44" t="s">
        <v>70</v>
      </c>
      <c r="C37" s="64">
        <f t="shared" ref="C37:O37" si="10">C$7</f>
        <v>3120.396655948553</v>
      </c>
      <c r="D37" s="64">
        <f t="shared" si="10"/>
        <v>3167.1029970326408</v>
      </c>
      <c r="E37" s="64">
        <f t="shared" si="10"/>
        <v>47078.595394321768</v>
      </c>
      <c r="F37" s="64">
        <f t="shared" si="10"/>
        <v>964.54798761609925</v>
      </c>
      <c r="G37" s="64">
        <f t="shared" si="10"/>
        <v>6209.0197347480098</v>
      </c>
      <c r="H37" s="64">
        <f t="shared" si="10"/>
        <v>5665.1909171597645</v>
      </c>
      <c r="I37" s="64">
        <f t="shared" si="10"/>
        <v>52606.71232758621</v>
      </c>
      <c r="J37" s="64">
        <f t="shared" si="10"/>
        <v>5381.2528955223879</v>
      </c>
      <c r="K37" s="64">
        <f t="shared" si="10"/>
        <v>489.35871060171917</v>
      </c>
      <c r="L37" s="64">
        <f t="shared" si="10"/>
        <v>5441.8965950920247</v>
      </c>
      <c r="M37" s="64">
        <f t="shared" si="10"/>
        <v>4964.2310071942447</v>
      </c>
      <c r="N37" s="64">
        <f t="shared" si="10"/>
        <v>31102.319026548674</v>
      </c>
      <c r="O37" s="64">
        <f t="shared" si="10"/>
        <v>0</v>
      </c>
      <c r="P37" s="99">
        <f t="shared" si="9"/>
        <v>166190.62424937211</v>
      </c>
      <c r="Q37" s="52"/>
      <c r="R37" s="52"/>
      <c r="S37" s="52"/>
      <c r="T37" s="52"/>
      <c r="U37" s="52"/>
      <c r="V37" s="52"/>
      <c r="W37" s="42"/>
      <c r="AC37" s="38"/>
      <c r="AD37" s="38"/>
      <c r="AE37" s="38"/>
      <c r="AF37" s="38"/>
      <c r="AG37" s="38"/>
      <c r="AH37" s="38"/>
      <c r="AI37" s="38"/>
    </row>
    <row r="38" spans="2:35" s="44" customFormat="1" x14ac:dyDescent="0.2">
      <c r="B38" s="44" t="s">
        <v>181</v>
      </c>
      <c r="C38" s="63">
        <v>35</v>
      </c>
      <c r="D38" s="63">
        <v>91</v>
      </c>
      <c r="E38" s="63">
        <v>428</v>
      </c>
      <c r="F38" s="63">
        <v>12.458776414141415</v>
      </c>
      <c r="G38" s="63">
        <v>763.99017538383839</v>
      </c>
      <c r="H38" s="63">
        <v>28.749008705050507</v>
      </c>
      <c r="I38" s="63">
        <v>424.75700000000001</v>
      </c>
      <c r="J38" s="63">
        <v>16.477990202020202</v>
      </c>
      <c r="K38" s="63">
        <v>41.919130000000003</v>
      </c>
      <c r="L38" s="63">
        <v>262.51259393939392</v>
      </c>
      <c r="M38" s="63">
        <v>39.944352525252526</v>
      </c>
      <c r="N38" s="60">
        <f>SUM(Q38:V38)</f>
        <v>1923</v>
      </c>
      <c r="O38" s="63">
        <v>0</v>
      </c>
      <c r="P38" s="99">
        <f t="shared" si="9"/>
        <v>4067.8090271696974</v>
      </c>
      <c r="Q38" s="58">
        <v>1893</v>
      </c>
      <c r="R38" s="58">
        <v>30</v>
      </c>
      <c r="S38" s="58"/>
      <c r="T38" s="58"/>
      <c r="U38" s="58"/>
      <c r="V38" s="58"/>
      <c r="W38" s="42"/>
      <c r="AC38" s="38"/>
      <c r="AD38" s="38"/>
      <c r="AE38" s="38"/>
      <c r="AF38" s="38"/>
      <c r="AG38" s="38"/>
      <c r="AH38" s="38"/>
      <c r="AI38" s="38"/>
    </row>
    <row r="39" spans="2:35" s="44" customFormat="1" x14ac:dyDescent="0.2">
      <c r="B39" s="43" t="s">
        <v>137</v>
      </c>
      <c r="C39" s="60">
        <f>SUM(C37:C38)</f>
        <v>3155.396655948553</v>
      </c>
      <c r="D39" s="60">
        <f t="shared" ref="D39:O39" si="11">SUM(D37:D38)</f>
        <v>3258.1029970326408</v>
      </c>
      <c r="E39" s="60">
        <f t="shared" si="11"/>
        <v>47506.595394321768</v>
      </c>
      <c r="F39" s="60">
        <f t="shared" si="11"/>
        <v>977.00676403024067</v>
      </c>
      <c r="G39" s="60">
        <f t="shared" si="11"/>
        <v>6973.0099101318483</v>
      </c>
      <c r="H39" s="60">
        <f t="shared" si="11"/>
        <v>5693.9399258648145</v>
      </c>
      <c r="I39" s="60">
        <f t="shared" si="11"/>
        <v>53031.469327586208</v>
      </c>
      <c r="J39" s="60">
        <f t="shared" si="11"/>
        <v>5397.7308857244079</v>
      </c>
      <c r="K39" s="60">
        <f t="shared" si="11"/>
        <v>531.27784060171916</v>
      </c>
      <c r="L39" s="60">
        <f t="shared" si="11"/>
        <v>5704.4091890314185</v>
      </c>
      <c r="M39" s="60">
        <f t="shared" si="11"/>
        <v>5004.1753597194975</v>
      </c>
      <c r="N39" s="60">
        <f t="shared" si="11"/>
        <v>33025.319026548677</v>
      </c>
      <c r="O39" s="60">
        <f t="shared" si="11"/>
        <v>0</v>
      </c>
      <c r="P39" s="99">
        <f t="shared" si="9"/>
        <v>170258.43327654179</v>
      </c>
      <c r="Q39" s="52"/>
      <c r="R39" s="52"/>
      <c r="S39" s="52"/>
      <c r="T39" s="52"/>
      <c r="U39" s="52"/>
      <c r="V39" s="52"/>
      <c r="W39" s="42"/>
      <c r="AC39" s="38"/>
      <c r="AD39" s="38"/>
      <c r="AE39" s="38"/>
      <c r="AF39" s="38"/>
      <c r="AG39" s="38"/>
      <c r="AH39" s="38"/>
      <c r="AI39" s="38"/>
    </row>
    <row r="40" spans="2:35" s="44" customFormat="1" x14ac:dyDescent="0.2">
      <c r="B40" s="2" t="s">
        <v>71</v>
      </c>
      <c r="C40" s="61">
        <f t="shared" ref="C40:O40" si="12">C22-C37</f>
        <v>90803.542688102883</v>
      </c>
      <c r="D40" s="61">
        <f t="shared" si="12"/>
        <v>100397.16500593473</v>
      </c>
      <c r="E40" s="61">
        <f t="shared" si="12"/>
        <v>1398234.2832113565</v>
      </c>
      <c r="F40" s="61">
        <f t="shared" si="12"/>
        <v>29225.8040247678</v>
      </c>
      <c r="G40" s="61">
        <f t="shared" si="12"/>
        <v>221662.004530504</v>
      </c>
      <c r="H40" s="61">
        <f t="shared" si="12"/>
        <v>180153.07116568051</v>
      </c>
      <c r="I40" s="61">
        <f t="shared" si="12"/>
        <v>1725500.1643448274</v>
      </c>
      <c r="J40" s="61">
        <f t="shared" si="12"/>
        <v>169509.46620895521</v>
      </c>
      <c r="K40" s="61">
        <f t="shared" si="12"/>
        <v>16099.901578796562</v>
      </c>
      <c r="L40" s="61">
        <f t="shared" si="12"/>
        <v>166522.03580981595</v>
      </c>
      <c r="M40" s="61">
        <f t="shared" si="12"/>
        <v>128077.15998561152</v>
      </c>
      <c r="N40" s="61">
        <f t="shared" si="12"/>
        <v>992163.97694690269</v>
      </c>
      <c r="O40" s="61">
        <f t="shared" si="12"/>
        <v>0</v>
      </c>
      <c r="P40" s="99">
        <f t="shared" si="9"/>
        <v>5218348.5755012557</v>
      </c>
      <c r="Q40" s="51"/>
      <c r="R40" s="51"/>
      <c r="S40" s="52"/>
      <c r="T40" s="52"/>
      <c r="U40" s="52"/>
      <c r="V40" s="52"/>
      <c r="W40" s="42"/>
      <c r="AC40" s="38"/>
      <c r="AD40" s="38"/>
      <c r="AE40" s="38"/>
      <c r="AF40" s="38"/>
      <c r="AG40" s="38"/>
      <c r="AH40" s="38"/>
      <c r="AI40" s="38"/>
    </row>
    <row r="41" spans="2:35" s="44" customFormat="1" x14ac:dyDescent="0.2">
      <c r="B41" s="2" t="s">
        <v>174</v>
      </c>
      <c r="C41" s="61">
        <f>C23-C38+C36</f>
        <v>1333.2102500000001</v>
      </c>
      <c r="D41" s="61">
        <f t="shared" ref="D41:O41" si="13">D23-D38+D36</f>
        <v>3499</v>
      </c>
      <c r="E41" s="61">
        <f t="shared" si="13"/>
        <v>17975</v>
      </c>
      <c r="F41" s="61">
        <f t="shared" si="13"/>
        <v>524.86815537878795</v>
      </c>
      <c r="G41" s="61">
        <f t="shared" si="13"/>
        <v>13376.419336924242</v>
      </c>
      <c r="H41" s="61">
        <f t="shared" si="13"/>
        <v>1284.7127369424243</v>
      </c>
      <c r="I41" s="61">
        <f t="shared" si="13"/>
        <v>18014.825978282832</v>
      </c>
      <c r="J41" s="61">
        <f t="shared" si="13"/>
        <v>595.71817469696964</v>
      </c>
      <c r="K41" s="61">
        <f t="shared" si="13"/>
        <v>302.32986999999997</v>
      </c>
      <c r="L41" s="61">
        <f t="shared" si="13"/>
        <v>2186.4251090909088</v>
      </c>
      <c r="M41" s="61">
        <f t="shared" si="13"/>
        <v>1216.3684712121212</v>
      </c>
      <c r="N41" s="61">
        <f t="shared" si="13"/>
        <v>21905.401502468689</v>
      </c>
      <c r="O41" s="61">
        <f t="shared" si="13"/>
        <v>0</v>
      </c>
      <c r="P41" s="99">
        <f t="shared" si="9"/>
        <v>82214.279584996984</v>
      </c>
      <c r="Q41" s="51"/>
      <c r="R41" s="51"/>
      <c r="S41" s="51"/>
      <c r="T41" s="51"/>
      <c r="U41" s="51"/>
      <c r="V41" s="51"/>
      <c r="W41" s="42"/>
      <c r="AC41" s="38"/>
      <c r="AD41" s="38"/>
      <c r="AE41" s="38"/>
      <c r="AF41" s="38"/>
      <c r="AG41" s="38"/>
      <c r="AH41" s="38"/>
      <c r="AI41" s="38"/>
    </row>
    <row r="42" spans="2:35" s="44" customFormat="1" x14ac:dyDescent="0.2">
      <c r="B42" s="3" t="s">
        <v>36</v>
      </c>
      <c r="C42" s="60">
        <f>SUM(C40:C41)</f>
        <v>92136.752938102887</v>
      </c>
      <c r="D42" s="60">
        <f t="shared" ref="D42:O42" si="14">SUM(D40:D41)</f>
        <v>103896.16500593473</v>
      </c>
      <c r="E42" s="60">
        <f t="shared" si="14"/>
        <v>1416209.2832113565</v>
      </c>
      <c r="F42" s="60">
        <f t="shared" si="14"/>
        <v>29750.672180146586</v>
      </c>
      <c r="G42" s="60">
        <f t="shared" si="14"/>
        <v>235038.42386742824</v>
      </c>
      <c r="H42" s="60">
        <f t="shared" si="14"/>
        <v>181437.78390262293</v>
      </c>
      <c r="I42" s="60">
        <f t="shared" si="14"/>
        <v>1743514.9903231103</v>
      </c>
      <c r="J42" s="60">
        <f t="shared" si="14"/>
        <v>170105.18438365217</v>
      </c>
      <c r="K42" s="60">
        <f t="shared" si="14"/>
        <v>16402.231448796563</v>
      </c>
      <c r="L42" s="60">
        <f t="shared" si="14"/>
        <v>168708.46091890684</v>
      </c>
      <c r="M42" s="60">
        <f t="shared" si="14"/>
        <v>129293.52845682364</v>
      </c>
      <c r="N42" s="60">
        <f t="shared" si="14"/>
        <v>1014069.3784493714</v>
      </c>
      <c r="O42" s="60">
        <f t="shared" si="14"/>
        <v>0</v>
      </c>
      <c r="P42" s="99">
        <f t="shared" si="9"/>
        <v>5300562.855086253</v>
      </c>
      <c r="Q42" s="52"/>
      <c r="R42" s="52"/>
      <c r="S42" s="52"/>
      <c r="T42" s="52"/>
      <c r="U42" s="52"/>
      <c r="V42" s="52"/>
      <c r="W42" s="42"/>
      <c r="AC42" s="38"/>
      <c r="AD42" s="38"/>
      <c r="AE42" s="38"/>
      <c r="AF42" s="38"/>
      <c r="AG42" s="38"/>
      <c r="AH42" s="38"/>
      <c r="AI42" s="38"/>
    </row>
    <row r="43" spans="2:35" s="44" customFormat="1" x14ac:dyDescent="0.2">
      <c r="B43" s="136" t="s">
        <v>138</v>
      </c>
      <c r="C43" s="60">
        <f>$P$10*C42</f>
        <v>6265.2991997909967</v>
      </c>
      <c r="D43" s="60">
        <f t="shared" ref="D43:O43" si="15">$P$10*D42</f>
        <v>7064.9392204035621</v>
      </c>
      <c r="E43" s="60">
        <f t="shared" si="15"/>
        <v>96302.231258372252</v>
      </c>
      <c r="F43" s="60">
        <f t="shared" si="15"/>
        <v>2023.0457082499681</v>
      </c>
      <c r="G43" s="60">
        <f t="shared" si="15"/>
        <v>15982.612822985122</v>
      </c>
      <c r="H43" s="60">
        <f t="shared" si="15"/>
        <v>12337.769305378361</v>
      </c>
      <c r="I43" s="60">
        <f t="shared" si="15"/>
        <v>118559.01934197151</v>
      </c>
      <c r="J43" s="60">
        <f t="shared" si="15"/>
        <v>11567.152538088349</v>
      </c>
      <c r="K43" s="60">
        <f t="shared" si="15"/>
        <v>1115.3517385181665</v>
      </c>
      <c r="L43" s="60">
        <f t="shared" si="15"/>
        <v>11472.175342485667</v>
      </c>
      <c r="M43" s="60">
        <f t="shared" si="15"/>
        <v>8791.9599350640074</v>
      </c>
      <c r="N43" s="60">
        <f t="shared" si="15"/>
        <v>68956.717734557256</v>
      </c>
      <c r="O43" s="60">
        <f t="shared" si="15"/>
        <v>0</v>
      </c>
      <c r="P43" s="99">
        <f t="shared" si="9"/>
        <v>360438.27414586523</v>
      </c>
      <c r="Q43" s="52"/>
      <c r="R43" s="52"/>
      <c r="S43" s="52"/>
      <c r="T43" s="52"/>
      <c r="U43" s="52"/>
      <c r="V43" s="52"/>
      <c r="W43" s="42"/>
      <c r="AC43" s="38"/>
      <c r="AD43" s="38"/>
      <c r="AE43" s="38"/>
      <c r="AF43" s="38"/>
      <c r="AG43" s="38"/>
      <c r="AH43" s="38"/>
      <c r="AI43" s="38"/>
    </row>
    <row r="44" spans="2:35" s="44" customFormat="1" x14ac:dyDescent="0.2">
      <c r="B44" s="44" t="s">
        <v>139</v>
      </c>
      <c r="C44" s="60">
        <f t="shared" ref="C44:O44" si="16">C39+C43</f>
        <v>9420.6958557395501</v>
      </c>
      <c r="D44" s="60">
        <f t="shared" si="16"/>
        <v>10323.042217436203</v>
      </c>
      <c r="E44" s="60">
        <f t="shared" si="16"/>
        <v>143808.82665269403</v>
      </c>
      <c r="F44" s="60">
        <f t="shared" si="16"/>
        <v>3000.0524722802088</v>
      </c>
      <c r="G44" s="60">
        <f t="shared" si="16"/>
        <v>22955.622733116972</v>
      </c>
      <c r="H44" s="60">
        <f t="shared" si="16"/>
        <v>18031.709231243174</v>
      </c>
      <c r="I44" s="60">
        <f t="shared" si="16"/>
        <v>171590.48866955773</v>
      </c>
      <c r="J44" s="60">
        <f t="shared" si="16"/>
        <v>16964.883423812757</v>
      </c>
      <c r="K44" s="60">
        <f t="shared" si="16"/>
        <v>1646.6295791198856</v>
      </c>
      <c r="L44" s="60">
        <f t="shared" si="16"/>
        <v>17176.584531517085</v>
      </c>
      <c r="M44" s="60">
        <f t="shared" si="16"/>
        <v>13796.135294783504</v>
      </c>
      <c r="N44" s="60">
        <f t="shared" si="16"/>
        <v>101982.03676110593</v>
      </c>
      <c r="O44" s="60">
        <f t="shared" si="16"/>
        <v>0</v>
      </c>
      <c r="P44" s="99">
        <f t="shared" si="9"/>
        <v>530696.70742240699</v>
      </c>
      <c r="Q44" s="52"/>
      <c r="R44" s="52"/>
      <c r="S44" s="52"/>
      <c r="T44" s="52"/>
      <c r="U44" s="52"/>
      <c r="V44" s="52"/>
      <c r="W44" s="42"/>
      <c r="AC44" s="38"/>
      <c r="AD44" s="38"/>
      <c r="AE44" s="38"/>
      <c r="AF44" s="38"/>
      <c r="AG44" s="38"/>
      <c r="AH44" s="38"/>
      <c r="AI44" s="38"/>
    </row>
    <row r="45" spans="2:35" s="44" customFormat="1" x14ac:dyDescent="0.2">
      <c r="B45" s="136" t="s">
        <v>140</v>
      </c>
      <c r="C45" s="60">
        <f>C44*(1+CPI!$D$15)</f>
        <v>9524.3235101526843</v>
      </c>
      <c r="D45" s="60">
        <f>D44*(1+CPI!$D$15)</f>
        <v>10436.595681827999</v>
      </c>
      <c r="E45" s="60">
        <f>E44*(1+CPI!$D$15)</f>
        <v>145390.72374587363</v>
      </c>
      <c r="F45" s="60">
        <f>F44*(1+CPI!$D$15)</f>
        <v>3033.0530494752907</v>
      </c>
      <c r="G45" s="60">
        <f>G44*(1+CPI!$D$15)</f>
        <v>23208.134583181258</v>
      </c>
      <c r="H45" s="60">
        <f>H44*(1+CPI!$D$15)</f>
        <v>18230.058032786848</v>
      </c>
      <c r="I45" s="60">
        <f>I44*(1+CPI!$D$15)</f>
        <v>173477.98404492284</v>
      </c>
      <c r="J45" s="60">
        <f>J44*(1+CPI!$D$15)</f>
        <v>17151.497141474694</v>
      </c>
      <c r="K45" s="60">
        <f>K44*(1+CPI!$D$15)</f>
        <v>1664.7425044902043</v>
      </c>
      <c r="L45" s="60">
        <f>L44*(1+CPI!$D$15)</f>
        <v>17365.526961363772</v>
      </c>
      <c r="M45" s="60">
        <f>M44*(1+CPI!$D$15)</f>
        <v>13947.892783026122</v>
      </c>
      <c r="N45" s="60">
        <f>N44*(1+CPI!$D$15)</f>
        <v>103103.83916547809</v>
      </c>
      <c r="O45" s="60">
        <f>O44*(1+CPI!$D$15)</f>
        <v>0</v>
      </c>
      <c r="P45" s="99">
        <f t="shared" si="9"/>
        <v>536534.3712040534</v>
      </c>
      <c r="Q45" s="52"/>
      <c r="R45" s="52"/>
      <c r="S45" s="52"/>
      <c r="T45" s="52"/>
      <c r="U45" s="52"/>
      <c r="V45" s="52"/>
      <c r="W45" s="42"/>
      <c r="AC45" s="38"/>
      <c r="AD45" s="38"/>
      <c r="AE45" s="38"/>
      <c r="AF45" s="38"/>
      <c r="AG45" s="38"/>
      <c r="AH45" s="38"/>
      <c r="AI45" s="38"/>
    </row>
    <row r="46" spans="2:35" s="44" customFormat="1" x14ac:dyDescent="0.2"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52"/>
      <c r="R46" s="52"/>
      <c r="S46" s="52"/>
      <c r="T46" s="52"/>
      <c r="U46" s="52"/>
      <c r="V46" s="52"/>
      <c r="W46" s="42"/>
      <c r="AC46" s="38"/>
      <c r="AD46" s="38"/>
      <c r="AE46" s="38"/>
      <c r="AF46" s="38"/>
      <c r="AG46" s="38"/>
      <c r="AH46" s="38"/>
      <c r="AI46" s="38"/>
    </row>
    <row r="47" spans="2:35" s="44" customFormat="1" x14ac:dyDescent="0.2">
      <c r="B47" s="72" t="s">
        <v>178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52"/>
      <c r="R47" s="52"/>
      <c r="S47" s="52"/>
      <c r="T47" s="52"/>
      <c r="U47" s="52"/>
      <c r="V47" s="52"/>
      <c r="W47" s="42"/>
      <c r="AC47" s="38"/>
      <c r="AD47" s="38"/>
      <c r="AE47" s="38"/>
      <c r="AF47" s="38"/>
      <c r="AG47" s="38"/>
      <c r="AH47" s="38"/>
      <c r="AI47" s="38"/>
    </row>
    <row r="48" spans="2:35" s="44" customFormat="1" x14ac:dyDescent="0.2">
      <c r="B48" s="1" t="s">
        <v>179</v>
      </c>
      <c r="C48" s="63">
        <v>475</v>
      </c>
      <c r="D48" s="63">
        <v>2420</v>
      </c>
      <c r="E48" s="63">
        <v>17457</v>
      </c>
      <c r="F48" s="63">
        <v>281.87646000000001</v>
      </c>
      <c r="G48" s="63">
        <v>1876.5431944009913</v>
      </c>
      <c r="H48" s="63">
        <v>1740.9918699999998</v>
      </c>
      <c r="I48" s="63">
        <v>14489.768</v>
      </c>
      <c r="J48" s="63">
        <v>795.21087</v>
      </c>
      <c r="K48" s="63">
        <v>517.125</v>
      </c>
      <c r="L48" s="63">
        <v>2490.837</v>
      </c>
      <c r="M48" s="63">
        <v>1540.0624</v>
      </c>
      <c r="N48" s="60">
        <f>SUM(Q48:V48)</f>
        <v>12872</v>
      </c>
      <c r="O48" s="63">
        <v>0</v>
      </c>
      <c r="P48" s="99">
        <f>SUM(C48:O48)</f>
        <v>56956.414794400989</v>
      </c>
      <c r="Q48" s="58">
        <v>12566</v>
      </c>
      <c r="R48" s="58">
        <v>306</v>
      </c>
      <c r="S48" s="52"/>
      <c r="T48" s="52"/>
      <c r="U48" s="52"/>
      <c r="V48" s="52"/>
      <c r="W48" s="42"/>
      <c r="AC48" s="38"/>
      <c r="AD48" s="38"/>
      <c r="AE48" s="38"/>
      <c r="AF48" s="38"/>
      <c r="AG48" s="38"/>
      <c r="AH48" s="38"/>
      <c r="AI48" s="38"/>
    </row>
    <row r="49" spans="2:35" s="44" customFormat="1" x14ac:dyDescent="0.2">
      <c r="B49" s="136" t="s">
        <v>180</v>
      </c>
      <c r="C49" s="155">
        <v>6</v>
      </c>
      <c r="D49" s="155">
        <v>27</v>
      </c>
      <c r="E49" s="155">
        <v>194</v>
      </c>
      <c r="F49" s="155">
        <v>3.169624777777778</v>
      </c>
      <c r="G49" s="155">
        <v>149.73310147819285</v>
      </c>
      <c r="H49" s="155">
        <v>22.3263288520202</v>
      </c>
      <c r="I49" s="155">
        <v>164.02500000000001</v>
      </c>
      <c r="J49" s="155">
        <v>9.2267971111111109</v>
      </c>
      <c r="K49" s="155">
        <v>11.426</v>
      </c>
      <c r="L49" s="155">
        <v>71.011378282828275</v>
      </c>
      <c r="M49" s="155">
        <v>20.964119797979798</v>
      </c>
      <c r="N49" s="155">
        <v>360</v>
      </c>
      <c r="O49" s="155">
        <v>0</v>
      </c>
      <c r="P49" s="99">
        <f>SUM(C49:O49)</f>
        <v>1038.8823502999098</v>
      </c>
      <c r="Q49" s="52"/>
      <c r="R49" s="52"/>
      <c r="S49" s="52"/>
      <c r="T49" s="52"/>
      <c r="U49" s="52"/>
      <c r="V49" s="52"/>
      <c r="W49" s="42"/>
      <c r="AC49" s="38"/>
      <c r="AD49" s="38"/>
      <c r="AE49" s="38"/>
      <c r="AF49" s="38"/>
      <c r="AG49" s="38"/>
      <c r="AH49" s="38"/>
      <c r="AI49" s="38"/>
    </row>
    <row r="50" spans="2:35" s="44" customFormat="1" x14ac:dyDescent="0.2">
      <c r="B50" s="3" t="s">
        <v>41</v>
      </c>
      <c r="C50" s="60">
        <f>C48-C49</f>
        <v>469</v>
      </c>
      <c r="D50" s="60">
        <f t="shared" ref="D50:O50" si="17">D48-D49</f>
        <v>2393</v>
      </c>
      <c r="E50" s="60">
        <f t="shared" si="17"/>
        <v>17263</v>
      </c>
      <c r="F50" s="60">
        <f t="shared" si="17"/>
        <v>278.70683522222225</v>
      </c>
      <c r="G50" s="60">
        <f t="shared" si="17"/>
        <v>1726.8100929227985</v>
      </c>
      <c r="H50" s="60">
        <f t="shared" si="17"/>
        <v>1718.6655411479796</v>
      </c>
      <c r="I50" s="60">
        <f t="shared" si="17"/>
        <v>14325.743</v>
      </c>
      <c r="J50" s="60">
        <f t="shared" si="17"/>
        <v>785.98407288888893</v>
      </c>
      <c r="K50" s="60">
        <f t="shared" si="17"/>
        <v>505.69900000000001</v>
      </c>
      <c r="L50" s="60">
        <f t="shared" si="17"/>
        <v>2419.8256217171715</v>
      </c>
      <c r="M50" s="60">
        <f t="shared" si="17"/>
        <v>1519.0982802020203</v>
      </c>
      <c r="N50" s="60">
        <f t="shared" si="17"/>
        <v>12512</v>
      </c>
      <c r="O50" s="60">
        <f t="shared" si="17"/>
        <v>0</v>
      </c>
      <c r="P50" s="99">
        <f>SUM(C50:O50)</f>
        <v>55917.532444101089</v>
      </c>
      <c r="Q50" s="52"/>
      <c r="R50" s="52"/>
      <c r="S50" s="52"/>
      <c r="T50" s="52"/>
      <c r="U50" s="52"/>
      <c r="V50" s="52"/>
      <c r="W50" s="42"/>
      <c r="AC50" s="38"/>
      <c r="AD50" s="38"/>
      <c r="AE50" s="38"/>
      <c r="AF50" s="38"/>
      <c r="AG50" s="38"/>
      <c r="AH50" s="38"/>
      <c r="AI50" s="38"/>
    </row>
    <row r="51" spans="2:35" s="44" customFormat="1" x14ac:dyDescent="0.2">
      <c r="B51" s="136" t="s">
        <v>141</v>
      </c>
      <c r="C51" s="60">
        <f>$P$10*C50</f>
        <v>31.892000000000003</v>
      </c>
      <c r="D51" s="60">
        <f t="shared" ref="D51:O51" si="18">$P$10*D50</f>
        <v>162.72400000000002</v>
      </c>
      <c r="E51" s="60">
        <f t="shared" si="18"/>
        <v>1173.884</v>
      </c>
      <c r="F51" s="60">
        <f t="shared" si="18"/>
        <v>18.952064795111113</v>
      </c>
      <c r="G51" s="60">
        <f t="shared" si="18"/>
        <v>117.42308631875031</v>
      </c>
      <c r="H51" s="60">
        <f t="shared" si="18"/>
        <v>116.86925679806262</v>
      </c>
      <c r="I51" s="60">
        <f t="shared" si="18"/>
        <v>974.15052400000013</v>
      </c>
      <c r="J51" s="60">
        <f t="shared" si="18"/>
        <v>53.446916956444454</v>
      </c>
      <c r="K51" s="60">
        <f t="shared" si="18"/>
        <v>34.387532</v>
      </c>
      <c r="L51" s="60">
        <f t="shared" si="18"/>
        <v>164.54814227676766</v>
      </c>
      <c r="M51" s="60">
        <f t="shared" si="18"/>
        <v>103.29868305373739</v>
      </c>
      <c r="N51" s="60">
        <f t="shared" si="18"/>
        <v>850.81600000000003</v>
      </c>
      <c r="O51" s="60">
        <f t="shared" si="18"/>
        <v>0</v>
      </c>
      <c r="P51" s="99">
        <f>SUM(C51:O51)</f>
        <v>3802.3922061988742</v>
      </c>
      <c r="Q51" s="52"/>
      <c r="R51" s="52"/>
      <c r="S51" s="52"/>
      <c r="T51" s="52"/>
      <c r="U51" s="52"/>
      <c r="V51" s="52"/>
      <c r="W51" s="42"/>
      <c r="AC51" s="38"/>
      <c r="AD51" s="38"/>
      <c r="AE51" s="38"/>
      <c r="AF51" s="38"/>
      <c r="AG51" s="38"/>
      <c r="AH51" s="38"/>
      <c r="AI51" s="38"/>
    </row>
    <row r="52" spans="2:35" s="44" customFormat="1" x14ac:dyDescent="0.2">
      <c r="B52" s="136" t="s">
        <v>142</v>
      </c>
      <c r="C52" s="60">
        <f t="shared" ref="C52:O52" si="19">C49+C51</f>
        <v>37.892000000000003</v>
      </c>
      <c r="D52" s="60">
        <f t="shared" si="19"/>
        <v>189.72400000000002</v>
      </c>
      <c r="E52" s="60">
        <f t="shared" si="19"/>
        <v>1367.884</v>
      </c>
      <c r="F52" s="60">
        <f t="shared" si="19"/>
        <v>22.12168957288889</v>
      </c>
      <c r="G52" s="60">
        <f t="shared" si="19"/>
        <v>267.15618779694319</v>
      </c>
      <c r="H52" s="60">
        <f t="shared" si="19"/>
        <v>139.19558565008282</v>
      </c>
      <c r="I52" s="60">
        <f t="shared" si="19"/>
        <v>1138.1755240000002</v>
      </c>
      <c r="J52" s="60">
        <f t="shared" si="19"/>
        <v>62.673714067555565</v>
      </c>
      <c r="K52" s="60">
        <f t="shared" si="19"/>
        <v>45.813532000000002</v>
      </c>
      <c r="L52" s="60">
        <f t="shared" si="19"/>
        <v>235.55952055959594</v>
      </c>
      <c r="M52" s="60">
        <f t="shared" si="19"/>
        <v>124.2628028517172</v>
      </c>
      <c r="N52" s="60">
        <f t="shared" si="19"/>
        <v>1210.816</v>
      </c>
      <c r="O52" s="60">
        <f t="shared" si="19"/>
        <v>0</v>
      </c>
      <c r="P52" s="99">
        <f>SUM(C52:O52)</f>
        <v>4841.2745564987836</v>
      </c>
      <c r="Q52" s="52"/>
      <c r="R52" s="52"/>
      <c r="S52" s="52"/>
      <c r="T52" s="52"/>
      <c r="U52" s="52"/>
      <c r="V52" s="52"/>
      <c r="W52" s="42"/>
      <c r="AC52" s="38"/>
      <c r="AD52" s="38"/>
      <c r="AE52" s="38"/>
      <c r="AF52" s="38"/>
      <c r="AG52" s="38"/>
      <c r="AH52" s="38"/>
      <c r="AI52" s="38"/>
    </row>
    <row r="53" spans="2:35" s="44" customFormat="1" x14ac:dyDescent="0.2"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52"/>
      <c r="R53" s="52"/>
      <c r="S53" s="52"/>
      <c r="T53" s="52"/>
      <c r="U53" s="52"/>
      <c r="V53" s="52"/>
      <c r="W53" s="42"/>
      <c r="AC53" s="38"/>
      <c r="AD53" s="38"/>
      <c r="AE53" s="38"/>
      <c r="AF53" s="38"/>
      <c r="AG53" s="38"/>
      <c r="AH53" s="38"/>
      <c r="AI53" s="38"/>
    </row>
    <row r="54" spans="2:35" s="44" customFormat="1" x14ac:dyDescent="0.2">
      <c r="B54" s="136" t="s">
        <v>136</v>
      </c>
      <c r="C54" s="66">
        <f t="shared" ref="C54:P54" si="20">C45+C52</f>
        <v>9562.2155101526841</v>
      </c>
      <c r="D54" s="66">
        <f t="shared" si="20"/>
        <v>10626.319681827999</v>
      </c>
      <c r="E54" s="66">
        <f t="shared" si="20"/>
        <v>146758.60774587363</v>
      </c>
      <c r="F54" s="66">
        <f t="shared" si="20"/>
        <v>3055.1747390481796</v>
      </c>
      <c r="G54" s="66">
        <f t="shared" si="20"/>
        <v>23475.290770978201</v>
      </c>
      <c r="H54" s="66">
        <f t="shared" si="20"/>
        <v>18369.253618436931</v>
      </c>
      <c r="I54" s="66">
        <f t="shared" si="20"/>
        <v>174616.15956892283</v>
      </c>
      <c r="J54" s="66">
        <f t="shared" si="20"/>
        <v>17214.170855542248</v>
      </c>
      <c r="K54" s="66">
        <f t="shared" si="20"/>
        <v>1710.5560364902042</v>
      </c>
      <c r="L54" s="66">
        <f t="shared" si="20"/>
        <v>17601.086481923368</v>
      </c>
      <c r="M54" s="66">
        <f t="shared" si="20"/>
        <v>14072.155585877839</v>
      </c>
      <c r="N54" s="66">
        <f t="shared" si="20"/>
        <v>104314.65516547809</v>
      </c>
      <c r="O54" s="66">
        <f t="shared" si="20"/>
        <v>0</v>
      </c>
      <c r="P54" s="66">
        <f t="shared" si="20"/>
        <v>541375.64576055214</v>
      </c>
      <c r="Q54" s="52"/>
      <c r="R54" s="52"/>
      <c r="S54" s="52"/>
      <c r="T54" s="52"/>
      <c r="U54" s="52"/>
      <c r="V54" s="52"/>
      <c r="W54" s="42"/>
      <c r="AC54" s="38"/>
      <c r="AD54" s="38"/>
      <c r="AE54" s="38"/>
      <c r="AF54" s="38"/>
      <c r="AG54" s="38"/>
      <c r="AH54" s="38"/>
      <c r="AI54" s="38"/>
    </row>
    <row r="55" spans="2:35" s="44" customFormat="1" x14ac:dyDescent="0.2"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52"/>
      <c r="R55" s="52"/>
      <c r="S55" s="52"/>
      <c r="T55" s="52"/>
      <c r="U55" s="52"/>
      <c r="V55" s="52"/>
      <c r="W55" s="42"/>
      <c r="AC55" s="38"/>
      <c r="AD55" s="38"/>
      <c r="AE55" s="38"/>
      <c r="AF55" s="38"/>
      <c r="AG55" s="38"/>
      <c r="AH55" s="38"/>
      <c r="AI55" s="38"/>
    </row>
    <row r="56" spans="2:35" s="44" customFormat="1" x14ac:dyDescent="0.2">
      <c r="B56" s="45" t="s">
        <v>42</v>
      </c>
      <c r="C56" s="66">
        <f t="shared" ref="C56:O56" si="21">C33+C54</f>
        <v>17011.215510152684</v>
      </c>
      <c r="D56" s="66">
        <f t="shared" si="21"/>
        <v>18804.801985318794</v>
      </c>
      <c r="E56" s="66">
        <f t="shared" si="21"/>
        <v>228873.83356746822</v>
      </c>
      <c r="F56" s="66">
        <f t="shared" si="21"/>
        <v>6192.6747390481796</v>
      </c>
      <c r="G56" s="66">
        <f t="shared" si="21"/>
        <v>30631.55165798017</v>
      </c>
      <c r="H56" s="66">
        <f t="shared" si="21"/>
        <v>27094.381895375693</v>
      </c>
      <c r="I56" s="66">
        <f t="shared" si="21"/>
        <v>266482.63099264173</v>
      </c>
      <c r="J56" s="66">
        <f t="shared" si="21"/>
        <v>24366.765505542247</v>
      </c>
      <c r="K56" s="66">
        <f t="shared" si="21"/>
        <v>3458.6450364902039</v>
      </c>
      <c r="L56" s="66">
        <f t="shared" si="21"/>
        <v>21545.920481923367</v>
      </c>
      <c r="M56" s="66">
        <f t="shared" si="21"/>
        <v>19549.730585877838</v>
      </c>
      <c r="N56" s="66">
        <f t="shared" si="21"/>
        <v>199403.65516547809</v>
      </c>
      <c r="O56" s="66">
        <f t="shared" si="21"/>
        <v>0</v>
      </c>
      <c r="P56" s="123">
        <f>SUM(C56:O56)</f>
        <v>863415.80712329724</v>
      </c>
      <c r="Q56" s="52"/>
      <c r="R56" s="52"/>
      <c r="S56" s="52"/>
      <c r="T56" s="52"/>
      <c r="U56" s="52"/>
      <c r="V56" s="52"/>
      <c r="W56" s="41"/>
      <c r="AC56" s="41"/>
      <c r="AD56" s="41"/>
      <c r="AE56" s="41"/>
      <c r="AF56" s="41"/>
      <c r="AG56" s="41"/>
      <c r="AH56" s="41"/>
      <c r="AI56" s="41"/>
    </row>
    <row r="58" spans="2:35" s="21" customFormat="1" x14ac:dyDescent="0.2">
      <c r="B58" s="20" t="s">
        <v>126</v>
      </c>
      <c r="Q58" s="27"/>
      <c r="R58" s="27"/>
      <c r="S58" s="27"/>
      <c r="T58" s="27"/>
      <c r="U58" s="27"/>
      <c r="V58" s="27"/>
    </row>
    <row r="59" spans="2:35" s="2" customFormat="1" x14ac:dyDescent="0.2">
      <c r="B59" s="43"/>
      <c r="Q59" s="53"/>
      <c r="R59" s="53"/>
      <c r="S59" s="53"/>
      <c r="T59" s="53"/>
      <c r="U59" s="53"/>
      <c r="V59" s="53"/>
    </row>
    <row r="60" spans="2:35" s="44" customFormat="1" x14ac:dyDescent="0.2">
      <c r="B60" s="136" t="s">
        <v>128</v>
      </c>
      <c r="C60" s="154">
        <v>9002</v>
      </c>
      <c r="D60" s="154">
        <v>8837.1078844672047</v>
      </c>
      <c r="E60" s="154">
        <v>86231.225976542017</v>
      </c>
      <c r="F60" s="154">
        <v>4887</v>
      </c>
      <c r="G60" s="154">
        <v>5199.9430536655118</v>
      </c>
      <c r="H60" s="154">
        <v>4223.7028408570122</v>
      </c>
      <c r="I60" s="154">
        <v>96297.473912458561</v>
      </c>
      <c r="J60" s="154">
        <v>10424</v>
      </c>
      <c r="K60" s="154">
        <v>1977.59</v>
      </c>
      <c r="L60" s="154">
        <v>5029.3630000000003</v>
      </c>
      <c r="M60" s="154">
        <v>5823.5614203566647</v>
      </c>
      <c r="N60" s="154">
        <v>87510</v>
      </c>
      <c r="O60" s="154">
        <v>0</v>
      </c>
      <c r="P60" s="99">
        <f>SUM(C60:O60)</f>
        <v>325442.968088347</v>
      </c>
      <c r="Q60" s="52"/>
      <c r="R60" s="52"/>
      <c r="S60" s="52"/>
      <c r="T60" s="52"/>
      <c r="U60" s="52"/>
      <c r="V60" s="52"/>
      <c r="W60" s="40"/>
      <c r="AC60" s="40"/>
      <c r="AD60" s="40"/>
      <c r="AE60" s="40"/>
      <c r="AF60" s="40"/>
      <c r="AG60" s="40"/>
      <c r="AH60" s="40"/>
      <c r="AI60" s="40"/>
    </row>
    <row r="61" spans="2:35" s="44" customFormat="1" x14ac:dyDescent="0.2">
      <c r="B61" s="49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52"/>
      <c r="R61" s="52"/>
      <c r="S61" s="52"/>
      <c r="T61" s="52"/>
      <c r="U61" s="52"/>
      <c r="V61" s="52"/>
      <c r="W61" s="42"/>
      <c r="AC61" s="38"/>
      <c r="AD61" s="38"/>
      <c r="AE61" s="38"/>
      <c r="AF61" s="38"/>
      <c r="AG61" s="38"/>
      <c r="AH61" s="38"/>
      <c r="AI61" s="38"/>
    </row>
    <row r="62" spans="2:35" s="44" customFormat="1" x14ac:dyDescent="0.2">
      <c r="B62" s="156" t="s">
        <v>177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52"/>
      <c r="R62" s="52"/>
      <c r="S62" s="52"/>
      <c r="T62" s="52"/>
      <c r="U62" s="52"/>
      <c r="V62" s="52"/>
      <c r="W62" s="42"/>
      <c r="AC62" s="38"/>
      <c r="AD62" s="38"/>
      <c r="AE62" s="38"/>
      <c r="AF62" s="38"/>
      <c r="AG62" s="38"/>
      <c r="AH62" s="38"/>
      <c r="AI62" s="38"/>
    </row>
    <row r="63" spans="2:35" s="44" customFormat="1" x14ac:dyDescent="0.2">
      <c r="B63" s="1" t="s">
        <v>173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-28.035</v>
      </c>
      <c r="J63" s="59">
        <v>0</v>
      </c>
      <c r="K63" s="59">
        <v>0</v>
      </c>
      <c r="L63" s="59">
        <v>-136.345</v>
      </c>
      <c r="M63" s="59">
        <v>0</v>
      </c>
      <c r="N63" s="59">
        <v>0</v>
      </c>
      <c r="O63" s="59">
        <v>0</v>
      </c>
      <c r="P63" s="99">
        <f>SUM(C63:O63)</f>
        <v>-164.38</v>
      </c>
      <c r="Q63" s="52"/>
      <c r="R63" s="52"/>
      <c r="S63" s="52"/>
      <c r="T63" s="52"/>
      <c r="U63" s="52"/>
      <c r="V63" s="52"/>
      <c r="W63" s="42"/>
      <c r="AC63" s="38"/>
      <c r="AD63" s="38"/>
      <c r="AE63" s="38"/>
      <c r="AF63" s="38"/>
      <c r="AG63" s="38"/>
      <c r="AH63" s="38"/>
      <c r="AI63" s="38"/>
    </row>
    <row r="64" spans="2:35" s="44" customFormat="1" x14ac:dyDescent="0.2">
      <c r="B64" s="44" t="s">
        <v>70</v>
      </c>
      <c r="C64" s="60">
        <f t="shared" ref="C64:O64" si="22">C7</f>
        <v>3120.396655948553</v>
      </c>
      <c r="D64" s="60">
        <f t="shared" si="22"/>
        <v>3167.1029970326408</v>
      </c>
      <c r="E64" s="60">
        <f t="shared" si="22"/>
        <v>47078.595394321768</v>
      </c>
      <c r="F64" s="60">
        <f t="shared" si="22"/>
        <v>964.54798761609925</v>
      </c>
      <c r="G64" s="60">
        <f t="shared" si="22"/>
        <v>6209.0197347480098</v>
      </c>
      <c r="H64" s="60">
        <f t="shared" si="22"/>
        <v>5665.1909171597645</v>
      </c>
      <c r="I64" s="60">
        <f t="shared" si="22"/>
        <v>52606.71232758621</v>
      </c>
      <c r="J64" s="60">
        <f t="shared" si="22"/>
        <v>5381.2528955223879</v>
      </c>
      <c r="K64" s="60">
        <f t="shared" si="22"/>
        <v>489.35871060171917</v>
      </c>
      <c r="L64" s="60">
        <f t="shared" si="22"/>
        <v>5441.8965950920247</v>
      </c>
      <c r="M64" s="60">
        <f t="shared" si="22"/>
        <v>4964.2310071942447</v>
      </c>
      <c r="N64" s="60">
        <f t="shared" si="22"/>
        <v>31102.319026548674</v>
      </c>
      <c r="O64" s="60">
        <f t="shared" si="22"/>
        <v>0</v>
      </c>
      <c r="P64" s="99">
        <f>SUM(C64:O64)</f>
        <v>166190.62424937211</v>
      </c>
      <c r="Q64" s="52"/>
      <c r="R64" s="52"/>
      <c r="S64" s="52"/>
      <c r="T64" s="52"/>
      <c r="U64" s="52"/>
      <c r="V64" s="52"/>
      <c r="W64" s="42"/>
      <c r="AC64" s="38"/>
      <c r="AD64" s="38"/>
      <c r="AE64" s="38"/>
      <c r="AF64" s="38"/>
      <c r="AG64" s="38"/>
      <c r="AH64" s="38"/>
      <c r="AI64" s="38"/>
    </row>
    <row r="65" spans="2:35" s="44" customFormat="1" x14ac:dyDescent="0.2">
      <c r="B65" s="44" t="s">
        <v>181</v>
      </c>
      <c r="C65" s="59">
        <v>35</v>
      </c>
      <c r="D65" s="59">
        <v>91</v>
      </c>
      <c r="E65" s="59">
        <v>428</v>
      </c>
      <c r="F65" s="59">
        <v>12.458776414141415</v>
      </c>
      <c r="G65" s="59">
        <v>19.240175383838384</v>
      </c>
      <c r="H65" s="59">
        <v>28.749008705050507</v>
      </c>
      <c r="I65" s="59">
        <v>424.75700000000001</v>
      </c>
      <c r="J65" s="59">
        <v>16.477990202020202</v>
      </c>
      <c r="K65" s="59">
        <v>41.9</v>
      </c>
      <c r="L65" s="59">
        <v>262.51259393939392</v>
      </c>
      <c r="M65" s="59">
        <v>39.944352525252526</v>
      </c>
      <c r="N65" s="59">
        <v>1816</v>
      </c>
      <c r="O65" s="59">
        <v>0</v>
      </c>
      <c r="P65" s="99">
        <f>SUM(C65:O65)</f>
        <v>3216.0398971696968</v>
      </c>
      <c r="Q65" s="52"/>
      <c r="R65" s="52"/>
      <c r="S65" s="52"/>
      <c r="T65" s="52"/>
      <c r="U65" s="52"/>
      <c r="V65" s="52"/>
      <c r="W65" s="42"/>
      <c r="AC65" s="38"/>
      <c r="AD65" s="38"/>
      <c r="AE65" s="38"/>
      <c r="AF65" s="38"/>
      <c r="AG65" s="38"/>
      <c r="AH65" s="38"/>
      <c r="AI65" s="38"/>
    </row>
    <row r="66" spans="2:35" s="44" customFormat="1" x14ac:dyDescent="0.2">
      <c r="B66" s="43" t="s">
        <v>137</v>
      </c>
      <c r="C66" s="60">
        <f>C64+C65</f>
        <v>3155.396655948553</v>
      </c>
      <c r="D66" s="60">
        <f t="shared" ref="D66:O66" si="23">D64+D65</f>
        <v>3258.1029970326408</v>
      </c>
      <c r="E66" s="60">
        <f t="shared" si="23"/>
        <v>47506.595394321768</v>
      </c>
      <c r="F66" s="60">
        <f t="shared" si="23"/>
        <v>977.00676403024067</v>
      </c>
      <c r="G66" s="60">
        <f t="shared" si="23"/>
        <v>6228.2599101318483</v>
      </c>
      <c r="H66" s="60">
        <f t="shared" si="23"/>
        <v>5693.9399258648145</v>
      </c>
      <c r="I66" s="60">
        <f t="shared" si="23"/>
        <v>53031.469327586208</v>
      </c>
      <c r="J66" s="60">
        <f t="shared" si="23"/>
        <v>5397.7308857244079</v>
      </c>
      <c r="K66" s="60">
        <f t="shared" si="23"/>
        <v>531.25871060171914</v>
      </c>
      <c r="L66" s="60">
        <f t="shared" si="23"/>
        <v>5704.4091890314185</v>
      </c>
      <c r="M66" s="60">
        <f t="shared" si="23"/>
        <v>5004.1753597194975</v>
      </c>
      <c r="N66" s="60">
        <f t="shared" si="23"/>
        <v>32918.319026548677</v>
      </c>
      <c r="O66" s="60">
        <f t="shared" si="23"/>
        <v>0</v>
      </c>
      <c r="P66" s="99">
        <f t="shared" ref="P66:P72" si="24">SUM(C66:O66)</f>
        <v>169406.66414654179</v>
      </c>
      <c r="Q66" s="52"/>
      <c r="R66" s="52"/>
      <c r="S66" s="52"/>
      <c r="T66" s="52"/>
      <c r="U66" s="52"/>
      <c r="V66" s="52"/>
      <c r="W66" s="42"/>
      <c r="AC66" s="38"/>
      <c r="AD66" s="38"/>
      <c r="AE66" s="38"/>
      <c r="AF66" s="38"/>
      <c r="AG66" s="38"/>
      <c r="AH66" s="38"/>
      <c r="AI66" s="38"/>
    </row>
    <row r="67" spans="2:35" s="44" customFormat="1" x14ac:dyDescent="0.2">
      <c r="B67" s="2" t="s">
        <v>71</v>
      </c>
      <c r="C67" s="61">
        <f t="shared" ref="C67:O67" si="25">C40-C64</f>
        <v>87683.146032154327</v>
      </c>
      <c r="D67" s="61">
        <f t="shared" si="25"/>
        <v>97230.062008902096</v>
      </c>
      <c r="E67" s="61">
        <f t="shared" si="25"/>
        <v>1351155.6878170348</v>
      </c>
      <c r="F67" s="61">
        <f t="shared" si="25"/>
        <v>28261.256037151699</v>
      </c>
      <c r="G67" s="61">
        <f t="shared" si="25"/>
        <v>215452.984795756</v>
      </c>
      <c r="H67" s="61">
        <f t="shared" si="25"/>
        <v>174487.88024852076</v>
      </c>
      <c r="I67" s="61">
        <f t="shared" si="25"/>
        <v>1672893.4520172412</v>
      </c>
      <c r="J67" s="61">
        <f t="shared" si="25"/>
        <v>164128.21331343282</v>
      </c>
      <c r="K67" s="61">
        <f t="shared" si="25"/>
        <v>15610.542868194843</v>
      </c>
      <c r="L67" s="61">
        <f t="shared" si="25"/>
        <v>161080.13921472392</v>
      </c>
      <c r="M67" s="61">
        <f t="shared" si="25"/>
        <v>123112.92897841727</v>
      </c>
      <c r="N67" s="61">
        <f t="shared" si="25"/>
        <v>961061.65792035405</v>
      </c>
      <c r="O67" s="61">
        <f t="shared" si="25"/>
        <v>0</v>
      </c>
      <c r="P67" s="99">
        <f t="shared" si="24"/>
        <v>5052157.9512518831</v>
      </c>
      <c r="Q67" s="52"/>
      <c r="R67" s="52"/>
      <c r="S67" s="52"/>
      <c r="T67" s="52"/>
      <c r="U67" s="52"/>
      <c r="V67" s="52"/>
      <c r="W67" s="42"/>
      <c r="AC67" s="38"/>
      <c r="AD67" s="38"/>
      <c r="AE67" s="38"/>
      <c r="AF67" s="38"/>
      <c r="AG67" s="38"/>
      <c r="AH67" s="38"/>
      <c r="AI67" s="38"/>
    </row>
    <row r="68" spans="2:35" s="44" customFormat="1" x14ac:dyDescent="0.2">
      <c r="B68" s="2" t="s">
        <v>174</v>
      </c>
      <c r="C68" s="61">
        <f>C41-C65+C63</f>
        <v>1298.2102500000001</v>
      </c>
      <c r="D68" s="61">
        <f t="shared" ref="D68:O68" si="26">D41-D65+D63</f>
        <v>3408</v>
      </c>
      <c r="E68" s="61">
        <f t="shared" si="26"/>
        <v>17547</v>
      </c>
      <c r="F68" s="61">
        <f t="shared" si="26"/>
        <v>512.40937896464652</v>
      </c>
      <c r="G68" s="61">
        <f t="shared" si="26"/>
        <v>13357.179161540404</v>
      </c>
      <c r="H68" s="61">
        <f t="shared" si="26"/>
        <v>1255.9637282373737</v>
      </c>
      <c r="I68" s="61">
        <f t="shared" si="26"/>
        <v>17562.033978282831</v>
      </c>
      <c r="J68" s="61">
        <f t="shared" si="26"/>
        <v>579.2401844949494</v>
      </c>
      <c r="K68" s="61">
        <f t="shared" si="26"/>
        <v>260.42986999999999</v>
      </c>
      <c r="L68" s="61">
        <f t="shared" si="26"/>
        <v>1787.567515151515</v>
      </c>
      <c r="M68" s="61">
        <f t="shared" si="26"/>
        <v>1176.4241186868687</v>
      </c>
      <c r="N68" s="61">
        <f t="shared" si="26"/>
        <v>20089.401502468689</v>
      </c>
      <c r="O68" s="61">
        <f t="shared" si="26"/>
        <v>0</v>
      </c>
      <c r="P68" s="99">
        <f t="shared" si="24"/>
        <v>78833.85968782728</v>
      </c>
      <c r="Q68" s="52"/>
      <c r="R68" s="52"/>
      <c r="S68" s="52"/>
      <c r="T68" s="52"/>
      <c r="U68" s="52"/>
      <c r="V68" s="52"/>
      <c r="W68" s="42"/>
      <c r="AC68" s="38"/>
      <c r="AD68" s="38"/>
      <c r="AE68" s="38"/>
      <c r="AF68" s="38"/>
      <c r="AG68" s="38"/>
      <c r="AH68" s="38"/>
      <c r="AI68" s="38"/>
    </row>
    <row r="69" spans="2:35" s="44" customFormat="1" x14ac:dyDescent="0.2">
      <c r="B69" s="3" t="s">
        <v>36</v>
      </c>
      <c r="C69" s="61">
        <f>C67+C68</f>
        <v>88981.356282154331</v>
      </c>
      <c r="D69" s="61">
        <f t="shared" ref="D69:O69" si="27">D67+D68</f>
        <v>100638.0620089021</v>
      </c>
      <c r="E69" s="61">
        <f t="shared" si="27"/>
        <v>1368702.6878170348</v>
      </c>
      <c r="F69" s="61">
        <f t="shared" si="27"/>
        <v>28773.665416116346</v>
      </c>
      <c r="G69" s="61">
        <f t="shared" si="27"/>
        <v>228810.1639572964</v>
      </c>
      <c r="H69" s="61">
        <f t="shared" si="27"/>
        <v>175743.84397675813</v>
      </c>
      <c r="I69" s="61">
        <f t="shared" si="27"/>
        <v>1690455.4859955241</v>
      </c>
      <c r="J69" s="61">
        <f t="shared" si="27"/>
        <v>164707.45349792778</v>
      </c>
      <c r="K69" s="61">
        <f t="shared" si="27"/>
        <v>15870.972738194843</v>
      </c>
      <c r="L69" s="61">
        <f t="shared" si="27"/>
        <v>162867.70672987544</v>
      </c>
      <c r="M69" s="61">
        <f t="shared" si="27"/>
        <v>124289.35309710415</v>
      </c>
      <c r="N69" s="61">
        <f t="shared" si="27"/>
        <v>981151.05942282279</v>
      </c>
      <c r="O69" s="61">
        <f t="shared" si="27"/>
        <v>0</v>
      </c>
      <c r="P69" s="99">
        <f t="shared" si="24"/>
        <v>5130991.8109397115</v>
      </c>
      <c r="Q69" s="52"/>
      <c r="R69" s="52"/>
      <c r="S69" s="52"/>
      <c r="T69" s="52"/>
      <c r="U69" s="52"/>
      <c r="V69" s="52"/>
      <c r="W69" s="42"/>
      <c r="AC69" s="38"/>
      <c r="AD69" s="38"/>
      <c r="AE69" s="38"/>
      <c r="AF69" s="38"/>
      <c r="AG69" s="38"/>
      <c r="AH69" s="38"/>
      <c r="AI69" s="38"/>
    </row>
    <row r="70" spans="2:35" s="44" customFormat="1" x14ac:dyDescent="0.2">
      <c r="B70" s="136" t="s">
        <v>138</v>
      </c>
      <c r="C70" s="60">
        <f>$P$10*C69</f>
        <v>6050.732227186495</v>
      </c>
      <c r="D70" s="60">
        <f t="shared" ref="D70:O70" si="28">$P$10*D69</f>
        <v>6843.3882166053427</v>
      </c>
      <c r="E70" s="60">
        <f t="shared" si="28"/>
        <v>93071.78277155837</v>
      </c>
      <c r="F70" s="60">
        <f t="shared" si="28"/>
        <v>1956.6092482959116</v>
      </c>
      <c r="G70" s="60">
        <f t="shared" si="28"/>
        <v>15559.091149096157</v>
      </c>
      <c r="H70" s="60">
        <f t="shared" si="28"/>
        <v>11950.581390419553</v>
      </c>
      <c r="I70" s="60">
        <f t="shared" si="28"/>
        <v>114950.97304769565</v>
      </c>
      <c r="J70" s="60">
        <f t="shared" si="28"/>
        <v>11200.10683785909</v>
      </c>
      <c r="K70" s="60">
        <f t="shared" si="28"/>
        <v>1079.2261461972494</v>
      </c>
      <c r="L70" s="60">
        <f t="shared" si="28"/>
        <v>11075.004057631531</v>
      </c>
      <c r="M70" s="60">
        <f t="shared" si="28"/>
        <v>8451.6760106030833</v>
      </c>
      <c r="N70" s="60">
        <f t="shared" si="28"/>
        <v>66718.272040751952</v>
      </c>
      <c r="O70" s="60">
        <f t="shared" si="28"/>
        <v>0</v>
      </c>
      <c r="P70" s="99">
        <f t="shared" si="24"/>
        <v>348907.44314390037</v>
      </c>
      <c r="Q70" s="52"/>
      <c r="R70" s="52"/>
      <c r="S70" s="52"/>
      <c r="T70" s="52"/>
      <c r="U70" s="52"/>
      <c r="V70" s="52"/>
      <c r="W70" s="42"/>
      <c r="AC70" s="38"/>
      <c r="AD70" s="38"/>
      <c r="AE70" s="38"/>
      <c r="AF70" s="38"/>
      <c r="AG70" s="38"/>
      <c r="AH70" s="38"/>
      <c r="AI70" s="38"/>
    </row>
    <row r="71" spans="2:35" s="44" customFormat="1" x14ac:dyDescent="0.2">
      <c r="B71" s="44" t="s">
        <v>139</v>
      </c>
      <c r="C71" s="60">
        <f>C66+C70</f>
        <v>9206.1288831350485</v>
      </c>
      <c r="D71" s="60">
        <f t="shared" ref="D71:O71" si="29">D66+D70</f>
        <v>10101.491213637983</v>
      </c>
      <c r="E71" s="60">
        <f t="shared" si="29"/>
        <v>140578.37816588013</v>
      </c>
      <c r="F71" s="60">
        <f t="shared" si="29"/>
        <v>2933.6160123261525</v>
      </c>
      <c r="G71" s="60">
        <f t="shared" si="29"/>
        <v>21787.351059228007</v>
      </c>
      <c r="H71" s="60">
        <f t="shared" si="29"/>
        <v>17644.521316284368</v>
      </c>
      <c r="I71" s="60">
        <f t="shared" si="29"/>
        <v>167982.44237528185</v>
      </c>
      <c r="J71" s="60">
        <f t="shared" si="29"/>
        <v>16597.8377235835</v>
      </c>
      <c r="K71" s="60">
        <f t="shared" si="29"/>
        <v>1610.4848567989684</v>
      </c>
      <c r="L71" s="60">
        <f t="shared" si="29"/>
        <v>16779.413246662949</v>
      </c>
      <c r="M71" s="60">
        <f t="shared" si="29"/>
        <v>13455.85137032258</v>
      </c>
      <c r="N71" s="60">
        <f t="shared" si="29"/>
        <v>99636.591067300629</v>
      </c>
      <c r="O71" s="60">
        <f t="shared" si="29"/>
        <v>0</v>
      </c>
      <c r="P71" s="99">
        <f t="shared" si="24"/>
        <v>518314.10729044216</v>
      </c>
      <c r="Q71" s="52"/>
      <c r="R71" s="52"/>
      <c r="S71" s="52"/>
      <c r="T71" s="52"/>
      <c r="U71" s="52"/>
      <c r="V71" s="52"/>
      <c r="W71" s="42"/>
      <c r="AC71" s="38"/>
      <c r="AD71" s="38"/>
      <c r="AE71" s="38"/>
      <c r="AF71" s="38"/>
      <c r="AG71" s="38"/>
      <c r="AH71" s="38"/>
      <c r="AI71" s="38"/>
    </row>
    <row r="72" spans="2:35" s="44" customFormat="1" x14ac:dyDescent="0.2">
      <c r="B72" s="136" t="s">
        <v>143</v>
      </c>
      <c r="C72" s="60">
        <f>C71*(1+CPI!$D$16)</f>
        <v>9474.9294342648245</v>
      </c>
      <c r="D72" s="60">
        <f>D71*(1+CPI!$D$16)</f>
        <v>10396.434554093783</v>
      </c>
      <c r="E72" s="60">
        <f>E71*(1+CPI!$D$16)</f>
        <v>144682.98565156746</v>
      </c>
      <c r="F72" s="60">
        <f>F71*(1+CPI!$D$16)</f>
        <v>3019.271732654051</v>
      </c>
      <c r="G72" s="60">
        <f>G71*(1+CPI!$D$16)</f>
        <v>22423.498135455342</v>
      </c>
      <c r="H72" s="60">
        <f>H71*(1+CPI!$D$16)</f>
        <v>18159.706049677236</v>
      </c>
      <c r="I72" s="60">
        <f>I71*(1+CPI!$D$16)</f>
        <v>172887.19372775531</v>
      </c>
      <c r="J72" s="60">
        <f>J71*(1+CPI!$D$16)</f>
        <v>17082.461389436688</v>
      </c>
      <c r="K72" s="60">
        <f>K71*(1+CPI!$D$16)</f>
        <v>1657.5077936477844</v>
      </c>
      <c r="L72" s="60">
        <f>L71*(1+CPI!$D$16)</f>
        <v>17269.338554639013</v>
      </c>
      <c r="M72" s="60">
        <f>M71*(1+CPI!$D$16)</f>
        <v>13848.735318633257</v>
      </c>
      <c r="N72" s="60">
        <f>N71*(1+CPI!$D$16)</f>
        <v>102545.78025328365</v>
      </c>
      <c r="O72" s="60">
        <f>O71*(1+CPI!$D$16)</f>
        <v>0</v>
      </c>
      <c r="P72" s="99">
        <f t="shared" si="24"/>
        <v>533447.84259510844</v>
      </c>
      <c r="Q72" s="52"/>
      <c r="R72" s="52"/>
      <c r="S72" s="52"/>
      <c r="T72" s="52"/>
      <c r="U72" s="52"/>
      <c r="V72" s="52"/>
      <c r="W72" s="42"/>
      <c r="AC72" s="38"/>
      <c r="AD72" s="38"/>
      <c r="AE72" s="38"/>
      <c r="AF72" s="38"/>
      <c r="AG72" s="38"/>
      <c r="AH72" s="38"/>
      <c r="AI72" s="38"/>
    </row>
    <row r="73" spans="2:35" s="44" customFormat="1" x14ac:dyDescent="0.2">
      <c r="B73" s="156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52"/>
      <c r="R73" s="52"/>
      <c r="S73" s="52"/>
      <c r="T73" s="52"/>
      <c r="U73" s="52"/>
      <c r="V73" s="52"/>
      <c r="W73" s="42"/>
      <c r="AC73" s="38"/>
      <c r="AD73" s="38"/>
      <c r="AE73" s="38"/>
      <c r="AF73" s="38"/>
      <c r="AG73" s="38"/>
      <c r="AH73" s="38"/>
      <c r="AI73" s="38"/>
    </row>
    <row r="74" spans="2:35" s="44" customFormat="1" x14ac:dyDescent="0.2">
      <c r="B74" s="72" t="s">
        <v>178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52"/>
      <c r="R74" s="52"/>
      <c r="S74" s="52"/>
      <c r="T74" s="52"/>
      <c r="U74" s="52"/>
      <c r="V74" s="52"/>
      <c r="W74" s="42"/>
      <c r="AC74" s="38"/>
      <c r="AD74" s="38"/>
      <c r="AE74" s="38"/>
      <c r="AF74" s="38"/>
      <c r="AG74" s="38"/>
      <c r="AH74" s="38"/>
      <c r="AI74" s="38"/>
    </row>
    <row r="75" spans="2:35" s="44" customFormat="1" x14ac:dyDescent="0.2">
      <c r="B75" s="1" t="s">
        <v>179</v>
      </c>
      <c r="C75" s="59"/>
      <c r="D75" s="59"/>
      <c r="E75" s="59"/>
      <c r="F75" s="59"/>
      <c r="G75" s="59"/>
      <c r="H75" s="59"/>
      <c r="I75" s="59"/>
      <c r="J75" s="59"/>
      <c r="K75" s="59"/>
      <c r="L75" s="59">
        <v>-204.714</v>
      </c>
      <c r="M75" s="59"/>
      <c r="N75" s="59"/>
      <c r="O75" s="59"/>
      <c r="P75" s="99">
        <f t="shared" ref="P75:P80" si="30">SUM(C75:O75)</f>
        <v>-204.714</v>
      </c>
      <c r="Q75" s="52"/>
      <c r="R75" s="52"/>
      <c r="S75" s="52"/>
      <c r="T75" s="52"/>
      <c r="U75" s="52"/>
      <c r="V75" s="52"/>
      <c r="W75" s="42"/>
      <c r="AC75" s="38"/>
      <c r="AD75" s="38"/>
      <c r="AE75" s="38"/>
      <c r="AF75" s="38"/>
      <c r="AG75" s="38"/>
      <c r="AH75" s="38"/>
      <c r="AI75" s="38"/>
    </row>
    <row r="76" spans="2:35" s="44" customFormat="1" x14ac:dyDescent="0.2">
      <c r="B76" s="136" t="s">
        <v>180</v>
      </c>
      <c r="C76" s="59">
        <v>12</v>
      </c>
      <c r="D76" s="59">
        <v>54</v>
      </c>
      <c r="E76" s="59">
        <v>388</v>
      </c>
      <c r="F76" s="59">
        <v>6.3392495555555559</v>
      </c>
      <c r="G76" s="59">
        <v>299.4662029563857</v>
      </c>
      <c r="H76" s="59">
        <v>44.652657704040401</v>
      </c>
      <c r="I76" s="59">
        <v>323.36700000000002</v>
      </c>
      <c r="J76" s="59">
        <v>18.453594222222222</v>
      </c>
      <c r="K76" s="59">
        <v>22.852</v>
      </c>
      <c r="L76" s="59">
        <v>142.02275656565655</v>
      </c>
      <c r="M76" s="59">
        <v>41.928239595959596</v>
      </c>
      <c r="N76" s="59">
        <v>720</v>
      </c>
      <c r="O76" s="59">
        <v>0</v>
      </c>
      <c r="P76" s="99">
        <f t="shared" si="30"/>
        <v>2073.0817005998197</v>
      </c>
      <c r="Q76" s="52"/>
      <c r="R76" s="52"/>
      <c r="S76" s="52"/>
      <c r="T76" s="52"/>
      <c r="U76" s="52"/>
      <c r="V76" s="52"/>
      <c r="W76" s="42"/>
      <c r="AC76" s="38"/>
      <c r="AD76" s="38"/>
      <c r="AE76" s="38"/>
      <c r="AF76" s="38"/>
      <c r="AG76" s="38"/>
      <c r="AH76" s="38"/>
      <c r="AI76" s="38"/>
    </row>
    <row r="77" spans="2:35" s="44" customFormat="1" x14ac:dyDescent="0.2">
      <c r="B77" s="3" t="s">
        <v>41</v>
      </c>
      <c r="C77" s="60">
        <f>C50-C76+C75</f>
        <v>457</v>
      </c>
      <c r="D77" s="60">
        <f t="shared" ref="D77:O77" si="31">D50-D76+D75</f>
        <v>2339</v>
      </c>
      <c r="E77" s="60">
        <f t="shared" si="31"/>
        <v>16875</v>
      </c>
      <c r="F77" s="60">
        <f t="shared" si="31"/>
        <v>272.36758566666668</v>
      </c>
      <c r="G77" s="60">
        <f t="shared" si="31"/>
        <v>1427.3438899664129</v>
      </c>
      <c r="H77" s="60">
        <f t="shared" si="31"/>
        <v>1674.0128834439392</v>
      </c>
      <c r="I77" s="60">
        <f t="shared" si="31"/>
        <v>14002.376</v>
      </c>
      <c r="J77" s="60">
        <f t="shared" si="31"/>
        <v>767.53047866666668</v>
      </c>
      <c r="K77" s="60">
        <f t="shared" si="31"/>
        <v>482.84700000000004</v>
      </c>
      <c r="L77" s="60">
        <f t="shared" si="31"/>
        <v>2073.0888651515152</v>
      </c>
      <c r="M77" s="60">
        <f t="shared" si="31"/>
        <v>1477.1700406060606</v>
      </c>
      <c r="N77" s="60">
        <f t="shared" si="31"/>
        <v>11792</v>
      </c>
      <c r="O77" s="60">
        <f t="shared" si="31"/>
        <v>0</v>
      </c>
      <c r="P77" s="99">
        <f t="shared" si="30"/>
        <v>53639.736743501264</v>
      </c>
      <c r="Q77" s="52"/>
      <c r="R77" s="52"/>
      <c r="S77" s="52"/>
      <c r="T77" s="52"/>
      <c r="U77" s="52"/>
      <c r="V77" s="52"/>
      <c r="W77" s="42"/>
      <c r="AC77" s="38"/>
      <c r="AD77" s="38"/>
      <c r="AE77" s="38"/>
      <c r="AF77" s="38"/>
      <c r="AG77" s="38"/>
      <c r="AH77" s="38"/>
      <c r="AI77" s="38"/>
    </row>
    <row r="78" spans="2:35" s="44" customFormat="1" x14ac:dyDescent="0.2">
      <c r="B78" s="136" t="s">
        <v>141</v>
      </c>
      <c r="C78" s="60">
        <f>$P$10*C77</f>
        <v>31.076000000000001</v>
      </c>
      <c r="D78" s="60">
        <f t="shared" ref="D78:O78" si="32">$P$10*D77</f>
        <v>159.05200000000002</v>
      </c>
      <c r="E78" s="60">
        <f t="shared" si="32"/>
        <v>1147.5</v>
      </c>
      <c r="F78" s="60">
        <f t="shared" si="32"/>
        <v>18.520995825333337</v>
      </c>
      <c r="G78" s="60">
        <f t="shared" si="32"/>
        <v>97.059384517716083</v>
      </c>
      <c r="H78" s="60">
        <f t="shared" si="32"/>
        <v>113.83287607418788</v>
      </c>
      <c r="I78" s="60">
        <f t="shared" si="32"/>
        <v>952.1615680000001</v>
      </c>
      <c r="J78" s="60">
        <f t="shared" si="32"/>
        <v>52.192072549333339</v>
      </c>
      <c r="K78" s="60">
        <f t="shared" si="32"/>
        <v>32.833596000000007</v>
      </c>
      <c r="L78" s="60">
        <f t="shared" si="32"/>
        <v>140.97004283030304</v>
      </c>
      <c r="M78" s="60">
        <f t="shared" si="32"/>
        <v>100.44756276121213</v>
      </c>
      <c r="N78" s="60">
        <f t="shared" si="32"/>
        <v>801.85600000000011</v>
      </c>
      <c r="O78" s="60">
        <f t="shared" si="32"/>
        <v>0</v>
      </c>
      <c r="P78" s="99">
        <f t="shared" si="30"/>
        <v>3647.5020985580863</v>
      </c>
      <c r="Q78" s="52"/>
      <c r="R78" s="52"/>
      <c r="S78" s="52"/>
      <c r="T78" s="52"/>
      <c r="U78" s="52"/>
      <c r="V78" s="52"/>
      <c r="W78" s="42"/>
      <c r="AC78" s="38"/>
      <c r="AD78" s="38"/>
      <c r="AE78" s="38"/>
      <c r="AF78" s="38"/>
      <c r="AG78" s="38"/>
      <c r="AH78" s="38"/>
      <c r="AI78" s="38"/>
    </row>
    <row r="79" spans="2:35" s="44" customFormat="1" x14ac:dyDescent="0.2">
      <c r="B79" s="2" t="s">
        <v>142</v>
      </c>
      <c r="C79" s="60">
        <f>C76+C78</f>
        <v>43.076000000000001</v>
      </c>
      <c r="D79" s="60">
        <f t="shared" ref="D79:O79" si="33">D76+D78</f>
        <v>213.05200000000002</v>
      </c>
      <c r="E79" s="60">
        <f t="shared" si="33"/>
        <v>1535.5</v>
      </c>
      <c r="F79" s="60">
        <f t="shared" si="33"/>
        <v>24.860245380888891</v>
      </c>
      <c r="G79" s="60">
        <f t="shared" si="33"/>
        <v>396.52558747410177</v>
      </c>
      <c r="H79" s="60">
        <f t="shared" si="33"/>
        <v>158.48553377822827</v>
      </c>
      <c r="I79" s="60">
        <f t="shared" si="33"/>
        <v>1275.5285680000002</v>
      </c>
      <c r="J79" s="60">
        <f t="shared" si="33"/>
        <v>70.645666771555568</v>
      </c>
      <c r="K79" s="60">
        <f t="shared" si="33"/>
        <v>55.685596000000004</v>
      </c>
      <c r="L79" s="60">
        <f t="shared" si="33"/>
        <v>282.99279939595959</v>
      </c>
      <c r="M79" s="60">
        <f t="shared" si="33"/>
        <v>142.37580235717172</v>
      </c>
      <c r="N79" s="60">
        <f t="shared" si="33"/>
        <v>1521.8560000000002</v>
      </c>
      <c r="O79" s="60">
        <f t="shared" si="33"/>
        <v>0</v>
      </c>
      <c r="P79" s="99">
        <f t="shared" si="30"/>
        <v>5720.5837991579065</v>
      </c>
      <c r="Q79" s="52"/>
      <c r="R79" s="52"/>
      <c r="S79" s="52"/>
      <c r="T79" s="52"/>
      <c r="U79" s="52"/>
      <c r="V79" s="52"/>
      <c r="W79" s="42"/>
      <c r="AC79" s="38"/>
      <c r="AD79" s="38"/>
      <c r="AE79" s="38"/>
      <c r="AF79" s="38"/>
      <c r="AG79" s="38"/>
      <c r="AH79" s="38"/>
      <c r="AI79" s="38"/>
    </row>
    <row r="80" spans="2:35" s="44" customFormat="1" x14ac:dyDescent="0.2">
      <c r="B80" s="136" t="s">
        <v>144</v>
      </c>
      <c r="C80" s="60">
        <f>C79*(1+CPI!$E$16)</f>
        <v>43.851368000000001</v>
      </c>
      <c r="D80" s="60">
        <f>D79*(1+CPI!$E$16)</f>
        <v>216.88693600000002</v>
      </c>
      <c r="E80" s="60">
        <f>E79*(1+CPI!$E$16)</f>
        <v>1563.1390000000001</v>
      </c>
      <c r="F80" s="60">
        <f>F79*(1+CPI!$E$16)</f>
        <v>25.307729797744891</v>
      </c>
      <c r="G80" s="60">
        <f>G79*(1+CPI!$E$16)</f>
        <v>403.66304804863563</v>
      </c>
      <c r="H80" s="60">
        <f>H79*(1+CPI!$E$16)</f>
        <v>161.33827338623638</v>
      </c>
      <c r="I80" s="60">
        <f>I79*(1+CPI!$E$16)</f>
        <v>1298.4880822240002</v>
      </c>
      <c r="J80" s="60">
        <f>J79*(1+CPI!$E$16)</f>
        <v>71.917288773443573</v>
      </c>
      <c r="K80" s="60">
        <f>K79*(1+CPI!$E$16)</f>
        <v>56.687936728000004</v>
      </c>
      <c r="L80" s="60">
        <f>L79*(1+CPI!$E$16)</f>
        <v>288.08666978508688</v>
      </c>
      <c r="M80" s="60">
        <f>M79*(1+CPI!$E$16)</f>
        <v>144.93856679960081</v>
      </c>
      <c r="N80" s="60">
        <f>N79*(1+CPI!$E$16)</f>
        <v>1549.2494080000004</v>
      </c>
      <c r="O80" s="60">
        <f>O79*(1+CPI!$E$16)</f>
        <v>0</v>
      </c>
      <c r="P80" s="99">
        <f t="shared" si="30"/>
        <v>5823.5543075427495</v>
      </c>
      <c r="Q80" s="52"/>
      <c r="R80" s="52"/>
      <c r="S80" s="52"/>
      <c r="T80" s="52"/>
      <c r="U80" s="52"/>
      <c r="V80" s="52"/>
      <c r="W80" s="42"/>
      <c r="AC80" s="38"/>
      <c r="AD80" s="38"/>
      <c r="AE80" s="38"/>
      <c r="AF80" s="38"/>
      <c r="AG80" s="38"/>
      <c r="AH80" s="38"/>
      <c r="AI80" s="38"/>
    </row>
    <row r="81" spans="2:35" s="44" customFormat="1" x14ac:dyDescent="0.2">
      <c r="B81" s="156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52"/>
      <c r="R81" s="52"/>
      <c r="S81" s="52"/>
      <c r="T81" s="52"/>
      <c r="U81" s="52"/>
      <c r="V81" s="52"/>
      <c r="W81" s="42"/>
      <c r="AC81" s="38"/>
      <c r="AD81" s="38"/>
      <c r="AE81" s="38"/>
      <c r="AF81" s="38"/>
      <c r="AG81" s="38"/>
      <c r="AH81" s="38"/>
      <c r="AI81" s="38"/>
    </row>
    <row r="82" spans="2:35" s="44" customFormat="1" x14ac:dyDescent="0.2">
      <c r="B82" s="72" t="s">
        <v>182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52"/>
      <c r="R82" s="52"/>
      <c r="S82" s="52"/>
      <c r="T82" s="52"/>
      <c r="U82" s="52"/>
      <c r="V82" s="52"/>
      <c r="W82" s="42"/>
      <c r="AC82" s="38"/>
      <c r="AD82" s="38"/>
      <c r="AE82" s="38"/>
      <c r="AF82" s="38"/>
      <c r="AG82" s="38"/>
      <c r="AH82" s="38"/>
      <c r="AI82" s="38"/>
    </row>
    <row r="83" spans="2:35" s="44" customFormat="1" x14ac:dyDescent="0.2">
      <c r="B83" s="1" t="s">
        <v>183</v>
      </c>
      <c r="C83" s="59">
        <v>388</v>
      </c>
      <c r="D83" s="59">
        <v>519</v>
      </c>
      <c r="E83" s="59">
        <v>28372</v>
      </c>
      <c r="F83" s="59">
        <v>285.39106000000004</v>
      </c>
      <c r="G83" s="59">
        <v>1414.8122800000001</v>
      </c>
      <c r="H83" s="59">
        <v>1473.1436899999999</v>
      </c>
      <c r="I83" s="59">
        <v>16352.74</v>
      </c>
      <c r="J83" s="59">
        <v>941.57684999999992</v>
      </c>
      <c r="K83" s="59">
        <v>639.4</v>
      </c>
      <c r="L83" s="59">
        <v>3504.2639999999997</v>
      </c>
      <c r="M83" s="59">
        <v>2298.002</v>
      </c>
      <c r="N83" s="59">
        <v>26283</v>
      </c>
      <c r="O83" s="59">
        <v>0</v>
      </c>
      <c r="P83" s="99">
        <f t="shared" ref="P83:P91" si="34">SUM(C83:O83)</f>
        <v>82471.329880000005</v>
      </c>
      <c r="Q83" s="52"/>
      <c r="R83" s="52"/>
      <c r="S83" s="52"/>
      <c r="T83" s="52"/>
      <c r="U83" s="52"/>
      <c r="V83" s="52"/>
      <c r="W83" s="42"/>
      <c r="AC83" s="38"/>
      <c r="AD83" s="38"/>
      <c r="AE83" s="38"/>
      <c r="AF83" s="38"/>
      <c r="AG83" s="38"/>
      <c r="AH83" s="38"/>
      <c r="AI83" s="38"/>
    </row>
    <row r="84" spans="2:35" s="44" customFormat="1" x14ac:dyDescent="0.2">
      <c r="B84" s="136" t="s">
        <v>184</v>
      </c>
      <c r="C84" s="59">
        <v>5</v>
      </c>
      <c r="D84" s="59">
        <v>5</v>
      </c>
      <c r="E84" s="59">
        <v>326.06384335396297</v>
      </c>
      <c r="F84" s="59">
        <v>3.1706062222222227</v>
      </c>
      <c r="G84" s="59">
        <v>129.2757123989899</v>
      </c>
      <c r="H84" s="59">
        <v>18.643204669696971</v>
      </c>
      <c r="I84" s="59">
        <v>185.65100000000001</v>
      </c>
      <c r="J84" s="59">
        <v>10.902170555555555</v>
      </c>
      <c r="K84" s="59">
        <v>30.19</v>
      </c>
      <c r="L84" s="59">
        <v>175.17234393939393</v>
      </c>
      <c r="M84" s="59">
        <v>41.964235858585859</v>
      </c>
      <c r="N84" s="59">
        <v>600</v>
      </c>
      <c r="O84" s="59">
        <v>0</v>
      </c>
      <c r="P84" s="99">
        <f t="shared" si="34"/>
        <v>1531.0331169984074</v>
      </c>
      <c r="Q84" s="52"/>
      <c r="R84" s="52"/>
      <c r="S84" s="52"/>
      <c r="T84" s="52"/>
      <c r="U84" s="52"/>
      <c r="V84" s="52"/>
      <c r="W84" s="42"/>
      <c r="AC84" s="38"/>
      <c r="AD84" s="38"/>
      <c r="AE84" s="38"/>
      <c r="AF84" s="38"/>
      <c r="AG84" s="38"/>
      <c r="AH84" s="38"/>
      <c r="AI84" s="38"/>
    </row>
    <row r="85" spans="2:35" s="44" customFormat="1" x14ac:dyDescent="0.2">
      <c r="B85" s="3" t="s">
        <v>44</v>
      </c>
      <c r="C85" s="60">
        <f>C83-C84</f>
        <v>383</v>
      </c>
      <c r="D85" s="60">
        <f t="shared" ref="D85:O85" si="35">D83-D84</f>
        <v>514</v>
      </c>
      <c r="E85" s="60">
        <f t="shared" si="35"/>
        <v>28045.936156646036</v>
      </c>
      <c r="F85" s="60">
        <f t="shared" si="35"/>
        <v>282.22045377777783</v>
      </c>
      <c r="G85" s="60">
        <f t="shared" si="35"/>
        <v>1285.5365676010101</v>
      </c>
      <c r="H85" s="60">
        <f t="shared" si="35"/>
        <v>1454.5004853303028</v>
      </c>
      <c r="I85" s="60">
        <f t="shared" si="35"/>
        <v>16167.089</v>
      </c>
      <c r="J85" s="60">
        <f t="shared" si="35"/>
        <v>930.67467944444434</v>
      </c>
      <c r="K85" s="60">
        <f t="shared" si="35"/>
        <v>609.20999999999992</v>
      </c>
      <c r="L85" s="60">
        <f t="shared" si="35"/>
        <v>3329.0916560606056</v>
      </c>
      <c r="M85" s="60">
        <f t="shared" si="35"/>
        <v>2256.0377641414143</v>
      </c>
      <c r="N85" s="60">
        <f t="shared" si="35"/>
        <v>25683</v>
      </c>
      <c r="O85" s="60">
        <f t="shared" si="35"/>
        <v>0</v>
      </c>
      <c r="P85" s="99">
        <f t="shared" si="34"/>
        <v>80940.296763001592</v>
      </c>
      <c r="Q85" s="52"/>
      <c r="R85" s="52"/>
      <c r="S85" s="52"/>
      <c r="T85" s="52"/>
      <c r="U85" s="52"/>
      <c r="V85" s="52"/>
      <c r="W85" s="42"/>
      <c r="AC85" s="38"/>
      <c r="AD85" s="38"/>
      <c r="AE85" s="38"/>
      <c r="AF85" s="38"/>
      <c r="AG85" s="38"/>
      <c r="AH85" s="38"/>
      <c r="AI85" s="38"/>
    </row>
    <row r="86" spans="2:35" s="44" customFormat="1" x14ac:dyDescent="0.2">
      <c r="B86" s="136" t="s">
        <v>145</v>
      </c>
      <c r="C86" s="60">
        <f>$P$10*C85</f>
        <v>26.044</v>
      </c>
      <c r="D86" s="60">
        <f t="shared" ref="D86:O86" si="36">$P$10*D85</f>
        <v>34.952000000000005</v>
      </c>
      <c r="E86" s="60">
        <f t="shared" si="36"/>
        <v>1907.1236586519306</v>
      </c>
      <c r="F86" s="60">
        <f t="shared" si="36"/>
        <v>19.190990856888895</v>
      </c>
      <c r="G86" s="60">
        <f t="shared" si="36"/>
        <v>87.416486596868694</v>
      </c>
      <c r="H86" s="60">
        <f t="shared" si="36"/>
        <v>98.906033002460603</v>
      </c>
      <c r="I86" s="60">
        <f t="shared" si="36"/>
        <v>1099.3620520000002</v>
      </c>
      <c r="J86" s="60">
        <f t="shared" si="36"/>
        <v>63.285878202222221</v>
      </c>
      <c r="K86" s="60">
        <f t="shared" si="36"/>
        <v>41.426279999999998</v>
      </c>
      <c r="L86" s="60">
        <f t="shared" si="36"/>
        <v>226.3782326121212</v>
      </c>
      <c r="M86" s="60">
        <f t="shared" si="36"/>
        <v>153.41056796161618</v>
      </c>
      <c r="N86" s="60">
        <f t="shared" si="36"/>
        <v>1746.4440000000002</v>
      </c>
      <c r="O86" s="60">
        <f t="shared" si="36"/>
        <v>0</v>
      </c>
      <c r="P86" s="99">
        <f t="shared" si="34"/>
        <v>5503.9401798841091</v>
      </c>
      <c r="Q86" s="52"/>
      <c r="R86" s="52"/>
      <c r="S86" s="52"/>
      <c r="T86" s="52"/>
      <c r="U86" s="52"/>
      <c r="V86" s="52"/>
      <c r="W86" s="42"/>
      <c r="AC86" s="38"/>
      <c r="AD86" s="38"/>
      <c r="AE86" s="38"/>
      <c r="AF86" s="38"/>
      <c r="AG86" s="38"/>
      <c r="AH86" s="38"/>
      <c r="AI86" s="38"/>
    </row>
    <row r="87" spans="2:35" s="44" customFormat="1" x14ac:dyDescent="0.2">
      <c r="B87" s="136" t="s">
        <v>146</v>
      </c>
      <c r="C87" s="60">
        <f>C84+C86</f>
        <v>31.044</v>
      </c>
      <c r="D87" s="60">
        <f t="shared" ref="D87:O87" si="37">D84+D86</f>
        <v>39.952000000000005</v>
      </c>
      <c r="E87" s="60">
        <f t="shared" si="37"/>
        <v>2233.1875020058933</v>
      </c>
      <c r="F87" s="60">
        <f t="shared" si="37"/>
        <v>22.361597079111117</v>
      </c>
      <c r="G87" s="60">
        <f t="shared" si="37"/>
        <v>216.69219899585858</v>
      </c>
      <c r="H87" s="60">
        <f t="shared" si="37"/>
        <v>117.54923767215757</v>
      </c>
      <c r="I87" s="60">
        <f t="shared" si="37"/>
        <v>1285.0130520000002</v>
      </c>
      <c r="J87" s="60">
        <f t="shared" si="37"/>
        <v>74.188048757777779</v>
      </c>
      <c r="K87" s="60">
        <f t="shared" si="37"/>
        <v>71.616280000000003</v>
      </c>
      <c r="L87" s="60">
        <f t="shared" si="37"/>
        <v>401.55057655151512</v>
      </c>
      <c r="M87" s="60">
        <f t="shared" si="37"/>
        <v>195.37480382020203</v>
      </c>
      <c r="N87" s="60">
        <f t="shared" si="37"/>
        <v>2346.4440000000004</v>
      </c>
      <c r="O87" s="60">
        <f t="shared" si="37"/>
        <v>0</v>
      </c>
      <c r="P87" s="99">
        <f t="shared" si="34"/>
        <v>7034.9732968825165</v>
      </c>
      <c r="Q87" s="52"/>
      <c r="R87" s="52"/>
      <c r="S87" s="52"/>
      <c r="T87" s="52"/>
      <c r="U87" s="52"/>
      <c r="V87" s="52"/>
      <c r="W87" s="42"/>
      <c r="AC87" s="38"/>
      <c r="AD87" s="38"/>
      <c r="AE87" s="38"/>
      <c r="AF87" s="38"/>
      <c r="AG87" s="38"/>
      <c r="AH87" s="38"/>
      <c r="AI87" s="38"/>
    </row>
    <row r="89" spans="2:35" s="44" customFormat="1" x14ac:dyDescent="0.2">
      <c r="B89" s="136" t="s">
        <v>147</v>
      </c>
      <c r="C89" s="66">
        <f>C72+C80+C87</f>
        <v>9549.824802264824</v>
      </c>
      <c r="D89" s="66">
        <f t="shared" ref="D89:O89" si="38">D72+D80+D87</f>
        <v>10653.273490093783</v>
      </c>
      <c r="E89" s="66">
        <f t="shared" si="38"/>
        <v>148479.31215357335</v>
      </c>
      <c r="F89" s="66">
        <f t="shared" si="38"/>
        <v>3066.9410595309068</v>
      </c>
      <c r="G89" s="66">
        <f t="shared" si="38"/>
        <v>23043.853382499834</v>
      </c>
      <c r="H89" s="66">
        <f t="shared" si="38"/>
        <v>18438.59356073563</v>
      </c>
      <c r="I89" s="66">
        <f t="shared" si="38"/>
        <v>175470.69486197931</v>
      </c>
      <c r="J89" s="66">
        <f t="shared" si="38"/>
        <v>17228.566726967907</v>
      </c>
      <c r="K89" s="66">
        <f t="shared" si="38"/>
        <v>1785.8120103757844</v>
      </c>
      <c r="L89" s="66">
        <f t="shared" si="38"/>
        <v>17958.975800975615</v>
      </c>
      <c r="M89" s="66">
        <f t="shared" si="38"/>
        <v>14189.048689253061</v>
      </c>
      <c r="N89" s="66">
        <f t="shared" si="38"/>
        <v>106441.47366128366</v>
      </c>
      <c r="O89" s="66">
        <f t="shared" si="38"/>
        <v>0</v>
      </c>
      <c r="P89" s="66">
        <f t="shared" si="34"/>
        <v>546306.37019953365</v>
      </c>
      <c r="Q89" s="52"/>
      <c r="R89" s="52"/>
      <c r="S89" s="52"/>
      <c r="T89" s="52"/>
      <c r="U89" s="52"/>
      <c r="V89" s="52"/>
      <c r="W89" s="42"/>
      <c r="AC89" s="38"/>
      <c r="AD89" s="38"/>
      <c r="AE89" s="38"/>
      <c r="AF89" s="38"/>
      <c r="AG89" s="38"/>
      <c r="AH89" s="38"/>
      <c r="AI89" s="38"/>
    </row>
    <row r="90" spans="2:35" s="44" customFormat="1" x14ac:dyDescent="0.2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52"/>
      <c r="R90" s="52"/>
      <c r="S90" s="52"/>
      <c r="T90" s="52"/>
      <c r="U90" s="52"/>
      <c r="V90" s="52"/>
      <c r="W90" s="42"/>
      <c r="AC90" s="38"/>
      <c r="AD90" s="38"/>
      <c r="AE90" s="38"/>
      <c r="AF90" s="38"/>
      <c r="AG90" s="38"/>
      <c r="AH90" s="38"/>
      <c r="AI90" s="38"/>
    </row>
    <row r="91" spans="2:35" s="44" customFormat="1" x14ac:dyDescent="0.2">
      <c r="B91" s="45" t="s">
        <v>46</v>
      </c>
      <c r="C91" s="66">
        <f t="shared" ref="C91:O91" si="39">C60+C89</f>
        <v>18551.824802264826</v>
      </c>
      <c r="D91" s="66">
        <f t="shared" si="39"/>
        <v>19490.381374560988</v>
      </c>
      <c r="E91" s="66">
        <f t="shared" si="39"/>
        <v>234710.53813011537</v>
      </c>
      <c r="F91" s="66">
        <f t="shared" si="39"/>
        <v>7953.9410595309073</v>
      </c>
      <c r="G91" s="66">
        <f t="shared" si="39"/>
        <v>28243.796436165347</v>
      </c>
      <c r="H91" s="66">
        <f t="shared" si="39"/>
        <v>22662.296401592641</v>
      </c>
      <c r="I91" s="66">
        <f t="shared" si="39"/>
        <v>271768.16877443786</v>
      </c>
      <c r="J91" s="66">
        <f t="shared" si="39"/>
        <v>27652.566726967907</v>
      </c>
      <c r="K91" s="66">
        <f t="shared" si="39"/>
        <v>3763.4020103757844</v>
      </c>
      <c r="L91" s="66">
        <f t="shared" si="39"/>
        <v>22988.338800975616</v>
      </c>
      <c r="M91" s="66">
        <f t="shared" si="39"/>
        <v>20012.610109609726</v>
      </c>
      <c r="N91" s="66">
        <f t="shared" si="39"/>
        <v>193951.47366128367</v>
      </c>
      <c r="O91" s="66">
        <f t="shared" si="39"/>
        <v>0</v>
      </c>
      <c r="P91" s="66">
        <f t="shared" si="34"/>
        <v>871749.33828788064</v>
      </c>
      <c r="Q91" s="52"/>
      <c r="R91" s="52"/>
      <c r="S91" s="52"/>
      <c r="T91" s="52"/>
      <c r="U91" s="52"/>
      <c r="V91" s="52"/>
      <c r="W91" s="41"/>
      <c r="AC91" s="41"/>
      <c r="AD91" s="41"/>
      <c r="AE91" s="41"/>
      <c r="AF91" s="41"/>
      <c r="AG91" s="41"/>
      <c r="AH91" s="41"/>
      <c r="AI91" s="41"/>
    </row>
    <row r="93" spans="2:35" s="21" customFormat="1" x14ac:dyDescent="0.2">
      <c r="B93" s="20" t="s">
        <v>127</v>
      </c>
      <c r="Q93" s="27"/>
      <c r="R93" s="27"/>
      <c r="S93" s="27"/>
      <c r="T93" s="27"/>
      <c r="U93" s="27"/>
      <c r="V93" s="27"/>
    </row>
    <row r="95" spans="2:35" x14ac:dyDescent="0.2">
      <c r="B95" s="45" t="s">
        <v>185</v>
      </c>
      <c r="C95" s="57">
        <v>0</v>
      </c>
      <c r="D95" s="57">
        <v>1091.5384391055477</v>
      </c>
      <c r="E95" s="57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85.908372499999984</v>
      </c>
      <c r="O95" s="57">
        <v>1053.3791275000001</v>
      </c>
      <c r="P95" s="99">
        <f>SUM(C95:O95)</f>
        <v>2230.8259391055481</v>
      </c>
    </row>
    <row r="97" spans="2:35" x14ac:dyDescent="0.2">
      <c r="B97" s="48" t="s">
        <v>40</v>
      </c>
      <c r="C97" s="62">
        <f>C60+C95</f>
        <v>9002</v>
      </c>
      <c r="D97" s="62">
        <f>D60+D95</f>
        <v>9928.6463235727533</v>
      </c>
      <c r="E97" s="62">
        <f t="shared" ref="E97:O97" si="40">E60+E95</f>
        <v>86231.225976542017</v>
      </c>
      <c r="F97" s="62">
        <f t="shared" si="40"/>
        <v>4887</v>
      </c>
      <c r="G97" s="62">
        <f t="shared" si="40"/>
        <v>5199.9430536655118</v>
      </c>
      <c r="H97" s="62">
        <f t="shared" si="40"/>
        <v>4223.7028408570122</v>
      </c>
      <c r="I97" s="62">
        <f t="shared" si="40"/>
        <v>96297.473912458561</v>
      </c>
      <c r="J97" s="62">
        <f t="shared" si="40"/>
        <v>10424</v>
      </c>
      <c r="K97" s="62">
        <f t="shared" si="40"/>
        <v>1977.59</v>
      </c>
      <c r="L97" s="62">
        <f t="shared" si="40"/>
        <v>5029.3630000000003</v>
      </c>
      <c r="M97" s="62">
        <f t="shared" si="40"/>
        <v>5823.5614203566647</v>
      </c>
      <c r="N97" s="62">
        <f t="shared" si="40"/>
        <v>87595.908372499995</v>
      </c>
      <c r="O97" s="62">
        <f t="shared" si="40"/>
        <v>1053.3791275000001</v>
      </c>
      <c r="P97" s="99">
        <f>SUM(C97:O97)</f>
        <v>327673.79402745253</v>
      </c>
    </row>
    <row r="99" spans="2:35" x14ac:dyDescent="0.2">
      <c r="B99" s="72" t="s">
        <v>186</v>
      </c>
    </row>
    <row r="100" spans="2:35" s="44" customFormat="1" x14ac:dyDescent="0.2">
      <c r="B100" s="2" t="s">
        <v>188</v>
      </c>
      <c r="C100" s="59"/>
      <c r="D100" s="59">
        <v>11304.802723444445</v>
      </c>
      <c r="E100" s="59"/>
      <c r="F100" s="59"/>
      <c r="G100" s="59"/>
      <c r="H100" s="59"/>
      <c r="I100" s="59"/>
      <c r="J100" s="59"/>
      <c r="K100" s="59"/>
      <c r="L100" s="59"/>
      <c r="M100" s="59"/>
      <c r="N100" s="60">
        <f>SUM(Q100:R100)</f>
        <v>339.23826374999993</v>
      </c>
      <c r="O100" s="59">
        <v>44840.596487556941</v>
      </c>
      <c r="P100" s="99">
        <f t="shared" ref="P100:P112" si="41">SUM(C100:O100)</f>
        <v>56484.637474751384</v>
      </c>
      <c r="Q100" s="67">
        <v>339.23826374999993</v>
      </c>
      <c r="R100" s="67"/>
      <c r="S100" s="52"/>
      <c r="T100" s="52"/>
      <c r="U100" s="52"/>
      <c r="V100" s="52"/>
      <c r="W100" s="42"/>
      <c r="AC100" s="38"/>
      <c r="AD100" s="38"/>
      <c r="AE100" s="38"/>
      <c r="AF100" s="38"/>
      <c r="AG100" s="38"/>
      <c r="AH100" s="38"/>
      <c r="AI100" s="38"/>
    </row>
    <row r="101" spans="2:35" x14ac:dyDescent="0.2">
      <c r="B101" s="1" t="s">
        <v>187</v>
      </c>
      <c r="C101" s="63">
        <v>0</v>
      </c>
      <c r="D101" s="63">
        <v>0</v>
      </c>
      <c r="E101" s="63">
        <v>0</v>
      </c>
      <c r="F101" s="63">
        <v>0</v>
      </c>
      <c r="G101" s="63">
        <v>0</v>
      </c>
      <c r="H101" s="63">
        <v>0</v>
      </c>
      <c r="I101" s="63">
        <v>0</v>
      </c>
      <c r="J101" s="63">
        <v>0</v>
      </c>
      <c r="K101" s="63">
        <v>0</v>
      </c>
      <c r="L101" s="63">
        <v>0</v>
      </c>
      <c r="M101" s="63">
        <v>0</v>
      </c>
      <c r="N101" s="63">
        <v>0</v>
      </c>
      <c r="O101" s="63">
        <v>41.211769999999994</v>
      </c>
      <c r="P101" s="99">
        <f t="shared" si="41"/>
        <v>41.211769999999994</v>
      </c>
    </row>
    <row r="102" spans="2:35" x14ac:dyDescent="0.2">
      <c r="B102" s="136" t="s">
        <v>189</v>
      </c>
      <c r="C102" s="63"/>
      <c r="D102" s="63">
        <v>244.21601955712333</v>
      </c>
      <c r="E102" s="63">
        <v>0</v>
      </c>
      <c r="F102" s="63"/>
      <c r="G102" s="63"/>
      <c r="H102" s="63"/>
      <c r="I102" s="63"/>
      <c r="J102" s="63"/>
      <c r="K102" s="63"/>
      <c r="L102" s="63"/>
      <c r="M102" s="63"/>
      <c r="N102" s="60">
        <f>SUM(Q102:R102)</f>
        <v>7.1014720378272242</v>
      </c>
      <c r="O102" s="63">
        <v>998.97948068336632</v>
      </c>
      <c r="P102" s="99">
        <f t="shared" si="41"/>
        <v>1250.2969722783168</v>
      </c>
      <c r="Q102" s="67">
        <v>7.1014720378272242</v>
      </c>
      <c r="R102" s="58"/>
    </row>
    <row r="103" spans="2:35" x14ac:dyDescent="0.2">
      <c r="B103" s="3" t="s">
        <v>190</v>
      </c>
      <c r="C103" s="61">
        <f>C100-C102+C101</f>
        <v>0</v>
      </c>
      <c r="D103" s="61">
        <f t="shared" ref="D103:O103" si="42">D100-D102+D101</f>
        <v>11060.586703887322</v>
      </c>
      <c r="E103" s="61">
        <f t="shared" si="42"/>
        <v>0</v>
      </c>
      <c r="F103" s="61">
        <f t="shared" si="42"/>
        <v>0</v>
      </c>
      <c r="G103" s="61">
        <f t="shared" si="42"/>
        <v>0</v>
      </c>
      <c r="H103" s="61">
        <f t="shared" si="42"/>
        <v>0</v>
      </c>
      <c r="I103" s="61">
        <f t="shared" si="42"/>
        <v>0</v>
      </c>
      <c r="J103" s="61">
        <f t="shared" si="42"/>
        <v>0</v>
      </c>
      <c r="K103" s="61">
        <f t="shared" si="42"/>
        <v>0</v>
      </c>
      <c r="L103" s="61">
        <f t="shared" si="42"/>
        <v>0</v>
      </c>
      <c r="M103" s="61">
        <f t="shared" si="42"/>
        <v>0</v>
      </c>
      <c r="N103" s="61">
        <f t="shared" si="42"/>
        <v>332.13679171217268</v>
      </c>
      <c r="O103" s="61">
        <f t="shared" si="42"/>
        <v>43882.828776873575</v>
      </c>
      <c r="P103" s="99">
        <f t="shared" si="41"/>
        <v>55275.552272473069</v>
      </c>
    </row>
    <row r="104" spans="2:35" x14ac:dyDescent="0.2">
      <c r="B104" s="136"/>
    </row>
    <row r="105" spans="2:35" x14ac:dyDescent="0.2">
      <c r="B105" s="2" t="s">
        <v>148</v>
      </c>
      <c r="C105" s="61">
        <f>C69*(1+CPI!$D$16)*$P$11</f>
        <v>5036.8688657584362</v>
      </c>
      <c r="D105" s="61">
        <f>D69*(1+CPI!$D$16)*$P$11</f>
        <v>5696.7070678890905</v>
      </c>
      <c r="E105" s="61">
        <f>E69*(1+CPI!$D$16)*$P$11</f>
        <v>77476.633789275395</v>
      </c>
      <c r="F105" s="61">
        <f>F69*(1+CPI!$D$16)*$P$11</f>
        <v>1628.7589394414858</v>
      </c>
      <c r="G105" s="61">
        <f>G69*(1+CPI!$D$16)*$P$11</f>
        <v>12952.002971848684</v>
      </c>
      <c r="H105" s="61">
        <f>H69*(1+CPI!$D$16)*$P$11</f>
        <v>9948.1367003255327</v>
      </c>
      <c r="I105" s="61">
        <f>I69*(1+CPI!$D$16)*$P$11</f>
        <v>95689.737290159173</v>
      </c>
      <c r="J105" s="61">
        <f>J69*(1+CPI!$D$16)*$P$11</f>
        <v>9323.4119948838143</v>
      </c>
      <c r="K105" s="61">
        <f>K69*(1+CPI!$D$16)*$P$11</f>
        <v>898.3905370112559</v>
      </c>
      <c r="L105" s="61">
        <f>L69*(1+CPI!$D$16)*$P$11</f>
        <v>9219.2714917035883</v>
      </c>
      <c r="M105" s="61">
        <f>M69*(1+CPI!$D$16)*$P$11</f>
        <v>7035.5094495858357</v>
      </c>
      <c r="N105" s="61">
        <f>N69*(1+CPI!$D$16)*$P$11</f>
        <v>55538.928943071762</v>
      </c>
      <c r="O105" s="61">
        <f>O69*(1+CPI!$D$16)*$P$11</f>
        <v>0</v>
      </c>
      <c r="P105" s="99">
        <f t="shared" si="41"/>
        <v>290444.35804095404</v>
      </c>
    </row>
    <row r="106" spans="2:35" x14ac:dyDescent="0.2">
      <c r="B106" s="2" t="s">
        <v>149</v>
      </c>
      <c r="C106" s="61">
        <f>C77*(1+CPI!$E$16)*$P$11</f>
        <v>25.587430000000001</v>
      </c>
      <c r="D106" s="61">
        <f>D77*(1+CPI!$E$16)*$P$11</f>
        <v>130.96061</v>
      </c>
      <c r="E106" s="61">
        <f>E77*(1+CPI!$E$16)*$P$11</f>
        <v>944.83124999999995</v>
      </c>
      <c r="F106" s="61">
        <f>F77*(1+CPI!$E$16)*$P$11</f>
        <v>15.24986112147667</v>
      </c>
      <c r="G106" s="61">
        <f>G77*(1+CPI!$E$16)*$P$11</f>
        <v>79.916984399219459</v>
      </c>
      <c r="H106" s="61">
        <f>H77*(1+CPI!$E$16)*$P$11</f>
        <v>93.727981344026162</v>
      </c>
      <c r="I106" s="61">
        <f>I77*(1+CPI!$E$16)*$P$11</f>
        <v>783.99303223999993</v>
      </c>
      <c r="J106" s="61">
        <f>J77*(1+CPI!$E$16)*$P$11</f>
        <v>42.974031500546666</v>
      </c>
      <c r="K106" s="61">
        <f>K77*(1+CPI!$E$16)*$P$11</f>
        <v>27.034603530000005</v>
      </c>
      <c r="L106" s="61">
        <f>L77*(1+CPI!$E$16)*$P$11</f>
        <v>116.07224555983335</v>
      </c>
      <c r="M106" s="61">
        <f>M77*(1+CPI!$E$16)*$P$11</f>
        <v>82.706750573533341</v>
      </c>
      <c r="N106" s="61">
        <f>N77*(1+CPI!$E$16)*$P$11</f>
        <v>660.23407999999995</v>
      </c>
      <c r="O106" s="61">
        <f>O77*(1+CPI!$E$16)*$P$11</f>
        <v>0</v>
      </c>
      <c r="P106" s="99">
        <f t="shared" si="41"/>
        <v>3003.2888602686353</v>
      </c>
    </row>
    <row r="107" spans="2:35" x14ac:dyDescent="0.2">
      <c r="B107" s="2" t="s">
        <v>150</v>
      </c>
      <c r="C107" s="61">
        <f>(C85+C103)*$P$11</f>
        <v>21.065000000000001</v>
      </c>
      <c r="D107" s="61">
        <f t="shared" ref="D107:O107" si="43">(D85+D103)*$P$11</f>
        <v>636.60226871380269</v>
      </c>
      <c r="E107" s="61">
        <f t="shared" si="43"/>
        <v>1542.5264886155319</v>
      </c>
      <c r="F107" s="61">
        <f t="shared" si="43"/>
        <v>15.52212495777778</v>
      </c>
      <c r="G107" s="61">
        <f t="shared" si="43"/>
        <v>70.704511218055558</v>
      </c>
      <c r="H107" s="61">
        <f t="shared" si="43"/>
        <v>79.997526693166648</v>
      </c>
      <c r="I107" s="61">
        <f t="shared" si="43"/>
        <v>889.18989499999998</v>
      </c>
      <c r="J107" s="61">
        <f t="shared" si="43"/>
        <v>51.187107369444441</v>
      </c>
      <c r="K107" s="61">
        <f t="shared" si="43"/>
        <v>33.506549999999997</v>
      </c>
      <c r="L107" s="61">
        <f t="shared" si="43"/>
        <v>183.10004108333331</v>
      </c>
      <c r="M107" s="61">
        <f t="shared" si="43"/>
        <v>124.08207702777779</v>
      </c>
      <c r="N107" s="61">
        <f t="shared" si="43"/>
        <v>1430.8325235441694</v>
      </c>
      <c r="O107" s="61">
        <f t="shared" si="43"/>
        <v>2413.5555827280468</v>
      </c>
      <c r="P107" s="99">
        <f t="shared" si="41"/>
        <v>7491.8716969511052</v>
      </c>
    </row>
    <row r="108" spans="2:35" x14ac:dyDescent="0.2">
      <c r="B108" s="1" t="s">
        <v>151</v>
      </c>
      <c r="C108" s="61">
        <f>SUM(C105:C107)</f>
        <v>5083.5212957584354</v>
      </c>
      <c r="D108" s="61">
        <f t="shared" ref="D108:O108" si="44">SUM(D105:D107)</f>
        <v>6464.2699466028935</v>
      </c>
      <c r="E108" s="61">
        <f t="shared" si="44"/>
        <v>79963.991527890932</v>
      </c>
      <c r="F108" s="61">
        <f t="shared" si="44"/>
        <v>1659.5309255207403</v>
      </c>
      <c r="G108" s="61">
        <f t="shared" si="44"/>
        <v>13102.624467465957</v>
      </c>
      <c r="H108" s="61">
        <f t="shared" si="44"/>
        <v>10121.862208362725</v>
      </c>
      <c r="I108" s="61">
        <f t="shared" si="44"/>
        <v>97362.92021739918</v>
      </c>
      <c r="J108" s="61">
        <f t="shared" si="44"/>
        <v>9417.5731337538055</v>
      </c>
      <c r="K108" s="61">
        <f t="shared" si="44"/>
        <v>958.93169054125588</v>
      </c>
      <c r="L108" s="61">
        <f t="shared" si="44"/>
        <v>9518.4437783467547</v>
      </c>
      <c r="M108" s="61">
        <f t="shared" si="44"/>
        <v>7242.2982771871466</v>
      </c>
      <c r="N108" s="61">
        <f t="shared" si="44"/>
        <v>57629.99554661593</v>
      </c>
      <c r="O108" s="61">
        <f t="shared" si="44"/>
        <v>2413.5555827280468</v>
      </c>
      <c r="P108" s="99">
        <f t="shared" si="41"/>
        <v>300939.5185981738</v>
      </c>
    </row>
    <row r="109" spans="2:35" x14ac:dyDescent="0.2">
      <c r="B109" s="2"/>
    </row>
    <row r="110" spans="2:35" x14ac:dyDescent="0.2">
      <c r="B110" s="1" t="s">
        <v>43</v>
      </c>
      <c r="C110" s="61">
        <f>C66*(1+CPI!$D$16)+C76*(1+CPI!$E$16)+C84+C102</f>
        <v>3264.7439275089382</v>
      </c>
      <c r="D110" s="61">
        <f>D66*(1+CPI!$D$16)+D76*(1+CPI!$E$16)+D84+D102</f>
        <v>3657.421107897123</v>
      </c>
      <c r="E110" s="61">
        <f>E66*(1+CPI!$D$16)+E76*(1+CPI!$E$16)+E84+E102</f>
        <v>49614.74080999913</v>
      </c>
      <c r="F110" s="61">
        <f>F66*(1+CPI!$D$16)+F76*(1+CPI!$E$16)+F84+F102</f>
        <v>1015.1573697961733</v>
      </c>
      <c r="G110" s="61">
        <f>G66*(1+CPI!$D$16)+G76*(1+CPI!$E$16)+G84+G102</f>
        <v>6844.2449499964669</v>
      </c>
      <c r="H110" s="61">
        <f>H66*(1+CPI!$D$16)+H76*(1+CPI!$E$16)+H84+H102</f>
        <v>5924.2911940326248</v>
      </c>
      <c r="I110" s="61">
        <f>I66*(1+CPI!$D$16)+I76*(1+CPI!$E$16)+I84+I102</f>
        <v>55094.720775013062</v>
      </c>
      <c r="J110" s="61">
        <f>J66*(1+CPI!$D$16)+J76*(1+CPI!$E$16)+J84+J102</f>
        <v>5585.0217615995653</v>
      </c>
      <c r="K110" s="61">
        <f>K66*(1+CPI!$D$16)+K76*(1+CPI!$E$16)+K84+K102</f>
        <v>600.22373843386811</v>
      </c>
      <c r="L110" s="61">
        <f>L66*(1+CPI!$D$16)+L76*(1+CPI!$E$16)+L84+L102</f>
        <v>6190.7180386559885</v>
      </c>
      <c r="M110" s="61">
        <f>M66*(1+CPI!$D$16)+M76*(1+CPI!$E$16)+M84+M102</f>
        <v>5234.9344556398601</v>
      </c>
      <c r="N110" s="61">
        <f>N66*(1+CPI!$D$16)+N76*(1+CPI!$E$16)+N84+N102</f>
        <v>35219.529577523666</v>
      </c>
      <c r="O110" s="61">
        <f>O66*(1+CPI!$D$16)+O76*(1+CPI!$E$16)+O84+O102</f>
        <v>998.97948068336632</v>
      </c>
      <c r="P110" s="99">
        <f t="shared" si="41"/>
        <v>179244.72718677984</v>
      </c>
    </row>
    <row r="112" spans="2:35" x14ac:dyDescent="0.2">
      <c r="B112" s="48" t="s">
        <v>45</v>
      </c>
      <c r="C112" s="66">
        <f>C108+C110</f>
        <v>8348.2652232673736</v>
      </c>
      <c r="D112" s="66">
        <f t="shared" ref="D112:O112" si="45">D108+D110</f>
        <v>10121.691054500017</v>
      </c>
      <c r="E112" s="66">
        <f t="shared" si="45"/>
        <v>129578.73233789006</v>
      </c>
      <c r="F112" s="66">
        <f t="shared" si="45"/>
        <v>2674.6882953169134</v>
      </c>
      <c r="G112" s="66">
        <f t="shared" si="45"/>
        <v>19946.869417462425</v>
      </c>
      <c r="H112" s="66">
        <f t="shared" si="45"/>
        <v>16046.15340239535</v>
      </c>
      <c r="I112" s="66">
        <f t="shared" si="45"/>
        <v>152457.64099241223</v>
      </c>
      <c r="J112" s="66">
        <f t="shared" si="45"/>
        <v>15002.59489535337</v>
      </c>
      <c r="K112" s="66">
        <f t="shared" si="45"/>
        <v>1559.1554289751239</v>
      </c>
      <c r="L112" s="66">
        <f t="shared" si="45"/>
        <v>15709.161817002743</v>
      </c>
      <c r="M112" s="66">
        <f t="shared" si="45"/>
        <v>12477.232732827008</v>
      </c>
      <c r="N112" s="66">
        <f t="shared" si="45"/>
        <v>92849.525124139589</v>
      </c>
      <c r="O112" s="66">
        <f t="shared" si="45"/>
        <v>3412.5350634114129</v>
      </c>
      <c r="P112" s="66">
        <f t="shared" si="41"/>
        <v>480184.24578495353</v>
      </c>
    </row>
    <row r="114" spans="2:16" x14ac:dyDescent="0.2">
      <c r="B114" s="45" t="s">
        <v>46</v>
      </c>
      <c r="C114" s="66">
        <f t="shared" ref="C114:O114" si="46">C97+C112</f>
        <v>17350.265223267372</v>
      </c>
      <c r="D114" s="66">
        <f t="shared" si="46"/>
        <v>20050.337378072771</v>
      </c>
      <c r="E114" s="66">
        <f t="shared" si="46"/>
        <v>215809.95831443206</v>
      </c>
      <c r="F114" s="66">
        <f t="shared" si="46"/>
        <v>7561.6882953169134</v>
      </c>
      <c r="G114" s="66">
        <f t="shared" si="46"/>
        <v>25146.812471127938</v>
      </c>
      <c r="H114" s="66">
        <f t="shared" si="46"/>
        <v>20269.856243252361</v>
      </c>
      <c r="I114" s="66">
        <f t="shared" si="46"/>
        <v>248755.1149048708</v>
      </c>
      <c r="J114" s="66">
        <f t="shared" si="46"/>
        <v>25426.59489535337</v>
      </c>
      <c r="K114" s="66">
        <f t="shared" si="46"/>
        <v>3536.745428975124</v>
      </c>
      <c r="L114" s="66">
        <f t="shared" si="46"/>
        <v>20738.524817002744</v>
      </c>
      <c r="M114" s="66">
        <f t="shared" si="46"/>
        <v>18300.794153183673</v>
      </c>
      <c r="N114" s="66">
        <f t="shared" si="46"/>
        <v>180445.4334966396</v>
      </c>
      <c r="O114" s="66">
        <f t="shared" si="46"/>
        <v>4465.9141909114132</v>
      </c>
      <c r="P114" s="123">
        <f>SUM(C114:O114)</f>
        <v>807858.03981240618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5"/>
  <dimension ref="B2:U60"/>
  <sheetViews>
    <sheetView showGridLines="0" zoomScale="85" zoomScaleNormal="85" workbookViewId="0"/>
  </sheetViews>
  <sheetFormatPr defaultRowHeight="12.75" x14ac:dyDescent="0.2"/>
  <cols>
    <col min="1" max="1" width="9.140625" style="1"/>
    <col min="2" max="2" width="35.7109375" style="1" bestFit="1" customWidth="1"/>
    <col min="3" max="3" width="10.28515625" style="1" bestFit="1" customWidth="1"/>
    <col min="4" max="4" width="10.42578125" style="1" bestFit="1" customWidth="1"/>
    <col min="5" max="5" width="11.28515625" style="1" bestFit="1" customWidth="1"/>
    <col min="6" max="8" width="10.42578125" style="1" bestFit="1" customWidth="1"/>
    <col min="9" max="9" width="11.28515625" style="1" bestFit="1" customWidth="1"/>
    <col min="10" max="13" width="10.42578125" style="1" bestFit="1" customWidth="1"/>
    <col min="14" max="14" width="11.28515625" style="1" bestFit="1" customWidth="1"/>
    <col min="15" max="16" width="9.7109375" style="1" customWidth="1"/>
    <col min="17" max="16384" width="9.140625" style="1"/>
  </cols>
  <sheetData>
    <row r="2" spans="2:21" s="4" customFormat="1" ht="190.5" x14ac:dyDescent="0.3">
      <c r="B2" s="18" t="s">
        <v>28</v>
      </c>
      <c r="C2" s="19" t="s">
        <v>9</v>
      </c>
      <c r="D2" s="19" t="s">
        <v>5</v>
      </c>
      <c r="E2" s="19" t="s">
        <v>108</v>
      </c>
      <c r="F2" s="19" t="s">
        <v>4</v>
      </c>
      <c r="G2" s="19" t="s">
        <v>7</v>
      </c>
      <c r="H2" s="19" t="s">
        <v>10</v>
      </c>
      <c r="I2" s="19" t="s">
        <v>8</v>
      </c>
      <c r="J2" s="19" t="s">
        <v>11</v>
      </c>
      <c r="K2" s="19" t="s">
        <v>12</v>
      </c>
      <c r="L2" s="19" t="s">
        <v>13</v>
      </c>
      <c r="M2" s="19" t="s">
        <v>14</v>
      </c>
      <c r="N2" s="19" t="s">
        <v>16</v>
      </c>
      <c r="O2" s="19" t="s">
        <v>15</v>
      </c>
      <c r="P2" s="19" t="s">
        <v>65</v>
      </c>
      <c r="Q2" s="26" t="s">
        <v>6</v>
      </c>
      <c r="R2" s="26" t="s">
        <v>0</v>
      </c>
      <c r="S2" s="26" t="s">
        <v>1</v>
      </c>
      <c r="T2" s="26" t="s">
        <v>2</v>
      </c>
      <c r="U2" s="26" t="s">
        <v>3</v>
      </c>
    </row>
    <row r="4" spans="2:21" s="21" customFormat="1" x14ac:dyDescent="0.2">
      <c r="B4" s="20">
        <v>2004</v>
      </c>
      <c r="Q4" s="27"/>
      <c r="R4" s="27"/>
      <c r="S4" s="27"/>
      <c r="T4" s="27"/>
      <c r="U4" s="27"/>
    </row>
    <row r="5" spans="2:21" s="3" customFormat="1" x14ac:dyDescent="0.2">
      <c r="Q5" s="29"/>
      <c r="R5" s="29"/>
      <c r="S5" s="29"/>
      <c r="T5" s="29"/>
      <c r="U5" s="29"/>
    </row>
    <row r="6" spans="2:21" s="5" customFormat="1" ht="11.25" x14ac:dyDescent="0.2">
      <c r="B6" s="22" t="s">
        <v>19</v>
      </c>
      <c r="Q6" s="28"/>
      <c r="R6" s="28"/>
      <c r="S6" s="28"/>
      <c r="T6" s="28"/>
      <c r="U6" s="28"/>
    </row>
    <row r="7" spans="2:21" s="5" customFormat="1" ht="11.25" x14ac:dyDescent="0.2">
      <c r="B7" s="16" t="s">
        <v>20</v>
      </c>
      <c r="C7" s="7">
        <f>Sectortarieven!$C57*Volumes!C7</f>
        <v>2342193.5215099375</v>
      </c>
      <c r="D7" s="7">
        <f>Sectortarieven!$C57*Volumes!D7</f>
        <v>3262643.3779018181</v>
      </c>
      <c r="E7" s="7">
        <f>Sectortarieven!$C57*Volumes!E7</f>
        <v>32724091.756558102</v>
      </c>
      <c r="F7" s="7">
        <f>Sectortarieven!$C57*Volumes!F7</f>
        <v>990410.21683001507</v>
      </c>
      <c r="G7" s="7">
        <f>Sectortarieven!$C57*Volumes!G7</f>
        <v>2595035.2967242613</v>
      </c>
      <c r="H7" s="7">
        <f>Sectortarieven!$C57*Volumes!H7</f>
        <v>3333540.4614647478</v>
      </c>
      <c r="I7" s="7">
        <f>Sectortarieven!$C57*Volumes!I7</f>
        <v>37840528.565549687</v>
      </c>
      <c r="J7" s="7">
        <f>Sectortarieven!$C57*Volumes!J7</f>
        <v>3473626.4864218631</v>
      </c>
      <c r="K7" s="7">
        <f>Sectortarieven!$C57*Volumes!K7</f>
        <v>637026.82622100797</v>
      </c>
      <c r="L7" s="7">
        <f>Sectortarieven!$C57*Volumes!L7</f>
        <v>1750404.9120805087</v>
      </c>
      <c r="M7" s="7">
        <f>Sectortarieven!$C57*Volumes!M7</f>
        <v>843536.47434793191</v>
      </c>
      <c r="N7" s="7">
        <f>Sectortarieven!$C57*Volumes!N7</f>
        <v>32574565.03187266</v>
      </c>
      <c r="P7" s="7">
        <f>SUM(C7:N7)</f>
        <v>122367602.92748255</v>
      </c>
      <c r="Q7" s="28"/>
      <c r="R7" s="28"/>
      <c r="S7" s="28"/>
      <c r="T7" s="28"/>
      <c r="U7" s="28"/>
    </row>
    <row r="8" spans="2:21" s="5" customFormat="1" ht="11.25" x14ac:dyDescent="0.2">
      <c r="B8" s="17" t="s">
        <v>21</v>
      </c>
      <c r="C8" s="7">
        <f>Sectortarieven!$C58*Volumes!C8</f>
        <v>8673836.6428892799</v>
      </c>
      <c r="D8" s="7">
        <f>Sectortarieven!$C58*Volumes!D8</f>
        <v>12152492.639204536</v>
      </c>
      <c r="E8" s="7">
        <f>Sectortarieven!$C58*Volumes!E8</f>
        <v>122106522.63257839</v>
      </c>
      <c r="F8" s="7">
        <f>Sectortarieven!$C58*Volumes!F8</f>
        <v>3690312.262935692</v>
      </c>
      <c r="G8" s="7">
        <f>Sectortarieven!$C58*Volumes!G8</f>
        <v>10105580.831534628</v>
      </c>
      <c r="H8" s="7">
        <f>Sectortarieven!$C58*Volumes!H8</f>
        <v>13239211.36315814</v>
      </c>
      <c r="I8" s="7">
        <f>Sectortarieven!$C58*Volumes!I8</f>
        <v>141753652.83743948</v>
      </c>
      <c r="J8" s="7">
        <f>Sectortarieven!$C58*Volumes!J8</f>
        <v>13063654.341896301</v>
      </c>
      <c r="K8" s="7">
        <f>Sectortarieven!$C58*Volumes!K8</f>
        <v>2325726.7490322324</v>
      </c>
      <c r="L8" s="7">
        <f>Sectortarieven!$C58*Volumes!L8</f>
        <v>6626758.4034652309</v>
      </c>
      <c r="M8" s="7">
        <f>Sectortarieven!$C58*Volumes!M8</f>
        <v>5479890.3932838282</v>
      </c>
      <c r="N8" s="7">
        <f>Sectortarieven!$C58*Volumes!N8</f>
        <v>122585524.54606003</v>
      </c>
      <c r="P8" s="7">
        <f>SUM(C8:N8)</f>
        <v>461803163.6434778</v>
      </c>
      <c r="Q8" s="28"/>
      <c r="R8" s="28"/>
      <c r="S8" s="28"/>
      <c r="T8" s="28"/>
      <c r="U8" s="28"/>
    </row>
    <row r="9" spans="2:21" s="5" customFormat="1" ht="11.25" x14ac:dyDescent="0.2">
      <c r="B9" s="17" t="s">
        <v>22</v>
      </c>
      <c r="C9" s="7">
        <f>Sectortarieven!$C59*Volumes!C10</f>
        <v>4547982.4601862952</v>
      </c>
      <c r="D9" s="7">
        <f>Sectortarieven!$C59*Volumes!D10</f>
        <v>4550545.8442412335</v>
      </c>
      <c r="E9" s="7">
        <f>Sectortarieven!$C59*Volumes!E10</f>
        <v>47299468.02074381</v>
      </c>
      <c r="F9" s="7">
        <f>Sectortarieven!$C59*Volumes!F10</f>
        <v>1485163.006820342</v>
      </c>
      <c r="G9" s="7">
        <f>Sectortarieven!$C59*Volumes!G10</f>
        <v>4499524.0455498258</v>
      </c>
      <c r="H9" s="7">
        <f>Sectortarieven!$C59*Volumes!H10</f>
        <v>5820510.7831162484</v>
      </c>
      <c r="I9" s="7">
        <f>Sectortarieven!$C59*Volumes!I10</f>
        <v>55200949.737807311</v>
      </c>
      <c r="J9" s="7">
        <f>Sectortarieven!$C59*Volumes!J10</f>
        <v>6300156.8060481343</v>
      </c>
      <c r="K9" s="7">
        <f>Sectortarieven!$C59*Volumes!K10</f>
        <v>777042.79323978664</v>
      </c>
      <c r="L9" s="7">
        <f>Sectortarieven!$C59*Volumes!L10</f>
        <v>2953152.8689598292</v>
      </c>
      <c r="M9" s="7">
        <f>Sectortarieven!$C59*Volumes!M10</f>
        <v>1913794.978606669</v>
      </c>
      <c r="N9" s="7">
        <f>Sectortarieven!$C59*Volumes!N10</f>
        <v>52037942.892885841</v>
      </c>
      <c r="P9" s="7">
        <f>SUM(C9:N9)</f>
        <v>187386234.23820531</v>
      </c>
      <c r="Q9" s="28"/>
      <c r="R9" s="28"/>
      <c r="S9" s="28"/>
      <c r="T9" s="28"/>
      <c r="U9" s="28"/>
    </row>
    <row r="10" spans="2:21" s="5" customFormat="1" ht="11.25" x14ac:dyDescent="0.2">
      <c r="Q10" s="28"/>
      <c r="R10" s="28"/>
      <c r="S10" s="28"/>
      <c r="T10" s="28"/>
      <c r="U10" s="28"/>
    </row>
    <row r="11" spans="2:21" s="5" customFormat="1" ht="11.25" x14ac:dyDescent="0.2">
      <c r="B11" s="22" t="s">
        <v>23</v>
      </c>
      <c r="Q11" s="28"/>
      <c r="R11" s="28"/>
      <c r="S11" s="28"/>
      <c r="T11" s="28"/>
      <c r="U11" s="28"/>
    </row>
    <row r="12" spans="2:21" s="5" customFormat="1" ht="11.25" x14ac:dyDescent="0.2">
      <c r="B12" s="24" t="s">
        <v>20</v>
      </c>
      <c r="C12" s="7">
        <f>Sectortarieven!$C62*Volumes!C13</f>
        <v>70714.190427425507</v>
      </c>
      <c r="D12" s="7">
        <f>Sectortarieven!$C62*Volumes!D13</f>
        <v>118252.03538887916</v>
      </c>
      <c r="E12" s="7">
        <f>Sectortarieven!$C62*Volumes!E13</f>
        <v>1794323.2006780258</v>
      </c>
      <c r="F12" s="7">
        <f>Sectortarieven!$C62*Volumes!F13</f>
        <v>95602.425047133918</v>
      </c>
      <c r="G12" s="7">
        <f>Sectortarieven!$C62*Volumes!G13</f>
        <v>138267.9701094912</v>
      </c>
      <c r="H12" s="7">
        <f>Sectortarieven!$C62*Volumes!H13</f>
        <v>125955.53658069369</v>
      </c>
      <c r="I12" s="7">
        <f>Sectortarieven!$C62*Volumes!I13</f>
        <v>1926270.3492967975</v>
      </c>
      <c r="J12" s="7">
        <f>Sectortarieven!$C62*Volumes!J13</f>
        <v>235450.60052930503</v>
      </c>
      <c r="K12" s="7">
        <f>Sectortarieven!$C62*Volumes!K13</f>
        <v>16592.156413138946</v>
      </c>
      <c r="L12" s="7">
        <f>Sectortarieven!$C62*Volumes!L13</f>
        <v>56887.393416476378</v>
      </c>
      <c r="M12" s="7">
        <f>Sectortarieven!$C62*Volumes!M13</f>
        <v>1155130.1274290066</v>
      </c>
      <c r="N12" s="7">
        <f>Sectortarieven!$C62*Volumes!N13</f>
        <v>1782471.6603829267</v>
      </c>
      <c r="P12" s="7">
        <f>SUM(C12:N12)</f>
        <v>7515917.6456993008</v>
      </c>
      <c r="Q12" s="28"/>
      <c r="R12" s="28"/>
      <c r="S12" s="28"/>
      <c r="T12" s="28"/>
      <c r="U12" s="28"/>
    </row>
    <row r="13" spans="2:21" s="5" customFormat="1" ht="11.25" x14ac:dyDescent="0.2">
      <c r="B13" s="25" t="s">
        <v>26</v>
      </c>
      <c r="C13" s="7">
        <f>Sectortarieven!$C63*Volumes!C16</f>
        <v>980643.71962577489</v>
      </c>
      <c r="D13" s="7">
        <f>Sectortarieven!$C63*Volumes!D16</f>
        <v>1247115.4826897664</v>
      </c>
      <c r="E13" s="7">
        <f>Sectortarieven!$C63*Volumes!E16</f>
        <v>17989201.323453158</v>
      </c>
      <c r="F13" s="7">
        <f>Sectortarieven!$C63*Volumes!F16</f>
        <v>936295.08141784673</v>
      </c>
      <c r="G13" s="7">
        <f>Sectortarieven!$C63*Volumes!G16</f>
        <v>1310124.0521997453</v>
      </c>
      <c r="H13" s="7">
        <f>Sectortarieven!$C63*Volumes!H16</f>
        <v>1307507.6897821047</v>
      </c>
      <c r="I13" s="7">
        <f>Sectortarieven!$C63*Volumes!I16</f>
        <v>18009665.940383218</v>
      </c>
      <c r="J13" s="7">
        <f>Sectortarieven!$C63*Volumes!J16</f>
        <v>2120496.9780517402</v>
      </c>
      <c r="K13" s="7">
        <f>Sectortarieven!$C63*Volumes!K16</f>
        <v>170503.93497931238</v>
      </c>
      <c r="L13" s="7">
        <f>Sectortarieven!$C63*Volumes!L16</f>
        <v>716979.14937358163</v>
      </c>
      <c r="M13" s="7">
        <f>Sectortarieven!$C63*Volumes!M16</f>
        <v>9113593.3425724413</v>
      </c>
      <c r="N13" s="7">
        <f>Sectortarieven!$C63*Volumes!N16</f>
        <v>19636333.146964755</v>
      </c>
      <c r="P13" s="7">
        <f>SUM(C13:N13)</f>
        <v>73538459.841493443</v>
      </c>
      <c r="Q13" s="28"/>
      <c r="R13" s="28"/>
      <c r="S13" s="28"/>
      <c r="T13" s="28"/>
      <c r="U13" s="28"/>
    </row>
    <row r="14" spans="2:21" x14ac:dyDescent="0.2">
      <c r="O14" s="5"/>
      <c r="Q14" s="28"/>
      <c r="R14" s="28"/>
      <c r="S14" s="28"/>
      <c r="T14" s="28"/>
      <c r="U14" s="28"/>
    </row>
    <row r="15" spans="2:21" x14ac:dyDescent="0.2">
      <c r="B15" s="1" t="s">
        <v>97</v>
      </c>
      <c r="C15" s="36">
        <f t="shared" ref="C15:N15" si="0">SUM(C7:C9,C12:C13)</f>
        <v>16615370.534638714</v>
      </c>
      <c r="D15" s="36">
        <f t="shared" si="0"/>
        <v>21331049.379426233</v>
      </c>
      <c r="E15" s="36">
        <f t="shared" si="0"/>
        <v>221913606.93401149</v>
      </c>
      <c r="F15" s="36">
        <f t="shared" si="0"/>
        <v>7197782.9930510297</v>
      </c>
      <c r="G15" s="36">
        <f t="shared" si="0"/>
        <v>18648532.196117952</v>
      </c>
      <c r="H15" s="36">
        <f t="shared" si="0"/>
        <v>23826725.834101934</v>
      </c>
      <c r="I15" s="36">
        <f t="shared" si="0"/>
        <v>254731067.43047649</v>
      </c>
      <c r="J15" s="36">
        <f t="shared" si="0"/>
        <v>25193385.212947343</v>
      </c>
      <c r="K15" s="36">
        <f t="shared" si="0"/>
        <v>3926892.4598854785</v>
      </c>
      <c r="L15" s="36">
        <f t="shared" si="0"/>
        <v>12104182.727295626</v>
      </c>
      <c r="M15" s="36">
        <f t="shared" si="0"/>
        <v>18505945.316239879</v>
      </c>
      <c r="N15" s="36">
        <f t="shared" si="0"/>
        <v>228616837.2781662</v>
      </c>
      <c r="O15" s="5"/>
      <c r="P15" s="122">
        <f>SUM(C15:N15)</f>
        <v>852611378.29635835</v>
      </c>
      <c r="Q15" s="28"/>
      <c r="R15" s="28"/>
      <c r="S15" s="28"/>
      <c r="T15" s="28"/>
      <c r="U15" s="28"/>
    </row>
    <row r="17" spans="2:21" s="21" customFormat="1" x14ac:dyDescent="0.2">
      <c r="B17" s="20">
        <v>2005</v>
      </c>
      <c r="Q17" s="27"/>
      <c r="R17" s="27"/>
      <c r="S17" s="27"/>
      <c r="T17" s="27"/>
      <c r="U17" s="27"/>
    </row>
    <row r="18" spans="2:21" s="3" customFormat="1" x14ac:dyDescent="0.2">
      <c r="Q18" s="29"/>
      <c r="R18" s="29"/>
      <c r="S18" s="29"/>
      <c r="T18" s="29"/>
      <c r="U18" s="29"/>
    </row>
    <row r="19" spans="2:21" s="5" customFormat="1" ht="11.25" x14ac:dyDescent="0.2">
      <c r="B19" s="22" t="s">
        <v>19</v>
      </c>
      <c r="Q19" s="28"/>
      <c r="R19" s="28"/>
      <c r="S19" s="28"/>
      <c r="T19" s="28"/>
      <c r="U19" s="28"/>
    </row>
    <row r="20" spans="2:21" s="5" customFormat="1" ht="11.25" x14ac:dyDescent="0.2">
      <c r="B20" s="16" t="s">
        <v>20</v>
      </c>
      <c r="C20" s="7">
        <f>Sectortarieven!$C57*Volumes!C21</f>
        <v>2357028.5031243404</v>
      </c>
      <c r="D20" s="7">
        <f>Sectortarieven!$C57*Volumes!D21</f>
        <v>3291204.2496480243</v>
      </c>
      <c r="E20" s="7">
        <f>Sectortarieven!$C57*Volumes!E21</f>
        <v>32228914.342182808</v>
      </c>
      <c r="F20" s="7">
        <f>Sectortarieven!$C57*Volumes!F21</f>
        <v>1022424.1071538976</v>
      </c>
      <c r="G20" s="7">
        <f>Sectortarieven!$C57*Volumes!G21</f>
        <v>2585172.1532337707</v>
      </c>
      <c r="H20" s="7">
        <f>Sectortarieven!$C57*Volumes!H21</f>
        <v>3311470.0801527454</v>
      </c>
      <c r="I20" s="7">
        <f>Sectortarieven!$C57*Volumes!I21</f>
        <v>38190771.178622618</v>
      </c>
      <c r="J20" s="7">
        <f>Sectortarieven!$C57*Volumes!J21</f>
        <v>3518515.7279316559</v>
      </c>
      <c r="K20" s="7">
        <f>Sectortarieven!$C57*Volumes!K21</f>
        <v>619467.85941112181</v>
      </c>
      <c r="L20" s="7">
        <f>Sectortarieven!$C57*Volumes!L21</f>
        <v>1764539.8803624671</v>
      </c>
      <c r="M20" s="7">
        <f>Sectortarieven!$C57*Volumes!M21</f>
        <v>864905.36553813284</v>
      </c>
      <c r="N20" s="7">
        <f>Sectortarieven!$C57*Volumes!N21</f>
        <v>32771442.192160483</v>
      </c>
      <c r="P20" s="7">
        <f>SUM(C20:N20)</f>
        <v>122525855.63952208</v>
      </c>
      <c r="Q20" s="28"/>
      <c r="R20" s="28"/>
      <c r="S20" s="28"/>
      <c r="T20" s="28"/>
      <c r="U20" s="28"/>
    </row>
    <row r="21" spans="2:21" s="5" customFormat="1" ht="11.25" x14ac:dyDescent="0.2">
      <c r="B21" s="17" t="s">
        <v>21</v>
      </c>
      <c r="C21" s="7">
        <f>Sectortarieven!$C58*Volumes!C22</f>
        <v>9206881.2610899806</v>
      </c>
      <c r="D21" s="7">
        <f>Sectortarieven!$C58*Volumes!D22</f>
        <v>12164620.828148555</v>
      </c>
      <c r="E21" s="7">
        <f>Sectortarieven!$C58*Volumes!E22</f>
        <v>119817869.34079435</v>
      </c>
      <c r="F21" s="7">
        <f>Sectortarieven!$C58*Volumes!F22</f>
        <v>3912288.9110189537</v>
      </c>
      <c r="G21" s="7">
        <f>Sectortarieven!$C58*Volumes!G22</f>
        <v>9975262.8534280583</v>
      </c>
      <c r="H21" s="7">
        <f>Sectortarieven!$C58*Volumes!H22</f>
        <v>12684648.797600115</v>
      </c>
      <c r="I21" s="7">
        <f>Sectortarieven!$C58*Volumes!I22</f>
        <v>143065719.82848829</v>
      </c>
      <c r="J21" s="7">
        <f>Sectortarieven!$C58*Volumes!J22</f>
        <v>13517990.621445963</v>
      </c>
      <c r="K21" s="7">
        <f>Sectortarieven!$C58*Volumes!K22</f>
        <v>2265420.8433232135</v>
      </c>
      <c r="L21" s="7">
        <f>Sectortarieven!$C58*Volumes!L22</f>
        <v>6685194.6030554054</v>
      </c>
      <c r="M21" s="7">
        <f>Sectortarieven!$C58*Volumes!M22</f>
        <v>5505092.519411305</v>
      </c>
      <c r="N21" s="7">
        <f>Sectortarieven!$C58*Volumes!N22</f>
        <v>124242660.74609399</v>
      </c>
      <c r="P21" s="7">
        <f>SUM(C21:N21)</f>
        <v>463043651.15389824</v>
      </c>
      <c r="Q21" s="28"/>
      <c r="R21" s="28"/>
      <c r="S21" s="28"/>
      <c r="T21" s="28"/>
      <c r="U21" s="28"/>
    </row>
    <row r="22" spans="2:21" s="5" customFormat="1" ht="11.25" x14ac:dyDescent="0.2">
      <c r="B22" s="17" t="s">
        <v>22</v>
      </c>
      <c r="C22" s="7">
        <f>Sectortarieven!$C59*Volumes!C24</f>
        <v>4222812.0944114057</v>
      </c>
      <c r="D22" s="7">
        <f>Sectortarieven!$C59*Volumes!D24</f>
        <v>4553485.2560766777</v>
      </c>
      <c r="E22" s="7">
        <f>Sectortarieven!$C59*Volumes!E24</f>
        <v>44719539.804380648</v>
      </c>
      <c r="F22" s="7">
        <f>Sectortarieven!$C59*Volumes!F24</f>
        <v>1544110.1682193107</v>
      </c>
      <c r="G22" s="7">
        <f>Sectortarieven!$C59*Volumes!G24</f>
        <v>4013590.9024594296</v>
      </c>
      <c r="H22" s="7">
        <f>Sectortarieven!$C59*Volumes!H24</f>
        <v>5466368.326008549</v>
      </c>
      <c r="I22" s="7">
        <f>Sectortarieven!$C59*Volumes!I24</f>
        <v>56597198.87397854</v>
      </c>
      <c r="J22" s="7">
        <f>Sectortarieven!$C59*Volumes!J24</f>
        <v>6281185.1458840258</v>
      </c>
      <c r="K22" s="7">
        <f>Sectortarieven!$C59*Volumes!K24</f>
        <v>710959.37340595026</v>
      </c>
      <c r="L22" s="7">
        <f>Sectortarieven!$C59*Volumes!L24</f>
        <v>2942222.4333845181</v>
      </c>
      <c r="M22" s="7">
        <f>Sectortarieven!$C59*Volumes!M24</f>
        <v>1688248.1444305365</v>
      </c>
      <c r="N22" s="7">
        <f>Sectortarieven!$C59*Volumes!N24</f>
        <v>52362037.047373861</v>
      </c>
      <c r="P22" s="7">
        <f>SUM(C22:N22)</f>
        <v>185101757.57001346</v>
      </c>
      <c r="Q22" s="28"/>
      <c r="R22" s="28"/>
      <c r="S22" s="28"/>
      <c r="T22" s="28"/>
      <c r="U22" s="28"/>
    </row>
    <row r="23" spans="2:21" s="5" customFormat="1" ht="11.25" x14ac:dyDescent="0.2">
      <c r="Q23" s="28"/>
      <c r="R23" s="28"/>
      <c r="S23" s="28"/>
      <c r="T23" s="28"/>
      <c r="U23" s="28"/>
    </row>
    <row r="24" spans="2:21" s="5" customFormat="1" ht="11.25" x14ac:dyDescent="0.2">
      <c r="B24" s="22" t="s">
        <v>23</v>
      </c>
      <c r="Q24" s="28"/>
      <c r="R24" s="28"/>
      <c r="S24" s="28"/>
      <c r="T24" s="28"/>
      <c r="U24" s="28"/>
    </row>
    <row r="25" spans="2:21" s="5" customFormat="1" ht="11.25" x14ac:dyDescent="0.2">
      <c r="B25" s="24" t="s">
        <v>20</v>
      </c>
      <c r="C25" s="7">
        <f>Sectortarieven!$C62*Volumes!C27</f>
        <v>87701.398183734418</v>
      </c>
      <c r="D25" s="7">
        <f>Sectortarieven!$C62*Volumes!D27</f>
        <v>122465.91638269222</v>
      </c>
      <c r="E25" s="7">
        <f>Sectortarieven!$C62*Volumes!E27</f>
        <v>1795903.4060507058</v>
      </c>
      <c r="F25" s="7">
        <f>Sectortarieven!$C62*Volumes!F27</f>
        <v>93232.116988114067</v>
      </c>
      <c r="G25" s="7">
        <f>Sectortarieven!$C62*Volumes!G27</f>
        <v>138267.9701094912</v>
      </c>
      <c r="H25" s="7">
        <f>Sectortarieven!$C62*Volumes!H27</f>
        <v>136687.76473681131</v>
      </c>
      <c r="I25" s="7">
        <f>Sectortarieven!$C62*Volumes!I27</f>
        <v>2107993.9671549858</v>
      </c>
      <c r="J25" s="7">
        <f>Sectortarieven!$C62*Volumes!J27</f>
        <v>251252.65425610403</v>
      </c>
      <c r="K25" s="7">
        <f>Sectortarieven!$C62*Volumes!K27</f>
        <v>16592.156413138946</v>
      </c>
      <c r="L25" s="7">
        <f>Sectortarieven!$C62*Volumes!L27</f>
        <v>56097.290730136432</v>
      </c>
      <c r="M25" s="7">
        <f>Sectortarieven!$C62*Volumes!M27</f>
        <v>1196783.2875826003</v>
      </c>
      <c r="N25" s="7">
        <f>Sectortarieven!$C62*Volumes!N27</f>
        <v>2516477.0559927397</v>
      </c>
      <c r="P25" s="7">
        <f>SUM(C25:N25)</f>
        <v>8519454.9845812526</v>
      </c>
      <c r="Q25" s="28"/>
      <c r="R25" s="28"/>
      <c r="S25" s="28"/>
      <c r="T25" s="28"/>
      <c r="U25" s="28"/>
    </row>
    <row r="26" spans="2:21" s="5" customFormat="1" ht="11.25" x14ac:dyDescent="0.2">
      <c r="B26" s="25" t="s">
        <v>26</v>
      </c>
      <c r="C26" s="7">
        <f>Sectortarieven!$C63*Volumes!C30</f>
        <v>1010641.2214042683</v>
      </c>
      <c r="D26" s="7">
        <f>Sectortarieven!$C63*Volumes!D30</f>
        <v>1266397.1238732368</v>
      </c>
      <c r="E26" s="7">
        <f>Sectortarieven!$C63*Volumes!E30</f>
        <v>17011640.248656087</v>
      </c>
      <c r="F26" s="7">
        <f>Sectortarieven!$C63*Volumes!F30</f>
        <v>917514.26208329771</v>
      </c>
      <c r="G26" s="7">
        <f>Sectortarieven!$C63*Volumes!G30</f>
        <v>1312403.6550982839</v>
      </c>
      <c r="H26" s="7">
        <f>Sectortarieven!$C63*Volumes!H30</f>
        <v>1356581.492800097</v>
      </c>
      <c r="I26" s="7">
        <f>Sectortarieven!$C63*Volumes!I30</f>
        <v>18118801.929150742</v>
      </c>
      <c r="J26" s="7">
        <f>Sectortarieven!$C63*Volumes!J30</f>
        <v>2165026.9483084157</v>
      </c>
      <c r="K26" s="7">
        <f>Sectortarieven!$C63*Volumes!K30</f>
        <v>178327.11765384176</v>
      </c>
      <c r="L26" s="7">
        <f>Sectortarieven!$C63*Volumes!L30</f>
        <v>720665.37087883183</v>
      </c>
      <c r="M26" s="7">
        <f>Sectortarieven!$C63*Volumes!M30</f>
        <v>9558756.1769432221</v>
      </c>
      <c r="N26" s="7">
        <f>Sectortarieven!$C63*Volumes!N30</f>
        <v>18988340.912051164</v>
      </c>
      <c r="P26" s="7">
        <f>SUM(C26:N26)</f>
        <v>72605096.45890148</v>
      </c>
      <c r="Q26" s="28"/>
      <c r="R26" s="28"/>
      <c r="S26" s="28"/>
      <c r="T26" s="28"/>
      <c r="U26" s="28"/>
    </row>
    <row r="27" spans="2:21" x14ac:dyDescent="0.2">
      <c r="O27" s="5"/>
      <c r="Q27" s="28"/>
      <c r="R27" s="28"/>
      <c r="S27" s="28"/>
      <c r="T27" s="28"/>
      <c r="U27" s="28"/>
    </row>
    <row r="28" spans="2:21" x14ac:dyDescent="0.2">
      <c r="B28" s="1" t="s">
        <v>98</v>
      </c>
      <c r="C28" s="36">
        <f t="shared" ref="C28:N28" si="1">SUM(C20:C22,C25:C26)</f>
        <v>16885064.478213731</v>
      </c>
      <c r="D28" s="36">
        <f t="shared" si="1"/>
        <v>21398173.374129187</v>
      </c>
      <c r="E28" s="36">
        <f t="shared" si="1"/>
        <v>215573867.14206463</v>
      </c>
      <c r="F28" s="36">
        <f t="shared" si="1"/>
        <v>7489569.5654635737</v>
      </c>
      <c r="G28" s="36">
        <f t="shared" si="1"/>
        <v>18024697.534329034</v>
      </c>
      <c r="H28" s="36">
        <f t="shared" si="1"/>
        <v>22955756.461298317</v>
      </c>
      <c r="I28" s="36">
        <f t="shared" si="1"/>
        <v>258080485.77739516</v>
      </c>
      <c r="J28" s="36">
        <f t="shared" si="1"/>
        <v>25733971.097826164</v>
      </c>
      <c r="K28" s="36">
        <f t="shared" si="1"/>
        <v>3790767.3502072659</v>
      </c>
      <c r="L28" s="36">
        <f t="shared" si="1"/>
        <v>12168719.578411359</v>
      </c>
      <c r="M28" s="36">
        <f t="shared" si="1"/>
        <v>18813785.493905798</v>
      </c>
      <c r="N28" s="36">
        <f t="shared" si="1"/>
        <v>230880957.95367226</v>
      </c>
      <c r="O28" s="5"/>
      <c r="P28" s="122">
        <f>SUM(C28:N28)</f>
        <v>851795815.80691636</v>
      </c>
      <c r="Q28" s="28"/>
      <c r="R28" s="28"/>
      <c r="S28" s="28"/>
      <c r="T28" s="28"/>
      <c r="U28" s="28"/>
    </row>
    <row r="30" spans="2:21" s="21" customFormat="1" x14ac:dyDescent="0.2">
      <c r="B30" s="20">
        <v>2006</v>
      </c>
      <c r="Q30" s="27"/>
      <c r="R30" s="27"/>
      <c r="S30" s="27"/>
      <c r="T30" s="27"/>
      <c r="U30" s="27"/>
    </row>
    <row r="31" spans="2:21" s="3" customFormat="1" x14ac:dyDescent="0.2">
      <c r="Q31" s="29"/>
      <c r="R31" s="29"/>
      <c r="S31" s="29"/>
      <c r="T31" s="29"/>
      <c r="U31" s="29"/>
    </row>
    <row r="32" spans="2:21" s="5" customFormat="1" ht="11.25" x14ac:dyDescent="0.2">
      <c r="B32" s="22" t="s">
        <v>19</v>
      </c>
      <c r="Q32" s="28"/>
      <c r="R32" s="28"/>
      <c r="S32" s="28"/>
      <c r="T32" s="28"/>
      <c r="U32" s="28"/>
    </row>
    <row r="33" spans="2:21" s="5" customFormat="1" ht="11.25" x14ac:dyDescent="0.2">
      <c r="B33" s="16" t="s">
        <v>20</v>
      </c>
      <c r="C33" s="7">
        <f>Sectortarieven!$C57*Volumes!C35</f>
        <v>2391601.0745628602</v>
      </c>
      <c r="D33" s="7">
        <f>Sectortarieven!$C57*Volumes!D35</f>
        <v>3309488.7177016241</v>
      </c>
      <c r="E33" s="7">
        <f>Sectortarieven!$C57*Volumes!E35</f>
        <v>31603116.394545052</v>
      </c>
      <c r="F33" s="7">
        <f>Sectortarieven!$C57*Volumes!F35</f>
        <v>1038141.4055870238</v>
      </c>
      <c r="G33" s="7">
        <f>Sectortarieven!$C57*Volumes!G35</f>
        <v>2613765.1674401416</v>
      </c>
      <c r="H33" s="7">
        <f>Sectortarieven!$C57*Volumes!H35</f>
        <v>3342445.5501979636</v>
      </c>
      <c r="I33" s="7">
        <f>Sectortarieven!$C57*Volumes!I35</f>
        <v>38367543.689255528</v>
      </c>
      <c r="J33" s="7">
        <f>Sectortarieven!$C57*Volumes!J35</f>
        <v>3534840.9084285093</v>
      </c>
      <c r="K33" s="7">
        <f>Sectortarieven!$C57*Volumes!K35</f>
        <v>626924.91016929527</v>
      </c>
      <c r="L33" s="7">
        <f>Sectortarieven!$C57*Volumes!L35</f>
        <v>1792263.5787747877</v>
      </c>
      <c r="M33" s="7">
        <f>Sectortarieven!$C57*Volumes!M35</f>
        <v>874693.46028583543</v>
      </c>
      <c r="N33" s="7">
        <f>Sectortarieven!$C57*Volumes!N35</f>
        <v>33226642.331071988</v>
      </c>
      <c r="P33" s="7">
        <f>SUM(C33:N33)</f>
        <v>122721467.18802062</v>
      </c>
      <c r="Q33" s="28"/>
      <c r="R33" s="28"/>
      <c r="S33" s="28"/>
      <c r="T33" s="28"/>
      <c r="U33" s="28"/>
    </row>
    <row r="34" spans="2:21" s="5" customFormat="1" ht="11.25" x14ac:dyDescent="0.2">
      <c r="B34" s="17" t="s">
        <v>21</v>
      </c>
      <c r="C34" s="7">
        <f>Sectortarieven!$C58*Volumes!C36</f>
        <v>9146346.988908831</v>
      </c>
      <c r="D34" s="7">
        <f>Sectortarieven!$C58*Volumes!D36</f>
        <v>12231404.386046268</v>
      </c>
      <c r="E34" s="7">
        <f>Sectortarieven!$C58*Volumes!E36</f>
        <v>118737868.8372089</v>
      </c>
      <c r="F34" s="7">
        <f>Sectortarieven!$C58*Volumes!F36</f>
        <v>4018952.1719526551</v>
      </c>
      <c r="G34" s="7">
        <f>Sectortarieven!$C58*Volumes!G36</f>
        <v>10132908.843799045</v>
      </c>
      <c r="H34" s="7">
        <f>Sectortarieven!$C58*Volumes!H36</f>
        <v>12803300.921688175</v>
      </c>
      <c r="I34" s="7">
        <f>Sectortarieven!$C58*Volumes!I36</f>
        <v>141981331.00994539</v>
      </c>
      <c r="J34" s="7">
        <f>Sectortarieven!$C58*Volumes!J36</f>
        <v>13687904.836953957</v>
      </c>
      <c r="K34" s="7">
        <f>Sectortarieven!$C58*Volumes!K36</f>
        <v>2290363.0767391487</v>
      </c>
      <c r="L34" s="7">
        <f>Sectortarieven!$C58*Volumes!L36</f>
        <v>6733026.3156169355</v>
      </c>
      <c r="M34" s="7">
        <f>Sectortarieven!$C58*Volumes!M36</f>
        <v>5287658.9608459901</v>
      </c>
      <c r="N34" s="7">
        <f>Sectortarieven!$C58*Volumes!N36</f>
        <v>124587569.37647708</v>
      </c>
      <c r="P34" s="7">
        <f>SUM(C34:N34)</f>
        <v>461638635.72618234</v>
      </c>
      <c r="Q34" s="28"/>
      <c r="R34" s="28"/>
      <c r="S34" s="28"/>
      <c r="T34" s="28"/>
      <c r="U34" s="28"/>
    </row>
    <row r="35" spans="2:21" s="5" customFormat="1" ht="11.25" x14ac:dyDescent="0.2">
      <c r="B35" s="17" t="s">
        <v>22</v>
      </c>
      <c r="C35" s="7">
        <f>Sectortarieven!$C59*Volumes!C38</f>
        <v>4119664.2088900902</v>
      </c>
      <c r="D35" s="7">
        <f>Sectortarieven!$C59*Volumes!D38</f>
        <v>4631304.2153898273</v>
      </c>
      <c r="E35" s="7">
        <f>Sectortarieven!$C59*Volumes!E38</f>
        <v>44106171.135178365</v>
      </c>
      <c r="F35" s="7">
        <f>Sectortarieven!$C59*Volumes!F38</f>
        <v>1562583.9732931172</v>
      </c>
      <c r="G35" s="7">
        <f>Sectortarieven!$C59*Volumes!G38</f>
        <v>4348551.6309303278</v>
      </c>
      <c r="H35" s="7">
        <f>Sectortarieven!$C59*Volumes!H38</f>
        <v>5581343.2634690953</v>
      </c>
      <c r="I35" s="7">
        <f>Sectortarieven!$C59*Volumes!I38</f>
        <v>57020200.875063412</v>
      </c>
      <c r="J35" s="7">
        <f>Sectortarieven!$C59*Volumes!J38</f>
        <v>6244072.0010069991</v>
      </c>
      <c r="K35" s="7">
        <f>Sectortarieven!$C59*Volumes!K38</f>
        <v>728584.6775470823</v>
      </c>
      <c r="L35" s="7">
        <f>Sectortarieven!$C59*Volumes!L38</f>
        <v>3009527.6285938723</v>
      </c>
      <c r="M35" s="7">
        <f>Sectortarieven!$C59*Volumes!M38</f>
        <v>1673860.0604948886</v>
      </c>
      <c r="N35" s="7">
        <f>Sectortarieven!$C59*Volumes!N38</f>
        <v>56064729.993484549</v>
      </c>
      <c r="P35" s="7">
        <f>SUM(C35:N35)</f>
        <v>189090593.66334164</v>
      </c>
      <c r="Q35" s="28"/>
      <c r="R35" s="28"/>
      <c r="S35" s="28"/>
      <c r="T35" s="28"/>
      <c r="U35" s="28"/>
    </row>
    <row r="36" spans="2:21" s="5" customFormat="1" ht="11.25" x14ac:dyDescent="0.2">
      <c r="Q36" s="28"/>
      <c r="R36" s="28"/>
      <c r="S36" s="28"/>
      <c r="T36" s="28"/>
      <c r="U36" s="28"/>
    </row>
    <row r="37" spans="2:21" s="5" customFormat="1" ht="11.25" x14ac:dyDescent="0.2">
      <c r="B37" s="22" t="s">
        <v>23</v>
      </c>
      <c r="Q37" s="28"/>
      <c r="R37" s="28"/>
      <c r="S37" s="28"/>
      <c r="T37" s="28"/>
      <c r="U37" s="28"/>
    </row>
    <row r="38" spans="2:21" s="5" customFormat="1" ht="11.25" x14ac:dyDescent="0.2">
      <c r="B38" s="24" t="s">
        <v>20</v>
      </c>
      <c r="C38" s="7">
        <f>Sectortarieven!$C62*Volumes!C41</f>
        <v>83750.884752034675</v>
      </c>
      <c r="D38" s="7">
        <f>Sectortarieven!$C62*Volumes!D41</f>
        <v>120095.60832367236</v>
      </c>
      <c r="E38" s="7">
        <f>Sectortarieven!$C62*Volumes!E41</f>
        <v>1633142.2526646762</v>
      </c>
      <c r="F38" s="7">
        <f>Sectortarieven!$C62*Volumes!F41</f>
        <v>86387.701629908712</v>
      </c>
      <c r="G38" s="7">
        <f>Sectortarieven!$C62*Volumes!G41</f>
        <v>138267.9701094912</v>
      </c>
      <c r="H38" s="7">
        <f>Sectortarieven!$C62*Volumes!H41</f>
        <v>136027.57502444193</v>
      </c>
      <c r="I38" s="7">
        <f>Sectortarieven!$C62*Volumes!I41</f>
        <v>2077390.6564374187</v>
      </c>
      <c r="J38" s="7">
        <f>Sectortarieven!$C62*Volumes!J41</f>
        <v>263245.45054601628</v>
      </c>
      <c r="K38" s="7">
        <f>Sectortarieven!$C62*Volumes!K41</f>
        <v>16592.156413138946</v>
      </c>
      <c r="L38" s="7">
        <f>Sectortarieven!$C62*Volumes!L41</f>
        <v>63737.583707043748</v>
      </c>
      <c r="M38" s="7">
        <f>Sectortarieven!$C62*Volumes!M41</f>
        <v>1069442.2472650635</v>
      </c>
      <c r="N38" s="7">
        <f>Sectortarieven!$C62*Volumes!N41</f>
        <v>2940893.8823383497</v>
      </c>
      <c r="P38" s="7">
        <f>SUM(C38:N38)</f>
        <v>8628973.9692112543</v>
      </c>
      <c r="Q38" s="28"/>
      <c r="R38" s="28"/>
      <c r="S38" s="28"/>
      <c r="T38" s="28"/>
      <c r="U38" s="28"/>
    </row>
    <row r="39" spans="2:21" s="5" customFormat="1" ht="11.25" x14ac:dyDescent="0.2">
      <c r="B39" s="25" t="s">
        <v>26</v>
      </c>
      <c r="C39" s="7">
        <f>Sectortarieven!$C63*Volumes!C44</f>
        <v>877750.73425083887</v>
      </c>
      <c r="D39" s="7">
        <f>Sectortarieven!$C63*Volumes!D44</f>
        <v>1252978.5522659316</v>
      </c>
      <c r="E39" s="7">
        <f>Sectortarieven!$C63*Volumes!E44</f>
        <v>16806216.942003708</v>
      </c>
      <c r="F39" s="7">
        <f>Sectortarieven!$C63*Volumes!F44</f>
        <v>816364.83431247505</v>
      </c>
      <c r="G39" s="7">
        <f>Sectortarieven!$C63*Volumes!G44</f>
        <v>1312403.6550982839</v>
      </c>
      <c r="H39" s="7">
        <f>Sectortarieven!$C63*Volumes!H44</f>
        <v>1446252.611652235</v>
      </c>
      <c r="I39" s="7">
        <f>Sectortarieven!$C63*Volumes!I44</f>
        <v>18058163.196820702</v>
      </c>
      <c r="J39" s="7">
        <f>Sectortarieven!$C63*Volumes!J44</f>
        <v>2261013.8543486921</v>
      </c>
      <c r="K39" s="7">
        <f>Sectortarieven!$C63*Volumes!K44</f>
        <v>178301.21307544928</v>
      </c>
      <c r="L39" s="7">
        <f>Sectortarieven!$C63*Volumes!L44</f>
        <v>743539.11359939282</v>
      </c>
      <c r="M39" s="7">
        <f>Sectortarieven!$C63*Volumes!M44</f>
        <v>8900887.0478377678</v>
      </c>
      <c r="N39" s="7">
        <f>Sectortarieven!$C63*Volumes!N44</f>
        <v>18059791.299572669</v>
      </c>
      <c r="P39" s="7">
        <f>SUM(C39:N39)</f>
        <v>70713663.054838151</v>
      </c>
      <c r="Q39" s="28"/>
      <c r="R39" s="28"/>
      <c r="S39" s="28"/>
      <c r="T39" s="28"/>
      <c r="U39" s="28"/>
    </row>
    <row r="40" spans="2:21" x14ac:dyDescent="0.2">
      <c r="O40" s="5"/>
      <c r="Q40" s="28"/>
      <c r="R40" s="28"/>
      <c r="S40" s="28"/>
      <c r="T40" s="28"/>
      <c r="U40" s="28"/>
    </row>
    <row r="41" spans="2:21" x14ac:dyDescent="0.2">
      <c r="B41" s="1" t="s">
        <v>99</v>
      </c>
      <c r="C41" s="36">
        <f t="shared" ref="C41:N41" si="2">SUM(C33:C35,C38:C39)</f>
        <v>16619113.891364656</v>
      </c>
      <c r="D41" s="36">
        <f t="shared" si="2"/>
        <v>21545271.479727324</v>
      </c>
      <c r="E41" s="36">
        <f t="shared" si="2"/>
        <v>212886515.56160069</v>
      </c>
      <c r="F41" s="36">
        <f t="shared" si="2"/>
        <v>7522430.08677518</v>
      </c>
      <c r="G41" s="36">
        <f t="shared" si="2"/>
        <v>18545897.267377291</v>
      </c>
      <c r="H41" s="36">
        <f t="shared" si="2"/>
        <v>23309369.922031913</v>
      </c>
      <c r="I41" s="36">
        <f t="shared" si="2"/>
        <v>257504629.42752248</v>
      </c>
      <c r="J41" s="36">
        <f t="shared" si="2"/>
        <v>25991077.051284172</v>
      </c>
      <c r="K41" s="36">
        <f t="shared" si="2"/>
        <v>3840766.0339441146</v>
      </c>
      <c r="L41" s="36">
        <f t="shared" si="2"/>
        <v>12342094.220292034</v>
      </c>
      <c r="M41" s="36">
        <f t="shared" si="2"/>
        <v>17806541.776729546</v>
      </c>
      <c r="N41" s="36">
        <f t="shared" si="2"/>
        <v>234879626.88294464</v>
      </c>
      <c r="O41" s="5"/>
      <c r="P41" s="122">
        <f>SUM(C41:N41)</f>
        <v>852793333.60159421</v>
      </c>
      <c r="Q41" s="28"/>
      <c r="R41" s="28"/>
      <c r="S41" s="28"/>
      <c r="T41" s="28"/>
      <c r="U41" s="28"/>
    </row>
    <row r="43" spans="2:21" s="21" customFormat="1" x14ac:dyDescent="0.2">
      <c r="B43" s="20">
        <v>2007</v>
      </c>
      <c r="Q43" s="27"/>
      <c r="R43" s="27"/>
      <c r="S43" s="27"/>
      <c r="T43" s="27"/>
      <c r="U43" s="27"/>
    </row>
    <row r="44" spans="2:21" s="3" customFormat="1" x14ac:dyDescent="0.2">
      <c r="P44" s="5"/>
      <c r="Q44" s="29"/>
      <c r="R44" s="29"/>
      <c r="S44" s="29"/>
      <c r="T44" s="29"/>
      <c r="U44" s="29"/>
    </row>
    <row r="45" spans="2:21" s="5" customFormat="1" x14ac:dyDescent="0.2">
      <c r="B45" s="22" t="s">
        <v>19</v>
      </c>
      <c r="P45" s="1"/>
      <c r="Q45" s="28"/>
      <c r="R45" s="28"/>
      <c r="S45" s="28"/>
      <c r="T45" s="28"/>
      <c r="U45" s="28"/>
    </row>
    <row r="46" spans="2:21" s="5" customFormat="1" ht="11.25" x14ac:dyDescent="0.2">
      <c r="B46" s="16" t="s">
        <v>20</v>
      </c>
      <c r="C46" s="7">
        <f>Sectortarieven!$C57*Rekenvol!C7</f>
        <v>2391601.0745628602</v>
      </c>
      <c r="D46" s="7">
        <f>Sectortarieven!$C57*Rekenvol!D7</f>
        <v>3309488.7177016241</v>
      </c>
      <c r="E46" s="7">
        <f>Sectortarieven!$C57*Rekenvol!E7</f>
        <v>31603116.394545052</v>
      </c>
      <c r="F46" s="7">
        <f>Sectortarieven!$C57*Rekenvol!F7</f>
        <v>1038141.4055870238</v>
      </c>
      <c r="G46" s="7">
        <f>Sectortarieven!$C57*Rekenvol!G7</f>
        <v>2613765.1674401416</v>
      </c>
      <c r="H46" s="7">
        <f>Sectortarieven!$C57*Rekenvol!H7</f>
        <v>3342445.5501979636</v>
      </c>
      <c r="I46" s="7">
        <f>Sectortarieven!$C57*Rekenvol!I7</f>
        <v>38367543.689255528</v>
      </c>
      <c r="J46" s="7">
        <f>Sectortarieven!$C57*Rekenvol!J7</f>
        <v>3534840.9084285093</v>
      </c>
      <c r="K46" s="7">
        <f>Sectortarieven!$C57*Rekenvol!K7</f>
        <v>626924.91016929527</v>
      </c>
      <c r="L46" s="7">
        <f>Sectortarieven!$C57*Rekenvol!L7</f>
        <v>1792263.5787747877</v>
      </c>
      <c r="M46" s="7">
        <f>Sectortarieven!$C57*Rekenvol!M7</f>
        <v>874693.46028583543</v>
      </c>
      <c r="N46" s="7">
        <f>Sectortarieven!$C57*Rekenvol!N7</f>
        <v>33226642.331071988</v>
      </c>
      <c r="O46" s="7">
        <f>Sectortarieven!$C57*Rekenvol!O7</f>
        <v>0</v>
      </c>
      <c r="P46" s="7">
        <f>SUM(C46:N46)</f>
        <v>122721467.18802062</v>
      </c>
      <c r="Q46" s="28"/>
      <c r="R46" s="28"/>
      <c r="S46" s="28"/>
      <c r="T46" s="28"/>
      <c r="U46" s="28"/>
    </row>
    <row r="47" spans="2:21" s="5" customFormat="1" ht="11.25" x14ac:dyDescent="0.2">
      <c r="B47" s="17" t="s">
        <v>21</v>
      </c>
      <c r="C47" s="7">
        <f>Sectortarieven!$C58*Rekenvol!C8</f>
        <v>9146346.988908831</v>
      </c>
      <c r="D47" s="7">
        <f>Sectortarieven!$C58*Rekenvol!D8</f>
        <v>12231404.386046268</v>
      </c>
      <c r="E47" s="7">
        <f>Sectortarieven!$C58*Rekenvol!E8</f>
        <v>118737868.8372089</v>
      </c>
      <c r="F47" s="7">
        <f>Sectortarieven!$C58*Rekenvol!F8</f>
        <v>4018952.1719526551</v>
      </c>
      <c r="G47" s="7">
        <f>Sectortarieven!$C58*Rekenvol!G8</f>
        <v>10132908.843799045</v>
      </c>
      <c r="H47" s="7">
        <f>Sectortarieven!$C58*Rekenvol!H8</f>
        <v>12803300.921688175</v>
      </c>
      <c r="I47" s="7">
        <f>Sectortarieven!$C58*Rekenvol!I8</f>
        <v>141981331.00994539</v>
      </c>
      <c r="J47" s="7">
        <f>Sectortarieven!$C58*Rekenvol!J8</f>
        <v>13687904.836953957</v>
      </c>
      <c r="K47" s="7">
        <f>Sectortarieven!$C58*Rekenvol!K8</f>
        <v>2290363.0767391487</v>
      </c>
      <c r="L47" s="7">
        <f>Sectortarieven!$C58*Rekenvol!L8</f>
        <v>6733026.3156169355</v>
      </c>
      <c r="M47" s="7">
        <f>Sectortarieven!$C58*Rekenvol!M8</f>
        <v>5287658.9608459901</v>
      </c>
      <c r="N47" s="7">
        <f>Sectortarieven!$C58*Rekenvol!N8</f>
        <v>124587569.37647708</v>
      </c>
      <c r="O47" s="7">
        <f>Sectortarieven!$C58*Rekenvol!O8</f>
        <v>0</v>
      </c>
      <c r="P47" s="7">
        <f>SUM(C47:N47)</f>
        <v>461638635.72618234</v>
      </c>
      <c r="Q47" s="28"/>
      <c r="R47" s="28"/>
      <c r="S47" s="28"/>
      <c r="T47" s="28"/>
      <c r="U47" s="28"/>
    </row>
    <row r="48" spans="2:21" s="5" customFormat="1" ht="11.25" x14ac:dyDescent="0.2">
      <c r="B48" s="17" t="s">
        <v>22</v>
      </c>
      <c r="C48" s="7">
        <f>Sectortarieven!$C59*Rekenvol!C9</f>
        <v>4088595.3127238764</v>
      </c>
      <c r="D48" s="7">
        <f>Sectortarieven!$C59*Rekenvol!D9</f>
        <v>4596376.7304089917</v>
      </c>
      <c r="E48" s="7">
        <f>Sectortarieven!$C59*Rekenvol!E9</f>
        <v>43773539.643434219</v>
      </c>
      <c r="F48" s="7">
        <f>Sectortarieven!$C59*Rekenvol!F9</f>
        <v>1550799.5761297587</v>
      </c>
      <c r="G48" s="7">
        <f>Sectortarieven!$C59*Rekenvol!G9</f>
        <v>4315756.5553503223</v>
      </c>
      <c r="H48" s="7">
        <f>Sectortarieven!$C59*Rekenvol!H9</f>
        <v>5539250.9555701865</v>
      </c>
      <c r="I48" s="7">
        <f>Sectortarieven!$C59*Rekenvol!I9</f>
        <v>56590176.822000764</v>
      </c>
      <c r="J48" s="7">
        <f>Sectortarieven!$C59*Rekenvol!J9</f>
        <v>6196981.652178322</v>
      </c>
      <c r="K48" s="7">
        <f>Sectortarieven!$C59*Rekenvol!K9</f>
        <v>723089.97687556734</v>
      </c>
      <c r="L48" s="7">
        <f>Sectortarieven!$C59*Rekenvol!L9</f>
        <v>2986830.9483158151</v>
      </c>
      <c r="M48" s="7">
        <f>Sectortarieven!$C59*Rekenvol!M9</f>
        <v>1661236.4626045404</v>
      </c>
      <c r="N48" s="7">
        <f>Sectortarieven!$C59*Rekenvol!N9</f>
        <v>55641911.72810372</v>
      </c>
      <c r="O48" s="7">
        <f>Sectortarieven!$C59*Rekenvol!O9</f>
        <v>0</v>
      </c>
      <c r="P48" s="7">
        <f>SUM(C48:N48)</f>
        <v>187664546.36369607</v>
      </c>
      <c r="Q48" s="28"/>
      <c r="R48" s="28"/>
      <c r="S48" s="28"/>
      <c r="T48" s="28"/>
      <c r="U48" s="28"/>
    </row>
    <row r="49" spans="2:21" s="5" customFormat="1" ht="11.25" x14ac:dyDescent="0.2">
      <c r="Q49" s="28"/>
      <c r="R49" s="28"/>
      <c r="S49" s="28"/>
      <c r="T49" s="28"/>
      <c r="U49" s="28"/>
    </row>
    <row r="50" spans="2:21" s="5" customFormat="1" ht="11.25" x14ac:dyDescent="0.2">
      <c r="B50" s="22" t="s">
        <v>23</v>
      </c>
      <c r="Q50" s="28"/>
      <c r="R50" s="28"/>
      <c r="S50" s="28"/>
      <c r="T50" s="28"/>
      <c r="U50" s="28"/>
    </row>
    <row r="51" spans="2:21" s="5" customFormat="1" ht="11.25" x14ac:dyDescent="0.2">
      <c r="B51" s="24" t="s">
        <v>20</v>
      </c>
      <c r="C51" s="7">
        <f>Sectortarieven!$C62*Rekenvol!C12</f>
        <v>83750.884752034675</v>
      </c>
      <c r="D51" s="7">
        <f>Sectortarieven!$C62*Rekenvol!D12</f>
        <v>120095.60832367236</v>
      </c>
      <c r="E51" s="7">
        <f>Sectortarieven!$C62*Rekenvol!E12</f>
        <v>1633142.2526646762</v>
      </c>
      <c r="F51" s="7">
        <f>Sectortarieven!$C62*Rekenvol!F12</f>
        <v>86387.701629908712</v>
      </c>
      <c r="G51" s="7">
        <f>Sectortarieven!$C62*Rekenvol!G12</f>
        <v>138267.9701094912</v>
      </c>
      <c r="H51" s="7">
        <f>Sectortarieven!$C62*Rekenvol!H12</f>
        <v>136027.57502444193</v>
      </c>
      <c r="I51" s="7">
        <f>Sectortarieven!$C62*Rekenvol!I12</f>
        <v>2077390.6564374187</v>
      </c>
      <c r="J51" s="7">
        <f>Sectortarieven!$C62*Rekenvol!J12</f>
        <v>263245.45054601628</v>
      </c>
      <c r="K51" s="7">
        <f>Sectortarieven!$C62*Rekenvol!K12</f>
        <v>16592.156413138946</v>
      </c>
      <c r="L51" s="7">
        <f>Sectortarieven!$C62*Rekenvol!L12</f>
        <v>63737.583707043748</v>
      </c>
      <c r="M51" s="7">
        <f>Sectortarieven!$C62*Rekenvol!M12</f>
        <v>1069442.2472650635</v>
      </c>
      <c r="N51" s="7">
        <f>Sectortarieven!$C62*Rekenvol!N12</f>
        <v>2940893.8823383497</v>
      </c>
      <c r="O51" s="7">
        <f>Sectortarieven!$C62*Rekenvol!O12</f>
        <v>0</v>
      </c>
      <c r="P51" s="7">
        <f>SUM(C51:N51)</f>
        <v>8628973.9692112543</v>
      </c>
      <c r="Q51" s="28"/>
      <c r="R51" s="28"/>
      <c r="S51" s="28"/>
      <c r="T51" s="28"/>
      <c r="U51" s="28"/>
    </row>
    <row r="52" spans="2:21" s="5" customFormat="1" ht="11.25" x14ac:dyDescent="0.2">
      <c r="B52" s="25" t="s">
        <v>26</v>
      </c>
      <c r="C52" s="7">
        <f>Sectortarieven!$C63*Rekenvol!C15</f>
        <v>877750.73425083887</v>
      </c>
      <c r="D52" s="7">
        <f>Sectortarieven!$C63*Rekenvol!D15</f>
        <v>1252978.5522659316</v>
      </c>
      <c r="E52" s="7">
        <f>Sectortarieven!$C63*Rekenvol!E15</f>
        <v>16806216.942003708</v>
      </c>
      <c r="F52" s="7">
        <f>Sectortarieven!$C63*Rekenvol!F15</f>
        <v>816364.83431247505</v>
      </c>
      <c r="G52" s="7">
        <f>Sectortarieven!$C63*Rekenvol!G15</f>
        <v>1312403.6550982839</v>
      </c>
      <c r="H52" s="7">
        <f>Sectortarieven!$C63*Rekenvol!H15</f>
        <v>1446252.611652235</v>
      </c>
      <c r="I52" s="7">
        <f>Sectortarieven!$C63*Rekenvol!I15</f>
        <v>18058163.196820702</v>
      </c>
      <c r="J52" s="7">
        <f>Sectortarieven!$C63*Rekenvol!J15</f>
        <v>2261013.8543486921</v>
      </c>
      <c r="K52" s="7">
        <f>Sectortarieven!$C63*Rekenvol!K15</f>
        <v>178301.21307544928</v>
      </c>
      <c r="L52" s="7">
        <f>Sectortarieven!$C63*Rekenvol!L15</f>
        <v>743539.11359939282</v>
      </c>
      <c r="M52" s="7">
        <f>Sectortarieven!$C63*Rekenvol!M15</f>
        <v>8900887.0478377678</v>
      </c>
      <c r="N52" s="7">
        <f>Sectortarieven!$C63*Rekenvol!N15</f>
        <v>18059791.299572669</v>
      </c>
      <c r="O52" s="7">
        <f>Sectortarieven!$C63*Rekenvol!O15</f>
        <v>0</v>
      </c>
      <c r="P52" s="7">
        <f>SUM(C52:N52)</f>
        <v>70713663.054838151</v>
      </c>
      <c r="Q52" s="28"/>
      <c r="R52" s="28"/>
      <c r="S52" s="28"/>
      <c r="T52" s="28"/>
      <c r="U52" s="28"/>
    </row>
    <row r="53" spans="2:21" s="5" customFormat="1" x14ac:dyDescent="0.2">
      <c r="B53" s="2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28"/>
      <c r="R53" s="28"/>
      <c r="S53" s="28"/>
      <c r="T53" s="28"/>
      <c r="U53" s="28"/>
    </row>
    <row r="54" spans="2:21" s="5" customFormat="1" x14ac:dyDescent="0.2">
      <c r="B54" s="69" t="s">
        <v>50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8"/>
      <c r="R54" s="28"/>
      <c r="S54" s="28"/>
      <c r="T54" s="28"/>
      <c r="U54" s="28"/>
    </row>
    <row r="55" spans="2:21" s="5" customFormat="1" ht="11.25" x14ac:dyDescent="0.2">
      <c r="B55" s="24" t="s">
        <v>20</v>
      </c>
      <c r="C55" s="147">
        <v>0</v>
      </c>
      <c r="D55" s="7">
        <f>Sectortarieven!$C66*Rekenvol!D18</f>
        <v>28971.410000000003</v>
      </c>
      <c r="E55" s="147">
        <v>0</v>
      </c>
      <c r="F55" s="147">
        <v>0</v>
      </c>
      <c r="G55" s="147">
        <v>0</v>
      </c>
      <c r="H55" s="147">
        <v>0</v>
      </c>
      <c r="I55" s="147">
        <v>0</v>
      </c>
      <c r="J55" s="147">
        <v>0</v>
      </c>
      <c r="K55" s="147">
        <v>0</v>
      </c>
      <c r="L55" s="147">
        <v>0</v>
      </c>
      <c r="M55" s="147">
        <v>0</v>
      </c>
      <c r="N55" s="7">
        <f>Sectortarieven!$C70*Rekenvol!N18</f>
        <v>0</v>
      </c>
      <c r="O55" s="7">
        <f>Sectortarieven!$C74*Rekenvol!O18</f>
        <v>0</v>
      </c>
      <c r="P55" s="7">
        <f>SUM(C55:N55)</f>
        <v>28971.410000000003</v>
      </c>
      <c r="Q55" s="28"/>
      <c r="R55" s="28"/>
      <c r="S55" s="28"/>
      <c r="T55" s="28"/>
      <c r="U55" s="28"/>
    </row>
    <row r="56" spans="2:21" s="5" customFormat="1" ht="11.25" x14ac:dyDescent="0.2">
      <c r="B56" s="25" t="s">
        <v>49</v>
      </c>
      <c r="C56" s="147">
        <v>0</v>
      </c>
      <c r="D56" s="7">
        <f>Sectortarieven!$C67*Rekenvol!D19</f>
        <v>3762491.0000000005</v>
      </c>
      <c r="E56" s="147">
        <v>0</v>
      </c>
      <c r="F56" s="147">
        <v>0</v>
      </c>
      <c r="G56" s="147">
        <v>0</v>
      </c>
      <c r="H56" s="147">
        <v>0</v>
      </c>
      <c r="I56" s="147">
        <v>0</v>
      </c>
      <c r="J56" s="147">
        <v>0</v>
      </c>
      <c r="K56" s="147">
        <v>0</v>
      </c>
      <c r="L56" s="147">
        <v>0</v>
      </c>
      <c r="M56" s="147">
        <v>0</v>
      </c>
      <c r="N56" s="7">
        <f>Sectortarieven!$C71*Rekenvol!N19</f>
        <v>496788.67082490347</v>
      </c>
      <c r="O56" s="7">
        <f>Sectortarieven!$C75*Rekenvol!O19</f>
        <v>9749217</v>
      </c>
      <c r="P56" s="7">
        <f>SUM(C56:N56)</f>
        <v>4259279.670824904</v>
      </c>
      <c r="Q56" s="28"/>
      <c r="R56" s="28"/>
      <c r="S56" s="28"/>
      <c r="T56" s="28"/>
      <c r="U56" s="28"/>
    </row>
    <row r="57" spans="2:21" x14ac:dyDescent="0.2">
      <c r="Q57" s="28"/>
      <c r="R57" s="28"/>
      <c r="S57" s="28"/>
      <c r="T57" s="28"/>
      <c r="U57" s="28"/>
    </row>
    <row r="58" spans="2:21" x14ac:dyDescent="0.2">
      <c r="B58" s="1" t="s">
        <v>100</v>
      </c>
      <c r="C58" s="36">
        <f>SUM(C46:C48,C51:C52,C55:C56)</f>
        <v>16588044.995198444</v>
      </c>
      <c r="D58" s="36">
        <f t="shared" ref="D58:O58" si="3">SUM(D46:D48,D51:D52,D55:D56)</f>
        <v>25301806.404746488</v>
      </c>
      <c r="E58" s="36">
        <f t="shared" si="3"/>
        <v>212553884.06985655</v>
      </c>
      <c r="F58" s="36">
        <f t="shared" si="3"/>
        <v>7510645.6896118214</v>
      </c>
      <c r="G58" s="36">
        <f t="shared" si="3"/>
        <v>18513102.191797286</v>
      </c>
      <c r="H58" s="36">
        <f t="shared" si="3"/>
        <v>23267277.614133004</v>
      </c>
      <c r="I58" s="36">
        <f t="shared" si="3"/>
        <v>257074605.37445983</v>
      </c>
      <c r="J58" s="36">
        <f t="shared" si="3"/>
        <v>25943986.702455495</v>
      </c>
      <c r="K58" s="36">
        <f t="shared" si="3"/>
        <v>3835271.3332725996</v>
      </c>
      <c r="L58" s="36">
        <f t="shared" si="3"/>
        <v>12319397.540013975</v>
      </c>
      <c r="M58" s="36">
        <f t="shared" si="3"/>
        <v>17793918.178839199</v>
      </c>
      <c r="N58" s="36">
        <f t="shared" si="3"/>
        <v>234953597.28838873</v>
      </c>
      <c r="O58" s="36">
        <f t="shared" si="3"/>
        <v>9749217</v>
      </c>
      <c r="P58" s="122">
        <f>SUM(C58:N58)</f>
        <v>855655537.38277352</v>
      </c>
      <c r="Q58" s="28"/>
      <c r="R58" s="28"/>
      <c r="S58" s="28"/>
      <c r="T58" s="28"/>
      <c r="U58" s="28"/>
    </row>
    <row r="59" spans="2:21" x14ac:dyDescent="0.2">
      <c r="O59" s="5"/>
    </row>
    <row r="60" spans="2:21" x14ac:dyDescent="0.2">
      <c r="O60" s="5"/>
    </row>
  </sheetData>
  <phoneticPr fontId="5" type="noConversion"/>
  <pageMargins left="0.75" right="0.75" top="1" bottom="1" header="0.5" footer="0.5"/>
  <headerFooter alignWithMargin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B1:W112"/>
  <sheetViews>
    <sheetView showGridLines="0" zoomScale="85" zoomScaleNormal="85" workbookViewId="0"/>
  </sheetViews>
  <sheetFormatPr defaultRowHeight="12.75" x14ac:dyDescent="0.2"/>
  <cols>
    <col min="1" max="1" width="9.140625" style="163"/>
    <col min="2" max="2" width="48.7109375" style="163" customWidth="1"/>
    <col min="3" max="3" width="21.42578125" style="163" bestFit="1" customWidth="1"/>
    <col min="4" max="4" width="10.85546875" style="163" customWidth="1"/>
    <col min="5" max="5" width="12.5703125" style="163" bestFit="1" customWidth="1"/>
    <col min="6" max="6" width="9.28515625" style="163" bestFit="1" customWidth="1"/>
    <col min="7" max="8" width="10.28515625" style="163" bestFit="1" customWidth="1"/>
    <col min="9" max="9" width="11.28515625" style="163" bestFit="1" customWidth="1"/>
    <col min="10" max="12" width="10.28515625" style="163" bestFit="1" customWidth="1"/>
    <col min="13" max="13" width="11.28515625" style="163" bestFit="1" customWidth="1"/>
    <col min="14" max="14" width="9.28515625" style="163" bestFit="1" customWidth="1"/>
    <col min="15" max="15" width="12.28515625" style="193" customWidth="1"/>
    <col min="16" max="16" width="9.5703125" style="219" customWidth="1"/>
    <col min="17" max="17" width="12.140625" style="219" customWidth="1"/>
    <col min="18" max="18" width="10.5703125" style="219" bestFit="1" customWidth="1"/>
    <col min="19" max="19" width="12.42578125" style="219" customWidth="1"/>
    <col min="20" max="16384" width="9.140625" style="163"/>
  </cols>
  <sheetData>
    <row r="1" spans="2:23" s="158" customFormat="1" x14ac:dyDescent="0.2">
      <c r="P1" s="159"/>
      <c r="Q1" s="159"/>
      <c r="R1" s="159"/>
      <c r="S1" s="159"/>
    </row>
    <row r="2" spans="2:23" s="158" customFormat="1" ht="182.25" x14ac:dyDescent="0.2">
      <c r="B2" s="160" t="s">
        <v>191</v>
      </c>
      <c r="C2" s="161" t="s">
        <v>192</v>
      </c>
      <c r="D2" s="161" t="s">
        <v>5</v>
      </c>
      <c r="E2" s="161" t="s">
        <v>193</v>
      </c>
      <c r="F2" s="161" t="s">
        <v>194</v>
      </c>
      <c r="G2" s="161" t="s">
        <v>7</v>
      </c>
      <c r="H2" s="161" t="s">
        <v>195</v>
      </c>
      <c r="I2" s="161" t="s">
        <v>196</v>
      </c>
      <c r="J2" s="161" t="s">
        <v>197</v>
      </c>
      <c r="K2" s="161" t="s">
        <v>13</v>
      </c>
      <c r="L2" s="161" t="s">
        <v>14</v>
      </c>
      <c r="M2" s="161" t="s">
        <v>198</v>
      </c>
      <c r="N2" s="161" t="s">
        <v>15</v>
      </c>
      <c r="P2" s="162" t="s">
        <v>199</v>
      </c>
      <c r="Q2" s="162" t="s">
        <v>200</v>
      </c>
      <c r="R2" s="162" t="s">
        <v>201</v>
      </c>
      <c r="S2" s="162" t="s">
        <v>202</v>
      </c>
    </row>
    <row r="3" spans="2:23" s="158" customFormat="1" x14ac:dyDescent="0.2">
      <c r="O3" s="163"/>
      <c r="P3" s="164"/>
      <c r="Q3" s="164"/>
      <c r="R3" s="164"/>
      <c r="S3" s="164"/>
      <c r="T3" s="163"/>
      <c r="U3" s="163"/>
    </row>
    <row r="4" spans="2:23" s="158" customFormat="1" x14ac:dyDescent="0.2">
      <c r="B4" s="165" t="s">
        <v>203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3"/>
      <c r="U4" s="163"/>
    </row>
    <row r="5" spans="2:23" s="158" customFormat="1" x14ac:dyDescent="0.2">
      <c r="O5" s="163"/>
      <c r="P5" s="159"/>
      <c r="Q5" s="159"/>
      <c r="R5" s="159"/>
      <c r="S5" s="159"/>
      <c r="T5" s="163"/>
      <c r="U5" s="163"/>
      <c r="V5" s="163"/>
      <c r="W5" s="163"/>
    </row>
    <row r="6" spans="2:23" s="158" customFormat="1" x14ac:dyDescent="0.2">
      <c r="B6" s="167" t="s">
        <v>204</v>
      </c>
      <c r="C6" s="168"/>
      <c r="D6" s="169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4"/>
      <c r="Q6" s="164"/>
      <c r="R6" s="164"/>
      <c r="S6" s="164"/>
      <c r="T6" s="163"/>
      <c r="U6" s="163"/>
      <c r="V6" s="163"/>
      <c r="W6" s="163"/>
    </row>
    <row r="7" spans="2:23" s="158" customFormat="1" x14ac:dyDescent="0.2">
      <c r="B7" s="170" t="s">
        <v>205</v>
      </c>
      <c r="C7" s="185">
        <v>3352.0769230769229</v>
      </c>
      <c r="D7" s="211">
        <f>179190*'SO 2006'!D7/'SO 2006'!$D$19</f>
        <v>10094.254143646409</v>
      </c>
      <c r="E7" s="186">
        <f t="shared" ref="E7:E17" si="0">S7+R7</f>
        <v>215134.98753659325</v>
      </c>
      <c r="F7" s="185">
        <v>3223.5</v>
      </c>
      <c r="G7" s="185">
        <v>2550</v>
      </c>
      <c r="H7" s="185">
        <v>12095.541903459351</v>
      </c>
      <c r="I7" s="185">
        <v>176129.9842610269</v>
      </c>
      <c r="J7" s="185">
        <v>6220</v>
      </c>
      <c r="K7" s="185">
        <v>4007.58</v>
      </c>
      <c r="L7" s="185">
        <v>3458.3659903533885</v>
      </c>
      <c r="M7" s="186">
        <f t="shared" ref="M7:M17" si="1">P7+Q7</f>
        <v>102308.81179224371</v>
      </c>
      <c r="N7" s="185"/>
      <c r="O7" s="163"/>
      <c r="P7" s="171">
        <v>5640</v>
      </c>
      <c r="Q7" s="171">
        <v>96668.811792243709</v>
      </c>
      <c r="R7" s="171">
        <v>6987</v>
      </c>
      <c r="S7" s="171">
        <v>208147.98753659325</v>
      </c>
      <c r="V7" s="163"/>
      <c r="W7" s="163"/>
    </row>
    <row r="8" spans="2:23" s="158" customFormat="1" x14ac:dyDescent="0.2">
      <c r="B8" s="170" t="s">
        <v>206</v>
      </c>
      <c r="C8" s="185">
        <v>119337.23076923077</v>
      </c>
      <c r="D8" s="211">
        <f>179190*'SO 2006'!D8/'SO 2006'!$D$19</f>
        <v>164275.44198895028</v>
      </c>
      <c r="E8" s="186">
        <f t="shared" si="0"/>
        <v>1523404.3350645776</v>
      </c>
      <c r="F8" s="185">
        <v>50696.5</v>
      </c>
      <c r="G8" s="185">
        <v>133971</v>
      </c>
      <c r="H8" s="185">
        <v>161717.29553332485</v>
      </c>
      <c r="I8" s="185">
        <v>1833718.9145179191</v>
      </c>
      <c r="J8" s="185">
        <v>176492</v>
      </c>
      <c r="K8" s="185">
        <v>88647</v>
      </c>
      <c r="L8" s="185">
        <v>41436.812877294709</v>
      </c>
      <c r="M8" s="186">
        <f t="shared" si="1"/>
        <v>1619574.6365242372</v>
      </c>
      <c r="N8" s="185"/>
      <c r="O8" s="163"/>
      <c r="P8" s="171">
        <v>40440</v>
      </c>
      <c r="Q8" s="171">
        <v>1579134.6365242372</v>
      </c>
      <c r="R8" s="171">
        <v>25830</v>
      </c>
      <c r="S8" s="171">
        <v>1497574.3350645776</v>
      </c>
      <c r="T8" s="172"/>
      <c r="V8" s="163"/>
      <c r="W8" s="163"/>
    </row>
    <row r="9" spans="2:23" s="158" customFormat="1" x14ac:dyDescent="0.2">
      <c r="B9" s="170" t="s">
        <v>207</v>
      </c>
      <c r="C9" s="185">
        <v>2076.3076923076924</v>
      </c>
      <c r="D9" s="211">
        <f>179190*'SO 2006'!D9/'SO 2006'!$D$19</f>
        <v>880.77348066298339</v>
      </c>
      <c r="E9" s="186">
        <f t="shared" si="0"/>
        <v>10784.57804517273</v>
      </c>
      <c r="F9" s="185">
        <v>279.5</v>
      </c>
      <c r="G9" s="185">
        <v>790</v>
      </c>
      <c r="H9" s="185">
        <v>1409.9832029259292</v>
      </c>
      <c r="I9" s="185">
        <v>19524.515760955583</v>
      </c>
      <c r="J9" s="185">
        <v>2040</v>
      </c>
      <c r="K9" s="185">
        <v>819</v>
      </c>
      <c r="L9" s="185">
        <v>233.13334868627175</v>
      </c>
      <c r="M9" s="186">
        <f t="shared" si="1"/>
        <v>15816.739887949601</v>
      </c>
      <c r="N9" s="185"/>
      <c r="O9" s="163"/>
      <c r="P9" s="171">
        <v>491</v>
      </c>
      <c r="Q9" s="171">
        <v>15325.739887949601</v>
      </c>
      <c r="R9" s="171">
        <v>144</v>
      </c>
      <c r="S9" s="171">
        <v>10640.57804517273</v>
      </c>
      <c r="T9" s="172"/>
      <c r="V9" s="163"/>
      <c r="W9" s="163"/>
    </row>
    <row r="10" spans="2:23" s="158" customFormat="1" x14ac:dyDescent="0.2">
      <c r="B10" s="170" t="s">
        <v>208</v>
      </c>
      <c r="C10" s="185">
        <v>4</v>
      </c>
      <c r="D10" s="211">
        <f>179190*'SO 2006'!D10/'SO 2006'!$D$19</f>
        <v>43.674033149171279</v>
      </c>
      <c r="E10" s="186">
        <f t="shared" si="0"/>
        <v>7439.7343147953279</v>
      </c>
      <c r="F10" s="185">
        <v>252.5</v>
      </c>
      <c r="G10" s="185">
        <v>0</v>
      </c>
      <c r="H10" s="185">
        <v>0</v>
      </c>
      <c r="I10" s="185">
        <v>9484.9614075436075</v>
      </c>
      <c r="J10" s="185">
        <v>2374.5</v>
      </c>
      <c r="K10" s="185">
        <v>703</v>
      </c>
      <c r="L10" s="185">
        <v>377.0669074345418</v>
      </c>
      <c r="M10" s="186">
        <f t="shared" si="1"/>
        <v>4266.1041425967251</v>
      </c>
      <c r="N10" s="185"/>
      <c r="O10" s="163"/>
      <c r="P10" s="171">
        <v>0</v>
      </c>
      <c r="Q10" s="171">
        <v>4266.1041425967251</v>
      </c>
      <c r="R10" s="171">
        <v>173</v>
      </c>
      <c r="S10" s="171">
        <v>7266.7343147953279</v>
      </c>
      <c r="T10" s="172"/>
      <c r="V10" s="163"/>
      <c r="W10" s="163"/>
    </row>
    <row r="11" spans="2:23" s="158" customFormat="1" x14ac:dyDescent="0.2">
      <c r="B11" s="170" t="s">
        <v>209</v>
      </c>
      <c r="C11" s="185">
        <v>2267.0769230769229</v>
      </c>
      <c r="D11" s="211">
        <f>179190*'SO 2006'!D11/'SO 2006'!$D$19</f>
        <v>2618.2872928176794</v>
      </c>
      <c r="E11" s="186">
        <f t="shared" si="0"/>
        <v>16313.21995822632</v>
      </c>
      <c r="F11" s="185">
        <v>569.5</v>
      </c>
      <c r="G11" s="185">
        <v>2270</v>
      </c>
      <c r="H11" s="185">
        <v>3285.6397833387109</v>
      </c>
      <c r="I11" s="185">
        <v>21928.767597714603</v>
      </c>
      <c r="J11" s="185">
        <v>2549.5</v>
      </c>
      <c r="K11" s="185">
        <v>1080</v>
      </c>
      <c r="L11" s="185">
        <v>370.17662111433611</v>
      </c>
      <c r="M11" s="186">
        <f t="shared" si="1"/>
        <v>25775.849760115249</v>
      </c>
      <c r="N11" s="185"/>
      <c r="O11" s="163"/>
      <c r="P11" s="171">
        <v>697</v>
      </c>
      <c r="Q11" s="171">
        <v>25078.849760115249</v>
      </c>
      <c r="R11" s="171">
        <v>249</v>
      </c>
      <c r="S11" s="171">
        <v>16064.21995822632</v>
      </c>
      <c r="T11" s="172"/>
      <c r="V11" s="163"/>
      <c r="W11" s="163"/>
    </row>
    <row r="12" spans="2:23" s="158" customFormat="1" x14ac:dyDescent="0.2">
      <c r="B12" s="170" t="s">
        <v>210</v>
      </c>
      <c r="C12" s="185">
        <v>706.61538461538464</v>
      </c>
      <c r="D12" s="211">
        <f>179190*'SO 2006'!D12/'SO 2006'!$D$19</f>
        <v>610.60773480662988</v>
      </c>
      <c r="E12" s="186">
        <f t="shared" si="0"/>
        <v>6968.9518684043205</v>
      </c>
      <c r="F12" s="185">
        <v>324</v>
      </c>
      <c r="G12" s="185">
        <v>565</v>
      </c>
      <c r="H12" s="185">
        <v>945.30698470564414</v>
      </c>
      <c r="I12" s="185">
        <v>8662.2136307059209</v>
      </c>
      <c r="J12" s="185">
        <v>1027</v>
      </c>
      <c r="K12" s="185">
        <v>417</v>
      </c>
      <c r="L12" s="185">
        <v>252.98219388847815</v>
      </c>
      <c r="M12" s="186">
        <f t="shared" si="1"/>
        <v>8603.8924698140745</v>
      </c>
      <c r="N12" s="185"/>
      <c r="O12" s="163"/>
      <c r="P12" s="171">
        <v>115</v>
      </c>
      <c r="Q12" s="171">
        <v>8488.8924698140745</v>
      </c>
      <c r="R12" s="171">
        <v>121</v>
      </c>
      <c r="S12" s="171">
        <v>6847.9518684043205</v>
      </c>
      <c r="T12" s="172"/>
      <c r="V12" s="163"/>
      <c r="W12" s="163"/>
    </row>
    <row r="13" spans="2:23" s="158" customFormat="1" x14ac:dyDescent="0.2">
      <c r="B13" s="170" t="s">
        <v>211</v>
      </c>
      <c r="C13" s="185">
        <v>241.46153846153845</v>
      </c>
      <c r="D13" s="211">
        <f>179190*'SO 2006'!D13/'SO 2006'!$D$19</f>
        <v>261.54696132596683</v>
      </c>
      <c r="E13" s="186">
        <f t="shared" si="0"/>
        <v>1921.5819719894916</v>
      </c>
      <c r="F13" s="185">
        <v>134</v>
      </c>
      <c r="G13" s="185">
        <v>0</v>
      </c>
      <c r="H13" s="185">
        <v>333.0511950334232</v>
      </c>
      <c r="I13" s="185">
        <v>2751.6342314238204</v>
      </c>
      <c r="J13" s="185">
        <v>443</v>
      </c>
      <c r="K13" s="185">
        <v>155</v>
      </c>
      <c r="L13" s="185">
        <v>26.678060111101352</v>
      </c>
      <c r="M13" s="186">
        <f t="shared" si="1"/>
        <v>2827.2635960860362</v>
      </c>
      <c r="N13" s="185"/>
      <c r="O13" s="163"/>
      <c r="P13" s="171">
        <v>48</v>
      </c>
      <c r="Q13" s="171">
        <v>2779.2635960860362</v>
      </c>
      <c r="R13" s="171">
        <v>10</v>
      </c>
      <c r="S13" s="171">
        <v>1911.5819719894916</v>
      </c>
      <c r="T13" s="172"/>
      <c r="V13" s="163"/>
      <c r="W13" s="163"/>
    </row>
    <row r="14" spans="2:23" s="158" customFormat="1" x14ac:dyDescent="0.2">
      <c r="B14" s="170" t="s">
        <v>212</v>
      </c>
      <c r="C14" s="185">
        <v>187.15384615384616</v>
      </c>
      <c r="D14" s="211">
        <f>179190*'SO 2006'!D14/'SO 2006'!$D$19</f>
        <v>266.93370165745858</v>
      </c>
      <c r="E14" s="186">
        <f t="shared" si="0"/>
        <v>3535.2495980882663</v>
      </c>
      <c r="F14" s="185">
        <v>124</v>
      </c>
      <c r="G14" s="185">
        <v>448</v>
      </c>
      <c r="H14" s="185">
        <v>247.29549810864955</v>
      </c>
      <c r="I14" s="185">
        <v>4422.5232350015922</v>
      </c>
      <c r="J14" s="185">
        <v>259.5</v>
      </c>
      <c r="K14" s="185">
        <v>160</v>
      </c>
      <c r="L14" s="185">
        <v>125.33236788731001</v>
      </c>
      <c r="M14" s="186">
        <f t="shared" si="1"/>
        <v>3082.6884375650839</v>
      </c>
      <c r="N14" s="185"/>
      <c r="O14" s="163"/>
      <c r="P14" s="171">
        <v>108</v>
      </c>
      <c r="Q14" s="171">
        <v>2974.6884375650839</v>
      </c>
      <c r="R14" s="171">
        <v>165</v>
      </c>
      <c r="S14" s="171">
        <v>3370.2495980882663</v>
      </c>
      <c r="T14" s="172"/>
      <c r="V14" s="163"/>
      <c r="W14" s="163"/>
    </row>
    <row r="15" spans="2:23" s="158" customFormat="1" x14ac:dyDescent="0.2">
      <c r="B15" s="170" t="s">
        <v>213</v>
      </c>
      <c r="C15" s="185">
        <v>56.153846153846153</v>
      </c>
      <c r="D15" s="211">
        <f>179190*'SO 2006'!D15/'SO 2006'!$D$19</f>
        <v>91.077348066298356</v>
      </c>
      <c r="E15" s="186">
        <f t="shared" si="0"/>
        <v>1788.9613829526893</v>
      </c>
      <c r="F15" s="185">
        <v>39</v>
      </c>
      <c r="G15" s="185">
        <v>85</v>
      </c>
      <c r="H15" s="185">
        <v>187.46594211462144</v>
      </c>
      <c r="I15" s="185">
        <v>1736.9119733240063</v>
      </c>
      <c r="J15" s="185">
        <v>110</v>
      </c>
      <c r="K15" s="185">
        <v>30</v>
      </c>
      <c r="L15" s="185">
        <v>28.857697537757339</v>
      </c>
      <c r="M15" s="186">
        <f t="shared" si="1"/>
        <v>1309.1659905456227</v>
      </c>
      <c r="N15" s="185"/>
      <c r="O15" s="163"/>
      <c r="P15" s="171">
        <v>52</v>
      </c>
      <c r="Q15" s="171">
        <v>1257.1659905456227</v>
      </c>
      <c r="R15" s="171">
        <v>38</v>
      </c>
      <c r="S15" s="171">
        <v>1750.9613829526893</v>
      </c>
      <c r="T15" s="172"/>
      <c r="V15" s="163"/>
      <c r="W15" s="163"/>
    </row>
    <row r="16" spans="2:23" s="158" customFormat="1" x14ac:dyDescent="0.2">
      <c r="B16" s="170" t="s">
        <v>214</v>
      </c>
      <c r="C16" s="185">
        <v>69.07692307692308</v>
      </c>
      <c r="D16" s="211">
        <f>179190*'SO 2006'!D16/'SO 2006'!$D$19</f>
        <v>35.718232044198892</v>
      </c>
      <c r="E16" s="186">
        <f t="shared" si="0"/>
        <v>447.62711364171741</v>
      </c>
      <c r="F16" s="185">
        <v>11</v>
      </c>
      <c r="G16" s="185">
        <v>48</v>
      </c>
      <c r="H16" s="185">
        <v>35.89773359641687</v>
      </c>
      <c r="I16" s="185">
        <v>669.3713394272047</v>
      </c>
      <c r="J16" s="185">
        <v>37.5</v>
      </c>
      <c r="K16" s="185">
        <v>25</v>
      </c>
      <c r="L16" s="185">
        <v>457.10183007292477</v>
      </c>
      <c r="M16" s="186">
        <f t="shared" si="1"/>
        <v>404.9378174825714</v>
      </c>
      <c r="N16" s="185"/>
      <c r="O16" s="163"/>
      <c r="P16" s="171">
        <v>2</v>
      </c>
      <c r="Q16" s="171">
        <v>402.9378174825714</v>
      </c>
      <c r="R16" s="171">
        <v>6</v>
      </c>
      <c r="S16" s="171">
        <v>441.62711364171741</v>
      </c>
      <c r="T16" s="172"/>
      <c r="V16" s="163"/>
      <c r="W16" s="163"/>
    </row>
    <row r="17" spans="2:23" s="158" customFormat="1" x14ac:dyDescent="0.2">
      <c r="B17" s="170" t="s">
        <v>215</v>
      </c>
      <c r="C17" s="185">
        <v>31.538461538461533</v>
      </c>
      <c r="D17" s="211">
        <f>179190*'SO 2006'!D17/'SO 2006'!$D$19</f>
        <v>11.685082872928177</v>
      </c>
      <c r="E17" s="186">
        <f t="shared" si="0"/>
        <v>694.78095078685431</v>
      </c>
      <c r="F17" s="185">
        <v>12</v>
      </c>
      <c r="G17" s="185">
        <v>23</v>
      </c>
      <c r="H17" s="185">
        <v>35.89773359641687</v>
      </c>
      <c r="I17" s="185">
        <v>271.202044957608</v>
      </c>
      <c r="J17" s="185">
        <v>13</v>
      </c>
      <c r="K17" s="185">
        <v>27</v>
      </c>
      <c r="L17" s="185">
        <v>323.36580985753579</v>
      </c>
      <c r="M17" s="186">
        <f t="shared" si="1"/>
        <v>274.90958136367135</v>
      </c>
      <c r="N17" s="185"/>
      <c r="O17" s="163"/>
      <c r="P17" s="171">
        <v>13</v>
      </c>
      <c r="Q17" s="171">
        <v>261.90958136367135</v>
      </c>
      <c r="R17" s="171">
        <v>4</v>
      </c>
      <c r="S17" s="171">
        <v>690.78095078685431</v>
      </c>
      <c r="T17" s="172"/>
      <c r="V17" s="163"/>
      <c r="W17" s="163"/>
    </row>
    <row r="18" spans="2:23" s="158" customFormat="1" x14ac:dyDescent="0.2">
      <c r="B18" s="170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63"/>
      <c r="P18" s="174"/>
      <c r="Q18" s="174"/>
      <c r="R18" s="174"/>
      <c r="S18" s="174"/>
      <c r="T18" s="172"/>
      <c r="V18" s="163"/>
      <c r="W18" s="163"/>
    </row>
    <row r="19" spans="2:23" s="158" customFormat="1" x14ac:dyDescent="0.2">
      <c r="B19" s="175" t="s">
        <v>65</v>
      </c>
      <c r="C19" s="176">
        <f t="shared" ref="C19:L19" si="2">SUM(C7:C17)</f>
        <v>128328.6923076923</v>
      </c>
      <c r="D19" s="176">
        <f t="shared" si="2"/>
        <v>179190</v>
      </c>
      <c r="E19" s="176">
        <f>SUM(E7:E17)</f>
        <v>1788434.0078052287</v>
      </c>
      <c r="F19" s="176">
        <f t="shared" si="2"/>
        <v>55665.5</v>
      </c>
      <c r="G19" s="176">
        <f t="shared" si="2"/>
        <v>140750</v>
      </c>
      <c r="H19" s="176">
        <f t="shared" si="2"/>
        <v>180293.375510204</v>
      </c>
      <c r="I19" s="176">
        <f t="shared" si="2"/>
        <v>2079300.9999999998</v>
      </c>
      <c r="J19" s="176">
        <f t="shared" si="2"/>
        <v>191566</v>
      </c>
      <c r="K19" s="176">
        <f t="shared" si="2"/>
        <v>96070.58</v>
      </c>
      <c r="L19" s="176">
        <f t="shared" si="2"/>
        <v>47089.873704238358</v>
      </c>
      <c r="M19" s="176">
        <f>SUM(M7:M17)</f>
        <v>1784244.9999999993</v>
      </c>
      <c r="N19" s="176"/>
      <c r="O19" s="163"/>
      <c r="P19" s="177">
        <f>SUM(P7:P17)</f>
        <v>47606</v>
      </c>
      <c r="Q19" s="177">
        <f>SUM(Q7:Q17)</f>
        <v>1736638.9999999993</v>
      </c>
      <c r="R19" s="177">
        <f>SUM(R7:R17)</f>
        <v>33727</v>
      </c>
      <c r="S19" s="177">
        <f>SUM(S7:S17)</f>
        <v>1754707.0078052287</v>
      </c>
      <c r="T19" s="172"/>
      <c r="V19" s="163"/>
      <c r="W19" s="163"/>
    </row>
    <row r="20" spans="2:23" s="158" customFormat="1" x14ac:dyDescent="0.2"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4"/>
      <c r="Q20" s="164"/>
      <c r="R20" s="164"/>
      <c r="S20" s="164"/>
      <c r="T20" s="163"/>
      <c r="V20" s="163"/>
      <c r="W20" s="163"/>
    </row>
    <row r="21" spans="2:23" s="158" customFormat="1" x14ac:dyDescent="0.2">
      <c r="B21" s="178" t="s">
        <v>216</v>
      </c>
      <c r="O21" s="179"/>
      <c r="P21" s="180"/>
      <c r="Q21" s="180"/>
      <c r="R21" s="180"/>
      <c r="S21" s="180"/>
    </row>
    <row r="22" spans="2:23" s="158" customFormat="1" x14ac:dyDescent="0.2">
      <c r="B22" s="170" t="s">
        <v>20</v>
      </c>
      <c r="C22" s="212">
        <v>111</v>
      </c>
      <c r="D22" s="213">
        <v>155</v>
      </c>
      <c r="E22" s="214">
        <v>2294</v>
      </c>
      <c r="F22" s="213">
        <v>118</v>
      </c>
      <c r="G22" s="213">
        <v>175</v>
      </c>
      <c r="H22" s="213">
        <v>173</v>
      </c>
      <c r="I22" s="213">
        <v>2668</v>
      </c>
      <c r="J22" s="213">
        <v>318</v>
      </c>
      <c r="K22" s="213">
        <v>71</v>
      </c>
      <c r="L22" s="213">
        <v>1514.7186666666666</v>
      </c>
      <c r="M22" s="214">
        <v>3185</v>
      </c>
      <c r="N22" s="215"/>
      <c r="O22" s="179"/>
      <c r="P22" s="180"/>
      <c r="Q22" s="180"/>
      <c r="R22" s="180"/>
      <c r="S22" s="180"/>
    </row>
    <row r="23" spans="2:23" s="158" customFormat="1" x14ac:dyDescent="0.2">
      <c r="B23" s="181" t="s">
        <v>24</v>
      </c>
      <c r="C23" s="216">
        <v>9683</v>
      </c>
      <c r="D23" s="213">
        <v>11622</v>
      </c>
      <c r="E23" s="214"/>
      <c r="F23" s="213"/>
      <c r="G23" s="213"/>
      <c r="H23" s="213"/>
      <c r="I23" s="213">
        <v>178152</v>
      </c>
      <c r="J23" s="213"/>
      <c r="K23" s="213">
        <v>8453</v>
      </c>
      <c r="L23" s="213"/>
      <c r="M23" s="214">
        <v>0</v>
      </c>
      <c r="N23" s="215"/>
      <c r="O23" s="179"/>
      <c r="P23" s="180"/>
      <c r="Q23" s="180"/>
      <c r="R23" s="180"/>
      <c r="S23" s="180"/>
    </row>
    <row r="24" spans="2:23" s="158" customFormat="1" x14ac:dyDescent="0.2">
      <c r="B24" s="170" t="s">
        <v>25</v>
      </c>
      <c r="C24" s="213">
        <v>29331</v>
      </c>
      <c r="D24" s="213">
        <v>37265</v>
      </c>
      <c r="E24" s="214"/>
      <c r="F24" s="213"/>
      <c r="G24" s="213"/>
      <c r="H24" s="213"/>
      <c r="I24" s="213">
        <v>521292</v>
      </c>
      <c r="J24" s="213"/>
      <c r="K24" s="213">
        <v>19367</v>
      </c>
      <c r="L24" s="213"/>
      <c r="M24" s="214">
        <v>0</v>
      </c>
      <c r="N24" s="215"/>
      <c r="O24" s="179"/>
      <c r="P24" s="180"/>
      <c r="Q24" s="180"/>
      <c r="R24" s="180"/>
      <c r="S24" s="180"/>
    </row>
    <row r="25" spans="2:23" s="158" customFormat="1" x14ac:dyDescent="0.2">
      <c r="B25" s="181" t="s">
        <v>26</v>
      </c>
      <c r="C25" s="217">
        <f>SUM(C23:C24)</f>
        <v>39014</v>
      </c>
      <c r="D25" s="217">
        <f>SUM(D23:D24)</f>
        <v>48887</v>
      </c>
      <c r="E25" s="214">
        <v>663588</v>
      </c>
      <c r="F25" s="213">
        <v>35419</v>
      </c>
      <c r="G25" s="213">
        <v>50663</v>
      </c>
      <c r="H25" s="213">
        <v>52368.406551400796</v>
      </c>
      <c r="I25" s="217">
        <f>SUM(I23:I24)</f>
        <v>699444</v>
      </c>
      <c r="J25" s="213">
        <v>83577</v>
      </c>
      <c r="K25" s="217">
        <f>SUM(K23:K24)</f>
        <v>27820</v>
      </c>
      <c r="L25" s="213">
        <v>368998.71644765261</v>
      </c>
      <c r="M25" s="214">
        <v>733011</v>
      </c>
      <c r="N25" s="215"/>
      <c r="O25" s="182"/>
      <c r="P25" s="180"/>
      <c r="Q25" s="180"/>
      <c r="R25" s="180"/>
      <c r="S25" s="180"/>
    </row>
    <row r="26" spans="2:23" s="158" customFormat="1" x14ac:dyDescent="0.2">
      <c r="O26" s="179"/>
      <c r="P26" s="180"/>
      <c r="Q26" s="180"/>
      <c r="R26" s="180"/>
      <c r="S26" s="180"/>
    </row>
    <row r="27" spans="2:23" s="158" customFormat="1" x14ac:dyDescent="0.2">
      <c r="B27" s="165" t="s">
        <v>217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</row>
    <row r="28" spans="2:23" s="158" customFormat="1" x14ac:dyDescent="0.2"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83"/>
      <c r="P28" s="164"/>
      <c r="Q28" s="164"/>
      <c r="R28" s="164"/>
      <c r="S28" s="164"/>
    </row>
    <row r="29" spans="2:23" s="158" customFormat="1" x14ac:dyDescent="0.2">
      <c r="B29" s="184" t="s">
        <v>218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4"/>
      <c r="Q29" s="164"/>
      <c r="R29" s="164"/>
      <c r="S29" s="164"/>
    </row>
    <row r="30" spans="2:23" s="158" customFormat="1" x14ac:dyDescent="0.2">
      <c r="B30" s="170" t="s">
        <v>219</v>
      </c>
      <c r="C30" s="185">
        <v>114298</v>
      </c>
      <c r="D30" s="185">
        <v>160061.83333333334</v>
      </c>
      <c r="E30" s="186">
        <f>S30+R30</f>
        <v>1483894</v>
      </c>
      <c r="F30" s="185">
        <v>50512.218208073427</v>
      </c>
      <c r="G30" s="185">
        <v>125066</v>
      </c>
      <c r="H30" s="185">
        <v>154565.68208458772</v>
      </c>
      <c r="I30" s="185">
        <v>1757031.7478506861</v>
      </c>
      <c r="J30" s="185">
        <v>167119.45344889554</v>
      </c>
      <c r="K30" s="185">
        <v>85469.56</v>
      </c>
      <c r="L30" s="185">
        <v>41954.173401225009</v>
      </c>
      <c r="M30" s="186">
        <f>Q30+P30</f>
        <v>1541304.0909</v>
      </c>
      <c r="N30" s="185"/>
      <c r="O30" s="163"/>
      <c r="P30" s="171">
        <v>0</v>
      </c>
      <c r="Q30" s="171">
        <f>1635683*0.9423</f>
        <v>1541304.0909</v>
      </c>
      <c r="R30" s="187">
        <v>26150</v>
      </c>
      <c r="S30" s="187">
        <v>1457744</v>
      </c>
    </row>
    <row r="31" spans="2:23" s="158" customFormat="1" x14ac:dyDescent="0.2">
      <c r="B31" s="170" t="s">
        <v>220</v>
      </c>
      <c r="C31" s="185">
        <v>8207</v>
      </c>
      <c r="D31" s="185">
        <v>4010.25</v>
      </c>
      <c r="E31" s="186">
        <f>S31+R31</f>
        <v>58020</v>
      </c>
      <c r="F31" s="185">
        <v>1532.6169911328871</v>
      </c>
      <c r="G31" s="185">
        <v>8213</v>
      </c>
      <c r="H31" s="185">
        <v>8998.6735820062659</v>
      </c>
      <c r="I31" s="185">
        <v>86201.005049826228</v>
      </c>
      <c r="J31" s="185">
        <v>10162.278426085177</v>
      </c>
      <c r="K31" s="185">
        <v>5609.61</v>
      </c>
      <c r="L31" s="185">
        <v>1539.9021213038034</v>
      </c>
      <c r="M31" s="186">
        <f>Q31+P31</f>
        <v>138117.90910000005</v>
      </c>
      <c r="N31" s="185"/>
      <c r="O31" s="163"/>
      <c r="P31" s="171">
        <v>43739</v>
      </c>
      <c r="Q31" s="171">
        <f>1635683-Q30</f>
        <v>94378.909100000048</v>
      </c>
      <c r="R31" s="187">
        <v>495</v>
      </c>
      <c r="S31" s="187">
        <v>57525</v>
      </c>
    </row>
    <row r="32" spans="2:23" s="158" customFormat="1" x14ac:dyDescent="0.2"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4"/>
      <c r="Q32" s="164"/>
      <c r="R32" s="164"/>
      <c r="S32" s="164"/>
    </row>
    <row r="33" spans="2:21" s="158" customFormat="1" x14ac:dyDescent="0.2">
      <c r="B33" s="184" t="s">
        <v>221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4"/>
      <c r="Q33" s="164"/>
      <c r="R33" s="164"/>
      <c r="S33" s="164"/>
    </row>
    <row r="34" spans="2:21" s="158" customFormat="1" x14ac:dyDescent="0.2">
      <c r="B34" s="170" t="s">
        <v>219</v>
      </c>
      <c r="C34" s="188">
        <f>C30/SUM(C30:C31)</f>
        <v>0.93300681604832458</v>
      </c>
      <c r="D34" s="188">
        <f t="shared" ref="D34:M34" si="3">D30/SUM(D30:D31)</f>
        <v>0.97555799915179553</v>
      </c>
      <c r="E34" s="188">
        <f t="shared" si="3"/>
        <v>0.96237144224645477</v>
      </c>
      <c r="F34" s="188">
        <f t="shared" si="3"/>
        <v>0.9705519868538991</v>
      </c>
      <c r="G34" s="188">
        <f t="shared" si="3"/>
        <v>0.93837738878593024</v>
      </c>
      <c r="H34" s="188">
        <f t="shared" si="3"/>
        <v>0.94498389612252087</v>
      </c>
      <c r="I34" s="188">
        <f t="shared" si="3"/>
        <v>0.95323379268614861</v>
      </c>
      <c r="J34" s="188">
        <f t="shared" si="3"/>
        <v>0.94267723854789709</v>
      </c>
      <c r="K34" s="188">
        <f t="shared" si="3"/>
        <v>0.93840951778546067</v>
      </c>
      <c r="L34" s="188">
        <f t="shared" si="3"/>
        <v>0.96459512927211943</v>
      </c>
      <c r="M34" s="188">
        <f t="shared" si="3"/>
        <v>0.9177586639331865</v>
      </c>
      <c r="N34" s="188"/>
      <c r="O34" s="163"/>
      <c r="P34" s="164"/>
      <c r="Q34" s="164"/>
      <c r="R34" s="164"/>
      <c r="S34" s="164"/>
    </row>
    <row r="35" spans="2:21" s="158" customFormat="1" x14ac:dyDescent="0.2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4"/>
      <c r="Q35" s="164"/>
      <c r="R35" s="164"/>
      <c r="S35" s="164"/>
    </row>
    <row r="36" spans="2:21" s="158" customFormat="1" x14ac:dyDescent="0.2">
      <c r="B36" s="184" t="s">
        <v>222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164"/>
      <c r="R36" s="164"/>
      <c r="S36" s="164"/>
    </row>
    <row r="37" spans="2:21" s="158" customFormat="1" x14ac:dyDescent="0.2">
      <c r="B37" s="170" t="s">
        <v>206</v>
      </c>
      <c r="C37" s="189">
        <f t="shared" ref="C37:N37" si="4">C8</f>
        <v>119337.23076923077</v>
      </c>
      <c r="D37" s="189">
        <f t="shared" si="4"/>
        <v>164275.44198895028</v>
      </c>
      <c r="E37" s="189">
        <f t="shared" si="4"/>
        <v>1523404.3350645776</v>
      </c>
      <c r="F37" s="189">
        <f t="shared" si="4"/>
        <v>50696.5</v>
      </c>
      <c r="G37" s="189">
        <f t="shared" si="4"/>
        <v>133971</v>
      </c>
      <c r="H37" s="189">
        <f t="shared" si="4"/>
        <v>161717.29553332485</v>
      </c>
      <c r="I37" s="189">
        <f t="shared" si="4"/>
        <v>1833718.9145179191</v>
      </c>
      <c r="J37" s="189">
        <f t="shared" si="4"/>
        <v>176492</v>
      </c>
      <c r="K37" s="189">
        <f t="shared" si="4"/>
        <v>88647</v>
      </c>
      <c r="L37" s="189">
        <f t="shared" si="4"/>
        <v>41436.812877294709</v>
      </c>
      <c r="M37" s="189">
        <f t="shared" si="4"/>
        <v>1619574.6365242372</v>
      </c>
      <c r="N37" s="189">
        <f t="shared" si="4"/>
        <v>0</v>
      </c>
      <c r="O37" s="163"/>
      <c r="P37" s="164"/>
      <c r="Q37" s="164"/>
      <c r="R37" s="164"/>
      <c r="S37" s="164"/>
    </row>
    <row r="38" spans="2:21" s="158" customFormat="1" x14ac:dyDescent="0.2">
      <c r="B38" s="170" t="s">
        <v>207</v>
      </c>
      <c r="C38" s="189">
        <f t="shared" ref="C38:N38" si="5">C9</f>
        <v>2076.3076923076924</v>
      </c>
      <c r="D38" s="189">
        <f t="shared" si="5"/>
        <v>880.77348066298339</v>
      </c>
      <c r="E38" s="189">
        <f t="shared" si="5"/>
        <v>10784.57804517273</v>
      </c>
      <c r="F38" s="189">
        <f t="shared" si="5"/>
        <v>279.5</v>
      </c>
      <c r="G38" s="189">
        <f t="shared" si="5"/>
        <v>790</v>
      </c>
      <c r="H38" s="189">
        <f t="shared" si="5"/>
        <v>1409.9832029259292</v>
      </c>
      <c r="I38" s="189">
        <f t="shared" si="5"/>
        <v>19524.515760955583</v>
      </c>
      <c r="J38" s="189">
        <f t="shared" si="5"/>
        <v>2040</v>
      </c>
      <c r="K38" s="189">
        <f t="shared" si="5"/>
        <v>819</v>
      </c>
      <c r="L38" s="189">
        <f t="shared" si="5"/>
        <v>233.13334868627175</v>
      </c>
      <c r="M38" s="189">
        <f t="shared" si="5"/>
        <v>15816.739887949601</v>
      </c>
      <c r="N38" s="189">
        <f t="shared" si="5"/>
        <v>0</v>
      </c>
      <c r="O38" s="163"/>
      <c r="P38" s="164"/>
      <c r="Q38" s="164"/>
      <c r="R38" s="164"/>
      <c r="S38" s="164"/>
    </row>
    <row r="39" spans="2:21" s="158" customFormat="1" x14ac:dyDescent="0.2"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4"/>
      <c r="Q39" s="164"/>
      <c r="R39" s="164"/>
      <c r="S39" s="164"/>
      <c r="T39" s="163"/>
      <c r="U39" s="163"/>
    </row>
    <row r="40" spans="2:21" s="158" customFormat="1" x14ac:dyDescent="0.2">
      <c r="B40" s="184" t="s">
        <v>223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164"/>
      <c r="R40" s="164"/>
      <c r="S40" s="164"/>
    </row>
    <row r="41" spans="2:21" s="158" customFormat="1" x14ac:dyDescent="0.2">
      <c r="B41" s="170" t="s">
        <v>219</v>
      </c>
      <c r="C41" s="190">
        <f>C37*C34</f>
        <v>111342.44971602414</v>
      </c>
      <c r="D41" s="190">
        <f t="shared" ref="D41:M41" si="6">D37*D34</f>
        <v>160260.22149651719</v>
      </c>
      <c r="E41" s="190">
        <f t="shared" si="6"/>
        <v>1466080.8270605991</v>
      </c>
      <c r="F41" s="190">
        <f t="shared" si="6"/>
        <v>49203.588801538695</v>
      </c>
      <c r="G41" s="190">
        <f t="shared" si="6"/>
        <v>125715.35715303986</v>
      </c>
      <c r="H41" s="190">
        <f t="shared" si="6"/>
        <v>152820.24000347845</v>
      </c>
      <c r="I41" s="190">
        <f t="shared" si="6"/>
        <v>1747962.8356062435</v>
      </c>
      <c r="J41" s="190">
        <f t="shared" si="6"/>
        <v>166374.99118579546</v>
      </c>
      <c r="K41" s="190">
        <f t="shared" si="6"/>
        <v>83187.188523127727</v>
      </c>
      <c r="L41" s="190">
        <f t="shared" si="6"/>
        <v>39969.747873998713</v>
      </c>
      <c r="M41" s="190">
        <f t="shared" si="6"/>
        <v>1486378.6545565601</v>
      </c>
      <c r="N41" s="190"/>
      <c r="O41" s="163"/>
      <c r="P41" s="164"/>
      <c r="Q41" s="164"/>
      <c r="R41" s="164"/>
      <c r="S41" s="164"/>
    </row>
    <row r="42" spans="2:21" s="158" customFormat="1" x14ac:dyDescent="0.2">
      <c r="B42" s="170" t="s">
        <v>224</v>
      </c>
      <c r="C42" s="190">
        <f>C38+(1-C34)*C37</f>
        <v>10071.088745514309</v>
      </c>
      <c r="D42" s="190">
        <f t="shared" ref="D42:M42" si="7">D38+(1-D34)*D37</f>
        <v>4895.9939730960705</v>
      </c>
      <c r="E42" s="190">
        <f t="shared" si="7"/>
        <v>68108.086049151359</v>
      </c>
      <c r="F42" s="190">
        <f t="shared" si="7"/>
        <v>1772.4111984613046</v>
      </c>
      <c r="G42" s="190">
        <f t="shared" si="7"/>
        <v>9045.6428469601397</v>
      </c>
      <c r="H42" s="190">
        <f t="shared" si="7"/>
        <v>10307.03873277232</v>
      </c>
      <c r="I42" s="190">
        <f t="shared" si="7"/>
        <v>105280.59467263112</v>
      </c>
      <c r="J42" s="190">
        <f t="shared" si="7"/>
        <v>12157.008814204546</v>
      </c>
      <c r="K42" s="190">
        <f t="shared" si="7"/>
        <v>6278.811476872268</v>
      </c>
      <c r="L42" s="190">
        <f t="shared" si="7"/>
        <v>1700.1983519822677</v>
      </c>
      <c r="M42" s="190">
        <f t="shared" si="7"/>
        <v>149012.7218556267</v>
      </c>
      <c r="N42" s="190"/>
      <c r="O42" s="163"/>
      <c r="P42" s="164"/>
      <c r="Q42" s="164"/>
      <c r="R42" s="164"/>
      <c r="S42" s="164"/>
    </row>
    <row r="43" spans="2:21" s="158" customFormat="1" x14ac:dyDescent="0.2"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  <c r="Q43" s="164"/>
      <c r="R43" s="164"/>
      <c r="S43" s="164"/>
    </row>
    <row r="44" spans="2:21" s="158" customFormat="1" x14ac:dyDescent="0.2">
      <c r="B44" s="165" t="s">
        <v>225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</row>
    <row r="45" spans="2:21" s="158" customFormat="1" x14ac:dyDescent="0.2">
      <c r="O45" s="178"/>
      <c r="P45" s="159"/>
      <c r="Q45" s="159"/>
      <c r="R45" s="159"/>
      <c r="S45" s="159"/>
    </row>
    <row r="46" spans="2:21" s="158" customFormat="1" x14ac:dyDescent="0.2">
      <c r="B46" s="170" t="s">
        <v>205</v>
      </c>
      <c r="C46" s="191">
        <f t="shared" ref="C46:N46" si="8">C7</f>
        <v>3352.0769230769229</v>
      </c>
      <c r="D46" s="191">
        <f t="shared" si="8"/>
        <v>10094.254143646409</v>
      </c>
      <c r="E46" s="191">
        <f t="shared" si="8"/>
        <v>215134.98753659325</v>
      </c>
      <c r="F46" s="191">
        <f t="shared" si="8"/>
        <v>3223.5</v>
      </c>
      <c r="G46" s="191">
        <f t="shared" si="8"/>
        <v>2550</v>
      </c>
      <c r="H46" s="191">
        <f t="shared" si="8"/>
        <v>12095.541903459351</v>
      </c>
      <c r="I46" s="191">
        <f t="shared" si="8"/>
        <v>176129.9842610269</v>
      </c>
      <c r="J46" s="191">
        <f t="shared" si="8"/>
        <v>6220</v>
      </c>
      <c r="K46" s="191">
        <f t="shared" si="8"/>
        <v>4007.58</v>
      </c>
      <c r="L46" s="191">
        <f t="shared" si="8"/>
        <v>3458.3659903533885</v>
      </c>
      <c r="M46" s="191">
        <f t="shared" si="8"/>
        <v>102308.81179224371</v>
      </c>
      <c r="N46" s="191">
        <f t="shared" si="8"/>
        <v>0</v>
      </c>
      <c r="O46" s="178"/>
      <c r="P46" s="159"/>
      <c r="Q46" s="159"/>
      <c r="R46" s="159"/>
      <c r="S46" s="159"/>
    </row>
    <row r="47" spans="2:21" s="158" customFormat="1" x14ac:dyDescent="0.2">
      <c r="B47" s="170" t="s">
        <v>219</v>
      </c>
      <c r="C47" s="191">
        <f t="shared" ref="C47:N47" si="9">C41</f>
        <v>111342.44971602414</v>
      </c>
      <c r="D47" s="191">
        <f t="shared" si="9"/>
        <v>160260.22149651719</v>
      </c>
      <c r="E47" s="191">
        <f t="shared" si="9"/>
        <v>1466080.8270605991</v>
      </c>
      <c r="F47" s="191">
        <f t="shared" si="9"/>
        <v>49203.588801538695</v>
      </c>
      <c r="G47" s="191">
        <f t="shared" si="9"/>
        <v>125715.35715303986</v>
      </c>
      <c r="H47" s="191">
        <f t="shared" si="9"/>
        <v>152820.24000347845</v>
      </c>
      <c r="I47" s="191">
        <f t="shared" si="9"/>
        <v>1747962.8356062435</v>
      </c>
      <c r="J47" s="191">
        <f t="shared" si="9"/>
        <v>166374.99118579546</v>
      </c>
      <c r="K47" s="191">
        <f t="shared" si="9"/>
        <v>83187.188523127727</v>
      </c>
      <c r="L47" s="191">
        <f t="shared" si="9"/>
        <v>39969.747873998713</v>
      </c>
      <c r="M47" s="191">
        <f t="shared" si="9"/>
        <v>1486378.6545565601</v>
      </c>
      <c r="N47" s="191">
        <f t="shared" si="9"/>
        <v>0</v>
      </c>
      <c r="O47" s="178"/>
      <c r="P47" s="159"/>
      <c r="Q47" s="159"/>
      <c r="R47" s="159"/>
      <c r="S47" s="159"/>
    </row>
    <row r="48" spans="2:21" s="158" customFormat="1" x14ac:dyDescent="0.2">
      <c r="B48" s="170" t="s">
        <v>224</v>
      </c>
      <c r="C48" s="191">
        <f t="shared" ref="C48:N48" si="10">C42</f>
        <v>10071.088745514309</v>
      </c>
      <c r="D48" s="191">
        <f t="shared" si="10"/>
        <v>4895.9939730960705</v>
      </c>
      <c r="E48" s="191">
        <f t="shared" si="10"/>
        <v>68108.086049151359</v>
      </c>
      <c r="F48" s="191">
        <f t="shared" si="10"/>
        <v>1772.4111984613046</v>
      </c>
      <c r="G48" s="191">
        <f t="shared" si="10"/>
        <v>9045.6428469601397</v>
      </c>
      <c r="H48" s="191">
        <f t="shared" si="10"/>
        <v>10307.03873277232</v>
      </c>
      <c r="I48" s="191">
        <f t="shared" si="10"/>
        <v>105280.59467263112</v>
      </c>
      <c r="J48" s="191">
        <f t="shared" si="10"/>
        <v>12157.008814204546</v>
      </c>
      <c r="K48" s="191">
        <f t="shared" si="10"/>
        <v>6278.811476872268</v>
      </c>
      <c r="L48" s="191">
        <f t="shared" si="10"/>
        <v>1700.1983519822677</v>
      </c>
      <c r="M48" s="191">
        <f t="shared" si="10"/>
        <v>149012.7218556267</v>
      </c>
      <c r="N48" s="191">
        <f t="shared" si="10"/>
        <v>0</v>
      </c>
      <c r="O48" s="178"/>
      <c r="P48" s="159"/>
      <c r="Q48" s="159"/>
      <c r="R48" s="159"/>
      <c r="S48" s="159"/>
    </row>
    <row r="49" spans="2:19" s="158" customFormat="1" x14ac:dyDescent="0.2">
      <c r="B49" s="170" t="s">
        <v>208</v>
      </c>
      <c r="C49" s="191">
        <f t="shared" ref="C49:N49" si="11">C10</f>
        <v>4</v>
      </c>
      <c r="D49" s="191">
        <f t="shared" si="11"/>
        <v>43.674033149171279</v>
      </c>
      <c r="E49" s="191">
        <f t="shared" si="11"/>
        <v>7439.7343147953279</v>
      </c>
      <c r="F49" s="191">
        <f t="shared" si="11"/>
        <v>252.5</v>
      </c>
      <c r="G49" s="191">
        <f t="shared" si="11"/>
        <v>0</v>
      </c>
      <c r="H49" s="191">
        <f t="shared" si="11"/>
        <v>0</v>
      </c>
      <c r="I49" s="191">
        <f t="shared" si="11"/>
        <v>9484.9614075436075</v>
      </c>
      <c r="J49" s="191">
        <f t="shared" si="11"/>
        <v>2374.5</v>
      </c>
      <c r="K49" s="191">
        <f t="shared" si="11"/>
        <v>703</v>
      </c>
      <c r="L49" s="191">
        <f t="shared" si="11"/>
        <v>377.0669074345418</v>
      </c>
      <c r="M49" s="191">
        <f t="shared" si="11"/>
        <v>4266.1041425967251</v>
      </c>
      <c r="N49" s="191">
        <f t="shared" si="11"/>
        <v>0</v>
      </c>
      <c r="O49" s="178"/>
      <c r="P49" s="159"/>
      <c r="Q49" s="159"/>
      <c r="R49" s="159"/>
      <c r="S49" s="159"/>
    </row>
    <row r="50" spans="2:19" s="158" customFormat="1" x14ac:dyDescent="0.2">
      <c r="B50" s="170" t="s">
        <v>209</v>
      </c>
      <c r="C50" s="191">
        <f t="shared" ref="C50:N50" si="12">C11</f>
        <v>2267.0769230769229</v>
      </c>
      <c r="D50" s="191">
        <f t="shared" si="12"/>
        <v>2618.2872928176794</v>
      </c>
      <c r="E50" s="191">
        <f t="shared" si="12"/>
        <v>16313.21995822632</v>
      </c>
      <c r="F50" s="191">
        <f t="shared" si="12"/>
        <v>569.5</v>
      </c>
      <c r="G50" s="191">
        <f t="shared" si="12"/>
        <v>2270</v>
      </c>
      <c r="H50" s="191">
        <f t="shared" si="12"/>
        <v>3285.6397833387109</v>
      </c>
      <c r="I50" s="191">
        <f t="shared" si="12"/>
        <v>21928.767597714603</v>
      </c>
      <c r="J50" s="191">
        <f t="shared" si="12"/>
        <v>2549.5</v>
      </c>
      <c r="K50" s="191">
        <f t="shared" si="12"/>
        <v>1080</v>
      </c>
      <c r="L50" s="191">
        <f t="shared" si="12"/>
        <v>370.17662111433611</v>
      </c>
      <c r="M50" s="191">
        <f t="shared" si="12"/>
        <v>25775.849760115249</v>
      </c>
      <c r="N50" s="191">
        <f t="shared" si="12"/>
        <v>0</v>
      </c>
      <c r="O50" s="178"/>
      <c r="P50" s="159"/>
      <c r="Q50" s="159"/>
      <c r="R50" s="159"/>
      <c r="S50" s="159"/>
    </row>
    <row r="51" spans="2:19" s="158" customFormat="1" x14ac:dyDescent="0.2">
      <c r="B51" s="170" t="s">
        <v>210</v>
      </c>
      <c r="C51" s="191">
        <f t="shared" ref="C51:N51" si="13">C12</f>
        <v>706.61538461538464</v>
      </c>
      <c r="D51" s="191">
        <f t="shared" si="13"/>
        <v>610.60773480662988</v>
      </c>
      <c r="E51" s="191">
        <f t="shared" si="13"/>
        <v>6968.9518684043205</v>
      </c>
      <c r="F51" s="191">
        <f t="shared" si="13"/>
        <v>324</v>
      </c>
      <c r="G51" s="191">
        <f t="shared" si="13"/>
        <v>565</v>
      </c>
      <c r="H51" s="191">
        <f t="shared" si="13"/>
        <v>945.30698470564414</v>
      </c>
      <c r="I51" s="191">
        <f t="shared" si="13"/>
        <v>8662.2136307059209</v>
      </c>
      <c r="J51" s="191">
        <f t="shared" si="13"/>
        <v>1027</v>
      </c>
      <c r="K51" s="191">
        <f t="shared" si="13"/>
        <v>417</v>
      </c>
      <c r="L51" s="191">
        <f t="shared" si="13"/>
        <v>252.98219388847815</v>
      </c>
      <c r="M51" s="191">
        <f t="shared" si="13"/>
        <v>8603.8924698140745</v>
      </c>
      <c r="N51" s="191">
        <f t="shared" si="13"/>
        <v>0</v>
      </c>
      <c r="O51" s="178"/>
      <c r="P51" s="159"/>
      <c r="Q51" s="159"/>
      <c r="R51" s="159"/>
      <c r="S51" s="159"/>
    </row>
    <row r="52" spans="2:19" s="158" customFormat="1" x14ac:dyDescent="0.2">
      <c r="P52" s="159"/>
      <c r="Q52" s="159"/>
      <c r="R52" s="159"/>
      <c r="S52" s="159"/>
    </row>
    <row r="53" spans="2:19" s="158" customFormat="1" x14ac:dyDescent="0.2">
      <c r="B53" s="165" t="s">
        <v>226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</row>
    <row r="54" spans="2:19" s="158" customFormat="1" x14ac:dyDescent="0.2"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59"/>
      <c r="Q54" s="159"/>
      <c r="R54" s="159"/>
      <c r="S54" s="159"/>
    </row>
    <row r="55" spans="2:19" s="158" customFormat="1" x14ac:dyDescent="0.2">
      <c r="B55" s="167" t="s">
        <v>226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59"/>
      <c r="Q55" s="159"/>
      <c r="R55" s="159"/>
      <c r="S55" s="159"/>
    </row>
    <row r="56" spans="2:19" s="158" customFormat="1" x14ac:dyDescent="0.2">
      <c r="B56" s="170" t="s">
        <v>205</v>
      </c>
      <c r="C56" s="194">
        <v>1.5</v>
      </c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59"/>
      <c r="Q56" s="159"/>
      <c r="R56" s="159"/>
      <c r="S56" s="159"/>
    </row>
    <row r="57" spans="2:19" s="158" customFormat="1" x14ac:dyDescent="0.2">
      <c r="B57" s="170" t="s">
        <v>219</v>
      </c>
      <c r="C57" s="194">
        <v>3</v>
      </c>
      <c r="D57" s="163"/>
      <c r="P57" s="159"/>
      <c r="Q57" s="159"/>
      <c r="R57" s="159"/>
      <c r="S57" s="159"/>
    </row>
    <row r="58" spans="2:19" s="158" customFormat="1" x14ac:dyDescent="0.2">
      <c r="B58" s="170" t="s">
        <v>224</v>
      </c>
      <c r="C58" s="194">
        <v>6</v>
      </c>
      <c r="D58" s="163"/>
      <c r="P58" s="159"/>
      <c r="Q58" s="159"/>
      <c r="R58" s="159"/>
      <c r="S58" s="159"/>
    </row>
    <row r="59" spans="2:19" s="158" customFormat="1" x14ac:dyDescent="0.2">
      <c r="B59" s="170" t="s">
        <v>208</v>
      </c>
      <c r="C59" s="194">
        <v>10</v>
      </c>
      <c r="D59" s="163"/>
      <c r="P59" s="159"/>
      <c r="Q59" s="159"/>
      <c r="R59" s="159"/>
      <c r="S59" s="159"/>
    </row>
    <row r="60" spans="2:19" s="158" customFormat="1" x14ac:dyDescent="0.2">
      <c r="B60" s="170" t="s">
        <v>209</v>
      </c>
      <c r="C60" s="194">
        <v>16</v>
      </c>
      <c r="D60" s="163"/>
      <c r="P60" s="159"/>
      <c r="Q60" s="159"/>
      <c r="R60" s="159"/>
      <c r="S60" s="159"/>
    </row>
    <row r="61" spans="2:19" s="158" customFormat="1" x14ac:dyDescent="0.2">
      <c r="B61" s="170" t="s">
        <v>210</v>
      </c>
      <c r="C61" s="194">
        <v>25</v>
      </c>
      <c r="D61" s="163"/>
      <c r="P61" s="159"/>
      <c r="Q61" s="159"/>
      <c r="R61" s="159"/>
      <c r="S61" s="159"/>
    </row>
    <row r="62" spans="2:19" s="158" customFormat="1" x14ac:dyDescent="0.2">
      <c r="B62" s="170" t="s">
        <v>211</v>
      </c>
      <c r="C62" s="194">
        <v>40</v>
      </c>
      <c r="D62" s="163"/>
      <c r="P62" s="159"/>
      <c r="Q62" s="159"/>
      <c r="R62" s="159"/>
      <c r="S62" s="159"/>
    </row>
    <row r="63" spans="2:19" s="158" customFormat="1" x14ac:dyDescent="0.2">
      <c r="B63" s="170" t="s">
        <v>212</v>
      </c>
      <c r="C63" s="194">
        <v>65</v>
      </c>
      <c r="D63" s="163"/>
      <c r="P63" s="159"/>
      <c r="Q63" s="159"/>
      <c r="R63" s="159"/>
      <c r="S63" s="159"/>
    </row>
    <row r="64" spans="2:19" s="158" customFormat="1" x14ac:dyDescent="0.2">
      <c r="B64" s="170" t="s">
        <v>213</v>
      </c>
      <c r="C64" s="194">
        <v>100</v>
      </c>
      <c r="D64" s="163"/>
      <c r="P64" s="159"/>
      <c r="Q64" s="159"/>
      <c r="R64" s="159"/>
      <c r="S64" s="159"/>
    </row>
    <row r="65" spans="2:19" s="158" customFormat="1" x14ac:dyDescent="0.2">
      <c r="B65" s="170" t="s">
        <v>214</v>
      </c>
      <c r="C65" s="194">
        <v>160</v>
      </c>
      <c r="D65" s="163"/>
      <c r="P65" s="159"/>
      <c r="Q65" s="159"/>
      <c r="R65" s="159"/>
      <c r="S65" s="159"/>
    </row>
    <row r="66" spans="2:19" s="158" customFormat="1" x14ac:dyDescent="0.2">
      <c r="B66" s="170" t="s">
        <v>215</v>
      </c>
      <c r="C66" s="195">
        <v>250</v>
      </c>
      <c r="D66" s="163"/>
      <c r="P66" s="159"/>
      <c r="Q66" s="159"/>
      <c r="R66" s="159"/>
      <c r="S66" s="159"/>
    </row>
    <row r="67" spans="2:19" s="158" customFormat="1" x14ac:dyDescent="0.2">
      <c r="O67" s="178"/>
      <c r="P67" s="159"/>
      <c r="Q67" s="159"/>
      <c r="R67" s="159"/>
      <c r="S67" s="159"/>
    </row>
    <row r="68" spans="2:19" s="158" customFormat="1" x14ac:dyDescent="0.2">
      <c r="B68" s="165" t="s">
        <v>227</v>
      </c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</row>
    <row r="69" spans="2:19" s="158" customFormat="1" x14ac:dyDescent="0.2">
      <c r="P69" s="159"/>
      <c r="Q69" s="159"/>
      <c r="R69" s="159"/>
      <c r="S69" s="159"/>
    </row>
    <row r="70" spans="2:19" s="158" customFormat="1" x14ac:dyDescent="0.2">
      <c r="B70" s="178" t="s">
        <v>19</v>
      </c>
      <c r="O70" s="178"/>
      <c r="P70" s="159"/>
      <c r="Q70" s="159"/>
      <c r="R70" s="159"/>
      <c r="S70" s="159"/>
    </row>
    <row r="71" spans="2:19" s="158" customFormat="1" x14ac:dyDescent="0.2">
      <c r="B71" s="170" t="s">
        <v>20</v>
      </c>
      <c r="C71" s="196">
        <f t="shared" ref="C71:N71" si="14">SUM(C7:C12)</f>
        <v>127743.30769230769</v>
      </c>
      <c r="D71" s="196">
        <f t="shared" si="14"/>
        <v>178523.03867403316</v>
      </c>
      <c r="E71" s="196">
        <f t="shared" si="14"/>
        <v>1780045.8067877698</v>
      </c>
      <c r="F71" s="196">
        <f t="shared" si="14"/>
        <v>55345.5</v>
      </c>
      <c r="G71" s="196">
        <f t="shared" si="14"/>
        <v>140146</v>
      </c>
      <c r="H71" s="196">
        <f t="shared" si="14"/>
        <v>179453.76740775449</v>
      </c>
      <c r="I71" s="196">
        <f t="shared" si="14"/>
        <v>2069449.3571758657</v>
      </c>
      <c r="J71" s="196">
        <f t="shared" si="14"/>
        <v>190703</v>
      </c>
      <c r="K71" s="196">
        <f t="shared" si="14"/>
        <v>95673.58</v>
      </c>
      <c r="L71" s="196">
        <f t="shared" si="14"/>
        <v>46128.537938771726</v>
      </c>
      <c r="M71" s="196">
        <f t="shared" si="14"/>
        <v>1776346.0345769564</v>
      </c>
      <c r="N71" s="196">
        <f t="shared" si="14"/>
        <v>0</v>
      </c>
      <c r="O71" s="178"/>
      <c r="P71" s="159"/>
      <c r="Q71" s="159"/>
      <c r="R71" s="159"/>
      <c r="S71" s="159"/>
    </row>
    <row r="72" spans="2:19" s="158" customFormat="1" x14ac:dyDescent="0.2">
      <c r="B72" s="181" t="s">
        <v>21</v>
      </c>
      <c r="C72" s="196">
        <f t="shared" ref="C72:N72" si="15">SUMPRODUCT($C$56:$C$61,C46:C51)</f>
        <v>453460.61239038903</v>
      </c>
      <c r="D72" s="196">
        <f t="shared" si="15"/>
        <v>582892.53993033792</v>
      </c>
      <c r="E72" s="196">
        <f t="shared" si="15"/>
        <v>5639226.1379712773</v>
      </c>
      <c r="F72" s="196">
        <f t="shared" si="15"/>
        <v>182817.48359538394</v>
      </c>
      <c r="G72" s="196">
        <f t="shared" si="15"/>
        <v>485689.92854088038</v>
      </c>
      <c r="H72" s="196">
        <f t="shared" si="15"/>
        <v>614649.17641331872</v>
      </c>
      <c r="I72" s="196">
        <f t="shared" si="15"/>
        <v>6802032.2876525763</v>
      </c>
      <c r="J72" s="196">
        <f t="shared" si="15"/>
        <v>671609.02644261369</v>
      </c>
      <c r="K72" s="196">
        <f t="shared" si="15"/>
        <v>327980.80443061679</v>
      </c>
      <c r="L72" s="196">
        <f t="shared" si="15"/>
        <v>151316.03257880657</v>
      </c>
      <c r="M72" s="196">
        <f t="shared" si="15"/>
        <v>6176847.4618249703</v>
      </c>
      <c r="N72" s="196">
        <f t="shared" si="15"/>
        <v>0</v>
      </c>
      <c r="O72" s="178"/>
      <c r="P72" s="159"/>
      <c r="Q72" s="159"/>
      <c r="R72" s="159"/>
      <c r="S72" s="159"/>
    </row>
    <row r="73" spans="2:19" s="158" customFormat="1" x14ac:dyDescent="0.2">
      <c r="B73" s="181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78"/>
      <c r="P73" s="159"/>
      <c r="Q73" s="159"/>
      <c r="R73" s="159"/>
      <c r="S73" s="159"/>
    </row>
    <row r="74" spans="2:19" s="158" customFormat="1" x14ac:dyDescent="0.2">
      <c r="B74" s="178" t="s">
        <v>228</v>
      </c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8"/>
      <c r="P74" s="159"/>
      <c r="Q74" s="159"/>
      <c r="R74" s="159"/>
      <c r="S74" s="159"/>
    </row>
    <row r="75" spans="2:19" s="158" customFormat="1" x14ac:dyDescent="0.2">
      <c r="B75" s="181" t="s">
        <v>20</v>
      </c>
      <c r="C75" s="196">
        <f t="shared" ref="C75:N75" si="16">SUM(C13:C17)</f>
        <v>585.38461538461536</v>
      </c>
      <c r="D75" s="196">
        <f t="shared" si="16"/>
        <v>666.96132596685084</v>
      </c>
      <c r="E75" s="196">
        <f t="shared" si="16"/>
        <v>8388.2010174590196</v>
      </c>
      <c r="F75" s="196">
        <f t="shared" si="16"/>
        <v>320</v>
      </c>
      <c r="G75" s="196">
        <f t="shared" si="16"/>
        <v>604</v>
      </c>
      <c r="H75" s="196">
        <f t="shared" si="16"/>
        <v>839.60810244952791</v>
      </c>
      <c r="I75" s="196">
        <f t="shared" si="16"/>
        <v>9851.6428241342328</v>
      </c>
      <c r="J75" s="196">
        <f t="shared" si="16"/>
        <v>863</v>
      </c>
      <c r="K75" s="196">
        <f t="shared" si="16"/>
        <v>397</v>
      </c>
      <c r="L75" s="196">
        <f t="shared" si="16"/>
        <v>961.33576546662925</v>
      </c>
      <c r="M75" s="196">
        <f t="shared" si="16"/>
        <v>7898.9654230429851</v>
      </c>
      <c r="N75" s="196">
        <f t="shared" si="16"/>
        <v>0</v>
      </c>
      <c r="O75" s="178"/>
      <c r="P75" s="159"/>
      <c r="Q75" s="159"/>
      <c r="R75" s="159"/>
      <c r="S75" s="159"/>
    </row>
    <row r="76" spans="2:19" s="158" customFormat="1" x14ac:dyDescent="0.2">
      <c r="B76" s="181" t="s">
        <v>21</v>
      </c>
      <c r="C76" s="196">
        <f t="shared" ref="C76:N76" si="17">SUMPRODUCT(C13:C17,$C$62:$C$66)</f>
        <v>46375.769230769234</v>
      </c>
      <c r="D76" s="196">
        <f t="shared" si="17"/>
        <v>45556.491712707182</v>
      </c>
      <c r="E76" s="196">
        <f t="shared" si="17"/>
        <v>730866.21692997427</v>
      </c>
      <c r="F76" s="196">
        <f t="shared" si="17"/>
        <v>22080</v>
      </c>
      <c r="G76" s="196">
        <f t="shared" si="17"/>
        <v>51050</v>
      </c>
      <c r="H76" s="196">
        <f t="shared" si="17"/>
        <v>62860.920164392206</v>
      </c>
      <c r="I76" s="196">
        <f t="shared" si="17"/>
        <v>746120.50241221173</v>
      </c>
      <c r="J76" s="196">
        <f t="shared" si="17"/>
        <v>54837.5</v>
      </c>
      <c r="K76" s="196">
        <f t="shared" si="17"/>
        <v>30350</v>
      </c>
      <c r="L76" s="196">
        <f t="shared" si="17"/>
        <v>166077.24134694686</v>
      </c>
      <c r="M76" s="196">
        <f t="shared" si="17"/>
        <v>577899.33747786342</v>
      </c>
      <c r="N76" s="196">
        <f t="shared" si="17"/>
        <v>0</v>
      </c>
      <c r="O76" s="178"/>
      <c r="P76" s="159"/>
      <c r="Q76" s="159"/>
      <c r="R76" s="159"/>
      <c r="S76" s="159"/>
    </row>
    <row r="77" spans="2:19" s="158" customFormat="1" x14ac:dyDescent="0.2">
      <c r="B77" s="181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8"/>
      <c r="P77" s="159"/>
      <c r="Q77" s="159"/>
      <c r="R77" s="159"/>
      <c r="S77" s="159"/>
    </row>
    <row r="78" spans="2:19" s="158" customFormat="1" x14ac:dyDescent="0.2">
      <c r="B78" s="178" t="s">
        <v>216</v>
      </c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8"/>
      <c r="P78" s="159"/>
      <c r="Q78" s="159"/>
      <c r="R78" s="159"/>
      <c r="S78" s="159"/>
    </row>
    <row r="79" spans="2:19" s="158" customFormat="1" x14ac:dyDescent="0.2">
      <c r="B79" s="170" t="s">
        <v>20</v>
      </c>
      <c r="C79" s="199">
        <f>C22</f>
        <v>111</v>
      </c>
      <c r="D79" s="199">
        <f t="shared" ref="D79:N79" si="18">D22</f>
        <v>155</v>
      </c>
      <c r="E79" s="199">
        <f t="shared" si="18"/>
        <v>2294</v>
      </c>
      <c r="F79" s="199">
        <f t="shared" si="18"/>
        <v>118</v>
      </c>
      <c r="G79" s="199">
        <f t="shared" si="18"/>
        <v>175</v>
      </c>
      <c r="H79" s="199">
        <f t="shared" si="18"/>
        <v>173</v>
      </c>
      <c r="I79" s="199">
        <f t="shared" si="18"/>
        <v>2668</v>
      </c>
      <c r="J79" s="199">
        <f t="shared" si="18"/>
        <v>318</v>
      </c>
      <c r="K79" s="199">
        <f t="shared" si="18"/>
        <v>71</v>
      </c>
      <c r="L79" s="199">
        <f t="shared" si="18"/>
        <v>1514.7186666666666</v>
      </c>
      <c r="M79" s="199">
        <f t="shared" si="18"/>
        <v>3185</v>
      </c>
      <c r="N79" s="199">
        <f t="shared" si="18"/>
        <v>0</v>
      </c>
      <c r="O79" s="178"/>
      <c r="P79" s="159"/>
      <c r="Q79" s="159"/>
      <c r="R79" s="159"/>
      <c r="S79" s="159"/>
    </row>
    <row r="80" spans="2:19" s="158" customFormat="1" x14ac:dyDescent="0.2">
      <c r="B80" s="181" t="s">
        <v>26</v>
      </c>
      <c r="C80" s="199">
        <f>C25</f>
        <v>39014</v>
      </c>
      <c r="D80" s="199">
        <f t="shared" ref="D80:N80" si="19">D25</f>
        <v>48887</v>
      </c>
      <c r="E80" s="199">
        <f t="shared" si="19"/>
        <v>663588</v>
      </c>
      <c r="F80" s="199">
        <f t="shared" si="19"/>
        <v>35419</v>
      </c>
      <c r="G80" s="199">
        <f t="shared" si="19"/>
        <v>50663</v>
      </c>
      <c r="H80" s="199">
        <f t="shared" si="19"/>
        <v>52368.406551400796</v>
      </c>
      <c r="I80" s="199">
        <f t="shared" si="19"/>
        <v>699444</v>
      </c>
      <c r="J80" s="199">
        <f t="shared" si="19"/>
        <v>83577</v>
      </c>
      <c r="K80" s="199">
        <f t="shared" si="19"/>
        <v>27820</v>
      </c>
      <c r="L80" s="199">
        <f t="shared" si="19"/>
        <v>368998.71644765261</v>
      </c>
      <c r="M80" s="199">
        <f t="shared" si="19"/>
        <v>733011</v>
      </c>
      <c r="N80" s="199">
        <f t="shared" si="19"/>
        <v>0</v>
      </c>
      <c r="O80" s="178"/>
      <c r="P80" s="159"/>
      <c r="Q80" s="159"/>
      <c r="R80" s="159"/>
      <c r="S80" s="159"/>
    </row>
    <row r="81" spans="2:19" s="158" customFormat="1" x14ac:dyDescent="0.2">
      <c r="P81" s="159"/>
      <c r="Q81" s="159"/>
      <c r="R81" s="159"/>
      <c r="S81" s="159"/>
    </row>
    <row r="82" spans="2:19" s="158" customFormat="1" x14ac:dyDescent="0.2">
      <c r="B82" s="165" t="s">
        <v>229</v>
      </c>
      <c r="C82" s="165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</row>
    <row r="83" spans="2:19" s="158" customFormat="1" x14ac:dyDescent="0.2">
      <c r="B83" s="158" t="s">
        <v>246</v>
      </c>
      <c r="D83" s="201"/>
      <c r="P83" s="159"/>
      <c r="Q83" s="159"/>
      <c r="R83" s="159"/>
      <c r="S83" s="159"/>
    </row>
    <row r="84" spans="2:19" s="158" customFormat="1" x14ac:dyDescent="0.2">
      <c r="D84" s="201"/>
      <c r="P84" s="159"/>
      <c r="Q84" s="159"/>
      <c r="R84" s="159"/>
      <c r="S84" s="159"/>
    </row>
    <row r="85" spans="2:19" s="158" customFormat="1" x14ac:dyDescent="0.2">
      <c r="B85" s="178" t="s">
        <v>19</v>
      </c>
      <c r="C85" s="201"/>
      <c r="P85" s="159"/>
      <c r="Q85" s="159"/>
      <c r="R85" s="159"/>
      <c r="S85" s="159"/>
    </row>
    <row r="86" spans="2:19" s="158" customFormat="1" x14ac:dyDescent="0.2">
      <c r="B86" s="170" t="s">
        <v>20</v>
      </c>
      <c r="C86" s="202">
        <v>18.000000000000004</v>
      </c>
      <c r="P86" s="159"/>
      <c r="Q86" s="159"/>
      <c r="R86" s="159"/>
      <c r="S86" s="159"/>
    </row>
    <row r="87" spans="2:19" s="158" customFormat="1" x14ac:dyDescent="0.2">
      <c r="B87" s="181" t="s">
        <v>21</v>
      </c>
      <c r="C87" s="202">
        <v>22.902744428034044</v>
      </c>
      <c r="P87" s="159"/>
      <c r="Q87" s="159"/>
      <c r="R87" s="159"/>
      <c r="S87" s="159"/>
    </row>
    <row r="88" spans="2:19" s="158" customFormat="1" x14ac:dyDescent="0.2">
      <c r="B88" s="181"/>
      <c r="C88" s="203"/>
      <c r="P88" s="159"/>
      <c r="Q88" s="159"/>
      <c r="R88" s="159"/>
      <c r="S88" s="159"/>
    </row>
    <row r="89" spans="2:19" s="158" customFormat="1" x14ac:dyDescent="0.2">
      <c r="B89" s="175" t="s">
        <v>230</v>
      </c>
      <c r="C89" s="203"/>
      <c r="P89" s="159"/>
      <c r="Q89" s="159"/>
      <c r="R89" s="159"/>
      <c r="S89" s="159"/>
    </row>
    <row r="90" spans="2:19" s="158" customFormat="1" x14ac:dyDescent="0.2">
      <c r="B90" s="170" t="s">
        <v>20</v>
      </c>
      <c r="C90" s="202">
        <v>18.000000000000004</v>
      </c>
      <c r="P90" s="159"/>
      <c r="Q90" s="159"/>
      <c r="R90" s="159"/>
      <c r="S90" s="159"/>
    </row>
    <row r="91" spans="2:19" s="158" customFormat="1" x14ac:dyDescent="0.2">
      <c r="B91" s="181" t="s">
        <v>21</v>
      </c>
      <c r="C91" s="202">
        <v>22.649571571522564</v>
      </c>
      <c r="P91" s="159"/>
      <c r="Q91" s="159"/>
      <c r="R91" s="159"/>
      <c r="S91" s="159"/>
    </row>
    <row r="92" spans="2:19" s="158" customFormat="1" x14ac:dyDescent="0.2">
      <c r="B92" s="181"/>
      <c r="C92" s="204"/>
      <c r="P92" s="159"/>
      <c r="Q92" s="159"/>
      <c r="R92" s="159"/>
      <c r="S92" s="159"/>
    </row>
    <row r="93" spans="2:19" s="158" customFormat="1" x14ac:dyDescent="0.2">
      <c r="B93" s="178" t="s">
        <v>231</v>
      </c>
      <c r="C93" s="204"/>
      <c r="P93" s="159"/>
      <c r="Q93" s="159"/>
      <c r="R93" s="159"/>
      <c r="S93" s="159"/>
    </row>
    <row r="94" spans="2:19" s="158" customFormat="1" x14ac:dyDescent="0.2">
      <c r="B94" s="170" t="s">
        <v>20</v>
      </c>
      <c r="C94" s="202">
        <v>663.22141632956004</v>
      </c>
      <c r="P94" s="159"/>
      <c r="Q94" s="159"/>
      <c r="R94" s="159"/>
      <c r="S94" s="159"/>
    </row>
    <row r="95" spans="2:19" s="158" customFormat="1" x14ac:dyDescent="0.2">
      <c r="B95" s="181" t="s">
        <v>120</v>
      </c>
      <c r="C95" s="202">
        <v>20.863485800160866</v>
      </c>
      <c r="P95" s="159"/>
      <c r="Q95" s="159"/>
      <c r="R95" s="159"/>
      <c r="S95" s="159"/>
    </row>
    <row r="96" spans="2:19" s="158" customFormat="1" x14ac:dyDescent="0.2">
      <c r="D96" s="201"/>
      <c r="P96" s="159"/>
      <c r="Q96" s="159"/>
      <c r="R96" s="159"/>
      <c r="S96" s="159"/>
    </row>
    <row r="97" spans="2:19" s="158" customFormat="1" x14ac:dyDescent="0.2">
      <c r="B97" s="165" t="s">
        <v>232</v>
      </c>
      <c r="C97" s="165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</row>
    <row r="98" spans="2:19" s="158" customFormat="1" x14ac:dyDescent="0.2">
      <c r="D98" s="201"/>
      <c r="P98" s="159"/>
      <c r="Q98" s="159"/>
      <c r="R98" s="159"/>
      <c r="S98" s="159"/>
    </row>
    <row r="99" spans="2:19" s="158" customFormat="1" x14ac:dyDescent="0.2">
      <c r="B99" s="178" t="s">
        <v>19</v>
      </c>
      <c r="D99" s="201"/>
      <c r="O99" s="178" t="s">
        <v>65</v>
      </c>
      <c r="P99" s="159"/>
      <c r="Q99" s="159"/>
      <c r="R99" s="159"/>
      <c r="S99" s="159"/>
    </row>
    <row r="100" spans="2:19" s="158" customFormat="1" x14ac:dyDescent="0.2">
      <c r="B100" s="170" t="s">
        <v>20</v>
      </c>
      <c r="C100" s="205">
        <f>$C86*C71</f>
        <v>2299379.538461539</v>
      </c>
      <c r="D100" s="205">
        <f t="shared" ref="D100:N100" si="20">$C86*D71</f>
        <v>3213414.6961325975</v>
      </c>
      <c r="E100" s="205">
        <f t="shared" si="20"/>
        <v>32040824.522179861</v>
      </c>
      <c r="F100" s="205">
        <f t="shared" si="20"/>
        <v>996219.00000000023</v>
      </c>
      <c r="G100" s="205">
        <f t="shared" si="20"/>
        <v>2522628.0000000005</v>
      </c>
      <c r="H100" s="205">
        <f t="shared" si="20"/>
        <v>3230167.8133395817</v>
      </c>
      <c r="I100" s="205">
        <f t="shared" si="20"/>
        <v>37250088.429165587</v>
      </c>
      <c r="J100" s="205">
        <f t="shared" si="20"/>
        <v>3432654.0000000005</v>
      </c>
      <c r="K100" s="205">
        <f t="shared" si="20"/>
        <v>1722124.4400000004</v>
      </c>
      <c r="L100" s="205">
        <f t="shared" si="20"/>
        <v>830313.68289789127</v>
      </c>
      <c r="M100" s="205">
        <f t="shared" si="20"/>
        <v>31974228.622385222</v>
      </c>
      <c r="N100" s="205">
        <f t="shared" si="20"/>
        <v>0</v>
      </c>
      <c r="O100" s="205">
        <f>SUM(C100:N100)</f>
        <v>119512042.74456228</v>
      </c>
      <c r="P100" s="159"/>
      <c r="Q100" s="159"/>
      <c r="R100" s="159"/>
      <c r="S100" s="159"/>
    </row>
    <row r="101" spans="2:19" s="158" customFormat="1" x14ac:dyDescent="0.2">
      <c r="B101" s="181" t="s">
        <v>21</v>
      </c>
      <c r="C101" s="205">
        <f t="shared" ref="C101:N109" si="21">$C87*C72</f>
        <v>10385492.513756888</v>
      </c>
      <c r="D101" s="205">
        <f t="shared" si="21"/>
        <v>13349838.871032158</v>
      </c>
      <c r="E101" s="205">
        <f t="shared" si="21"/>
        <v>129153755.00984561</v>
      </c>
      <c r="F101" s="205">
        <f t="shared" si="21"/>
        <v>4187022.1037613847</v>
      </c>
      <c r="G101" s="205">
        <f t="shared" si="21"/>
        <v>11123632.304641901</v>
      </c>
      <c r="H101" s="205">
        <f t="shared" si="21"/>
        <v>14077153.00029585</v>
      </c>
      <c r="I101" s="205">
        <f t="shared" si="21"/>
        <v>155785207.07534271</v>
      </c>
      <c r="J101" s="205">
        <f t="shared" si="21"/>
        <v>15381689.88817594</v>
      </c>
      <c r="K101" s="205">
        <f t="shared" si="21"/>
        <v>7511660.5411754325</v>
      </c>
      <c r="L101" s="205">
        <f t="shared" si="21"/>
        <v>3465552.42201648</v>
      </c>
      <c r="M101" s="205">
        <f t="shared" si="21"/>
        <v>141466758.78912807</v>
      </c>
      <c r="N101" s="205">
        <f t="shared" si="21"/>
        <v>0</v>
      </c>
      <c r="O101" s="205">
        <f>SUM(C101:N101)</f>
        <v>505887762.51917249</v>
      </c>
      <c r="P101" s="159"/>
      <c r="Q101" s="159"/>
      <c r="R101" s="159"/>
      <c r="S101" s="159"/>
    </row>
    <row r="102" spans="2:19" s="158" customFormat="1" x14ac:dyDescent="0.2">
      <c r="B102" s="181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P102" s="159"/>
      <c r="Q102" s="159"/>
      <c r="R102" s="159"/>
      <c r="S102" s="159"/>
    </row>
    <row r="103" spans="2:19" s="158" customFormat="1" x14ac:dyDescent="0.2">
      <c r="B103" s="175" t="s">
        <v>230</v>
      </c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P103" s="159"/>
      <c r="Q103" s="159"/>
      <c r="R103" s="159"/>
      <c r="S103" s="159"/>
    </row>
    <row r="104" spans="2:19" s="158" customFormat="1" x14ac:dyDescent="0.2">
      <c r="B104" s="170" t="s">
        <v>20</v>
      </c>
      <c r="C104" s="205">
        <f t="shared" si="21"/>
        <v>10536.923076923078</v>
      </c>
      <c r="D104" s="205">
        <f t="shared" si="21"/>
        <v>12005.303867403318</v>
      </c>
      <c r="E104" s="205">
        <f t="shared" si="21"/>
        <v>150987.61831426239</v>
      </c>
      <c r="F104" s="205">
        <f t="shared" si="21"/>
        <v>5760.0000000000009</v>
      </c>
      <c r="G104" s="205">
        <f t="shared" si="21"/>
        <v>10872.000000000002</v>
      </c>
      <c r="H104" s="205">
        <f t="shared" si="21"/>
        <v>15112.945844091506</v>
      </c>
      <c r="I104" s="205">
        <f t="shared" si="21"/>
        <v>177329.57083441623</v>
      </c>
      <c r="J104" s="205">
        <f t="shared" si="21"/>
        <v>15534.000000000004</v>
      </c>
      <c r="K104" s="205">
        <f t="shared" si="21"/>
        <v>7146.0000000000018</v>
      </c>
      <c r="L104" s="205">
        <f t="shared" si="21"/>
        <v>17304.043778399329</v>
      </c>
      <c r="M104" s="205">
        <f t="shared" si="21"/>
        <v>142181.37761477375</v>
      </c>
      <c r="N104" s="205">
        <f t="shared" si="21"/>
        <v>0</v>
      </c>
      <c r="O104" s="205">
        <f>SUM(C104:N104)</f>
        <v>564769.78333026962</v>
      </c>
      <c r="P104" s="159"/>
      <c r="Q104" s="159"/>
      <c r="R104" s="159"/>
      <c r="S104" s="159"/>
    </row>
    <row r="105" spans="2:19" s="158" customFormat="1" x14ac:dyDescent="0.2">
      <c r="B105" s="181" t="s">
        <v>21</v>
      </c>
      <c r="C105" s="205">
        <f t="shared" si="21"/>
        <v>1050391.3043767216</v>
      </c>
      <c r="D105" s="205">
        <f t="shared" si="21"/>
        <v>1031835.0195944359</v>
      </c>
      <c r="E105" s="205">
        <f t="shared" si="21"/>
        <v>16553806.689563388</v>
      </c>
      <c r="F105" s="205">
        <f t="shared" si="21"/>
        <v>500102.54029921821</v>
      </c>
      <c r="G105" s="205">
        <f t="shared" si="21"/>
        <v>1156260.628726227</v>
      </c>
      <c r="H105" s="205">
        <f t="shared" si="21"/>
        <v>1423772.9103151672</v>
      </c>
      <c r="I105" s="205">
        <f t="shared" si="21"/>
        <v>16899309.720365763</v>
      </c>
      <c r="J105" s="205">
        <f t="shared" si="21"/>
        <v>1242045.8810533686</v>
      </c>
      <c r="K105" s="205">
        <f t="shared" si="21"/>
        <v>687414.49719570985</v>
      </c>
      <c r="L105" s="205">
        <f t="shared" si="21"/>
        <v>3761578.3642886993</v>
      </c>
      <c r="M105" s="205">
        <f t="shared" si="21"/>
        <v>13089172.40534034</v>
      </c>
      <c r="N105" s="205">
        <f t="shared" si="21"/>
        <v>0</v>
      </c>
      <c r="O105" s="205">
        <f>SUM(C105:N105)</f>
        <v>57395689.961119041</v>
      </c>
      <c r="P105" s="159"/>
      <c r="Q105" s="159"/>
      <c r="R105" s="159"/>
      <c r="S105" s="159"/>
    </row>
    <row r="106" spans="2:19" s="158" customFormat="1" x14ac:dyDescent="0.2">
      <c r="B106" s="181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P106" s="159"/>
      <c r="Q106" s="159"/>
      <c r="R106" s="159"/>
      <c r="S106" s="159"/>
    </row>
    <row r="107" spans="2:19" s="158" customFormat="1" x14ac:dyDescent="0.2">
      <c r="B107" s="178" t="s">
        <v>231</v>
      </c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P107" s="159"/>
      <c r="Q107" s="159"/>
      <c r="R107" s="159"/>
      <c r="S107" s="159"/>
    </row>
    <row r="108" spans="2:19" s="158" customFormat="1" x14ac:dyDescent="0.2">
      <c r="B108" s="170" t="s">
        <v>20</v>
      </c>
      <c r="C108" s="205">
        <f t="shared" si="21"/>
        <v>73617.577212581164</v>
      </c>
      <c r="D108" s="205">
        <f t="shared" si="21"/>
        <v>102799.31953108181</v>
      </c>
      <c r="E108" s="205">
        <f t="shared" si="21"/>
        <v>1521429.9290600107</v>
      </c>
      <c r="F108" s="205">
        <f t="shared" si="21"/>
        <v>78260.127126888081</v>
      </c>
      <c r="G108" s="205">
        <f t="shared" si="21"/>
        <v>116063.74785767301</v>
      </c>
      <c r="H108" s="205">
        <f t="shared" si="21"/>
        <v>114737.30502501389</v>
      </c>
      <c r="I108" s="205">
        <f t="shared" si="21"/>
        <v>1769474.7387672663</v>
      </c>
      <c r="J108" s="205">
        <f t="shared" si="21"/>
        <v>210904.41039280008</v>
      </c>
      <c r="K108" s="205">
        <f t="shared" si="21"/>
        <v>47088.72055939876</v>
      </c>
      <c r="L108" s="205">
        <f t="shared" si="21"/>
        <v>1004593.8594474894</v>
      </c>
      <c r="M108" s="205">
        <f t="shared" si="21"/>
        <v>2112360.2110096486</v>
      </c>
      <c r="N108" s="205">
        <f t="shared" si="21"/>
        <v>0</v>
      </c>
      <c r="O108" s="205">
        <f>SUM(C108:N108)</f>
        <v>7151329.9459898509</v>
      </c>
      <c r="P108" s="159"/>
      <c r="Q108" s="159"/>
      <c r="R108" s="159"/>
      <c r="S108" s="159"/>
    </row>
    <row r="109" spans="2:19" s="158" customFormat="1" x14ac:dyDescent="0.2">
      <c r="B109" s="181" t="s">
        <v>120</v>
      </c>
      <c r="C109" s="205">
        <f t="shared" si="21"/>
        <v>813968.03500747599</v>
      </c>
      <c r="D109" s="205">
        <f t="shared" si="21"/>
        <v>1019953.2303124643</v>
      </c>
      <c r="E109" s="205">
        <f t="shared" si="21"/>
        <v>13844758.815157149</v>
      </c>
      <c r="F109" s="205">
        <f t="shared" si="21"/>
        <v>738963.80355589767</v>
      </c>
      <c r="G109" s="205">
        <f t="shared" si="21"/>
        <v>1057006.7810935499</v>
      </c>
      <c r="H109" s="205">
        <f t="shared" si="21"/>
        <v>1092587.5064622017</v>
      </c>
      <c r="I109" s="205">
        <f t="shared" si="21"/>
        <v>14592839.962007716</v>
      </c>
      <c r="J109" s="205">
        <f t="shared" si="21"/>
        <v>1743707.5527200447</v>
      </c>
      <c r="K109" s="205">
        <f t="shared" si="21"/>
        <v>580422.1749604753</v>
      </c>
      <c r="L109" s="205">
        <f t="shared" si="21"/>
        <v>7698599.4808831858</v>
      </c>
      <c r="M109" s="205">
        <f t="shared" si="21"/>
        <v>15293164.589861717</v>
      </c>
      <c r="N109" s="205">
        <f t="shared" si="21"/>
        <v>0</v>
      </c>
      <c r="O109" s="205">
        <f>SUM(C109:N109)</f>
        <v>58475971.932021871</v>
      </c>
      <c r="P109" s="159"/>
      <c r="Q109" s="159"/>
      <c r="R109" s="159"/>
      <c r="S109" s="159"/>
    </row>
    <row r="110" spans="2:19" s="158" customFormat="1" x14ac:dyDescent="0.2">
      <c r="O110" s="179"/>
      <c r="P110" s="159"/>
      <c r="Q110" s="159"/>
      <c r="R110" s="159"/>
      <c r="S110" s="159"/>
    </row>
    <row r="111" spans="2:19" s="158" customFormat="1" x14ac:dyDescent="0.2">
      <c r="B111" s="178" t="s">
        <v>65</v>
      </c>
      <c r="C111" s="206">
        <f>SUM(C100:C109)</f>
        <v>14633385.89189213</v>
      </c>
      <c r="D111" s="206">
        <f t="shared" ref="D111:N111" si="22">SUM(D100:D109)</f>
        <v>18729846.44047014</v>
      </c>
      <c r="E111" s="206">
        <f t="shared" si="22"/>
        <v>193265562.5841203</v>
      </c>
      <c r="F111" s="206">
        <f t="shared" si="22"/>
        <v>6506327.5747433892</v>
      </c>
      <c r="G111" s="206">
        <f t="shared" si="22"/>
        <v>15986463.462319352</v>
      </c>
      <c r="H111" s="206">
        <f t="shared" si="22"/>
        <v>19953531.481281906</v>
      </c>
      <c r="I111" s="206">
        <f t="shared" si="22"/>
        <v>226474249.4964835</v>
      </c>
      <c r="J111" s="206">
        <f t="shared" si="22"/>
        <v>22026535.732342154</v>
      </c>
      <c r="K111" s="206">
        <f t="shared" si="22"/>
        <v>10555856.373891018</v>
      </c>
      <c r="L111" s="206">
        <f t="shared" si="22"/>
        <v>16777941.853312142</v>
      </c>
      <c r="M111" s="206">
        <f t="shared" si="22"/>
        <v>204077865.99533978</v>
      </c>
      <c r="N111" s="206">
        <f t="shared" si="22"/>
        <v>0</v>
      </c>
      <c r="O111" s="206">
        <f>SUM(C111:N111)</f>
        <v>748987566.88619578</v>
      </c>
      <c r="P111" s="159"/>
      <c r="Q111" s="159"/>
      <c r="R111" s="159"/>
      <c r="S111" s="159"/>
    </row>
    <row r="112" spans="2:19" s="158" customFormat="1" x14ac:dyDescent="0.2">
      <c r="O112" s="179"/>
      <c r="P112" s="179"/>
      <c r="Q112" s="179"/>
      <c r="R112" s="179"/>
      <c r="S112" s="17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W114"/>
  <sheetViews>
    <sheetView showGridLines="0" zoomScale="85" zoomScaleNormal="85" workbookViewId="0"/>
  </sheetViews>
  <sheetFormatPr defaultRowHeight="12.75" x14ac:dyDescent="0.2"/>
  <cols>
    <col min="1" max="1" width="9.140625" style="158"/>
    <col min="2" max="2" width="48.7109375" style="158" customWidth="1"/>
    <col min="3" max="3" width="21.42578125" style="158" bestFit="1" customWidth="1"/>
    <col min="4" max="4" width="10.28515625" style="158" bestFit="1" customWidth="1"/>
    <col min="5" max="5" width="12.5703125" style="158" bestFit="1" customWidth="1"/>
    <col min="6" max="6" width="9.28515625" style="158" bestFit="1" customWidth="1"/>
    <col min="7" max="8" width="10.28515625" style="158" bestFit="1" customWidth="1"/>
    <col min="9" max="9" width="11.28515625" style="158" bestFit="1" customWidth="1"/>
    <col min="10" max="12" width="10.28515625" style="158" bestFit="1" customWidth="1"/>
    <col min="13" max="13" width="11.28515625" style="158" bestFit="1" customWidth="1"/>
    <col min="14" max="14" width="9.28515625" style="158" bestFit="1" customWidth="1"/>
    <col min="15" max="15" width="12.28515625" style="179" customWidth="1"/>
    <col min="16" max="16" width="9.5703125" style="180" customWidth="1"/>
    <col min="17" max="17" width="12.140625" style="180" customWidth="1"/>
    <col min="18" max="18" width="10.5703125" style="180" bestFit="1" customWidth="1"/>
    <col min="19" max="19" width="12.42578125" style="180" customWidth="1"/>
    <col min="20" max="16384" width="9.140625" style="158"/>
  </cols>
  <sheetData>
    <row r="1" spans="2:23" x14ac:dyDescent="0.2">
      <c r="O1" s="158"/>
      <c r="P1" s="159"/>
      <c r="Q1" s="159"/>
      <c r="R1" s="159"/>
      <c r="S1" s="159"/>
    </row>
    <row r="2" spans="2:23" ht="182.25" x14ac:dyDescent="0.2">
      <c r="B2" s="160" t="s">
        <v>191</v>
      </c>
      <c r="C2" s="161" t="s">
        <v>192</v>
      </c>
      <c r="D2" s="161" t="s">
        <v>5</v>
      </c>
      <c r="E2" s="161" t="s">
        <v>193</v>
      </c>
      <c r="F2" s="161" t="s">
        <v>194</v>
      </c>
      <c r="G2" s="161" t="s">
        <v>7</v>
      </c>
      <c r="H2" s="161" t="s">
        <v>195</v>
      </c>
      <c r="I2" s="161" t="s">
        <v>196</v>
      </c>
      <c r="J2" s="161" t="s">
        <v>197</v>
      </c>
      <c r="K2" s="161" t="s">
        <v>13</v>
      </c>
      <c r="L2" s="161" t="s">
        <v>14</v>
      </c>
      <c r="M2" s="161" t="s">
        <v>198</v>
      </c>
      <c r="N2" s="161" t="s">
        <v>15</v>
      </c>
      <c r="O2" s="158"/>
      <c r="P2" s="162" t="s">
        <v>199</v>
      </c>
      <c r="Q2" s="162" t="s">
        <v>200</v>
      </c>
      <c r="R2" s="162" t="s">
        <v>201</v>
      </c>
      <c r="S2" s="162" t="s">
        <v>202</v>
      </c>
    </row>
    <row r="3" spans="2:23" x14ac:dyDescent="0.2">
      <c r="O3" s="163"/>
      <c r="P3" s="164"/>
      <c r="Q3" s="164"/>
      <c r="R3" s="164"/>
      <c r="S3" s="164"/>
      <c r="T3" s="163"/>
      <c r="U3" s="163"/>
    </row>
    <row r="4" spans="2:23" x14ac:dyDescent="0.2">
      <c r="B4" s="165" t="s">
        <v>233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3"/>
      <c r="U4" s="163"/>
    </row>
    <row r="5" spans="2:23" x14ac:dyDescent="0.2">
      <c r="O5" s="163"/>
      <c r="P5" s="159"/>
      <c r="Q5" s="159"/>
      <c r="R5" s="159"/>
      <c r="S5" s="159"/>
      <c r="T5" s="163"/>
      <c r="U5" s="163"/>
      <c r="V5" s="163"/>
      <c r="W5" s="163"/>
    </row>
    <row r="6" spans="2:23" x14ac:dyDescent="0.2">
      <c r="B6" s="167" t="s">
        <v>204</v>
      </c>
      <c r="C6" s="168"/>
      <c r="D6" s="169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4"/>
      <c r="Q6" s="164"/>
      <c r="R6" s="164"/>
      <c r="S6" s="164"/>
      <c r="T6" s="163"/>
      <c r="U6" s="163"/>
      <c r="V6" s="163"/>
      <c r="W6" s="163"/>
    </row>
    <row r="7" spans="2:23" x14ac:dyDescent="0.2">
      <c r="B7" s="170" t="s">
        <v>205</v>
      </c>
      <c r="C7" s="185">
        <v>3466</v>
      </c>
      <c r="D7" s="185">
        <v>10150.333333333334</v>
      </c>
      <c r="E7" s="186">
        <f t="shared" ref="E7:E17" si="0">S7+R7</f>
        <v>204736.37196409717</v>
      </c>
      <c r="F7" s="185">
        <v>4425.6023799999994</v>
      </c>
      <c r="G7" s="185">
        <v>3170</v>
      </c>
      <c r="H7" s="185">
        <v>12208.683525410528</v>
      </c>
      <c r="I7" s="185">
        <v>198785</v>
      </c>
      <c r="J7" s="185">
        <v>10236.420749999999</v>
      </c>
      <c r="K7" s="185">
        <v>3889</v>
      </c>
      <c r="L7" s="185">
        <v>3501.3250298706066</v>
      </c>
      <c r="M7" s="186">
        <f t="shared" ref="M7:M17" si="1">P7+Q7</f>
        <v>100698.31917857502</v>
      </c>
      <c r="N7" s="185"/>
      <c r="O7" s="163"/>
      <c r="P7" s="171">
        <v>2620.8700708178526</v>
      </c>
      <c r="Q7" s="171">
        <v>98077.449107757173</v>
      </c>
      <c r="R7" s="171">
        <v>6924</v>
      </c>
      <c r="S7" s="171">
        <v>197812.37196409717</v>
      </c>
      <c r="V7" s="163"/>
      <c r="W7" s="163"/>
    </row>
    <row r="8" spans="2:23" x14ac:dyDescent="0.2">
      <c r="B8" s="170" t="s">
        <v>206</v>
      </c>
      <c r="C8" s="185">
        <v>121374</v>
      </c>
      <c r="D8" s="185">
        <v>165188.08333333334</v>
      </c>
      <c r="E8" s="186">
        <f t="shared" si="0"/>
        <v>1502714.4246304119</v>
      </c>
      <c r="F8" s="185">
        <v>50245.012259999996</v>
      </c>
      <c r="G8" s="185">
        <v>134196.15</v>
      </c>
      <c r="H8" s="185">
        <v>163229.99808606997</v>
      </c>
      <c r="I8" s="185">
        <v>1815130.4</v>
      </c>
      <c r="J8" s="185">
        <v>173565.65749000001</v>
      </c>
      <c r="K8" s="185">
        <v>90228</v>
      </c>
      <c r="L8" s="185">
        <v>41951.531587468402</v>
      </c>
      <c r="M8" s="186">
        <f t="shared" si="1"/>
        <v>1652870.2648734041</v>
      </c>
      <c r="N8" s="185"/>
      <c r="O8" s="163"/>
      <c r="P8" s="171">
        <v>43298.217205736481</v>
      </c>
      <c r="Q8" s="171">
        <v>1609572.0476676675</v>
      </c>
      <c r="R8" s="171">
        <f>26306+0</f>
        <v>26306</v>
      </c>
      <c r="S8" s="171">
        <v>1476408.4246304119</v>
      </c>
      <c r="T8" s="172"/>
      <c r="V8" s="163"/>
      <c r="W8" s="163"/>
    </row>
    <row r="9" spans="2:23" x14ac:dyDescent="0.2">
      <c r="B9" s="170" t="s">
        <v>207</v>
      </c>
      <c r="C9" s="185">
        <v>1860</v>
      </c>
      <c r="D9" s="185">
        <v>885.66666666666663</v>
      </c>
      <c r="E9" s="186">
        <f t="shared" si="0"/>
        <v>8945.7860898451272</v>
      </c>
      <c r="F9" s="185">
        <v>318.41394000000003</v>
      </c>
      <c r="G9" s="185">
        <v>1463</v>
      </c>
      <c r="H9" s="185">
        <v>1423.1721768285645</v>
      </c>
      <c r="I9" s="185">
        <v>31426</v>
      </c>
      <c r="J9" s="185">
        <v>1646.2541200000003</v>
      </c>
      <c r="K9" s="185">
        <v>843</v>
      </c>
      <c r="L9" s="185">
        <v>236.8103217055328</v>
      </c>
      <c r="M9" s="186">
        <f t="shared" si="1"/>
        <v>15964.572422813144</v>
      </c>
      <c r="N9" s="185"/>
      <c r="O9" s="163"/>
      <c r="P9" s="171">
        <v>415.50912068507779</v>
      </c>
      <c r="Q9" s="171">
        <v>15549.063302128066</v>
      </c>
      <c r="R9" s="171">
        <v>140</v>
      </c>
      <c r="S9" s="171">
        <v>8805.7860898451272</v>
      </c>
      <c r="T9" s="172"/>
      <c r="V9" s="163"/>
      <c r="W9" s="163"/>
    </row>
    <row r="10" spans="2:23" x14ac:dyDescent="0.2">
      <c r="B10" s="170" t="s">
        <v>208</v>
      </c>
      <c r="C10" s="185">
        <v>4</v>
      </c>
      <c r="D10" s="185">
        <v>43.916666666666671</v>
      </c>
      <c r="E10" s="186">
        <f t="shared" si="0"/>
        <v>7230.1530656019013</v>
      </c>
      <c r="F10" s="185">
        <v>257.64864</v>
      </c>
      <c r="G10" s="185">
        <v>1</v>
      </c>
      <c r="H10" s="185">
        <v>0</v>
      </c>
      <c r="I10" s="185">
        <v>7690</v>
      </c>
      <c r="J10" s="185">
        <v>2375.4038</v>
      </c>
      <c r="K10" s="185">
        <v>690</v>
      </c>
      <c r="L10" s="185">
        <v>393.68111776177693</v>
      </c>
      <c r="M10" s="186">
        <f t="shared" si="1"/>
        <v>4443.9308670049741</v>
      </c>
      <c r="N10" s="185"/>
      <c r="O10" s="163"/>
      <c r="P10" s="171">
        <v>115.66196438157648</v>
      </c>
      <c r="Q10" s="171">
        <v>4328.2689026233975</v>
      </c>
      <c r="R10" s="171">
        <v>174</v>
      </c>
      <c r="S10" s="171">
        <v>7056.1530656019013</v>
      </c>
      <c r="T10" s="172"/>
      <c r="V10" s="163"/>
      <c r="W10" s="163"/>
    </row>
    <row r="11" spans="2:23" x14ac:dyDescent="0.2">
      <c r="B11" s="170" t="s">
        <v>209</v>
      </c>
      <c r="C11" s="185">
        <v>2280</v>
      </c>
      <c r="D11" s="185">
        <v>2632.833333333333</v>
      </c>
      <c r="E11" s="186">
        <f t="shared" si="0"/>
        <v>15570.205463800159</v>
      </c>
      <c r="F11" s="185">
        <v>558.81383000000005</v>
      </c>
      <c r="G11" s="185">
        <v>2280</v>
      </c>
      <c r="H11" s="185">
        <v>3316.3736369519947</v>
      </c>
      <c r="I11" s="185">
        <v>20727</v>
      </c>
      <c r="J11" s="185">
        <v>2519.1748699999998</v>
      </c>
      <c r="K11" s="185">
        <v>1118</v>
      </c>
      <c r="L11" s="185">
        <v>388.41251109964924</v>
      </c>
      <c r="M11" s="186">
        <f t="shared" si="1"/>
        <v>18212.669502725206</v>
      </c>
      <c r="N11" s="185"/>
      <c r="O11" s="163"/>
      <c r="P11" s="171">
        <v>194.97398441708003</v>
      </c>
      <c r="Q11" s="171">
        <v>18017.695518308126</v>
      </c>
      <c r="R11" s="171">
        <f>240+3</f>
        <v>243</v>
      </c>
      <c r="S11" s="171">
        <v>15327.205463800159</v>
      </c>
      <c r="T11" s="172"/>
      <c r="V11" s="163"/>
      <c r="W11" s="163"/>
    </row>
    <row r="12" spans="2:23" x14ac:dyDescent="0.2">
      <c r="B12" s="170" t="s">
        <v>210</v>
      </c>
      <c r="C12" s="185">
        <v>710</v>
      </c>
      <c r="D12" s="185">
        <v>614</v>
      </c>
      <c r="E12" s="186">
        <f t="shared" si="0"/>
        <v>6644.5084477296741</v>
      </c>
      <c r="F12" s="185">
        <v>331.71773999999994</v>
      </c>
      <c r="G12" s="185">
        <v>571</v>
      </c>
      <c r="H12" s="185">
        <v>954.14938022169667</v>
      </c>
      <c r="I12" s="185">
        <v>5360</v>
      </c>
      <c r="J12" s="185">
        <v>1061.4356499999999</v>
      </c>
      <c r="K12" s="185">
        <v>419</v>
      </c>
      <c r="L12" s="185">
        <v>268.36742217917003</v>
      </c>
      <c r="M12" s="186">
        <f t="shared" si="1"/>
        <v>8842.7403580285518</v>
      </c>
      <c r="N12" s="185"/>
      <c r="O12" s="163"/>
      <c r="P12" s="171">
        <v>230.1495569878501</v>
      </c>
      <c r="Q12" s="171">
        <v>8612.590801040702</v>
      </c>
      <c r="R12" s="171">
        <f>108+10</f>
        <v>118</v>
      </c>
      <c r="S12" s="171">
        <v>6526.5084477296741</v>
      </c>
      <c r="T12" s="172"/>
      <c r="V12" s="163"/>
      <c r="W12" s="163"/>
    </row>
    <row r="13" spans="2:23" x14ac:dyDescent="0.2">
      <c r="B13" s="170" t="s">
        <v>211</v>
      </c>
      <c r="C13" s="185">
        <v>246</v>
      </c>
      <c r="D13" s="185">
        <v>263</v>
      </c>
      <c r="E13" s="186">
        <f t="shared" si="0"/>
        <v>2223.6974904303061</v>
      </c>
      <c r="F13" s="185">
        <v>143.04747</v>
      </c>
      <c r="G13" s="185">
        <v>0</v>
      </c>
      <c r="H13" s="185">
        <v>336.16655379118851</v>
      </c>
      <c r="I13" s="185">
        <v>2821</v>
      </c>
      <c r="J13" s="185">
        <v>494.99525999999997</v>
      </c>
      <c r="K13" s="185">
        <v>164</v>
      </c>
      <c r="L13" s="185">
        <v>28.654859770561611</v>
      </c>
      <c r="M13" s="186">
        <f t="shared" si="1"/>
        <v>2895.1134030854128</v>
      </c>
      <c r="N13" s="185"/>
      <c r="O13" s="163"/>
      <c r="P13" s="171">
        <v>75.350970420016424</v>
      </c>
      <c r="Q13" s="171">
        <v>2819.7624326653963</v>
      </c>
      <c r="R13" s="171">
        <f>10+5</f>
        <v>15</v>
      </c>
      <c r="S13" s="171">
        <v>2208.6974904303061</v>
      </c>
      <c r="T13" s="172"/>
      <c r="V13" s="163"/>
      <c r="W13" s="163"/>
    </row>
    <row r="14" spans="2:23" x14ac:dyDescent="0.2">
      <c r="B14" s="170" t="s">
        <v>212</v>
      </c>
      <c r="C14" s="185">
        <v>187</v>
      </c>
      <c r="D14" s="185">
        <v>268.41666666666669</v>
      </c>
      <c r="E14" s="186">
        <f t="shared" si="0"/>
        <v>3356.6201110795228</v>
      </c>
      <c r="F14" s="185">
        <v>146.99234000000001</v>
      </c>
      <c r="G14" s="185">
        <v>450</v>
      </c>
      <c r="H14" s="185">
        <v>249.60869862339746</v>
      </c>
      <c r="I14" s="185">
        <v>4229</v>
      </c>
      <c r="J14" s="185">
        <v>311.31645000000003</v>
      </c>
      <c r="K14" s="185">
        <v>156</v>
      </c>
      <c r="L14" s="185">
        <v>138.42847106737469</v>
      </c>
      <c r="M14" s="186">
        <f t="shared" si="1"/>
        <v>3098.6842621642709</v>
      </c>
      <c r="N14" s="185"/>
      <c r="O14" s="163"/>
      <c r="P14" s="171">
        <v>80.649298894638818</v>
      </c>
      <c r="Q14" s="171">
        <v>3018.034963269632</v>
      </c>
      <c r="R14" s="171">
        <f>78+85</f>
        <v>163</v>
      </c>
      <c r="S14" s="171">
        <v>3193.6201110795228</v>
      </c>
      <c r="T14" s="172"/>
      <c r="V14" s="163"/>
      <c r="W14" s="163"/>
    </row>
    <row r="15" spans="2:23" x14ac:dyDescent="0.2">
      <c r="B15" s="170" t="s">
        <v>213</v>
      </c>
      <c r="C15" s="185">
        <v>28</v>
      </c>
      <c r="D15" s="185">
        <v>91.583333333333343</v>
      </c>
      <c r="E15" s="186">
        <f t="shared" si="0"/>
        <v>1932.9604755147836</v>
      </c>
      <c r="F15" s="185">
        <v>48.091449999999995</v>
      </c>
      <c r="G15" s="185">
        <v>89</v>
      </c>
      <c r="H15" s="185">
        <v>189.21949734354325</v>
      </c>
      <c r="I15" s="185">
        <v>1840</v>
      </c>
      <c r="J15" s="185">
        <v>159.60881000000001</v>
      </c>
      <c r="K15" s="185">
        <v>45</v>
      </c>
      <c r="L15" s="185">
        <v>25.08334971527405</v>
      </c>
      <c r="M15" s="186">
        <f t="shared" si="1"/>
        <v>1309.5692377856451</v>
      </c>
      <c r="N15" s="185"/>
      <c r="O15" s="163"/>
      <c r="P15" s="171">
        <v>34.084092455302823</v>
      </c>
      <c r="Q15" s="171">
        <v>1275.4851453303422</v>
      </c>
      <c r="R15" s="171">
        <f>29+13</f>
        <v>42</v>
      </c>
      <c r="S15" s="171">
        <v>1890.9604755147836</v>
      </c>
      <c r="T15" s="172"/>
      <c r="V15" s="163"/>
      <c r="W15" s="163"/>
    </row>
    <row r="16" spans="2:23" x14ac:dyDescent="0.2">
      <c r="B16" s="170" t="s">
        <v>214</v>
      </c>
      <c r="C16" s="185">
        <v>42</v>
      </c>
      <c r="D16" s="185">
        <v>35.916666666666664</v>
      </c>
      <c r="E16" s="186">
        <f t="shared" si="0"/>
        <v>551.92178115925287</v>
      </c>
      <c r="F16" s="185">
        <v>46.390100000000004</v>
      </c>
      <c r="G16" s="185">
        <v>59</v>
      </c>
      <c r="H16" s="185">
        <v>36.23352076791253</v>
      </c>
      <c r="I16" s="185">
        <v>659</v>
      </c>
      <c r="J16" s="185">
        <v>84.559159999999991</v>
      </c>
      <c r="K16" s="185">
        <v>16</v>
      </c>
      <c r="L16" s="185">
        <v>404.05190817339093</v>
      </c>
      <c r="M16" s="186">
        <f t="shared" si="1"/>
        <v>419.73373005950162</v>
      </c>
      <c r="N16" s="185"/>
      <c r="O16" s="163"/>
      <c r="P16" s="171">
        <v>10.924388607468853</v>
      </c>
      <c r="Q16" s="171">
        <v>408.80934145203275</v>
      </c>
      <c r="R16" s="171">
        <f>2+3</f>
        <v>5</v>
      </c>
      <c r="S16" s="171">
        <v>546.92178115925287</v>
      </c>
      <c r="T16" s="172"/>
      <c r="V16" s="163"/>
      <c r="W16" s="163"/>
    </row>
    <row r="17" spans="2:23" x14ac:dyDescent="0.2">
      <c r="B17" s="170" t="s">
        <v>215</v>
      </c>
      <c r="C17" s="185">
        <v>14</v>
      </c>
      <c r="D17" s="185">
        <v>11.75</v>
      </c>
      <c r="E17" s="186">
        <f t="shared" si="0"/>
        <v>861.71589229144683</v>
      </c>
      <c r="F17" s="185">
        <v>0</v>
      </c>
      <c r="G17" s="185">
        <v>27.6</v>
      </c>
      <c r="H17" s="185">
        <v>36.23352076791253</v>
      </c>
      <c r="I17" s="185">
        <v>258</v>
      </c>
      <c r="J17" s="185">
        <v>0</v>
      </c>
      <c r="K17" s="185">
        <v>12</v>
      </c>
      <c r="L17" s="185">
        <v>286.44108785493756</v>
      </c>
      <c r="M17" s="186">
        <f t="shared" si="1"/>
        <v>272.82692453867605</v>
      </c>
      <c r="N17" s="185"/>
      <c r="O17" s="163"/>
      <c r="P17" s="171">
        <v>7.1008525948547554</v>
      </c>
      <c r="Q17" s="171">
        <v>265.7260719438213</v>
      </c>
      <c r="R17" s="171">
        <f>1+2</f>
        <v>3</v>
      </c>
      <c r="S17" s="171">
        <v>858.71589229144683</v>
      </c>
      <c r="T17" s="172"/>
      <c r="V17" s="163"/>
      <c r="W17" s="163"/>
    </row>
    <row r="18" spans="2:23" x14ac:dyDescent="0.2">
      <c r="B18" s="170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63"/>
      <c r="P18" s="174"/>
      <c r="Q18" s="174"/>
      <c r="R18" s="174"/>
      <c r="S18" s="174"/>
      <c r="T18" s="172"/>
      <c r="V18" s="163"/>
      <c r="W18" s="163"/>
    </row>
    <row r="19" spans="2:23" x14ac:dyDescent="0.2">
      <c r="B19" s="175" t="s">
        <v>65</v>
      </c>
      <c r="C19" s="176">
        <f t="shared" ref="C19:L19" si="2">SUM(C7:C17)</f>
        <v>130211</v>
      </c>
      <c r="D19" s="176">
        <f t="shared" si="2"/>
        <v>180185.5</v>
      </c>
      <c r="E19" s="176">
        <f>SUM(E7:E17)</f>
        <v>1754768.3654119612</v>
      </c>
      <c r="F19" s="176">
        <f t="shared" si="2"/>
        <v>56521.730149999981</v>
      </c>
      <c r="G19" s="176">
        <f t="shared" si="2"/>
        <v>142306.75</v>
      </c>
      <c r="H19" s="176">
        <f t="shared" si="2"/>
        <v>181979.83859677674</v>
      </c>
      <c r="I19" s="176">
        <f t="shared" si="2"/>
        <v>2088925.4</v>
      </c>
      <c r="J19" s="176">
        <f t="shared" si="2"/>
        <v>192454.82636000001</v>
      </c>
      <c r="K19" s="176">
        <f t="shared" si="2"/>
        <v>97580</v>
      </c>
      <c r="L19" s="176">
        <f t="shared" si="2"/>
        <v>47622.787666666671</v>
      </c>
      <c r="M19" s="176">
        <f>SUM(M7:M17)</f>
        <v>1809028.4247601843</v>
      </c>
      <c r="N19" s="176"/>
      <c r="O19" s="163"/>
      <c r="P19" s="177">
        <f>SUM(P7:P17)</f>
        <v>47083.491505998216</v>
      </c>
      <c r="Q19" s="177">
        <f>SUM(Q7:Q17)</f>
        <v>1761944.9332541861</v>
      </c>
      <c r="R19" s="177">
        <f>SUM(R7:R17)</f>
        <v>34133</v>
      </c>
      <c r="S19" s="177">
        <f>SUM(S7:S17)</f>
        <v>1720635.3654119612</v>
      </c>
      <c r="T19" s="172"/>
      <c r="V19" s="163"/>
      <c r="W19" s="163"/>
    </row>
    <row r="20" spans="2:23" x14ac:dyDescent="0.2"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4"/>
      <c r="Q20" s="164"/>
      <c r="R20" s="164"/>
      <c r="S20" s="164"/>
      <c r="T20" s="163"/>
      <c r="V20" s="163"/>
      <c r="W20" s="163"/>
    </row>
    <row r="21" spans="2:23" x14ac:dyDescent="0.2">
      <c r="B21" s="178" t="s">
        <v>216</v>
      </c>
    </row>
    <row r="22" spans="2:23" x14ac:dyDescent="0.2">
      <c r="B22" s="170" t="s">
        <v>20</v>
      </c>
      <c r="C22" s="212">
        <v>106</v>
      </c>
      <c r="D22" s="213">
        <v>152</v>
      </c>
      <c r="E22" s="214">
        <v>2088</v>
      </c>
      <c r="F22" s="213">
        <v>109.33730909090913</v>
      </c>
      <c r="G22" s="213">
        <v>175</v>
      </c>
      <c r="H22" s="213">
        <v>172.16442543003163</v>
      </c>
      <c r="I22" s="213">
        <v>2629.2666666666669</v>
      </c>
      <c r="J22" s="213">
        <v>333.17878181818031</v>
      </c>
      <c r="K22" s="213">
        <v>80.67</v>
      </c>
      <c r="L22" s="213">
        <v>1353.5484257357973</v>
      </c>
      <c r="M22" s="214">
        <v>3722.1666666666665</v>
      </c>
      <c r="N22" s="215">
        <v>0</v>
      </c>
    </row>
    <row r="23" spans="2:23" x14ac:dyDescent="0.2">
      <c r="B23" s="181" t="s">
        <v>24</v>
      </c>
      <c r="C23" s="216">
        <v>10617</v>
      </c>
      <c r="D23" s="213">
        <v>11614</v>
      </c>
      <c r="E23" s="214">
        <v>0</v>
      </c>
      <c r="F23" s="213"/>
      <c r="G23" s="213"/>
      <c r="H23" s="213"/>
      <c r="I23" s="213">
        <v>174789.65</v>
      </c>
      <c r="J23" s="213"/>
      <c r="K23" s="213">
        <v>10176</v>
      </c>
      <c r="L23" s="213"/>
      <c r="M23" s="214">
        <v>0</v>
      </c>
      <c r="N23" s="215">
        <v>0</v>
      </c>
    </row>
    <row r="24" spans="2:23" x14ac:dyDescent="0.2">
      <c r="B24" s="170" t="s">
        <v>25</v>
      </c>
      <c r="C24" s="213">
        <v>23267</v>
      </c>
      <c r="D24" s="213">
        <v>36755</v>
      </c>
      <c r="E24" s="214">
        <v>0</v>
      </c>
      <c r="F24" s="213"/>
      <c r="G24" s="213"/>
      <c r="H24" s="213"/>
      <c r="I24" s="213">
        <v>522313.5</v>
      </c>
      <c r="J24" s="213"/>
      <c r="K24" s="213">
        <v>18527</v>
      </c>
      <c r="L24" s="213"/>
      <c r="M24" s="214">
        <v>0</v>
      </c>
      <c r="N24" s="215">
        <v>0</v>
      </c>
    </row>
    <row r="25" spans="2:23" x14ac:dyDescent="0.2">
      <c r="B25" s="181" t="s">
        <v>26</v>
      </c>
      <c r="C25" s="217">
        <f>SUM(C23:C24)</f>
        <v>33884</v>
      </c>
      <c r="D25" s="217">
        <f>SUM(D23:D24)</f>
        <v>48369</v>
      </c>
      <c r="E25" s="214">
        <v>655657</v>
      </c>
      <c r="F25" s="213">
        <v>31514.306928439313</v>
      </c>
      <c r="G25" s="213">
        <v>50663</v>
      </c>
      <c r="H25" s="213">
        <v>55830</v>
      </c>
      <c r="I25" s="217">
        <f>SUM(I23:I24)</f>
        <v>697103.15</v>
      </c>
      <c r="J25" s="213">
        <v>87282.403137081594</v>
      </c>
      <c r="K25" s="217">
        <f>SUM(K23:K24)</f>
        <v>28703</v>
      </c>
      <c r="L25" s="213">
        <v>343602.85324779456</v>
      </c>
      <c r="M25" s="214">
        <v>697166</v>
      </c>
      <c r="N25" s="215">
        <v>0</v>
      </c>
    </row>
    <row r="27" spans="2:23" x14ac:dyDescent="0.2">
      <c r="B27" s="165" t="s">
        <v>217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</row>
    <row r="28" spans="2:23" x14ac:dyDescent="0.2"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4"/>
      <c r="Q28" s="164"/>
      <c r="R28" s="164"/>
      <c r="S28" s="164"/>
    </row>
    <row r="29" spans="2:23" x14ac:dyDescent="0.2">
      <c r="B29" s="184" t="s">
        <v>218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4"/>
      <c r="Q29" s="164"/>
      <c r="R29" s="164"/>
      <c r="S29" s="164"/>
    </row>
    <row r="30" spans="2:23" x14ac:dyDescent="0.2">
      <c r="B30" s="170" t="s">
        <v>219</v>
      </c>
      <c r="C30" s="185">
        <v>114298</v>
      </c>
      <c r="D30" s="185">
        <v>160061.83333333334</v>
      </c>
      <c r="E30" s="186">
        <f>S30+R30</f>
        <v>1483894</v>
      </c>
      <c r="F30" s="185">
        <v>50512.218208073427</v>
      </c>
      <c r="G30" s="185">
        <v>125066</v>
      </c>
      <c r="H30" s="185">
        <v>154565.68208458772</v>
      </c>
      <c r="I30" s="185">
        <v>1757031.7478506861</v>
      </c>
      <c r="J30" s="185">
        <v>167119.45344889554</v>
      </c>
      <c r="K30" s="185">
        <v>85469.56</v>
      </c>
      <c r="L30" s="185">
        <v>41954.173401225009</v>
      </c>
      <c r="M30" s="186">
        <f>Q30+P30</f>
        <v>1541304.0909</v>
      </c>
      <c r="N30" s="185"/>
      <c r="O30" s="163"/>
      <c r="P30" s="171">
        <v>0</v>
      </c>
      <c r="Q30" s="171">
        <f>1635683*0.9423</f>
        <v>1541304.0909</v>
      </c>
      <c r="R30" s="187">
        <v>26150</v>
      </c>
      <c r="S30" s="187">
        <v>1457744</v>
      </c>
    </row>
    <row r="31" spans="2:23" x14ac:dyDescent="0.2">
      <c r="B31" s="170" t="s">
        <v>220</v>
      </c>
      <c r="C31" s="185">
        <v>8207</v>
      </c>
      <c r="D31" s="185">
        <v>4010.25</v>
      </c>
      <c r="E31" s="186">
        <f>S31+R31</f>
        <v>58020</v>
      </c>
      <c r="F31" s="185">
        <v>1532.6169911328871</v>
      </c>
      <c r="G31" s="185">
        <v>8213</v>
      </c>
      <c r="H31" s="185">
        <v>8998.6735820062659</v>
      </c>
      <c r="I31" s="185">
        <v>86201.005049826228</v>
      </c>
      <c r="J31" s="185">
        <v>10162.278426085177</v>
      </c>
      <c r="K31" s="185">
        <v>5609.61</v>
      </c>
      <c r="L31" s="185">
        <v>1539.9021213038034</v>
      </c>
      <c r="M31" s="186">
        <f>Q31+P31</f>
        <v>138117.90910000005</v>
      </c>
      <c r="N31" s="185"/>
      <c r="O31" s="163"/>
      <c r="P31" s="171">
        <v>43739</v>
      </c>
      <c r="Q31" s="171">
        <f>1635683-Q30</f>
        <v>94378.909100000048</v>
      </c>
      <c r="R31" s="187">
        <v>495</v>
      </c>
      <c r="S31" s="187">
        <v>57525</v>
      </c>
    </row>
    <row r="32" spans="2:23" x14ac:dyDescent="0.2"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4"/>
      <c r="Q32" s="164"/>
      <c r="R32" s="164"/>
      <c r="S32" s="164"/>
    </row>
    <row r="33" spans="2:21" x14ac:dyDescent="0.2">
      <c r="B33" s="184" t="s">
        <v>221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4"/>
      <c r="Q33" s="164"/>
      <c r="R33" s="164"/>
      <c r="S33" s="164"/>
    </row>
    <row r="34" spans="2:21" x14ac:dyDescent="0.2">
      <c r="B34" s="170" t="s">
        <v>219</v>
      </c>
      <c r="C34" s="188">
        <f>C30/SUM(C30:C31)</f>
        <v>0.93300681604832458</v>
      </c>
      <c r="D34" s="188">
        <f t="shared" ref="D34:M34" si="3">D30/SUM(D30:D31)</f>
        <v>0.97555799915179553</v>
      </c>
      <c r="E34" s="188">
        <f t="shared" si="3"/>
        <v>0.96237144224645477</v>
      </c>
      <c r="F34" s="188">
        <f t="shared" si="3"/>
        <v>0.9705519868538991</v>
      </c>
      <c r="G34" s="188">
        <f t="shared" si="3"/>
        <v>0.93837738878593024</v>
      </c>
      <c r="H34" s="188">
        <f t="shared" si="3"/>
        <v>0.94498389612252087</v>
      </c>
      <c r="I34" s="188">
        <f t="shared" si="3"/>
        <v>0.95323379268614861</v>
      </c>
      <c r="J34" s="188">
        <f t="shared" si="3"/>
        <v>0.94267723854789709</v>
      </c>
      <c r="K34" s="188">
        <f t="shared" si="3"/>
        <v>0.93840951778546067</v>
      </c>
      <c r="L34" s="188">
        <f t="shared" si="3"/>
        <v>0.96459512927211943</v>
      </c>
      <c r="M34" s="188">
        <f t="shared" si="3"/>
        <v>0.9177586639331865</v>
      </c>
      <c r="N34" s="188"/>
      <c r="O34" s="163"/>
      <c r="P34" s="164"/>
      <c r="Q34" s="164"/>
      <c r="R34" s="164"/>
      <c r="S34" s="164"/>
    </row>
    <row r="35" spans="2:21" x14ac:dyDescent="0.2"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4"/>
      <c r="Q35" s="164"/>
      <c r="R35" s="164"/>
      <c r="S35" s="164"/>
    </row>
    <row r="36" spans="2:21" x14ac:dyDescent="0.2">
      <c r="B36" s="184" t="s">
        <v>234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4"/>
      <c r="Q36" s="164"/>
      <c r="R36" s="164"/>
      <c r="S36" s="164"/>
    </row>
    <row r="37" spans="2:21" x14ac:dyDescent="0.2">
      <c r="B37" s="170" t="s">
        <v>206</v>
      </c>
      <c r="C37" s="189">
        <f t="shared" ref="C37:N37" si="4">C8</f>
        <v>121374</v>
      </c>
      <c r="D37" s="189">
        <f t="shared" si="4"/>
        <v>165188.08333333334</v>
      </c>
      <c r="E37" s="189">
        <f t="shared" si="4"/>
        <v>1502714.4246304119</v>
      </c>
      <c r="F37" s="189">
        <f t="shared" si="4"/>
        <v>50245.012259999996</v>
      </c>
      <c r="G37" s="189">
        <f t="shared" si="4"/>
        <v>134196.15</v>
      </c>
      <c r="H37" s="189">
        <f t="shared" si="4"/>
        <v>163229.99808606997</v>
      </c>
      <c r="I37" s="189">
        <f t="shared" si="4"/>
        <v>1815130.4</v>
      </c>
      <c r="J37" s="189">
        <f t="shared" si="4"/>
        <v>173565.65749000001</v>
      </c>
      <c r="K37" s="189">
        <f t="shared" si="4"/>
        <v>90228</v>
      </c>
      <c r="L37" s="189">
        <f t="shared" si="4"/>
        <v>41951.531587468402</v>
      </c>
      <c r="M37" s="189">
        <f t="shared" si="4"/>
        <v>1652870.2648734041</v>
      </c>
      <c r="N37" s="189">
        <f t="shared" si="4"/>
        <v>0</v>
      </c>
      <c r="O37" s="163"/>
      <c r="P37" s="164"/>
      <c r="Q37" s="164"/>
      <c r="R37" s="164"/>
      <c r="S37" s="164"/>
    </row>
    <row r="38" spans="2:21" x14ac:dyDescent="0.2">
      <c r="B38" s="170" t="s">
        <v>207</v>
      </c>
      <c r="C38" s="189">
        <f t="shared" ref="C38:N38" si="5">C9</f>
        <v>1860</v>
      </c>
      <c r="D38" s="189">
        <f t="shared" si="5"/>
        <v>885.66666666666663</v>
      </c>
      <c r="E38" s="189">
        <f t="shared" si="5"/>
        <v>8945.7860898451272</v>
      </c>
      <c r="F38" s="189">
        <f t="shared" si="5"/>
        <v>318.41394000000003</v>
      </c>
      <c r="G38" s="189">
        <f t="shared" si="5"/>
        <v>1463</v>
      </c>
      <c r="H38" s="189">
        <f t="shared" si="5"/>
        <v>1423.1721768285645</v>
      </c>
      <c r="I38" s="189">
        <f t="shared" si="5"/>
        <v>31426</v>
      </c>
      <c r="J38" s="189">
        <f t="shared" si="5"/>
        <v>1646.2541200000003</v>
      </c>
      <c r="K38" s="189">
        <f t="shared" si="5"/>
        <v>843</v>
      </c>
      <c r="L38" s="189">
        <f t="shared" si="5"/>
        <v>236.8103217055328</v>
      </c>
      <c r="M38" s="189">
        <f t="shared" si="5"/>
        <v>15964.572422813144</v>
      </c>
      <c r="N38" s="189">
        <f t="shared" si="5"/>
        <v>0</v>
      </c>
      <c r="O38" s="163"/>
      <c r="P38" s="164"/>
      <c r="Q38" s="164"/>
      <c r="R38" s="164"/>
      <c r="S38" s="164"/>
    </row>
    <row r="39" spans="2:21" x14ac:dyDescent="0.2"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4"/>
      <c r="Q39" s="164"/>
      <c r="R39" s="164"/>
      <c r="S39" s="164"/>
      <c r="T39" s="163"/>
      <c r="U39" s="163"/>
    </row>
    <row r="40" spans="2:21" x14ac:dyDescent="0.2">
      <c r="B40" s="184" t="s">
        <v>235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4"/>
      <c r="Q40" s="164"/>
      <c r="R40" s="164"/>
      <c r="S40" s="164"/>
    </row>
    <row r="41" spans="2:21" x14ac:dyDescent="0.2">
      <c r="B41" s="170" t="s">
        <v>219</v>
      </c>
      <c r="C41" s="190">
        <f>C37*C34</f>
        <v>113242.76929104935</v>
      </c>
      <c r="D41" s="190">
        <f t="shared" ref="D41:M41" si="6">D37*D34</f>
        <v>161150.55606038673</v>
      </c>
      <c r="E41" s="190">
        <f t="shared" si="6"/>
        <v>1446169.4481161209</v>
      </c>
      <c r="F41" s="190">
        <f t="shared" si="6"/>
        <v>48765.396478441515</v>
      </c>
      <c r="G41" s="190">
        <f t="shared" si="6"/>
        <v>125926.632822125</v>
      </c>
      <c r="H41" s="190">
        <f t="shared" si="6"/>
        <v>154249.71955544603</v>
      </c>
      <c r="I41" s="190">
        <f t="shared" si="6"/>
        <v>1730243.6354119258</v>
      </c>
      <c r="J41" s="190">
        <f t="shared" si="6"/>
        <v>163616.39470942333</v>
      </c>
      <c r="K41" s="190">
        <f t="shared" si="6"/>
        <v>84670.813970746545</v>
      </c>
      <c r="L41" s="190">
        <f t="shared" si="6"/>
        <v>40466.243034777486</v>
      </c>
      <c r="M41" s="190">
        <f t="shared" si="6"/>
        <v>1516936.0059451074</v>
      </c>
      <c r="N41" s="190"/>
      <c r="O41" s="163"/>
      <c r="P41" s="164"/>
      <c r="Q41" s="164"/>
      <c r="R41" s="164"/>
      <c r="S41" s="164"/>
    </row>
    <row r="42" spans="2:21" x14ac:dyDescent="0.2">
      <c r="B42" s="170" t="s">
        <v>224</v>
      </c>
      <c r="C42" s="190">
        <f>C38+(1-C34)*C37</f>
        <v>9991.2307089506521</v>
      </c>
      <c r="D42" s="190">
        <f t="shared" ref="D42:M42" si="7">D38+(1-D34)*D37</f>
        <v>4923.1939396132711</v>
      </c>
      <c r="E42" s="190">
        <f t="shared" si="7"/>
        <v>65490.762604136078</v>
      </c>
      <c r="F42" s="190">
        <f t="shared" si="7"/>
        <v>1798.029721558481</v>
      </c>
      <c r="G42" s="190">
        <f t="shared" si="7"/>
        <v>9732.5171778749864</v>
      </c>
      <c r="H42" s="190">
        <f t="shared" si="7"/>
        <v>10403.45070745251</v>
      </c>
      <c r="I42" s="190">
        <f t="shared" si="7"/>
        <v>116312.764588074</v>
      </c>
      <c r="J42" s="190">
        <f t="shared" si="7"/>
        <v>11595.516900576669</v>
      </c>
      <c r="K42" s="190">
        <f t="shared" si="7"/>
        <v>6400.1860292534548</v>
      </c>
      <c r="L42" s="190">
        <f t="shared" si="7"/>
        <v>1722.0988743964497</v>
      </c>
      <c r="M42" s="190">
        <f t="shared" si="7"/>
        <v>151898.83135110978</v>
      </c>
      <c r="N42" s="190"/>
      <c r="O42" s="163"/>
      <c r="P42" s="164"/>
      <c r="Q42" s="164"/>
      <c r="R42" s="164"/>
      <c r="S42" s="164"/>
    </row>
    <row r="43" spans="2:21" x14ac:dyDescent="0.2"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  <c r="Q43" s="164"/>
      <c r="R43" s="164"/>
      <c r="S43" s="164"/>
    </row>
    <row r="44" spans="2:21" x14ac:dyDescent="0.2">
      <c r="B44" s="165" t="s">
        <v>225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</row>
    <row r="45" spans="2:21" x14ac:dyDescent="0.2">
      <c r="O45" s="178"/>
      <c r="P45" s="159"/>
      <c r="Q45" s="159"/>
      <c r="R45" s="159"/>
      <c r="S45" s="159"/>
    </row>
    <row r="46" spans="2:21" x14ac:dyDescent="0.2">
      <c r="B46" s="170" t="s">
        <v>205</v>
      </c>
      <c r="C46" s="191">
        <f t="shared" ref="C46:N46" si="8">C7</f>
        <v>3466</v>
      </c>
      <c r="D46" s="191">
        <f t="shared" si="8"/>
        <v>10150.333333333334</v>
      </c>
      <c r="E46" s="191">
        <f t="shared" si="8"/>
        <v>204736.37196409717</v>
      </c>
      <c r="F46" s="191">
        <f t="shared" si="8"/>
        <v>4425.6023799999994</v>
      </c>
      <c r="G46" s="191">
        <f t="shared" si="8"/>
        <v>3170</v>
      </c>
      <c r="H46" s="191">
        <f t="shared" si="8"/>
        <v>12208.683525410528</v>
      </c>
      <c r="I46" s="191">
        <f t="shared" si="8"/>
        <v>198785</v>
      </c>
      <c r="J46" s="191">
        <f t="shared" si="8"/>
        <v>10236.420749999999</v>
      </c>
      <c r="K46" s="191">
        <f t="shared" si="8"/>
        <v>3889</v>
      </c>
      <c r="L46" s="191">
        <f t="shared" si="8"/>
        <v>3501.3250298706066</v>
      </c>
      <c r="M46" s="191">
        <f t="shared" si="8"/>
        <v>100698.31917857502</v>
      </c>
      <c r="N46" s="191">
        <f t="shared" si="8"/>
        <v>0</v>
      </c>
      <c r="O46" s="178"/>
      <c r="P46" s="159"/>
      <c r="Q46" s="159"/>
      <c r="R46" s="159"/>
      <c r="S46" s="159"/>
    </row>
    <row r="47" spans="2:21" x14ac:dyDescent="0.2">
      <c r="B47" s="170" t="s">
        <v>219</v>
      </c>
      <c r="C47" s="191">
        <f t="shared" ref="C47:N47" si="9">C41</f>
        <v>113242.76929104935</v>
      </c>
      <c r="D47" s="191">
        <f t="shared" si="9"/>
        <v>161150.55606038673</v>
      </c>
      <c r="E47" s="191">
        <f t="shared" si="9"/>
        <v>1446169.4481161209</v>
      </c>
      <c r="F47" s="191">
        <f t="shared" si="9"/>
        <v>48765.396478441515</v>
      </c>
      <c r="G47" s="191">
        <f t="shared" si="9"/>
        <v>125926.632822125</v>
      </c>
      <c r="H47" s="191">
        <f t="shared" si="9"/>
        <v>154249.71955544603</v>
      </c>
      <c r="I47" s="191">
        <f t="shared" si="9"/>
        <v>1730243.6354119258</v>
      </c>
      <c r="J47" s="191">
        <f t="shared" si="9"/>
        <v>163616.39470942333</v>
      </c>
      <c r="K47" s="191">
        <f t="shared" si="9"/>
        <v>84670.813970746545</v>
      </c>
      <c r="L47" s="191">
        <f t="shared" si="9"/>
        <v>40466.243034777486</v>
      </c>
      <c r="M47" s="191">
        <f t="shared" si="9"/>
        <v>1516936.0059451074</v>
      </c>
      <c r="N47" s="191">
        <f t="shared" si="9"/>
        <v>0</v>
      </c>
      <c r="O47" s="178"/>
      <c r="P47" s="159"/>
      <c r="Q47" s="159"/>
      <c r="R47" s="159"/>
      <c r="S47" s="159"/>
    </row>
    <row r="48" spans="2:21" x14ac:dyDescent="0.2">
      <c r="B48" s="170" t="s">
        <v>224</v>
      </c>
      <c r="C48" s="191">
        <f t="shared" ref="C48:N48" si="10">C42</f>
        <v>9991.2307089506521</v>
      </c>
      <c r="D48" s="191">
        <f t="shared" si="10"/>
        <v>4923.1939396132711</v>
      </c>
      <c r="E48" s="191">
        <f t="shared" si="10"/>
        <v>65490.762604136078</v>
      </c>
      <c r="F48" s="191">
        <f t="shared" si="10"/>
        <v>1798.029721558481</v>
      </c>
      <c r="G48" s="191">
        <f t="shared" si="10"/>
        <v>9732.5171778749864</v>
      </c>
      <c r="H48" s="191">
        <f t="shared" si="10"/>
        <v>10403.45070745251</v>
      </c>
      <c r="I48" s="191">
        <f t="shared" si="10"/>
        <v>116312.764588074</v>
      </c>
      <c r="J48" s="191">
        <f t="shared" si="10"/>
        <v>11595.516900576669</v>
      </c>
      <c r="K48" s="191">
        <f t="shared" si="10"/>
        <v>6400.1860292534548</v>
      </c>
      <c r="L48" s="191">
        <f t="shared" si="10"/>
        <v>1722.0988743964497</v>
      </c>
      <c r="M48" s="191">
        <f t="shared" si="10"/>
        <v>151898.83135110978</v>
      </c>
      <c r="N48" s="191">
        <f t="shared" si="10"/>
        <v>0</v>
      </c>
      <c r="O48" s="178"/>
      <c r="P48" s="159"/>
      <c r="Q48" s="159"/>
      <c r="R48" s="159"/>
      <c r="S48" s="159"/>
    </row>
    <row r="49" spans="2:19" x14ac:dyDescent="0.2">
      <c r="B49" s="170" t="s">
        <v>208</v>
      </c>
      <c r="C49" s="191">
        <f t="shared" ref="C49:N49" si="11">C10</f>
        <v>4</v>
      </c>
      <c r="D49" s="191">
        <f t="shared" si="11"/>
        <v>43.916666666666671</v>
      </c>
      <c r="E49" s="191">
        <f t="shared" si="11"/>
        <v>7230.1530656019013</v>
      </c>
      <c r="F49" s="191">
        <f t="shared" si="11"/>
        <v>257.64864</v>
      </c>
      <c r="G49" s="191">
        <f t="shared" si="11"/>
        <v>1</v>
      </c>
      <c r="H49" s="191">
        <f t="shared" si="11"/>
        <v>0</v>
      </c>
      <c r="I49" s="191">
        <f t="shared" si="11"/>
        <v>7690</v>
      </c>
      <c r="J49" s="191">
        <f t="shared" si="11"/>
        <v>2375.4038</v>
      </c>
      <c r="K49" s="191">
        <f t="shared" si="11"/>
        <v>690</v>
      </c>
      <c r="L49" s="191">
        <f t="shared" si="11"/>
        <v>393.68111776177693</v>
      </c>
      <c r="M49" s="191">
        <f t="shared" si="11"/>
        <v>4443.9308670049741</v>
      </c>
      <c r="N49" s="191">
        <f t="shared" si="11"/>
        <v>0</v>
      </c>
      <c r="O49" s="178"/>
      <c r="P49" s="159"/>
      <c r="Q49" s="159"/>
      <c r="R49" s="159"/>
      <c r="S49" s="159"/>
    </row>
    <row r="50" spans="2:19" x14ac:dyDescent="0.2">
      <c r="B50" s="170" t="s">
        <v>209</v>
      </c>
      <c r="C50" s="191">
        <f t="shared" ref="C50:N50" si="12">C11</f>
        <v>2280</v>
      </c>
      <c r="D50" s="191">
        <f t="shared" si="12"/>
        <v>2632.833333333333</v>
      </c>
      <c r="E50" s="191">
        <f t="shared" si="12"/>
        <v>15570.205463800159</v>
      </c>
      <c r="F50" s="191">
        <f t="shared" si="12"/>
        <v>558.81383000000005</v>
      </c>
      <c r="G50" s="191">
        <f t="shared" si="12"/>
        <v>2280</v>
      </c>
      <c r="H50" s="191">
        <f t="shared" si="12"/>
        <v>3316.3736369519947</v>
      </c>
      <c r="I50" s="191">
        <f t="shared" si="12"/>
        <v>20727</v>
      </c>
      <c r="J50" s="191">
        <f t="shared" si="12"/>
        <v>2519.1748699999998</v>
      </c>
      <c r="K50" s="191">
        <f t="shared" si="12"/>
        <v>1118</v>
      </c>
      <c r="L50" s="191">
        <f t="shared" si="12"/>
        <v>388.41251109964924</v>
      </c>
      <c r="M50" s="191">
        <f t="shared" si="12"/>
        <v>18212.669502725206</v>
      </c>
      <c r="N50" s="191">
        <f t="shared" si="12"/>
        <v>0</v>
      </c>
      <c r="O50" s="178"/>
      <c r="P50" s="159"/>
      <c r="Q50" s="159"/>
      <c r="R50" s="159"/>
      <c r="S50" s="159"/>
    </row>
    <row r="51" spans="2:19" x14ac:dyDescent="0.2">
      <c r="B51" s="170" t="s">
        <v>210</v>
      </c>
      <c r="C51" s="191">
        <f t="shared" ref="C51:N51" si="13">C12</f>
        <v>710</v>
      </c>
      <c r="D51" s="191">
        <f t="shared" si="13"/>
        <v>614</v>
      </c>
      <c r="E51" s="191">
        <f t="shared" si="13"/>
        <v>6644.5084477296741</v>
      </c>
      <c r="F51" s="191">
        <f t="shared" si="13"/>
        <v>331.71773999999994</v>
      </c>
      <c r="G51" s="191">
        <f t="shared" si="13"/>
        <v>571</v>
      </c>
      <c r="H51" s="191">
        <f t="shared" si="13"/>
        <v>954.14938022169667</v>
      </c>
      <c r="I51" s="191">
        <f t="shared" si="13"/>
        <v>5360</v>
      </c>
      <c r="J51" s="191">
        <f t="shared" si="13"/>
        <v>1061.4356499999999</v>
      </c>
      <c r="K51" s="191">
        <f t="shared" si="13"/>
        <v>419</v>
      </c>
      <c r="L51" s="191">
        <f t="shared" si="13"/>
        <v>268.36742217917003</v>
      </c>
      <c r="M51" s="191">
        <f t="shared" si="13"/>
        <v>8842.7403580285518</v>
      </c>
      <c r="N51" s="191">
        <f t="shared" si="13"/>
        <v>0</v>
      </c>
      <c r="O51" s="178"/>
      <c r="P51" s="159"/>
      <c r="Q51" s="159"/>
      <c r="R51" s="159"/>
      <c r="S51" s="159"/>
    </row>
    <row r="52" spans="2:19" x14ac:dyDescent="0.2">
      <c r="O52" s="158"/>
      <c r="P52" s="159"/>
      <c r="Q52" s="159"/>
      <c r="R52" s="159"/>
      <c r="S52" s="159"/>
    </row>
    <row r="53" spans="2:19" x14ac:dyDescent="0.2">
      <c r="B53" s="165" t="s">
        <v>226</v>
      </c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</row>
    <row r="54" spans="2:19" x14ac:dyDescent="0.2"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59"/>
      <c r="Q54" s="159"/>
      <c r="R54" s="159"/>
      <c r="S54" s="159"/>
    </row>
    <row r="55" spans="2:19" x14ac:dyDescent="0.2">
      <c r="B55" s="167" t="s">
        <v>226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59"/>
      <c r="Q55" s="159"/>
      <c r="R55" s="159"/>
      <c r="S55" s="159"/>
    </row>
    <row r="56" spans="2:19" x14ac:dyDescent="0.2">
      <c r="B56" s="170" t="s">
        <v>205</v>
      </c>
      <c r="C56" s="194">
        <v>1.5</v>
      </c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59"/>
      <c r="Q56" s="159"/>
      <c r="R56" s="159"/>
      <c r="S56" s="159"/>
    </row>
    <row r="57" spans="2:19" x14ac:dyDescent="0.2">
      <c r="B57" s="170" t="s">
        <v>219</v>
      </c>
      <c r="C57" s="194">
        <v>3</v>
      </c>
      <c r="D57" s="163"/>
      <c r="O57" s="158"/>
      <c r="P57" s="159"/>
      <c r="Q57" s="159"/>
      <c r="R57" s="159"/>
      <c r="S57" s="159"/>
    </row>
    <row r="58" spans="2:19" x14ac:dyDescent="0.2">
      <c r="B58" s="170" t="s">
        <v>224</v>
      </c>
      <c r="C58" s="194">
        <v>6</v>
      </c>
      <c r="D58" s="163"/>
      <c r="O58" s="158"/>
      <c r="P58" s="159"/>
      <c r="Q58" s="159"/>
      <c r="R58" s="159"/>
      <c r="S58" s="159"/>
    </row>
    <row r="59" spans="2:19" x14ac:dyDescent="0.2">
      <c r="B59" s="170" t="s">
        <v>208</v>
      </c>
      <c r="C59" s="194">
        <v>10</v>
      </c>
      <c r="D59" s="163"/>
      <c r="O59" s="158"/>
      <c r="P59" s="159"/>
      <c r="Q59" s="159"/>
      <c r="R59" s="159"/>
      <c r="S59" s="159"/>
    </row>
    <row r="60" spans="2:19" x14ac:dyDescent="0.2">
      <c r="B60" s="170" t="s">
        <v>209</v>
      </c>
      <c r="C60" s="194">
        <v>16</v>
      </c>
      <c r="D60" s="163"/>
      <c r="O60" s="158"/>
      <c r="P60" s="159"/>
      <c r="Q60" s="159"/>
      <c r="R60" s="159"/>
      <c r="S60" s="159"/>
    </row>
    <row r="61" spans="2:19" x14ac:dyDescent="0.2">
      <c r="B61" s="170" t="s">
        <v>210</v>
      </c>
      <c r="C61" s="194">
        <v>25</v>
      </c>
      <c r="D61" s="163"/>
      <c r="O61" s="158"/>
      <c r="P61" s="159"/>
      <c r="Q61" s="159"/>
      <c r="R61" s="159"/>
      <c r="S61" s="159"/>
    </row>
    <row r="62" spans="2:19" x14ac:dyDescent="0.2">
      <c r="B62" s="170" t="s">
        <v>211</v>
      </c>
      <c r="C62" s="194">
        <v>40</v>
      </c>
      <c r="D62" s="163"/>
      <c r="O62" s="158"/>
      <c r="P62" s="159"/>
      <c r="Q62" s="159"/>
      <c r="R62" s="159"/>
      <c r="S62" s="159"/>
    </row>
    <row r="63" spans="2:19" x14ac:dyDescent="0.2">
      <c r="B63" s="170" t="s">
        <v>212</v>
      </c>
      <c r="C63" s="194">
        <v>65</v>
      </c>
      <c r="D63" s="163"/>
      <c r="O63" s="158"/>
      <c r="P63" s="159"/>
      <c r="Q63" s="159"/>
      <c r="R63" s="159"/>
      <c r="S63" s="159"/>
    </row>
    <row r="64" spans="2:19" x14ac:dyDescent="0.2">
      <c r="B64" s="170" t="s">
        <v>213</v>
      </c>
      <c r="C64" s="194">
        <v>100</v>
      </c>
      <c r="D64" s="163"/>
      <c r="O64" s="158"/>
      <c r="P64" s="159"/>
      <c r="Q64" s="159"/>
      <c r="R64" s="159"/>
      <c r="S64" s="159"/>
    </row>
    <row r="65" spans="2:19" x14ac:dyDescent="0.2">
      <c r="B65" s="170" t="s">
        <v>214</v>
      </c>
      <c r="C65" s="194">
        <v>160</v>
      </c>
      <c r="D65" s="163"/>
      <c r="O65" s="158"/>
      <c r="P65" s="159"/>
      <c r="Q65" s="159"/>
      <c r="R65" s="159"/>
      <c r="S65" s="159"/>
    </row>
    <row r="66" spans="2:19" x14ac:dyDescent="0.2">
      <c r="B66" s="170" t="s">
        <v>215</v>
      </c>
      <c r="C66" s="195">
        <v>250</v>
      </c>
      <c r="D66" s="163"/>
      <c r="O66" s="158"/>
      <c r="P66" s="159"/>
      <c r="Q66" s="159"/>
      <c r="R66" s="159"/>
      <c r="S66" s="159"/>
    </row>
    <row r="67" spans="2:19" x14ac:dyDescent="0.2">
      <c r="O67" s="178"/>
      <c r="P67" s="159"/>
      <c r="Q67" s="159"/>
      <c r="R67" s="159"/>
      <c r="S67" s="159"/>
    </row>
    <row r="68" spans="2:19" x14ac:dyDescent="0.2">
      <c r="B68" s="165" t="s">
        <v>236</v>
      </c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</row>
    <row r="69" spans="2:19" x14ac:dyDescent="0.2">
      <c r="O69" s="158"/>
      <c r="P69" s="159"/>
      <c r="Q69" s="159"/>
      <c r="R69" s="159"/>
      <c r="S69" s="159"/>
    </row>
    <row r="70" spans="2:19" x14ac:dyDescent="0.2">
      <c r="B70" s="178" t="s">
        <v>19</v>
      </c>
      <c r="O70" s="178"/>
      <c r="P70" s="159"/>
      <c r="Q70" s="159"/>
      <c r="R70" s="159"/>
      <c r="S70" s="159"/>
    </row>
    <row r="71" spans="2:19" x14ac:dyDescent="0.2">
      <c r="B71" s="170" t="s">
        <v>20</v>
      </c>
      <c r="C71" s="196">
        <f t="shared" ref="C71:N71" si="14">SUM(C7:C12)</f>
        <v>129694</v>
      </c>
      <c r="D71" s="196">
        <f t="shared" si="14"/>
        <v>179514.83333333334</v>
      </c>
      <c r="E71" s="196">
        <f t="shared" si="14"/>
        <v>1745841.4496614861</v>
      </c>
      <c r="F71" s="196">
        <f t="shared" si="14"/>
        <v>56137.20878999999</v>
      </c>
      <c r="G71" s="196">
        <f t="shared" si="14"/>
        <v>141681.15</v>
      </c>
      <c r="H71" s="196">
        <f t="shared" si="14"/>
        <v>181132.37680548278</v>
      </c>
      <c r="I71" s="196">
        <f t="shared" si="14"/>
        <v>2079118.4</v>
      </c>
      <c r="J71" s="196">
        <f t="shared" si="14"/>
        <v>191404.34667999999</v>
      </c>
      <c r="K71" s="196">
        <f t="shared" si="14"/>
        <v>97187</v>
      </c>
      <c r="L71" s="196">
        <f t="shared" si="14"/>
        <v>46740.127990085137</v>
      </c>
      <c r="M71" s="196">
        <f t="shared" si="14"/>
        <v>1801032.4972025508</v>
      </c>
      <c r="N71" s="196">
        <f t="shared" si="14"/>
        <v>0</v>
      </c>
      <c r="O71" s="178"/>
      <c r="P71" s="159"/>
      <c r="Q71" s="159"/>
      <c r="R71" s="159"/>
      <c r="S71" s="159"/>
    </row>
    <row r="72" spans="2:19" x14ac:dyDescent="0.2">
      <c r="B72" s="181" t="s">
        <v>21</v>
      </c>
      <c r="C72" s="196">
        <f t="shared" ref="C72:N72" si="15">SUMPRODUCT($C$56:$C$61,C46:C51)</f>
        <v>459144.69212685199</v>
      </c>
      <c r="D72" s="196">
        <f t="shared" si="15"/>
        <v>586130.83181883988</v>
      </c>
      <c r="E72" s="196">
        <f t="shared" si="15"/>
        <v>5526095.0071893884</v>
      </c>
      <c r="F72" s="196">
        <f t="shared" si="15"/>
        <v>183533.22251467541</v>
      </c>
      <c r="G72" s="196">
        <f t="shared" si="15"/>
        <v>491695.00153362495</v>
      </c>
      <c r="H72" s="196">
        <f t="shared" si="15"/>
        <v>620398.60089594335</v>
      </c>
      <c r="I72" s="196">
        <f t="shared" si="15"/>
        <v>6729316.9937642217</v>
      </c>
      <c r="J72" s="196">
        <f t="shared" si="15"/>
        <v>666373.64382672997</v>
      </c>
      <c r="K72" s="196">
        <f t="shared" si="15"/>
        <v>333510.05808776035</v>
      </c>
      <c r="L72" s="196">
        <f t="shared" si="15"/>
        <v>153843.90680520848</v>
      </c>
      <c r="M72" s="196">
        <f t="shared" si="15"/>
        <v>6170159.0143742105</v>
      </c>
      <c r="N72" s="196">
        <f t="shared" si="15"/>
        <v>0</v>
      </c>
      <c r="O72" s="178"/>
      <c r="P72" s="159"/>
      <c r="Q72" s="159"/>
      <c r="R72" s="159"/>
      <c r="S72" s="159"/>
    </row>
    <row r="73" spans="2:19" x14ac:dyDescent="0.2">
      <c r="B73" s="181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78"/>
      <c r="P73" s="159"/>
      <c r="Q73" s="159"/>
      <c r="R73" s="159"/>
      <c r="S73" s="159"/>
    </row>
    <row r="74" spans="2:19" x14ac:dyDescent="0.2">
      <c r="B74" s="178" t="s">
        <v>228</v>
      </c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8"/>
      <c r="P74" s="159"/>
      <c r="Q74" s="159"/>
      <c r="R74" s="159"/>
      <c r="S74" s="159"/>
    </row>
    <row r="75" spans="2:19" x14ac:dyDescent="0.2">
      <c r="B75" s="181" t="s">
        <v>20</v>
      </c>
      <c r="C75" s="196">
        <f t="shared" ref="C75:N75" si="16">SUM(C13:C17)</f>
        <v>517</v>
      </c>
      <c r="D75" s="196">
        <f t="shared" si="16"/>
        <v>670.66666666666674</v>
      </c>
      <c r="E75" s="196">
        <f t="shared" si="16"/>
        <v>8926.915750475313</v>
      </c>
      <c r="F75" s="196">
        <f t="shared" si="16"/>
        <v>384.52136000000002</v>
      </c>
      <c r="G75" s="196">
        <f t="shared" si="16"/>
        <v>625.6</v>
      </c>
      <c r="H75" s="196">
        <f t="shared" si="16"/>
        <v>847.46179129395432</v>
      </c>
      <c r="I75" s="196">
        <f t="shared" si="16"/>
        <v>9807</v>
      </c>
      <c r="J75" s="196">
        <f t="shared" si="16"/>
        <v>1050.4796799999999</v>
      </c>
      <c r="K75" s="196">
        <f t="shared" si="16"/>
        <v>393</v>
      </c>
      <c r="L75" s="196">
        <f t="shared" si="16"/>
        <v>882.65967658153886</v>
      </c>
      <c r="M75" s="196">
        <f t="shared" si="16"/>
        <v>7995.9275576335067</v>
      </c>
      <c r="N75" s="196">
        <f t="shared" si="16"/>
        <v>0</v>
      </c>
      <c r="O75" s="178"/>
      <c r="P75" s="159"/>
      <c r="Q75" s="159"/>
      <c r="R75" s="159"/>
      <c r="S75" s="159"/>
    </row>
    <row r="76" spans="2:19" x14ac:dyDescent="0.2">
      <c r="B76" s="181" t="s">
        <v>21</v>
      </c>
      <c r="C76" s="196">
        <f t="shared" ref="C76:N76" si="17">SUMPRODUCT(C13:C17,$C$62:$C$66)</f>
        <v>35015</v>
      </c>
      <c r="D76" s="196">
        <f t="shared" si="17"/>
        <v>45809.583333333336</v>
      </c>
      <c r="E76" s="196">
        <f t="shared" si="17"/>
        <v>804160.71244720172</v>
      </c>
      <c r="F76" s="196">
        <f t="shared" si="17"/>
        <v>27507.961900000002</v>
      </c>
      <c r="G76" s="196">
        <f t="shared" si="17"/>
        <v>54490</v>
      </c>
      <c r="H76" s="196">
        <f t="shared" si="17"/>
        <v>63448.920811366836</v>
      </c>
      <c r="I76" s="196">
        <f t="shared" si="17"/>
        <v>741665</v>
      </c>
      <c r="J76" s="196">
        <f t="shared" si="17"/>
        <v>69525.726250000007</v>
      </c>
      <c r="K76" s="196">
        <f t="shared" si="17"/>
        <v>26760</v>
      </c>
      <c r="L76" s="196">
        <f t="shared" si="17"/>
        <v>148910.95725320617</v>
      </c>
      <c r="M76" s="196">
        <f t="shared" si="17"/>
        <v>583540.06488684786</v>
      </c>
      <c r="N76" s="196">
        <f t="shared" si="17"/>
        <v>0</v>
      </c>
      <c r="O76" s="178"/>
      <c r="P76" s="159"/>
      <c r="Q76" s="159"/>
      <c r="R76" s="159"/>
      <c r="S76" s="159"/>
    </row>
    <row r="77" spans="2:19" x14ac:dyDescent="0.2">
      <c r="B77" s="181"/>
      <c r="C77" s="197"/>
      <c r="D77" s="197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8"/>
      <c r="P77" s="159"/>
      <c r="Q77" s="159"/>
      <c r="R77" s="159"/>
      <c r="S77" s="159"/>
    </row>
    <row r="78" spans="2:19" x14ac:dyDescent="0.2">
      <c r="B78" s="178" t="s">
        <v>216</v>
      </c>
      <c r="C78" s="197"/>
      <c r="D78" s="197"/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8"/>
      <c r="P78" s="159"/>
      <c r="Q78" s="159"/>
      <c r="R78" s="159"/>
      <c r="S78" s="159"/>
    </row>
    <row r="79" spans="2:19" x14ac:dyDescent="0.2">
      <c r="B79" s="170" t="s">
        <v>20</v>
      </c>
      <c r="C79" s="199">
        <f>C22</f>
        <v>106</v>
      </c>
      <c r="D79" s="199">
        <f t="shared" ref="D79:N79" si="18">D22</f>
        <v>152</v>
      </c>
      <c r="E79" s="199">
        <f t="shared" si="18"/>
        <v>2088</v>
      </c>
      <c r="F79" s="199">
        <f t="shared" si="18"/>
        <v>109.33730909090913</v>
      </c>
      <c r="G79" s="199">
        <f t="shared" si="18"/>
        <v>175</v>
      </c>
      <c r="H79" s="199">
        <f t="shared" si="18"/>
        <v>172.16442543003163</v>
      </c>
      <c r="I79" s="199">
        <f t="shared" si="18"/>
        <v>2629.2666666666669</v>
      </c>
      <c r="J79" s="199">
        <f t="shared" si="18"/>
        <v>333.17878181818031</v>
      </c>
      <c r="K79" s="199">
        <f t="shared" si="18"/>
        <v>80.67</v>
      </c>
      <c r="L79" s="199">
        <f t="shared" si="18"/>
        <v>1353.5484257357973</v>
      </c>
      <c r="M79" s="199">
        <f t="shared" si="18"/>
        <v>3722.1666666666665</v>
      </c>
      <c r="N79" s="199">
        <f t="shared" si="18"/>
        <v>0</v>
      </c>
      <c r="O79" s="178"/>
      <c r="P79" s="159"/>
      <c r="Q79" s="159"/>
      <c r="R79" s="159"/>
      <c r="S79" s="159"/>
    </row>
    <row r="80" spans="2:19" x14ac:dyDescent="0.2">
      <c r="B80" s="181" t="s">
        <v>26</v>
      </c>
      <c r="C80" s="199">
        <f>C25</f>
        <v>33884</v>
      </c>
      <c r="D80" s="199">
        <f t="shared" ref="D80:N80" si="19">D25</f>
        <v>48369</v>
      </c>
      <c r="E80" s="199">
        <f t="shared" si="19"/>
        <v>655657</v>
      </c>
      <c r="F80" s="199">
        <f t="shared" si="19"/>
        <v>31514.306928439313</v>
      </c>
      <c r="G80" s="199">
        <f t="shared" si="19"/>
        <v>50663</v>
      </c>
      <c r="H80" s="199">
        <f t="shared" si="19"/>
        <v>55830</v>
      </c>
      <c r="I80" s="199">
        <f t="shared" si="19"/>
        <v>697103.15</v>
      </c>
      <c r="J80" s="199">
        <f t="shared" si="19"/>
        <v>87282.403137081594</v>
      </c>
      <c r="K80" s="199">
        <f t="shared" si="19"/>
        <v>28703</v>
      </c>
      <c r="L80" s="199">
        <f t="shared" si="19"/>
        <v>343602.85324779456</v>
      </c>
      <c r="M80" s="199">
        <f t="shared" si="19"/>
        <v>697166</v>
      </c>
      <c r="N80" s="199">
        <f t="shared" si="19"/>
        <v>0</v>
      </c>
      <c r="O80" s="178"/>
      <c r="P80" s="159"/>
      <c r="Q80" s="159"/>
      <c r="R80" s="159"/>
      <c r="S80" s="159"/>
    </row>
    <row r="81" spans="2:19" x14ac:dyDescent="0.2">
      <c r="O81" s="158"/>
      <c r="P81" s="159"/>
      <c r="Q81" s="159"/>
      <c r="R81" s="159"/>
      <c r="S81" s="159"/>
    </row>
    <row r="82" spans="2:19" x14ac:dyDescent="0.2">
      <c r="B82" s="165" t="s">
        <v>229</v>
      </c>
      <c r="C82" s="165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</row>
    <row r="83" spans="2:19" x14ac:dyDescent="0.2">
      <c r="B83" s="158" t="s">
        <v>246</v>
      </c>
      <c r="D83" s="201"/>
      <c r="O83" s="158"/>
      <c r="P83" s="159"/>
      <c r="Q83" s="159"/>
      <c r="R83" s="159"/>
      <c r="S83" s="159"/>
    </row>
    <row r="84" spans="2:19" x14ac:dyDescent="0.2">
      <c r="D84" s="201"/>
      <c r="O84" s="158"/>
      <c r="P84" s="159"/>
      <c r="Q84" s="159"/>
      <c r="R84" s="159"/>
      <c r="S84" s="159"/>
    </row>
    <row r="85" spans="2:19" x14ac:dyDescent="0.2">
      <c r="B85" s="178" t="s">
        <v>19</v>
      </c>
      <c r="C85" s="201"/>
      <c r="O85" s="158"/>
      <c r="P85" s="159"/>
      <c r="Q85" s="159"/>
      <c r="R85" s="159"/>
      <c r="S85" s="159"/>
    </row>
    <row r="86" spans="2:19" x14ac:dyDescent="0.2">
      <c r="B86" s="170" t="s">
        <v>20</v>
      </c>
      <c r="C86" s="202">
        <v>18.000000000000004</v>
      </c>
      <c r="O86" s="158"/>
      <c r="P86" s="159"/>
      <c r="Q86" s="159"/>
      <c r="R86" s="159"/>
      <c r="S86" s="159"/>
    </row>
    <row r="87" spans="2:19" x14ac:dyDescent="0.2">
      <c r="B87" s="181" t="s">
        <v>21</v>
      </c>
      <c r="C87" s="202">
        <v>22.902744428034044</v>
      </c>
      <c r="O87" s="158"/>
      <c r="P87" s="159"/>
      <c r="Q87" s="159"/>
      <c r="R87" s="159"/>
      <c r="S87" s="159"/>
    </row>
    <row r="88" spans="2:19" x14ac:dyDescent="0.2">
      <c r="B88" s="181"/>
      <c r="C88" s="203"/>
      <c r="O88" s="158"/>
      <c r="P88" s="159"/>
      <c r="Q88" s="159"/>
      <c r="R88" s="159"/>
      <c r="S88" s="159"/>
    </row>
    <row r="89" spans="2:19" x14ac:dyDescent="0.2">
      <c r="B89" s="175" t="s">
        <v>230</v>
      </c>
      <c r="C89" s="203"/>
      <c r="O89" s="158"/>
      <c r="P89" s="159"/>
      <c r="Q89" s="159"/>
      <c r="R89" s="159"/>
      <c r="S89" s="159"/>
    </row>
    <row r="90" spans="2:19" x14ac:dyDescent="0.2">
      <c r="B90" s="170" t="s">
        <v>20</v>
      </c>
      <c r="C90" s="202">
        <v>18.000000000000004</v>
      </c>
      <c r="O90" s="158"/>
      <c r="P90" s="159"/>
      <c r="Q90" s="159"/>
      <c r="R90" s="159"/>
      <c r="S90" s="159"/>
    </row>
    <row r="91" spans="2:19" x14ac:dyDescent="0.2">
      <c r="B91" s="181" t="s">
        <v>21</v>
      </c>
      <c r="C91" s="202">
        <v>22.649571571522564</v>
      </c>
      <c r="O91" s="158"/>
      <c r="P91" s="159"/>
      <c r="Q91" s="159"/>
      <c r="R91" s="159"/>
      <c r="S91" s="159"/>
    </row>
    <row r="92" spans="2:19" x14ac:dyDescent="0.2">
      <c r="B92" s="181"/>
      <c r="C92" s="204"/>
      <c r="O92" s="158"/>
      <c r="P92" s="159"/>
      <c r="Q92" s="159"/>
      <c r="R92" s="159"/>
      <c r="S92" s="159"/>
    </row>
    <row r="93" spans="2:19" x14ac:dyDescent="0.2">
      <c r="B93" s="178" t="s">
        <v>231</v>
      </c>
      <c r="C93" s="204"/>
      <c r="O93" s="158"/>
      <c r="P93" s="159"/>
      <c r="Q93" s="159"/>
      <c r="R93" s="159"/>
      <c r="S93" s="159"/>
    </row>
    <row r="94" spans="2:19" x14ac:dyDescent="0.2">
      <c r="B94" s="170" t="s">
        <v>20</v>
      </c>
      <c r="C94" s="202">
        <v>663.22141632956004</v>
      </c>
      <c r="O94" s="158"/>
      <c r="P94" s="159"/>
      <c r="Q94" s="159"/>
      <c r="R94" s="159"/>
      <c r="S94" s="159"/>
    </row>
    <row r="95" spans="2:19" x14ac:dyDescent="0.2">
      <c r="B95" s="181" t="s">
        <v>120</v>
      </c>
      <c r="C95" s="202">
        <v>20.863485800160866</v>
      </c>
      <c r="O95" s="158"/>
      <c r="P95" s="159"/>
      <c r="Q95" s="159"/>
      <c r="R95" s="159"/>
      <c r="S95" s="159"/>
    </row>
    <row r="96" spans="2:19" x14ac:dyDescent="0.2">
      <c r="D96" s="201"/>
      <c r="O96" s="158"/>
      <c r="P96" s="159"/>
      <c r="Q96" s="159"/>
      <c r="R96" s="159"/>
      <c r="S96" s="159"/>
    </row>
    <row r="97" spans="2:19" x14ac:dyDescent="0.2">
      <c r="B97" s="165" t="s">
        <v>232</v>
      </c>
      <c r="C97" s="165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</row>
    <row r="98" spans="2:19" x14ac:dyDescent="0.2">
      <c r="D98" s="201"/>
      <c r="O98" s="158"/>
      <c r="P98" s="159"/>
      <c r="Q98" s="159"/>
      <c r="R98" s="159"/>
      <c r="S98" s="159"/>
    </row>
    <row r="99" spans="2:19" x14ac:dyDescent="0.2">
      <c r="B99" s="178" t="s">
        <v>19</v>
      </c>
      <c r="D99" s="201"/>
      <c r="O99" s="178" t="s">
        <v>65</v>
      </c>
      <c r="P99" s="159"/>
      <c r="Q99" s="159"/>
      <c r="R99" s="159"/>
      <c r="S99" s="159"/>
    </row>
    <row r="100" spans="2:19" x14ac:dyDescent="0.2">
      <c r="B100" s="170" t="s">
        <v>20</v>
      </c>
      <c r="C100" s="205">
        <f>$C86*C71</f>
        <v>2334492.0000000005</v>
      </c>
      <c r="D100" s="205">
        <f t="shared" ref="D100:N100" si="20">$C86*D71</f>
        <v>3231267.0000000009</v>
      </c>
      <c r="E100" s="205">
        <f t="shared" si="20"/>
        <v>31425146.093906756</v>
      </c>
      <c r="F100" s="205">
        <f t="shared" si="20"/>
        <v>1010469.75822</v>
      </c>
      <c r="G100" s="205">
        <f t="shared" si="20"/>
        <v>2550260.7000000002</v>
      </c>
      <c r="H100" s="205">
        <f t="shared" si="20"/>
        <v>3260382.7824986908</v>
      </c>
      <c r="I100" s="205">
        <f t="shared" si="20"/>
        <v>37424131.200000003</v>
      </c>
      <c r="J100" s="205">
        <f t="shared" si="20"/>
        <v>3445278.2402400007</v>
      </c>
      <c r="K100" s="205">
        <f t="shared" si="20"/>
        <v>1749366.0000000002</v>
      </c>
      <c r="L100" s="205">
        <f t="shared" si="20"/>
        <v>841322.30382153264</v>
      </c>
      <c r="M100" s="205">
        <f t="shared" si="20"/>
        <v>32418584.949645922</v>
      </c>
      <c r="N100" s="205">
        <f t="shared" si="20"/>
        <v>0</v>
      </c>
      <c r="O100" s="205">
        <f>SUM(C100:N100)</f>
        <v>119690701.02833292</v>
      </c>
      <c r="P100" s="159"/>
      <c r="Q100" s="159"/>
      <c r="R100" s="159"/>
      <c r="S100" s="159"/>
    </row>
    <row r="101" spans="2:19" x14ac:dyDescent="0.2">
      <c r="B101" s="181" t="s">
        <v>21</v>
      </c>
      <c r="C101" s="205">
        <f t="shared" ref="C101:N109" si="21">$C87*C72</f>
        <v>10515673.539269665</v>
      </c>
      <c r="D101" s="205">
        <f t="shared" si="21"/>
        <v>13424004.642537894</v>
      </c>
      <c r="E101" s="205">
        <f t="shared" si="21"/>
        <v>126562741.63469352</v>
      </c>
      <c r="F101" s="205">
        <f t="shared" si="21"/>
        <v>4203414.4893071149</v>
      </c>
      <c r="G101" s="205">
        <f t="shared" si="21"/>
        <v>11261164.956666419</v>
      </c>
      <c r="H101" s="205">
        <f t="shared" si="21"/>
        <v>14208830.599829683</v>
      </c>
      <c r="I101" s="205">
        <f t="shared" si="21"/>
        <v>154119827.28340834</v>
      </c>
      <c r="J101" s="205">
        <f t="shared" si="21"/>
        <v>15261785.258141382</v>
      </c>
      <c r="K101" s="205">
        <f t="shared" si="21"/>
        <v>7638295.6245627636</v>
      </c>
      <c r="L101" s="205">
        <f t="shared" si="21"/>
        <v>3523447.6793699772</v>
      </c>
      <c r="M101" s="205">
        <f t="shared" si="21"/>
        <v>141313574.98654297</v>
      </c>
      <c r="N101" s="205">
        <f t="shared" si="21"/>
        <v>0</v>
      </c>
      <c r="O101" s="205">
        <f>SUM(C101:N101)</f>
        <v>502032760.69432974</v>
      </c>
      <c r="P101" s="159"/>
      <c r="Q101" s="159"/>
      <c r="R101" s="159"/>
      <c r="S101" s="159"/>
    </row>
    <row r="102" spans="2:19" x14ac:dyDescent="0.2">
      <c r="B102" s="181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58"/>
      <c r="P102" s="159"/>
      <c r="Q102" s="159"/>
      <c r="R102" s="159"/>
      <c r="S102" s="159"/>
    </row>
    <row r="103" spans="2:19" x14ac:dyDescent="0.2">
      <c r="B103" s="175" t="s">
        <v>230</v>
      </c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58"/>
      <c r="P103" s="159"/>
      <c r="Q103" s="159"/>
      <c r="R103" s="159"/>
      <c r="S103" s="159"/>
    </row>
    <row r="104" spans="2:19" x14ac:dyDescent="0.2">
      <c r="B104" s="170" t="s">
        <v>20</v>
      </c>
      <c r="C104" s="205">
        <f t="shared" si="21"/>
        <v>9306.0000000000018</v>
      </c>
      <c r="D104" s="205">
        <f t="shared" si="21"/>
        <v>12072.000000000004</v>
      </c>
      <c r="E104" s="205">
        <f t="shared" si="21"/>
        <v>160684.48350855566</v>
      </c>
      <c r="F104" s="205">
        <f t="shared" si="21"/>
        <v>6921.3844800000015</v>
      </c>
      <c r="G104" s="205">
        <f t="shared" si="21"/>
        <v>11260.800000000003</v>
      </c>
      <c r="H104" s="205">
        <f t="shared" si="21"/>
        <v>15254.31224329118</v>
      </c>
      <c r="I104" s="205">
        <f t="shared" si="21"/>
        <v>176526.00000000003</v>
      </c>
      <c r="J104" s="205">
        <f t="shared" si="21"/>
        <v>18908.634240000003</v>
      </c>
      <c r="K104" s="205">
        <f t="shared" si="21"/>
        <v>7074.0000000000018</v>
      </c>
      <c r="L104" s="205">
        <f t="shared" si="21"/>
        <v>15887.874178467702</v>
      </c>
      <c r="M104" s="205">
        <f t="shared" si="21"/>
        <v>143926.69603740316</v>
      </c>
      <c r="N104" s="205">
        <f t="shared" si="21"/>
        <v>0</v>
      </c>
      <c r="O104" s="205">
        <f>SUM(C104:N104)</f>
        <v>577822.18468771782</v>
      </c>
      <c r="P104" s="159"/>
      <c r="Q104" s="159"/>
      <c r="R104" s="159"/>
      <c r="S104" s="159"/>
    </row>
    <row r="105" spans="2:19" x14ac:dyDescent="0.2">
      <c r="B105" s="181" t="s">
        <v>21</v>
      </c>
      <c r="C105" s="205">
        <f t="shared" si="21"/>
        <v>793074.74857686262</v>
      </c>
      <c r="D105" s="205">
        <f t="shared" si="21"/>
        <v>1037567.4363699605</v>
      </c>
      <c r="E105" s="205">
        <f t="shared" si="21"/>
        <v>18213895.61157947</v>
      </c>
      <c r="F105" s="205">
        <f t="shared" si="21"/>
        <v>623043.55184076587</v>
      </c>
      <c r="G105" s="205">
        <f t="shared" si="21"/>
        <v>1234175.1549322645</v>
      </c>
      <c r="H105" s="205">
        <f t="shared" si="21"/>
        <v>1437090.8730529207</v>
      </c>
      <c r="I105" s="205">
        <f t="shared" si="21"/>
        <v>16798394.499593284</v>
      </c>
      <c r="J105" s="205">
        <f t="shared" si="21"/>
        <v>1574727.9127614603</v>
      </c>
      <c r="K105" s="205">
        <f t="shared" si="21"/>
        <v>606102.53525394388</v>
      </c>
      <c r="L105" s="205">
        <f t="shared" si="21"/>
        <v>3372769.3840904301</v>
      </c>
      <c r="M105" s="205">
        <f t="shared" si="21"/>
        <v>13216932.464505581</v>
      </c>
      <c r="N105" s="205">
        <f t="shared" si="21"/>
        <v>0</v>
      </c>
      <c r="O105" s="205">
        <f>SUM(C105:N105)</f>
        <v>58907774.172556944</v>
      </c>
      <c r="P105" s="159"/>
      <c r="Q105" s="159"/>
      <c r="R105" s="159"/>
      <c r="S105" s="159"/>
    </row>
    <row r="106" spans="2:19" x14ac:dyDescent="0.2">
      <c r="B106" s="181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58"/>
      <c r="P106" s="159"/>
      <c r="Q106" s="159"/>
      <c r="R106" s="159"/>
      <c r="S106" s="159"/>
    </row>
    <row r="107" spans="2:19" x14ac:dyDescent="0.2">
      <c r="B107" s="178" t="s">
        <v>231</v>
      </c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58"/>
      <c r="P107" s="159"/>
      <c r="Q107" s="159"/>
      <c r="R107" s="159"/>
      <c r="S107" s="159"/>
    </row>
    <row r="108" spans="2:19" x14ac:dyDescent="0.2">
      <c r="B108" s="170" t="s">
        <v>20</v>
      </c>
      <c r="C108" s="205">
        <f t="shared" si="21"/>
        <v>70301.470130933361</v>
      </c>
      <c r="D108" s="205">
        <f t="shared" si="21"/>
        <v>100809.65528209312</v>
      </c>
      <c r="E108" s="205">
        <f t="shared" si="21"/>
        <v>1384806.3172961213</v>
      </c>
      <c r="F108" s="205">
        <f t="shared" si="21"/>
        <v>72514.844992935628</v>
      </c>
      <c r="G108" s="205">
        <f t="shared" si="21"/>
        <v>116063.74785767301</v>
      </c>
      <c r="H108" s="205">
        <f t="shared" si="21"/>
        <v>114183.1340752705</v>
      </c>
      <c r="I108" s="205">
        <f t="shared" si="21"/>
        <v>1743785.9625747681</v>
      </c>
      <c r="J108" s="205">
        <f t="shared" si="21"/>
        <v>220971.30356841101</v>
      </c>
      <c r="K108" s="205">
        <f t="shared" si="21"/>
        <v>53502.071655305612</v>
      </c>
      <c r="L108" s="205">
        <f t="shared" si="21"/>
        <v>897702.30398714182</v>
      </c>
      <c r="M108" s="205">
        <f t="shared" si="21"/>
        <v>2468620.6484813439</v>
      </c>
      <c r="N108" s="205">
        <f t="shared" si="21"/>
        <v>0</v>
      </c>
      <c r="O108" s="205">
        <f>SUM(C108:N108)</f>
        <v>7243261.4599019978</v>
      </c>
      <c r="P108" s="159"/>
      <c r="Q108" s="159"/>
      <c r="R108" s="159"/>
      <c r="S108" s="159"/>
    </row>
    <row r="109" spans="2:19" x14ac:dyDescent="0.2">
      <c r="B109" s="181" t="s">
        <v>120</v>
      </c>
      <c r="C109" s="205">
        <f t="shared" si="21"/>
        <v>706938.3528526508</v>
      </c>
      <c r="D109" s="205">
        <f t="shared" si="21"/>
        <v>1009145.9446679809</v>
      </c>
      <c r="E109" s="205">
        <f t="shared" si="21"/>
        <v>13679290.509276073</v>
      </c>
      <c r="F109" s="205">
        <f t="shared" si="21"/>
        <v>657498.29510340479</v>
      </c>
      <c r="G109" s="205">
        <f t="shared" si="21"/>
        <v>1057006.7810935499</v>
      </c>
      <c r="H109" s="205">
        <f t="shared" si="21"/>
        <v>1164808.4122229812</v>
      </c>
      <c r="I109" s="205">
        <f t="shared" si="21"/>
        <v>14544001.67127241</v>
      </c>
      <c r="J109" s="205">
        <f t="shared" si="21"/>
        <v>1821015.178454418</v>
      </c>
      <c r="K109" s="205">
        <f t="shared" si="21"/>
        <v>598844.63292201736</v>
      </c>
      <c r="L109" s="205">
        <f t="shared" si="21"/>
        <v>7168753.2496301197</v>
      </c>
      <c r="M109" s="205">
        <f t="shared" si="21"/>
        <v>14545312.941354951</v>
      </c>
      <c r="N109" s="205">
        <f t="shared" si="21"/>
        <v>0</v>
      </c>
      <c r="O109" s="205">
        <f>SUM(C109:N109)</f>
        <v>56952615.96885056</v>
      </c>
      <c r="P109" s="159"/>
      <c r="Q109" s="159"/>
      <c r="R109" s="159"/>
      <c r="S109" s="159"/>
    </row>
    <row r="110" spans="2:19" x14ac:dyDescent="0.2">
      <c r="P110" s="159"/>
      <c r="Q110" s="159"/>
      <c r="R110" s="159"/>
      <c r="S110" s="159"/>
    </row>
    <row r="111" spans="2:19" x14ac:dyDescent="0.2">
      <c r="B111" s="178" t="s">
        <v>65</v>
      </c>
      <c r="C111" s="206">
        <f>SUM(C100:C109)</f>
        <v>14429786.110830111</v>
      </c>
      <c r="D111" s="206">
        <f t="shared" ref="D111:N111" si="22">SUM(D100:D109)</f>
        <v>18814866.678857926</v>
      </c>
      <c r="E111" s="206">
        <f t="shared" si="22"/>
        <v>191426564.65026048</v>
      </c>
      <c r="F111" s="206">
        <f t="shared" si="22"/>
        <v>6573862.3239442203</v>
      </c>
      <c r="G111" s="206">
        <f t="shared" si="22"/>
        <v>16229932.140549909</v>
      </c>
      <c r="H111" s="206">
        <f t="shared" si="22"/>
        <v>20200550.113922834</v>
      </c>
      <c r="I111" s="206">
        <f t="shared" si="22"/>
        <v>224806666.6168488</v>
      </c>
      <c r="J111" s="206">
        <f t="shared" si="22"/>
        <v>22342686.527405676</v>
      </c>
      <c r="K111" s="206">
        <f t="shared" si="22"/>
        <v>10653184.864394031</v>
      </c>
      <c r="L111" s="206">
        <f t="shared" si="22"/>
        <v>15819882.795077669</v>
      </c>
      <c r="M111" s="206">
        <f t="shared" si="22"/>
        <v>204106952.68656817</v>
      </c>
      <c r="N111" s="206">
        <f t="shared" si="22"/>
        <v>0</v>
      </c>
      <c r="O111" s="206">
        <f>SUM(C111:N111)</f>
        <v>745404935.50865972</v>
      </c>
      <c r="P111" s="159"/>
      <c r="Q111" s="159"/>
      <c r="R111" s="159"/>
      <c r="S111" s="159"/>
    </row>
    <row r="112" spans="2:19" x14ac:dyDescent="0.2">
      <c r="P112" s="179"/>
      <c r="Q112" s="179"/>
      <c r="R112" s="179"/>
      <c r="S112" s="179"/>
    </row>
    <row r="113" spans="16:19" x14ac:dyDescent="0.2">
      <c r="P113" s="179"/>
      <c r="Q113" s="179"/>
      <c r="R113" s="179"/>
      <c r="S113" s="179"/>
    </row>
    <row r="114" spans="16:19" x14ac:dyDescent="0.2">
      <c r="P114" s="179"/>
      <c r="Q114" s="179"/>
      <c r="R114" s="179"/>
      <c r="S114" s="17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7"/>
  <dimension ref="B2:R75"/>
  <sheetViews>
    <sheetView showGridLines="0" zoomScale="85" zoomScaleNormal="85" workbookViewId="0">
      <pane ySplit="2" topLeftCell="A3" activePane="bottomLeft" state="frozen"/>
      <selection activeCell="B8" sqref="B8"/>
      <selection pane="bottomLeft" activeCell="A3" sqref="A3"/>
    </sheetView>
  </sheetViews>
  <sheetFormatPr defaultRowHeight="12.75" x14ac:dyDescent="0.2"/>
  <cols>
    <col min="1" max="1" width="2.7109375" style="1" customWidth="1"/>
    <col min="2" max="2" width="41.42578125" style="1" customWidth="1"/>
    <col min="3" max="3" width="9.85546875" style="1" bestFit="1" customWidth="1"/>
    <col min="4" max="9" width="9.7109375" style="1" customWidth="1"/>
    <col min="10" max="10" width="10.7109375" style="1" bestFit="1" customWidth="1"/>
    <col min="11" max="18" width="9.7109375" style="1" customWidth="1"/>
    <col min="19" max="16384" width="9.140625" style="1"/>
  </cols>
  <sheetData>
    <row r="2" spans="2:18" s="4" customFormat="1" ht="190.5" x14ac:dyDescent="0.3">
      <c r="B2" s="18" t="s">
        <v>82</v>
      </c>
      <c r="C2" s="18"/>
      <c r="D2" s="19" t="s">
        <v>9</v>
      </c>
      <c r="E2" s="19" t="s">
        <v>5</v>
      </c>
      <c r="F2" s="19" t="s">
        <v>108</v>
      </c>
      <c r="G2" s="19" t="s">
        <v>4</v>
      </c>
      <c r="H2" s="19" t="s">
        <v>7</v>
      </c>
      <c r="I2" s="19" t="s">
        <v>10</v>
      </c>
      <c r="J2" s="19" t="s">
        <v>8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16</v>
      </c>
      <c r="P2" s="19" t="s">
        <v>15</v>
      </c>
      <c r="Q2" s="26" t="s">
        <v>48</v>
      </c>
      <c r="R2" s="26" t="s">
        <v>6</v>
      </c>
    </row>
    <row r="4" spans="2:18" s="21" customFormat="1" x14ac:dyDescent="0.2">
      <c r="B4" s="20" t="s">
        <v>122</v>
      </c>
      <c r="Q4" s="27"/>
      <c r="R4" s="27"/>
    </row>
    <row r="5" spans="2:18" x14ac:dyDescent="0.2">
      <c r="Q5" s="51"/>
      <c r="R5" s="51"/>
    </row>
    <row r="6" spans="2:18" x14ac:dyDescent="0.2">
      <c r="B6" s="22" t="s">
        <v>19</v>
      </c>
      <c r="Q6" s="51"/>
      <c r="R6" s="51"/>
    </row>
    <row r="7" spans="2:18" x14ac:dyDescent="0.2">
      <c r="B7" s="16" t="s">
        <v>20</v>
      </c>
      <c r="D7" s="74">
        <v>25.8</v>
      </c>
      <c r="E7" s="74">
        <v>18</v>
      </c>
      <c r="F7" s="74">
        <v>18</v>
      </c>
      <c r="G7" s="74">
        <v>18</v>
      </c>
      <c r="H7" s="74">
        <v>28.1</v>
      </c>
      <c r="I7" s="74">
        <v>18</v>
      </c>
      <c r="J7" s="74">
        <v>18</v>
      </c>
      <c r="K7" s="74">
        <v>18</v>
      </c>
      <c r="L7" s="74">
        <v>18</v>
      </c>
      <c r="M7" s="74">
        <v>18</v>
      </c>
      <c r="N7" s="74">
        <v>18</v>
      </c>
      <c r="O7" s="74">
        <v>18</v>
      </c>
      <c r="P7" s="34"/>
      <c r="Q7" s="51"/>
      <c r="R7" s="51"/>
    </row>
    <row r="8" spans="2:18" x14ac:dyDescent="0.2">
      <c r="B8" s="17" t="s">
        <v>21</v>
      </c>
      <c r="D8" s="75">
        <v>15.04</v>
      </c>
      <c r="E8" s="75">
        <v>14.78772</v>
      </c>
      <c r="F8" s="75">
        <v>14.8104</v>
      </c>
      <c r="G8" s="75">
        <v>14.62</v>
      </c>
      <c r="H8" s="75">
        <v>13.5024</v>
      </c>
      <c r="I8" s="75">
        <v>16.190000000000001</v>
      </c>
      <c r="J8" s="75">
        <v>15.36</v>
      </c>
      <c r="K8" s="75">
        <v>16.52</v>
      </c>
      <c r="L8" s="75">
        <v>13.56</v>
      </c>
      <c r="M8" s="75">
        <v>16.715</v>
      </c>
      <c r="N8" s="75">
        <v>11.105</v>
      </c>
      <c r="O8" s="75">
        <v>16.7</v>
      </c>
      <c r="P8" s="34"/>
      <c r="Q8" s="51"/>
      <c r="R8" s="51"/>
    </row>
    <row r="9" spans="2:18" x14ac:dyDescent="0.2">
      <c r="B9" s="17" t="s">
        <v>22</v>
      </c>
      <c r="D9" s="75">
        <v>1.0987E-2</v>
      </c>
      <c r="E9" s="75">
        <v>1.213E-2</v>
      </c>
      <c r="F9" s="75">
        <v>1.26E-2</v>
      </c>
      <c r="G9" s="75">
        <v>1.112E-2</v>
      </c>
      <c r="H9" s="75">
        <v>1.1327E-2</v>
      </c>
      <c r="I9" s="75">
        <v>1.1180000000000001E-2</v>
      </c>
      <c r="J9" s="75">
        <v>1.217E-2</v>
      </c>
      <c r="K9" s="75">
        <v>1.074E-2</v>
      </c>
      <c r="L9" s="75">
        <v>1.4999999999999999E-2</v>
      </c>
      <c r="M9" s="75">
        <v>1.11E-2</v>
      </c>
      <c r="N9" s="75">
        <v>9.7970000000000002E-3</v>
      </c>
      <c r="O9" s="75">
        <v>1.1444514629999999E-2</v>
      </c>
      <c r="P9" s="34"/>
      <c r="Q9" s="51"/>
      <c r="R9" s="51"/>
    </row>
    <row r="10" spans="2:18" x14ac:dyDescent="0.2">
      <c r="Q10" s="51"/>
      <c r="R10" s="51"/>
    </row>
    <row r="11" spans="2:18" x14ac:dyDescent="0.2">
      <c r="B11" s="22" t="s">
        <v>23</v>
      </c>
      <c r="Q11" s="51"/>
      <c r="R11" s="51"/>
    </row>
    <row r="12" spans="2:18" x14ac:dyDescent="0.2">
      <c r="B12" s="24" t="s">
        <v>20</v>
      </c>
      <c r="D12" s="74">
        <v>25.8</v>
      </c>
      <c r="E12" s="74">
        <v>541.67999999999995</v>
      </c>
      <c r="F12" s="74">
        <v>800.04</v>
      </c>
      <c r="G12" s="74">
        <v>1165</v>
      </c>
      <c r="H12" s="74">
        <v>1244.2058999999999</v>
      </c>
      <c r="I12" s="74">
        <v>600</v>
      </c>
      <c r="J12" s="74">
        <v>540</v>
      </c>
      <c r="K12" s="74">
        <v>1165</v>
      </c>
      <c r="L12" s="74">
        <v>1458</v>
      </c>
      <c r="M12" s="74">
        <v>687</v>
      </c>
      <c r="N12" s="74">
        <v>60</v>
      </c>
      <c r="O12" s="74">
        <v>1200</v>
      </c>
      <c r="P12" s="34"/>
      <c r="Q12" s="51"/>
      <c r="R12" s="51"/>
    </row>
    <row r="13" spans="2:18" x14ac:dyDescent="0.2">
      <c r="B13" s="25" t="s">
        <v>24</v>
      </c>
      <c r="D13" s="75">
        <v>28.73</v>
      </c>
      <c r="E13" s="75">
        <v>81.710520000000002</v>
      </c>
      <c r="F13" s="75"/>
      <c r="G13" s="75"/>
      <c r="H13" s="75"/>
      <c r="I13" s="75"/>
      <c r="J13" s="75">
        <v>41.915999999999997</v>
      </c>
      <c r="K13" s="75"/>
      <c r="L13" s="75"/>
      <c r="M13" s="75">
        <v>34.56</v>
      </c>
      <c r="N13" s="75"/>
      <c r="O13" s="75"/>
      <c r="P13" s="34"/>
      <c r="Q13" s="51"/>
      <c r="R13" s="51"/>
    </row>
    <row r="14" spans="2:18" x14ac:dyDescent="0.2">
      <c r="B14" s="25" t="s">
        <v>25</v>
      </c>
      <c r="D14" s="75">
        <v>19.489999999999998</v>
      </c>
      <c r="E14" s="75">
        <v>23.215129999999998</v>
      </c>
      <c r="F14" s="75"/>
      <c r="G14" s="75"/>
      <c r="H14" s="75"/>
      <c r="I14" s="75"/>
      <c r="J14" s="75">
        <v>21.288</v>
      </c>
      <c r="K14" s="75"/>
      <c r="L14" s="75"/>
      <c r="M14" s="75">
        <v>23.9</v>
      </c>
      <c r="N14" s="75"/>
      <c r="O14" s="75"/>
      <c r="P14" s="34"/>
      <c r="Q14" s="51"/>
      <c r="R14" s="51"/>
    </row>
    <row r="15" spans="2:18" x14ac:dyDescent="0.2">
      <c r="B15" s="25" t="s">
        <v>26</v>
      </c>
      <c r="D15" s="75"/>
      <c r="E15" s="75"/>
      <c r="F15" s="75">
        <v>26.04</v>
      </c>
      <c r="G15" s="75">
        <v>31.95</v>
      </c>
      <c r="H15" s="75">
        <v>25.950500000000002</v>
      </c>
      <c r="I15" s="75">
        <v>24.49</v>
      </c>
      <c r="J15" s="75"/>
      <c r="K15" s="75">
        <v>19.25</v>
      </c>
      <c r="L15" s="75">
        <v>20.52</v>
      </c>
      <c r="M15" s="75"/>
      <c r="N15" s="75">
        <v>31.265000000000001</v>
      </c>
      <c r="O15" s="75">
        <v>24.6</v>
      </c>
      <c r="P15" s="34"/>
      <c r="Q15" s="51"/>
      <c r="R15" s="51"/>
    </row>
    <row r="16" spans="2:18" x14ac:dyDescent="0.2">
      <c r="B16" s="25" t="s">
        <v>120</v>
      </c>
      <c r="D16" s="124">
        <f>SUMPRODUCT(D13:D14,Rekenvol!C13:C14)/SUM(Rekenvol!C13:C14)</f>
        <v>22.385203635934364</v>
      </c>
      <c r="E16" s="124">
        <f>SUMPRODUCT(E13:E14,Rekenvol!D13:D14)/SUM(Rekenvol!D13:D14)</f>
        <v>37.260602502222497</v>
      </c>
      <c r="F16" s="124">
        <f>F15</f>
        <v>26.04</v>
      </c>
      <c r="G16" s="124">
        <f>G15</f>
        <v>31.95</v>
      </c>
      <c r="H16" s="124">
        <f>H15</f>
        <v>25.950500000000002</v>
      </c>
      <c r="I16" s="124">
        <f>I15</f>
        <v>24.49</v>
      </c>
      <c r="J16" s="124">
        <f>SUMPRODUCT(J13:J14,Rekenvol!I13:I14)/SUM(Rekenvol!I13:I14)</f>
        <v>26.460205720487703</v>
      </c>
      <c r="K16" s="124">
        <f>K15</f>
        <v>19.25</v>
      </c>
      <c r="L16" s="124">
        <f>L15</f>
        <v>20.52</v>
      </c>
      <c r="M16" s="124">
        <f>SUMPRODUCT(M13:M14,Rekenvol!L13:L14)/SUM(Rekenvol!L13:L14)</f>
        <v>27.679262098038532</v>
      </c>
      <c r="N16" s="124">
        <f>N15</f>
        <v>31.265000000000001</v>
      </c>
      <c r="O16" s="124">
        <f>O15</f>
        <v>24.6</v>
      </c>
      <c r="P16" s="35"/>
      <c r="Q16" s="51"/>
      <c r="R16" s="51"/>
    </row>
    <row r="17" spans="2:18" x14ac:dyDescent="0.2">
      <c r="Q17" s="51"/>
      <c r="R17" s="51"/>
    </row>
    <row r="18" spans="2:18" x14ac:dyDescent="0.2">
      <c r="B18" s="69" t="s">
        <v>50</v>
      </c>
      <c r="Q18" s="51"/>
      <c r="R18" s="51"/>
    </row>
    <row r="19" spans="2:18" x14ac:dyDescent="0.2">
      <c r="B19" s="24" t="s">
        <v>20</v>
      </c>
      <c r="D19" s="74"/>
      <c r="E19" s="74">
        <v>2228.5700000000002</v>
      </c>
      <c r="F19" s="74"/>
      <c r="G19" s="74"/>
      <c r="H19" s="74"/>
      <c r="I19" s="74"/>
      <c r="J19" s="74"/>
      <c r="K19" s="74"/>
      <c r="L19" s="74"/>
      <c r="M19" s="74"/>
      <c r="N19" s="74"/>
      <c r="O19" s="74">
        <v>0</v>
      </c>
      <c r="P19" s="74">
        <v>0</v>
      </c>
      <c r="Q19" s="51"/>
      <c r="R19" s="51"/>
    </row>
    <row r="20" spans="2:18" x14ac:dyDescent="0.2">
      <c r="B20" s="25" t="s">
        <v>49</v>
      </c>
      <c r="D20" s="74"/>
      <c r="E20" s="74">
        <v>47.09</v>
      </c>
      <c r="F20" s="74"/>
      <c r="G20" s="74"/>
      <c r="H20" s="74"/>
      <c r="I20" s="74"/>
      <c r="J20" s="74"/>
      <c r="K20" s="74"/>
      <c r="L20" s="74"/>
      <c r="M20" s="74"/>
      <c r="N20" s="74"/>
      <c r="O20" s="74">
        <v>12.47</v>
      </c>
      <c r="P20" s="74">
        <v>21.78</v>
      </c>
      <c r="Q20" s="51"/>
      <c r="R20" s="51"/>
    </row>
    <row r="21" spans="2:18" x14ac:dyDescent="0.2">
      <c r="B21" s="25"/>
      <c r="Q21" s="51"/>
      <c r="R21" s="51"/>
    </row>
    <row r="22" spans="2:18" x14ac:dyDescent="0.2">
      <c r="B22" s="1" t="s">
        <v>132</v>
      </c>
      <c r="D22" s="76">
        <f>SUMPRODUCT(D7:D15,Rekenvol!C24:C32)</f>
        <v>16649182.651051318</v>
      </c>
      <c r="E22" s="76">
        <f>SUMPRODUCT(E7:E15,Rekenvol!D24:D32)</f>
        <v>21063828.444341525</v>
      </c>
      <c r="F22" s="76">
        <f>SUMPRODUCT(F7:F15,Rekenvol!E24:E32)</f>
        <v>216590552.91975442</v>
      </c>
      <c r="G22" s="76">
        <f>SUMPRODUCT(G7:G15,Rekenvol!F24:F32)</f>
        <v>7011941.7974814344</v>
      </c>
      <c r="H22" s="76">
        <f>SUMPRODUCT(H7:H15,Rekenvol!G24:G32)</f>
        <v>18580134.862002384</v>
      </c>
      <c r="I22" s="76">
        <f>SUMPRODUCT(I7:I15,Rekenvol!H24:H32)</f>
        <v>23433339.40390439</v>
      </c>
      <c r="J22" s="76">
        <f>SUMPRODUCT(J7:J15,Rekenvol!I24:I32)</f>
        <v>253383493.8900972</v>
      </c>
      <c r="K22" s="76">
        <f>SUMPRODUCT(K7:K15,Rekenvol!J24:J32)</f>
        <v>25117489.218816206</v>
      </c>
      <c r="L22" s="76">
        <f>SUMPRODUCT(L7:L15,Rekenvol!K24:K32)</f>
        <v>3716552.8536031172</v>
      </c>
      <c r="M22" s="76">
        <f>SUMPRODUCT(M7:M15,Rekenvol!L24:L32)</f>
        <v>12544078.270724315</v>
      </c>
      <c r="N22" s="76">
        <f>SUMPRODUCT(N7:N15,Rekenvol!M24:M32)</f>
        <v>17659697.286909867</v>
      </c>
      <c r="O22" s="76">
        <f>SUMPRODUCT(O7:O15,Rekenvol!N24:N32)</f>
        <v>222881585.95280528</v>
      </c>
      <c r="Q22" s="51"/>
      <c r="R22" s="51"/>
    </row>
    <row r="23" spans="2:18" x14ac:dyDescent="0.2">
      <c r="Q23" s="51"/>
      <c r="R23" s="51"/>
    </row>
    <row r="24" spans="2:18" s="21" customFormat="1" x14ac:dyDescent="0.2">
      <c r="B24" s="20" t="s">
        <v>123</v>
      </c>
      <c r="Q24" s="27"/>
      <c r="R24" s="27"/>
    </row>
    <row r="25" spans="2:18" x14ac:dyDescent="0.2">
      <c r="Q25" s="51"/>
      <c r="R25" s="51"/>
    </row>
    <row r="26" spans="2:18" x14ac:dyDescent="0.2">
      <c r="B26" s="1" t="s">
        <v>73</v>
      </c>
      <c r="D26" s="77">
        <v>1261.9148747416655</v>
      </c>
      <c r="E26" s="77">
        <v>-64970.463464527915</v>
      </c>
      <c r="F26" s="77">
        <v>-490804.17206242931</v>
      </c>
      <c r="G26" s="77">
        <v>-169829.59402123143</v>
      </c>
      <c r="H26" s="77">
        <v>23205.081689644958</v>
      </c>
      <c r="I26" s="77">
        <v>-41758.787674875522</v>
      </c>
      <c r="J26" s="77">
        <v>-1609629.7386407426</v>
      </c>
      <c r="K26" s="77">
        <v>-828111.62807802262</v>
      </c>
      <c r="L26" s="77">
        <v>32756.604827600775</v>
      </c>
      <c r="M26" s="77">
        <v>14849.686822398715</v>
      </c>
      <c r="N26" s="77">
        <v>7793.2678510352362</v>
      </c>
      <c r="O26" s="77">
        <v>-12940626.336277023</v>
      </c>
      <c r="Q26" s="51"/>
      <c r="R26" s="51"/>
    </row>
    <row r="27" spans="2:18" x14ac:dyDescent="0.2">
      <c r="B27" s="1" t="s">
        <v>74</v>
      </c>
      <c r="D27" s="77">
        <v>162638.35074848426</v>
      </c>
      <c r="E27" s="77">
        <v>293070.33525702031</v>
      </c>
      <c r="F27" s="77">
        <v>2917207.2481167391</v>
      </c>
      <c r="G27" s="77">
        <v>206319.76522662988</v>
      </c>
      <c r="H27" s="77">
        <v>250627.57484697225</v>
      </c>
      <c r="I27" s="77">
        <v>226486.52101222717</v>
      </c>
      <c r="J27" s="77">
        <v>3253981.0855268817</v>
      </c>
      <c r="K27" s="77">
        <v>401901.55700449634</v>
      </c>
      <c r="L27" s="77">
        <v>28081.548224118338</v>
      </c>
      <c r="M27" s="77">
        <v>132385.67782387856</v>
      </c>
      <c r="N27" s="77">
        <v>1265480.2546987974</v>
      </c>
      <c r="O27" s="77">
        <v>14550377.466118561</v>
      </c>
      <c r="Q27" s="51"/>
      <c r="R27" s="51"/>
    </row>
    <row r="28" spans="2:18" x14ac:dyDescent="0.2">
      <c r="Q28" s="51"/>
      <c r="R28" s="51"/>
    </row>
    <row r="29" spans="2:18" x14ac:dyDescent="0.2">
      <c r="B29" s="1" t="s">
        <v>75</v>
      </c>
      <c r="D29" s="76">
        <f>SUM(D26,D27)</f>
        <v>163900.26562322592</v>
      </c>
      <c r="E29" s="76">
        <f t="shared" ref="E29:O29" si="0">SUM(E26,E27)</f>
        <v>228099.8717924924</v>
      </c>
      <c r="F29" s="76">
        <f t="shared" si="0"/>
        <v>2426403.07605431</v>
      </c>
      <c r="G29" s="76">
        <f t="shared" si="0"/>
        <v>36490.171205398452</v>
      </c>
      <c r="H29" s="76">
        <f t="shared" si="0"/>
        <v>273832.6565366172</v>
      </c>
      <c r="I29" s="76">
        <f t="shared" si="0"/>
        <v>184727.73333735164</v>
      </c>
      <c r="J29" s="76">
        <f t="shared" si="0"/>
        <v>1644351.3468861391</v>
      </c>
      <c r="K29" s="76">
        <f t="shared" si="0"/>
        <v>-426210.07107352628</v>
      </c>
      <c r="L29" s="76">
        <f t="shared" si="0"/>
        <v>60838.153051719113</v>
      </c>
      <c r="M29" s="76">
        <f t="shared" si="0"/>
        <v>147235.36464627727</v>
      </c>
      <c r="N29" s="76">
        <f t="shared" si="0"/>
        <v>1273273.5225498327</v>
      </c>
      <c r="O29" s="76">
        <f t="shared" si="0"/>
        <v>1609751.1298415381</v>
      </c>
      <c r="Q29" s="51"/>
      <c r="R29" s="51"/>
    </row>
    <row r="30" spans="2:18" x14ac:dyDescent="0.2">
      <c r="B30" s="1" t="s">
        <v>154</v>
      </c>
      <c r="D30" s="76">
        <f>Rekenvol!C24*D7+Rekenvol!C29*D12</f>
        <v>3280599</v>
      </c>
      <c r="E30" s="76">
        <f>Rekenvol!D24*E7+Rekenvol!D29*E12</f>
        <v>3258288</v>
      </c>
      <c r="F30" s="76">
        <f>Rekenvol!E24*F7+Rekenvol!E29*F12</f>
        <v>33694271.82</v>
      </c>
      <c r="G30" s="76">
        <f>Rekenvol!F24*G7+Rekenvol!F29*G12</f>
        <v>1064671</v>
      </c>
      <c r="H30" s="76">
        <f>Rekenvol!G24*H7+Rekenvol!G29*H12</f>
        <v>4187956.9325000006</v>
      </c>
      <c r="I30" s="76">
        <f>Rekenvol!H24*I7+Rekenvol!H29*I12</f>
        <v>3349926</v>
      </c>
      <c r="J30" s="76">
        <f>Rekenvol!I24*J7+Rekenvol!I29*J12</f>
        <v>38164032</v>
      </c>
      <c r="K30" s="76">
        <f>Rekenvol!J24*K7+Rekenvol!J29*K12</f>
        <v>3710164</v>
      </c>
      <c r="L30" s="76">
        <f>Rekenvol!K24*L7+Rekenvol!K29*L12</f>
        <v>654642</v>
      </c>
      <c r="M30" s="76">
        <f>Rekenvol!L24*M7+Rekenvol!L29*M12</f>
        <v>1756800</v>
      </c>
      <c r="N30" s="76">
        <f>Rekenvol!M24*N7+Rekenvol!M29*N12</f>
        <v>913767</v>
      </c>
      <c r="O30" s="76">
        <f>Rekenvol!N24*O7+Rekenvol!N29*O12</f>
        <v>34109881.594566233</v>
      </c>
      <c r="Q30" s="51"/>
      <c r="R30" s="51"/>
    </row>
    <row r="31" spans="2:18" x14ac:dyDescent="0.2">
      <c r="B31" s="1" t="s">
        <v>155</v>
      </c>
      <c r="D31" s="76">
        <f t="shared" ref="D31:O31" si="1">D22-D30</f>
        <v>13368583.651051318</v>
      </c>
      <c r="E31" s="76">
        <f t="shared" si="1"/>
        <v>17805540.444341525</v>
      </c>
      <c r="F31" s="76">
        <f t="shared" si="1"/>
        <v>182896281.09975442</v>
      </c>
      <c r="G31" s="76">
        <f t="shared" si="1"/>
        <v>5947270.7974814344</v>
      </c>
      <c r="H31" s="76">
        <f t="shared" si="1"/>
        <v>14392177.929502383</v>
      </c>
      <c r="I31" s="76">
        <f t="shared" si="1"/>
        <v>20083413.40390439</v>
      </c>
      <c r="J31" s="76">
        <f t="shared" si="1"/>
        <v>215219461.8900972</v>
      </c>
      <c r="K31" s="76">
        <f t="shared" si="1"/>
        <v>21407325.218816206</v>
      </c>
      <c r="L31" s="76">
        <f t="shared" si="1"/>
        <v>3061910.8536031172</v>
      </c>
      <c r="M31" s="76">
        <f t="shared" si="1"/>
        <v>10787278.270724315</v>
      </c>
      <c r="N31" s="76">
        <f t="shared" si="1"/>
        <v>16745930.286909867</v>
      </c>
      <c r="O31" s="76">
        <f t="shared" si="1"/>
        <v>188771704.35823905</v>
      </c>
      <c r="Q31" s="51"/>
      <c r="R31" s="51"/>
    </row>
    <row r="32" spans="2:18" x14ac:dyDescent="0.2">
      <c r="B32" s="1" t="s">
        <v>156</v>
      </c>
      <c r="D32" s="76">
        <f t="shared" ref="D32:O32" si="2">D31-D29</f>
        <v>13204683.385428092</v>
      </c>
      <c r="E32" s="76">
        <f t="shared" si="2"/>
        <v>17577440.572549034</v>
      </c>
      <c r="F32" s="76">
        <f t="shared" si="2"/>
        <v>180469878.02370012</v>
      </c>
      <c r="G32" s="76">
        <f t="shared" si="2"/>
        <v>5910780.6262760358</v>
      </c>
      <c r="H32" s="76">
        <f t="shared" si="2"/>
        <v>14118345.272965766</v>
      </c>
      <c r="I32" s="76">
        <f t="shared" si="2"/>
        <v>19898685.670567039</v>
      </c>
      <c r="J32" s="76">
        <f t="shared" si="2"/>
        <v>213575110.54321107</v>
      </c>
      <c r="K32" s="76">
        <f t="shared" si="2"/>
        <v>21833535.289889731</v>
      </c>
      <c r="L32" s="76">
        <f t="shared" si="2"/>
        <v>3001072.7005513981</v>
      </c>
      <c r="M32" s="76">
        <f t="shared" si="2"/>
        <v>10640042.906078039</v>
      </c>
      <c r="N32" s="76">
        <f t="shared" si="2"/>
        <v>15472656.764360035</v>
      </c>
      <c r="O32" s="76">
        <f t="shared" si="2"/>
        <v>187161953.22839752</v>
      </c>
      <c r="Q32" s="51"/>
      <c r="R32" s="51"/>
    </row>
    <row r="33" spans="2:18" x14ac:dyDescent="0.2">
      <c r="Q33" s="51"/>
      <c r="R33" s="51"/>
    </row>
    <row r="34" spans="2:18" s="21" customFormat="1" x14ac:dyDescent="0.2">
      <c r="B34" s="20" t="s">
        <v>76</v>
      </c>
      <c r="Q34" s="27"/>
      <c r="R34" s="27"/>
    </row>
    <row r="35" spans="2:18" x14ac:dyDescent="0.2">
      <c r="Q35" s="51"/>
      <c r="R35" s="51"/>
    </row>
    <row r="36" spans="2:18" x14ac:dyDescent="0.2">
      <c r="B36" s="22" t="s">
        <v>19</v>
      </c>
      <c r="Q36" s="51"/>
      <c r="R36" s="51"/>
    </row>
    <row r="37" spans="2:18" x14ac:dyDescent="0.2">
      <c r="B37" s="16" t="s">
        <v>20</v>
      </c>
      <c r="D37" s="78">
        <f>D7</f>
        <v>25.8</v>
      </c>
      <c r="E37" s="78">
        <f t="shared" ref="E37:O37" si="3">E7</f>
        <v>18</v>
      </c>
      <c r="F37" s="78">
        <f t="shared" si="3"/>
        <v>18</v>
      </c>
      <c r="G37" s="78">
        <f t="shared" si="3"/>
        <v>18</v>
      </c>
      <c r="H37" s="78">
        <f t="shared" si="3"/>
        <v>28.1</v>
      </c>
      <c r="I37" s="78">
        <f t="shared" si="3"/>
        <v>18</v>
      </c>
      <c r="J37" s="78">
        <f t="shared" si="3"/>
        <v>18</v>
      </c>
      <c r="K37" s="78">
        <f t="shared" si="3"/>
        <v>18</v>
      </c>
      <c r="L37" s="78">
        <f t="shared" si="3"/>
        <v>18</v>
      </c>
      <c r="M37" s="78">
        <f t="shared" si="3"/>
        <v>18</v>
      </c>
      <c r="N37" s="78">
        <f t="shared" si="3"/>
        <v>18</v>
      </c>
      <c r="O37" s="78">
        <f t="shared" si="3"/>
        <v>18</v>
      </c>
      <c r="P37" s="102"/>
      <c r="Q37" s="51"/>
      <c r="R37" s="51"/>
    </row>
    <row r="38" spans="2:18" x14ac:dyDescent="0.2">
      <c r="B38" s="17" t="s">
        <v>21</v>
      </c>
      <c r="D38" s="79">
        <f>D8*(D$32/D$31)</f>
        <v>14.855607991144261</v>
      </c>
      <c r="E38" s="79">
        <f t="shared" ref="E38:O39" si="4">E8*(E$32/E$31)</f>
        <v>14.598280255295412</v>
      </c>
      <c r="F38" s="79">
        <f t="shared" si="4"/>
        <v>14.613917054029137</v>
      </c>
      <c r="G38" s="79">
        <f t="shared" si="4"/>
        <v>14.530297290775987</v>
      </c>
      <c r="H38" s="79">
        <f t="shared" si="4"/>
        <v>13.245496696015636</v>
      </c>
      <c r="I38" s="79">
        <f t="shared" si="4"/>
        <v>16.041083979471825</v>
      </c>
      <c r="J38" s="79">
        <f t="shared" si="4"/>
        <v>15.242644271729157</v>
      </c>
      <c r="K38" s="79">
        <f t="shared" si="4"/>
        <v>16.848905657393658</v>
      </c>
      <c r="L38" s="79">
        <f t="shared" si="4"/>
        <v>13.290571726341891</v>
      </c>
      <c r="M38" s="79">
        <f t="shared" si="4"/>
        <v>16.486857269433614</v>
      </c>
      <c r="N38" s="79">
        <f t="shared" si="4"/>
        <v>10.26063350463911</v>
      </c>
      <c r="O38" s="79">
        <f t="shared" si="4"/>
        <v>16.557590712762028</v>
      </c>
      <c r="P38" s="103"/>
      <c r="Q38" s="51"/>
      <c r="R38" s="51"/>
    </row>
    <row r="39" spans="2:18" x14ac:dyDescent="0.2">
      <c r="B39" s="17" t="s">
        <v>22</v>
      </c>
      <c r="D39" s="79">
        <f>D9*(D$32/D$31)</f>
        <v>1.0852298204700931E-2</v>
      </c>
      <c r="E39" s="79">
        <f t="shared" si="4"/>
        <v>1.1974607275275252E-2</v>
      </c>
      <c r="F39" s="79">
        <f t="shared" si="4"/>
        <v>1.243284144120126E-2</v>
      </c>
      <c r="G39" s="79">
        <f t="shared" si="4"/>
        <v>1.1051771947566963E-2</v>
      </c>
      <c r="H39" s="79">
        <f t="shared" si="4"/>
        <v>1.1111486926455231E-2</v>
      </c>
      <c r="I39" s="79">
        <f t="shared" si="4"/>
        <v>1.107716608341538E-2</v>
      </c>
      <c r="J39" s="79">
        <f t="shared" si="4"/>
        <v>1.2077016978316658E-2</v>
      </c>
      <c r="K39" s="79">
        <f t="shared" si="4"/>
        <v>1.095382849639273E-2</v>
      </c>
      <c r="L39" s="79">
        <f t="shared" si="4"/>
        <v>1.4701959874272004E-2</v>
      </c>
      <c r="M39" s="79">
        <f t="shared" si="4"/>
        <v>1.0948496302166504E-2</v>
      </c>
      <c r="N39" s="79">
        <f t="shared" si="4"/>
        <v>9.0520870279107938E-3</v>
      </c>
      <c r="O39" s="79">
        <f t="shared" si="4"/>
        <v>1.1346921505973483E-2</v>
      </c>
      <c r="P39" s="103"/>
      <c r="Q39" s="51"/>
      <c r="R39" s="51"/>
    </row>
    <row r="40" spans="2:18" x14ac:dyDescent="0.2">
      <c r="Q40" s="51"/>
      <c r="R40" s="51"/>
    </row>
    <row r="41" spans="2:18" x14ac:dyDescent="0.2">
      <c r="B41" s="22" t="s">
        <v>23</v>
      </c>
      <c r="Q41" s="51"/>
      <c r="R41" s="51"/>
    </row>
    <row r="42" spans="2:18" x14ac:dyDescent="0.2">
      <c r="B42" s="24" t="s">
        <v>20</v>
      </c>
      <c r="D42" s="78">
        <f>D12</f>
        <v>25.8</v>
      </c>
      <c r="E42" s="78">
        <f t="shared" ref="E42:O42" si="5">E12</f>
        <v>541.67999999999995</v>
      </c>
      <c r="F42" s="78">
        <f t="shared" si="5"/>
        <v>800.04</v>
      </c>
      <c r="G42" s="78">
        <f t="shared" si="5"/>
        <v>1165</v>
      </c>
      <c r="H42" s="78">
        <f t="shared" si="5"/>
        <v>1244.2058999999999</v>
      </c>
      <c r="I42" s="78">
        <f t="shared" si="5"/>
        <v>600</v>
      </c>
      <c r="J42" s="78">
        <f t="shared" si="5"/>
        <v>540</v>
      </c>
      <c r="K42" s="78">
        <f t="shared" si="5"/>
        <v>1165</v>
      </c>
      <c r="L42" s="78">
        <f t="shared" si="5"/>
        <v>1458</v>
      </c>
      <c r="M42" s="78">
        <f t="shared" si="5"/>
        <v>687</v>
      </c>
      <c r="N42" s="78">
        <f t="shared" si="5"/>
        <v>60</v>
      </c>
      <c r="O42" s="78">
        <f t="shared" si="5"/>
        <v>1200</v>
      </c>
      <c r="P42" s="102"/>
      <c r="Q42" s="51"/>
      <c r="R42" s="51"/>
    </row>
    <row r="43" spans="2:18" x14ac:dyDescent="0.2">
      <c r="B43" s="25" t="s">
        <v>24</v>
      </c>
      <c r="D43" s="79">
        <f>D13*(D$32/D$31)</f>
        <v>28.377767126700441</v>
      </c>
      <c r="E43" s="79">
        <f t="shared" ref="E43:O43" si="6">E13*(E$32/E$31)</f>
        <v>80.663758224115753</v>
      </c>
      <c r="F43" s="79">
        <f t="shared" si="6"/>
        <v>0</v>
      </c>
      <c r="G43" s="79">
        <f t="shared" si="6"/>
        <v>0</v>
      </c>
      <c r="H43" s="79">
        <f t="shared" si="6"/>
        <v>0</v>
      </c>
      <c r="I43" s="79">
        <f t="shared" si="6"/>
        <v>0</v>
      </c>
      <c r="J43" s="79">
        <f t="shared" si="6"/>
        <v>41.595747219648395</v>
      </c>
      <c r="K43" s="79">
        <f t="shared" si="6"/>
        <v>0</v>
      </c>
      <c r="L43" s="79">
        <f t="shared" si="6"/>
        <v>0</v>
      </c>
      <c r="M43" s="79">
        <f t="shared" si="6"/>
        <v>34.088291189448142</v>
      </c>
      <c r="N43" s="79">
        <f t="shared" si="6"/>
        <v>0</v>
      </c>
      <c r="O43" s="79">
        <f t="shared" si="6"/>
        <v>0</v>
      </c>
      <c r="P43" s="102"/>
      <c r="Q43" s="51"/>
      <c r="R43" s="51"/>
    </row>
    <row r="44" spans="2:18" x14ac:dyDescent="0.2">
      <c r="B44" s="25" t="s">
        <v>25</v>
      </c>
      <c r="D44" s="79">
        <f t="shared" ref="D44:O45" si="7">D14*(D$32/D$31)</f>
        <v>19.25105051511979</v>
      </c>
      <c r="E44" s="79">
        <f t="shared" si="7"/>
        <v>22.917729974811273</v>
      </c>
      <c r="F44" s="79">
        <f t="shared" si="7"/>
        <v>0</v>
      </c>
      <c r="G44" s="79">
        <f t="shared" si="7"/>
        <v>0</v>
      </c>
      <c r="H44" s="79">
        <f t="shared" si="7"/>
        <v>0</v>
      </c>
      <c r="I44" s="79">
        <f t="shared" si="7"/>
        <v>0</v>
      </c>
      <c r="J44" s="79">
        <f t="shared" si="7"/>
        <v>21.125352295349629</v>
      </c>
      <c r="K44" s="79">
        <f t="shared" si="7"/>
        <v>0</v>
      </c>
      <c r="L44" s="79">
        <f t="shared" si="7"/>
        <v>0</v>
      </c>
      <c r="M44" s="79">
        <f t="shared" si="7"/>
        <v>23.573789335295441</v>
      </c>
      <c r="N44" s="79">
        <f t="shared" si="7"/>
        <v>0</v>
      </c>
      <c r="O44" s="79">
        <f t="shared" si="7"/>
        <v>0</v>
      </c>
      <c r="P44" s="102"/>
      <c r="Q44" s="51"/>
      <c r="R44" s="51"/>
    </row>
    <row r="45" spans="2:18" x14ac:dyDescent="0.2">
      <c r="B45" s="25" t="s">
        <v>26</v>
      </c>
      <c r="D45" s="79">
        <f t="shared" si="7"/>
        <v>0</v>
      </c>
      <c r="E45" s="79">
        <f t="shared" si="7"/>
        <v>0</v>
      </c>
      <c r="F45" s="79">
        <f t="shared" si="7"/>
        <v>25.694538978482601</v>
      </c>
      <c r="G45" s="79">
        <f t="shared" si="7"/>
        <v>31.753967061579537</v>
      </c>
      <c r="H45" s="79">
        <f t="shared" si="7"/>
        <v>25.45675302242222</v>
      </c>
      <c r="I45" s="79">
        <f t="shared" si="7"/>
        <v>24.264740374136188</v>
      </c>
      <c r="J45" s="79">
        <f t="shared" si="7"/>
        <v>0</v>
      </c>
      <c r="K45" s="79">
        <f t="shared" si="7"/>
        <v>19.633258710946002</v>
      </c>
      <c r="L45" s="79">
        <f t="shared" si="7"/>
        <v>20.112281108004101</v>
      </c>
      <c r="M45" s="79">
        <f t="shared" si="7"/>
        <v>0</v>
      </c>
      <c r="N45" s="79">
        <f t="shared" si="7"/>
        <v>28.887771861552611</v>
      </c>
      <c r="O45" s="79">
        <f t="shared" si="7"/>
        <v>24.390223445146464</v>
      </c>
      <c r="P45" s="102"/>
      <c r="Q45" s="51"/>
      <c r="R45" s="51"/>
    </row>
    <row r="46" spans="2:18" x14ac:dyDescent="0.2">
      <c r="Q46" s="51"/>
      <c r="R46" s="51"/>
    </row>
    <row r="47" spans="2:18" x14ac:dyDescent="0.2">
      <c r="B47" s="69" t="s">
        <v>50</v>
      </c>
      <c r="Q47" s="51"/>
      <c r="R47" s="51"/>
    </row>
    <row r="48" spans="2:18" x14ac:dyDescent="0.2">
      <c r="B48" s="24" t="s">
        <v>20</v>
      </c>
      <c r="D48" s="79">
        <f>D19</f>
        <v>0</v>
      </c>
      <c r="E48" s="79">
        <f>E19</f>
        <v>2228.5700000000002</v>
      </c>
      <c r="F48" s="79">
        <f t="shared" ref="E48:P49" si="8">F19</f>
        <v>0</v>
      </c>
      <c r="G48" s="79">
        <f t="shared" si="8"/>
        <v>0</v>
      </c>
      <c r="H48" s="79">
        <f t="shared" si="8"/>
        <v>0</v>
      </c>
      <c r="I48" s="79">
        <f t="shared" si="8"/>
        <v>0</v>
      </c>
      <c r="J48" s="79">
        <f t="shared" si="8"/>
        <v>0</v>
      </c>
      <c r="K48" s="79">
        <f t="shared" si="8"/>
        <v>0</v>
      </c>
      <c r="L48" s="79">
        <f t="shared" si="8"/>
        <v>0</v>
      </c>
      <c r="M48" s="79">
        <f t="shared" si="8"/>
        <v>0</v>
      </c>
      <c r="N48" s="79">
        <f t="shared" si="8"/>
        <v>0</v>
      </c>
      <c r="O48" s="79">
        <f t="shared" si="8"/>
        <v>0</v>
      </c>
      <c r="P48" s="103">
        <f t="shared" si="8"/>
        <v>0</v>
      </c>
      <c r="Q48" s="51"/>
      <c r="R48" s="51"/>
    </row>
    <row r="49" spans="2:18" x14ac:dyDescent="0.2">
      <c r="B49" s="25" t="s">
        <v>49</v>
      </c>
      <c r="D49" s="79">
        <f>D20</f>
        <v>0</v>
      </c>
      <c r="E49" s="79">
        <f t="shared" si="8"/>
        <v>47.09</v>
      </c>
      <c r="F49" s="79">
        <f t="shared" si="8"/>
        <v>0</v>
      </c>
      <c r="G49" s="79">
        <f t="shared" si="8"/>
        <v>0</v>
      </c>
      <c r="H49" s="79">
        <f t="shared" si="8"/>
        <v>0</v>
      </c>
      <c r="I49" s="79">
        <f t="shared" si="8"/>
        <v>0</v>
      </c>
      <c r="J49" s="79">
        <f t="shared" si="8"/>
        <v>0</v>
      </c>
      <c r="K49" s="79">
        <f t="shared" si="8"/>
        <v>0</v>
      </c>
      <c r="L49" s="79">
        <f t="shared" si="8"/>
        <v>0</v>
      </c>
      <c r="M49" s="79">
        <f t="shared" si="8"/>
        <v>0</v>
      </c>
      <c r="N49" s="79">
        <f t="shared" si="8"/>
        <v>0</v>
      </c>
      <c r="O49" s="79">
        <f t="shared" si="8"/>
        <v>12.47</v>
      </c>
      <c r="P49" s="103">
        <f t="shared" si="8"/>
        <v>21.78</v>
      </c>
      <c r="Q49" s="51"/>
      <c r="R49" s="51"/>
    </row>
    <row r="50" spans="2:18" x14ac:dyDescent="0.2">
      <c r="B50" s="2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51"/>
      <c r="R50" s="51"/>
    </row>
    <row r="51" spans="2:18" x14ac:dyDescent="0.2">
      <c r="B51" s="144" t="s">
        <v>157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51"/>
      <c r="R51" s="51"/>
    </row>
    <row r="52" spans="2:18" x14ac:dyDescent="0.2">
      <c r="B52" s="25" t="s">
        <v>120</v>
      </c>
      <c r="D52" s="79">
        <f t="shared" ref="D52:O52" si="9">D16*(D$32/D$31)</f>
        <v>22.110758644772481</v>
      </c>
      <c r="E52" s="79">
        <f t="shared" si="9"/>
        <v>36.783271377102452</v>
      </c>
      <c r="F52" s="79">
        <f t="shared" si="9"/>
        <v>25.694538978482601</v>
      </c>
      <c r="G52" s="79">
        <f t="shared" si="9"/>
        <v>31.753967061579537</v>
      </c>
      <c r="H52" s="79">
        <f t="shared" si="9"/>
        <v>25.45675302242222</v>
      </c>
      <c r="I52" s="79">
        <f t="shared" si="9"/>
        <v>24.264740374136188</v>
      </c>
      <c r="J52" s="79">
        <f t="shared" si="9"/>
        <v>26.258040569932746</v>
      </c>
      <c r="K52" s="79">
        <f t="shared" si="9"/>
        <v>19.633258710946002</v>
      </c>
      <c r="L52" s="79">
        <f t="shared" si="9"/>
        <v>20.112281108004101</v>
      </c>
      <c r="M52" s="79">
        <f t="shared" si="9"/>
        <v>27.301468353790298</v>
      </c>
      <c r="N52" s="79">
        <f t="shared" si="9"/>
        <v>28.887771861552611</v>
      </c>
      <c r="O52" s="79">
        <f t="shared" si="9"/>
        <v>24.390223445146464</v>
      </c>
      <c r="P52" s="102"/>
      <c r="Q52" s="51"/>
      <c r="R52" s="51"/>
    </row>
    <row r="53" spans="2:18" x14ac:dyDescent="0.2">
      <c r="Q53" s="51"/>
      <c r="R53" s="51"/>
    </row>
    <row r="54" spans="2:18" s="21" customFormat="1" x14ac:dyDescent="0.2">
      <c r="B54" s="20" t="s">
        <v>72</v>
      </c>
      <c r="Q54" s="27"/>
      <c r="R54" s="27"/>
    </row>
    <row r="56" spans="2:18" x14ac:dyDescent="0.2">
      <c r="B56" s="22" t="s">
        <v>19</v>
      </c>
    </row>
    <row r="57" spans="2:18" x14ac:dyDescent="0.2">
      <c r="B57" s="16" t="s">
        <v>20</v>
      </c>
      <c r="C57" s="85">
        <f>SUMPRODUCT(D37:P37,Rekenvol!C7:O7)/SUM(Rekenvol!C7:O7)</f>
        <v>18.367120094023239</v>
      </c>
    </row>
    <row r="58" spans="2:18" x14ac:dyDescent="0.2">
      <c r="B58" s="17" t="s">
        <v>21</v>
      </c>
      <c r="C58" s="85">
        <f>SUMPRODUCT(D38:P38,Rekenvol!C8:O8)/SUM(Rekenvol!C8:O8)</f>
        <v>15.382197604647164</v>
      </c>
    </row>
    <row r="59" spans="2:18" x14ac:dyDescent="0.2">
      <c r="B59" s="17" t="s">
        <v>22</v>
      </c>
      <c r="C59" s="142">
        <f>SUMPRODUCT(D39:P39,Rekenvol!C9:O9)/SUM(Rekenvol!C9:O9)</f>
        <v>1.1782449859271028E-2</v>
      </c>
    </row>
    <row r="60" spans="2:18" x14ac:dyDescent="0.2">
      <c r="C60" s="143"/>
    </row>
    <row r="61" spans="2:18" x14ac:dyDescent="0.2">
      <c r="B61" s="22" t="s">
        <v>23</v>
      </c>
      <c r="C61" s="143"/>
    </row>
    <row r="62" spans="2:18" x14ac:dyDescent="0.2">
      <c r="B62" s="24" t="s">
        <v>20</v>
      </c>
      <c r="C62" s="85">
        <f>SUMPRODUCT(D42:P42,Rekenvol!C12:O12)/SUM(Rekenvol!C12:O12)</f>
        <v>790.10268633994974</v>
      </c>
    </row>
    <row r="63" spans="2:18" x14ac:dyDescent="0.2">
      <c r="B63" s="25" t="s">
        <v>120</v>
      </c>
      <c r="C63" s="85">
        <f>SUMPRODUCT(D52:P52,Rekenvol!C15:O15)/SUM(Rekenvol!C15:O15)</f>
        <v>25.904578392481373</v>
      </c>
    </row>
    <row r="65" spans="2:3" x14ac:dyDescent="0.2">
      <c r="B65" s="69" t="s">
        <v>166</v>
      </c>
    </row>
    <row r="66" spans="2:3" x14ac:dyDescent="0.2">
      <c r="B66" s="24" t="s">
        <v>20</v>
      </c>
      <c r="C66" s="86">
        <f>E48</f>
        <v>2228.5700000000002</v>
      </c>
    </row>
    <row r="67" spans="2:3" x14ac:dyDescent="0.2">
      <c r="B67" s="25" t="s">
        <v>49</v>
      </c>
      <c r="C67" s="86">
        <f>E49</f>
        <v>47.09</v>
      </c>
    </row>
    <row r="69" spans="2:3" x14ac:dyDescent="0.2">
      <c r="B69" s="69" t="s">
        <v>167</v>
      </c>
    </row>
    <row r="70" spans="2:3" x14ac:dyDescent="0.2">
      <c r="B70" s="24" t="s">
        <v>20</v>
      </c>
      <c r="C70" s="86">
        <f>O48</f>
        <v>0</v>
      </c>
    </row>
    <row r="71" spans="2:3" x14ac:dyDescent="0.2">
      <c r="B71" s="25" t="s">
        <v>49</v>
      </c>
      <c r="C71" s="86">
        <f>O49</f>
        <v>12.47</v>
      </c>
    </row>
    <row r="73" spans="2:3" x14ac:dyDescent="0.2">
      <c r="B73" s="69" t="s">
        <v>168</v>
      </c>
    </row>
    <row r="74" spans="2:3" x14ac:dyDescent="0.2">
      <c r="B74" s="24" t="s">
        <v>20</v>
      </c>
      <c r="C74" s="86">
        <f>P48</f>
        <v>0</v>
      </c>
    </row>
    <row r="75" spans="2:3" x14ac:dyDescent="0.2">
      <c r="B75" s="25" t="s">
        <v>49</v>
      </c>
      <c r="C75" s="86">
        <f>P49</f>
        <v>21.78</v>
      </c>
    </row>
  </sheetData>
  <phoneticPr fontId="5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15</vt:i4>
      </vt:variant>
    </vt:vector>
  </HeadingPairs>
  <TitlesOfParts>
    <vt:vector size="15" baseType="lpstr">
      <vt:lpstr>Toel. herstel NG5R (sep. 2014)</vt:lpstr>
      <vt:lpstr>x-factor</vt:lpstr>
      <vt:lpstr>Eindinkomsten</vt:lpstr>
      <vt:lpstr>Productiviteit</vt:lpstr>
      <vt:lpstr>Kosten</vt:lpstr>
      <vt:lpstr>SO</vt:lpstr>
      <vt:lpstr>SO 2005</vt:lpstr>
      <vt:lpstr>SO 2006</vt:lpstr>
      <vt:lpstr>Sectortarieven</vt:lpstr>
      <vt:lpstr>Tarieven</vt:lpstr>
      <vt:lpstr>Rekenvol</vt:lpstr>
      <vt:lpstr>Volumes</vt:lpstr>
      <vt:lpstr>ORV</vt:lpstr>
      <vt:lpstr>CPI</vt:lpstr>
      <vt:lpstr>Graaddagen</vt:lpstr>
    </vt:vector>
  </TitlesOfParts>
  <Company>Autoriteit Consument &amp; Markt (ACM)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Regionale netbeheerders Gas 2014-2016 PV 2005-2006 voor x-factor NG5R (11-9-2014)</dc:title>
  <dc:creator>Autoriteit Consument &amp; Markt (ACM)</dc:creator>
  <cp:keywords>gas, regulering, x-factor, PV, 2005-2006, besluit, energie, NG5R, 14.0731.52, 14.0733.52, 14.0735.52, 14.0737.52, 14.0739.52, 14.0741.52, 14.0743.52, 14.0745.52, 14.0746.52</cp:keywords>
  <cp:lastModifiedBy>Vaanhold, Jorieke</cp:lastModifiedBy>
  <dcterms:created xsi:type="dcterms:W3CDTF">2007-06-12T13:09:23Z</dcterms:created>
  <dcterms:modified xsi:type="dcterms:W3CDTF">2016-08-25T07:32:50Z</dcterms:modified>
</cp:coreProperties>
</file>